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3">
      <text>
        <t xml:space="preserve">human translation</t>
      </text>
    </comment>
    <comment authorId="0" ref="B90">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1">
      <text>
        <t xml:space="preserve">Human Translation</t>
      </text>
    </comment>
    <comment authorId="0" ref="F32">
      <text>
        <t xml:space="preserve">Human Translator</t>
      </text>
    </comment>
    <comment authorId="0" ref="G32">
      <text>
        <t xml:space="preserve">Human Translator</t>
      </text>
    </comment>
    <comment authorId="0" ref="H32">
      <text>
        <t xml:space="preserve">Human Translator</t>
      </text>
    </comment>
    <comment authorId="0" ref="J32">
      <text>
        <t xml:space="preserve">Human Translation</t>
      </text>
    </comment>
    <comment authorId="0" ref="J34">
      <text>
        <t xml:space="preserve">Human Translation</t>
      </text>
    </comment>
    <comment authorId="0" ref="V34">
      <text>
        <t xml:space="preserve">Human Translator
</t>
      </text>
    </comment>
    <comment authorId="0" ref="Z34">
      <text>
        <t xml:space="preserve">Human Translation
</t>
      </text>
    </comment>
    <comment authorId="0" ref="F35">
      <text>
        <t xml:space="preserve">Human Translator</t>
      </text>
    </comment>
    <comment authorId="0" ref="G35">
      <text>
        <t xml:space="preserve">Human Translator</t>
      </text>
    </comment>
    <comment authorId="0" ref="H35">
      <text>
        <t xml:space="preserve">Human Translator</t>
      </text>
    </comment>
    <comment authorId="0" ref="J35">
      <text>
        <t xml:space="preserve">Human Translation</t>
      </text>
    </comment>
    <comment authorId="0" ref="P35">
      <text>
        <t xml:space="preserve">Human Translation</t>
      </text>
    </comment>
    <comment authorId="0" ref="V35">
      <text>
        <t xml:space="preserve">Human Translator
</t>
      </text>
    </comment>
    <comment authorId="0" ref="W35">
      <text>
        <t xml:space="preserve">Human Translator</t>
      </text>
    </comment>
    <comment authorId="0" ref="X35">
      <text>
        <t xml:space="preserve">Human Translator
</t>
      </text>
    </comment>
    <comment authorId="0" ref="Z35">
      <text>
        <t xml:space="preserve">Human Translation</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Z36">
      <text>
        <t xml:space="preserve">Human Translation
</t>
      </text>
    </comment>
    <comment authorId="0" ref="F37">
      <text>
        <t xml:space="preserve">Human Translator
</t>
      </text>
    </comment>
    <comment authorId="0" ref="G37">
      <text>
        <t xml:space="preserve">Human Translator
</t>
      </text>
    </comment>
    <comment authorId="0" ref="H37">
      <text>
        <t xml:space="preserve">Human Translator
</t>
      </text>
    </comment>
    <comment authorId="0" ref="J37">
      <text>
        <t xml:space="preserve">Human translation</t>
      </text>
    </comment>
    <comment authorId="0" ref="R37">
      <text>
        <t xml:space="preserve">Human translation</t>
      </text>
    </comment>
    <comment authorId="0" ref="V37">
      <text>
        <t xml:space="preserve">Human Translator</t>
      </text>
    </comment>
    <comment authorId="0" ref="W37">
      <text>
        <t xml:space="preserve">Human Translator</t>
      </text>
    </comment>
    <comment authorId="0" ref="X37">
      <text>
        <t xml:space="preserve">Human Translator</t>
      </text>
    </comment>
    <comment authorId="0" ref="F38">
      <text>
        <t xml:space="preserve">Human Translator
</t>
      </text>
    </comment>
    <comment authorId="0" ref="G38">
      <text>
        <t xml:space="preserve">Human Translator
</t>
      </text>
    </comment>
    <comment authorId="0" ref="H38">
      <text>
        <t xml:space="preserve">Human Translator
</t>
      </text>
    </comment>
    <comment authorId="0" ref="J38">
      <text>
        <t xml:space="preserve">Human translation</t>
      </text>
    </comment>
    <comment authorId="0" ref="R38">
      <text>
        <t xml:space="preserve">Human translation</t>
      </text>
    </comment>
    <comment authorId="0" ref="V38">
      <text>
        <t xml:space="preserve">Human Translator</t>
      </text>
    </comment>
    <comment authorId="0" ref="W38">
      <text>
        <t xml:space="preserve">Human Translator</t>
      </text>
    </comment>
    <comment authorId="0" ref="X38">
      <text>
        <t xml:space="preserve">Human Translator</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W39">
      <text>
        <t xml:space="preserve">Human Translator</t>
      </text>
    </comment>
    <comment authorId="0" ref="X39">
      <text>
        <t xml:space="preserve">Human Translator</t>
      </text>
    </comment>
    <comment authorId="0" ref="Z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W40">
      <text>
        <t xml:space="preserve">Human Translator</t>
      </text>
    </comment>
    <comment authorId="0" ref="X40">
      <text>
        <t xml:space="preserve">Human Translator</t>
      </text>
    </comment>
    <comment authorId="0" ref="Z40">
      <text>
        <t xml:space="preserve">Human Translation</t>
      </text>
    </comment>
    <comment authorId="0" ref="F41">
      <text>
        <t xml:space="preserve">Human Translator</t>
      </text>
    </comment>
    <comment authorId="0" ref="G41">
      <text>
        <t xml:space="preserve">Human Translator</t>
      </text>
    </comment>
    <comment authorId="0" ref="H41">
      <text>
        <t xml:space="preserve">Human Translator</t>
      </text>
    </comment>
    <comment authorId="0" ref="J41">
      <text>
        <t xml:space="preserve">Human Translation</t>
      </text>
    </comment>
    <comment authorId="0" ref="V41">
      <text>
        <t xml:space="preserve">Human Translator</t>
      </text>
    </comment>
    <comment authorId="0" ref="W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X45">
      <text>
        <t xml:space="preserve">Human Translator</t>
      </text>
    </comment>
    <comment authorId="0" ref="F46">
      <text>
        <t xml:space="preserve">Human Translator
</t>
      </text>
    </comment>
    <comment authorId="0" ref="G46">
      <text>
        <t xml:space="preserve">Human Translator
</t>
      </text>
    </comment>
    <comment authorId="0" ref="H46">
      <text>
        <t xml:space="preserve">Human Translator
</t>
      </text>
    </comment>
    <comment authorId="0" ref="J46">
      <text>
        <t xml:space="preserve">Human translation</t>
      </text>
    </comment>
    <comment authorId="0" ref="R46">
      <text>
        <t xml:space="preserve">Human translation</t>
      </text>
    </comment>
    <comment authorId="0" ref="V46">
      <text>
        <t xml:space="preserve">Human Translator</t>
      </text>
    </comment>
    <comment authorId="0" ref="W46">
      <text>
        <t xml:space="preserve">Human Translator</t>
      </text>
    </comment>
    <comment authorId="0" ref="X46">
      <text>
        <t xml:space="preserve">Human Translator</t>
      </text>
    </comment>
    <comment authorId="0" ref="F47">
      <text>
        <t xml:space="preserve">Human Translator
</t>
      </text>
    </comment>
    <comment authorId="0" ref="G47">
      <text>
        <t xml:space="preserve">Human Translator
</t>
      </text>
    </comment>
    <comment authorId="0" ref="H47">
      <text>
        <t xml:space="preserve">Human Translator
</t>
      </text>
    </comment>
    <comment authorId="0" ref="J47">
      <text>
        <t xml:space="preserve">Human translation</t>
      </text>
    </comment>
    <comment authorId="0" ref="R47">
      <text>
        <t xml:space="preserve">Human translation</t>
      </text>
    </comment>
    <comment authorId="0" ref="V47">
      <text>
        <t xml:space="preserve">Human Translator</t>
      </text>
    </comment>
    <comment authorId="0" ref="W47">
      <text>
        <t xml:space="preserve">Human Translator</t>
      </text>
    </comment>
    <comment authorId="0" ref="J49">
      <text>
        <t xml:space="preserve">Human translation</t>
      </text>
    </comment>
    <comment authorId="0" ref="V49">
      <text>
        <t xml:space="preserve">Human Translator
</t>
      </text>
    </comment>
    <comment authorId="0" ref="Z49">
      <text>
        <t xml:space="preserve">Human Translation
</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O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R71">
      <text>
        <t xml:space="preserve">Traducción humana
</t>
      </text>
    </comment>
    <comment authorId="0" ref="Z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
</t>
      </text>
    </comment>
    <comment authorId="0" ref="G75">
      <text>
        <t xml:space="preserve">Human Translator
</t>
      </text>
    </comment>
    <comment authorId="0" ref="H75">
      <text>
        <t xml:space="preserve">Human Translator
</t>
      </text>
    </comment>
    <comment authorId="0" ref="J75">
      <text>
        <t xml:space="preserve">Human translation</t>
      </text>
    </comment>
    <comment authorId="0" ref="F76">
      <text>
        <t xml:space="preserve">Human Translator
</t>
      </text>
    </comment>
    <comment authorId="0" ref="G76">
      <text>
        <t xml:space="preserve">Human Translator
</t>
      </text>
    </comment>
    <comment authorId="0" ref="H76">
      <text>
        <t xml:space="preserve">Human Translator
</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J80">
      <text>
        <t xml:space="preserve">Human translation</t>
      </text>
    </comment>
    <comment authorId="0" ref="V80">
      <text>
        <t xml:space="preserve">Human Translator</t>
      </text>
    </comment>
    <comment authorId="0" ref="Z80">
      <text>
        <t xml:space="preserve">Human Translation
</t>
      </text>
    </comment>
    <comment authorId="0" ref="F81">
      <text>
        <t xml:space="preserve">Human Translator</t>
      </text>
    </comment>
    <comment authorId="0" ref="G81">
      <text>
        <t xml:space="preserve">Human Translator</t>
      </text>
    </comment>
    <comment authorId="0" ref="H81">
      <text>
        <t xml:space="preserve">Human Translator</t>
      </text>
    </comment>
    <comment authorId="0" ref="J81">
      <text>
        <t xml:space="preserve">Human Translation</t>
      </text>
    </comment>
    <comment authorId="0" ref="V81">
      <text>
        <t xml:space="preserve">Human Translator</t>
      </text>
    </comment>
    <comment authorId="0" ref="W81">
      <text>
        <t xml:space="preserve">Human Translator</t>
      </text>
    </comment>
    <comment authorId="0" ref="X81">
      <text>
        <t xml:space="preserve">Human Translator</t>
      </text>
    </comment>
    <comment authorId="0" ref="Z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P82">
      <text>
        <t xml:space="preserve">Human Translation</t>
      </text>
    </comment>
    <comment authorId="0" ref="V82">
      <text>
        <t xml:space="preserve">Human Translator
</t>
      </text>
    </comment>
    <comment authorId="0" ref="W82">
      <text>
        <t xml:space="preserve">Human Translator</t>
      </text>
    </comment>
    <comment authorId="0" ref="X82">
      <text>
        <t xml:space="preserve">Human Translator</t>
      </text>
    </comment>
    <comment authorId="0" ref="Z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V83">
      <text>
        <t xml:space="preserve">Human Translator
</t>
      </text>
    </comment>
    <comment authorId="0" ref="W83">
      <text>
        <t xml:space="preserve">Human Translator
</t>
      </text>
    </comment>
    <comment authorId="0" ref="X83">
      <text>
        <t xml:space="preserve">Human Translator
</t>
      </text>
    </comment>
    <comment authorId="0" ref="Z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V84">
      <text>
        <t xml:space="preserve">Human Translator
</t>
      </text>
    </comment>
    <comment authorId="0" ref="W84">
      <text>
        <t xml:space="preserve">Human Translator
</t>
      </text>
    </comment>
    <comment authorId="0" ref="Z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Z85">
      <text>
        <t xml:space="preserve">Human Translation
</t>
      </text>
    </comment>
    <comment authorId="0" ref="J87">
      <text>
        <t xml:space="preserve">Human translation</t>
      </text>
    </comment>
    <comment authorId="0" ref="V87">
      <text>
        <t xml:space="preserve">Human Translator
</t>
      </text>
    </comment>
    <comment authorId="0" ref="Z87">
      <text>
        <t xml:space="preserve">Human Translation
</t>
      </text>
    </comment>
    <comment authorId="0" ref="F88">
      <text>
        <t xml:space="preserve">Human Translator</t>
      </text>
    </comment>
    <comment authorId="0" ref="G88">
      <text>
        <t xml:space="preserve">Human Translator</t>
      </text>
    </comment>
    <comment authorId="0" ref="H88">
      <text>
        <t xml:space="preserve">Human Translator</t>
      </text>
    </comment>
    <comment authorId="0" ref="J88">
      <text>
        <t xml:space="preserve">Human Translation</t>
      </text>
    </comment>
    <comment authorId="0" ref="Z88">
      <text>
        <t xml:space="preserve">Human Translation
</t>
      </text>
    </comment>
    <comment authorId="0" ref="G89">
      <text>
        <t xml:space="preserve">Human Translator</t>
      </text>
    </comment>
    <comment authorId="0" ref="H89">
      <text>
        <t xml:space="preserve">Human Translator</t>
      </text>
    </comment>
    <comment authorId="0" ref="J89">
      <text>
        <t xml:space="preserve">Human Translation</t>
      </text>
    </comment>
    <comment authorId="0" ref="Z89">
      <text>
        <t xml:space="preserve">Human Translation
</t>
      </text>
    </comment>
    <comment authorId="0" ref="G90">
      <text>
        <t xml:space="preserve">Human Translator</t>
      </text>
    </comment>
    <comment authorId="0" ref="H90">
      <text>
        <t xml:space="preserve">Human Translator</t>
      </text>
    </comment>
    <comment authorId="0" ref="J90">
      <text>
        <t xml:space="preserve">Human Translation</t>
      </text>
    </comment>
    <comment authorId="0" ref="Z90">
      <text>
        <t xml:space="preserve">Human Translation
</t>
      </text>
    </comment>
    <comment authorId="0" ref="F91">
      <text>
        <t xml:space="preserve">Human Translator</t>
      </text>
    </comment>
    <comment authorId="0" ref="G91">
      <text>
        <t xml:space="preserve">Human Translator</t>
      </text>
    </comment>
    <comment authorId="0" ref="H91">
      <text>
        <t xml:space="preserve">Human Translator</t>
      </text>
    </comment>
    <comment authorId="0" ref="J91">
      <text>
        <t xml:space="preserve">Human Translation</t>
      </text>
    </comment>
    <comment authorId="0" ref="F92">
      <text>
        <t xml:space="preserve">Human Translator</t>
      </text>
    </comment>
    <comment authorId="0" ref="G92">
      <text>
        <t xml:space="preserve">Human Translator</t>
      </text>
    </comment>
    <comment authorId="0" ref="H92">
      <text>
        <t xml:space="preserve">Human Translator</t>
      </text>
    </comment>
    <comment authorId="0" ref="J92">
      <text>
        <t xml:space="preserve">Human Translation</t>
      </text>
    </comment>
    <comment authorId="0" ref="F93">
      <text>
        <t xml:space="preserve">Human Translator</t>
      </text>
    </comment>
    <comment authorId="0" ref="G93">
      <text>
        <t xml:space="preserve">Human Translator</t>
      </text>
    </comment>
    <comment authorId="0" ref="H93">
      <text>
        <t xml:space="preserve">Human Translator</t>
      </text>
    </comment>
    <comment authorId="0" ref="J93">
      <text>
        <t xml:space="preserve">Human Translation</t>
      </text>
    </comment>
    <comment authorId="0" ref="F94">
      <text>
        <t xml:space="preserve">Human Translator</t>
      </text>
    </comment>
    <comment authorId="0" ref="G94">
      <text>
        <t xml:space="preserve">Human Translator</t>
      </text>
    </comment>
    <comment authorId="0" ref="H94">
      <text>
        <t xml:space="preserve">Human Translator</t>
      </text>
    </comment>
    <comment authorId="0" ref="J94">
      <text>
        <t xml:space="preserve">Human Translation</t>
      </text>
    </comment>
    <comment authorId="0" ref="F95">
      <text>
        <t xml:space="preserve">Human Translator</t>
      </text>
    </comment>
    <comment authorId="0" ref="G95">
      <text>
        <t xml:space="preserve">Human Translator</t>
      </text>
    </comment>
    <comment authorId="0" ref="H95">
      <text>
        <t xml:space="preserve">Human Translator</t>
      </text>
    </comment>
    <comment authorId="0" ref="J95">
      <text>
        <t xml:space="preserve">Human Translation</t>
      </text>
    </comment>
    <comment authorId="0" ref="J97">
      <text>
        <t xml:space="preserve">Human translation</t>
      </text>
    </comment>
    <comment authorId="0" ref="V97">
      <text>
        <t xml:space="preserve">Human Translator</t>
      </text>
    </comment>
    <comment authorId="0" ref="Z97">
      <text>
        <t xml:space="preserve">Human Translation
</t>
      </text>
    </comment>
    <comment authorId="0" ref="F98">
      <text>
        <t xml:space="preserve">Human Translator</t>
      </text>
    </comment>
    <comment authorId="0" ref="G98">
      <text>
        <t xml:space="preserve">Human Translator</t>
      </text>
    </comment>
    <comment authorId="0" ref="H98">
      <text>
        <t xml:space="preserve">Human Translator</t>
      </text>
    </comment>
    <comment authorId="0" ref="J98">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B91">
      <text>
        <t xml:space="preserve">Human Translator</t>
      </text>
    </comment>
    <comment authorId="0" ref="B92">
      <text>
        <t xml:space="preserve">Human Translator</t>
      </text>
    </comment>
    <comment authorId="0" ref="B93">
      <text>
        <t xml:space="preserve">Human Translator</t>
      </text>
    </comment>
    <comment authorId="0" ref="C93">
      <text>
        <t xml:space="preserve">Human Translation</t>
      </text>
    </comment>
    <comment authorId="0" ref="B94">
      <text>
        <t xml:space="preserve">Human Translator</t>
      </text>
    </comment>
    <comment authorId="0" ref="B96">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C103">
      <text>
        <t xml:space="preserve">Human Translation</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<sst xmlns="http://schemas.openxmlformats.org/spreadsheetml/2006/main" count="8412" uniqueCount="7021">
  <si>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</si>
  <si>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</si>
  <si>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</si>
  <si>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</si>
  <si>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</si>
  <si>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</si>
  <si>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</si>
  <si>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</si>
  <si>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</si>
  <si>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</si>
  <si>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</si>
  <si>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</si>
  <si>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</si>
  <si>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</si>
  <si>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</si>
  <si>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</si>
  <si>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</si>
  <si>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</si>
  <si>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</si>
  <si>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</si>
  <si>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</si>
  <si>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</si>
  <si>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</si>
  <si>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</si>
  <si>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</si>
  <si>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</si>
  <si>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</si>
  <si>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</si>
  <si>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</si>
  <si>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</si>
  <si>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</si>
  <si>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</si>
  <si>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</si>
  <si>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</si>
  <si>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</si>
  <si>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</si>
  <si>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</si>
  <si>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</si>
  <si>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</si>
  <si>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</si>
  <si>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</si>
  <si>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</si>
  <si>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</si>
  <si>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</si>
  <si>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</si>
  <si>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</si>
  <si>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</si>
  <si>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</si>
  <si>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</si>
  <si>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</si>
  <si>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</si>
  <si>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</si>
  <si>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</si>
  <si>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</si>
  <si>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</si>
  <si>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</si>
  <si>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</si>
  <si>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</si>
  <si>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</si>
  <si>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</si>
  <si>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</si>
  <si>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2025/10/30 新增0.85版本：S-C-23~S-C-29、S-A-24</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</si>
  <si>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</si>
  <si>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</si>
  <si>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</si>
  <si>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</si>
  <si>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</si>
  <si>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</si>
  <si>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</si>
  <si>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</si>
  <si>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</si>
  <si>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</si>
  <si>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</si>
  <si>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</si>
  <si>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</si>
  <si>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</si>
  <si>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</si>
  <si>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</si>
  <si>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</si>
  <si>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</si>
  <si>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</si>
  <si>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</si>
  <si>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</si>
  <si>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</si>
  <si>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</si>
  <si>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</si>
  <si>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</si>
  <si>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</si>
  <si>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</si>
  <si>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</si>
  <si>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</si>
  <si>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</si>
  <si>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</si>
  <si>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</si>
  <si>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</si>
  <si>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</si>
  <si>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</si>
  <si>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</si>
  <si>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</si>
  <si>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</si>
  <si>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</si>
  <si>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</si>
  <si>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</si>
  <si>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</si>
  <si>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</si>
  <si>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</si>
  <si>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</si>
  <si>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</si>
  <si>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</si>
  <si>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</si>
  <si>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</si>
  <si>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</si>
  <si>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</si>
  <si>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</si>
  <si>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</si>
  <si>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</si>
  <si>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</si>
  <si>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</si>
  <si>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</si>
  <si>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</si>
  <si>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</si>
  <si>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</si>
  <si>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</si>
  <si>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</si>
  <si>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</si>
  <si>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</si>
  <si>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</si>
  <si>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</si>
  <si>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</si>
  <si>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</si>
  <si>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</si>
  <si>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</si>
  <si>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</si>
  <si>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</si>
  <si>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</si>
  <si>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</si>
  <si>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</si>
  <si>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</si>
  <si>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</si>
  <si>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</si>
  <si>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</si>
  <si>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</si>
  <si>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</si>
  <si>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</si>
  <si>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</si>
  <si>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</si>
  <si>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</si>
  <si>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</si>
  <si>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</si>
  <si>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</si>
  <si>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</si>
  <si>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</si>
  <si>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</si>
  <si>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</si>
  <si>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</si>
  <si>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</si>
  <si>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</si>
  <si>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</si>
  <si>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</si>
  <si>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</si>
  <si>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</si>
  <si>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</si>
  <si>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</si>
  <si>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</si>
  <si>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</si>
  <si>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</si>
  <si>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</si>
  <si>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</si>
  <si>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</si>
  <si>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</si>
  <si>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</si>
  <si>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</si>
  <si>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</si>
  <si>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</si>
  <si>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</si>
  <si>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</si>
  <si>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</si>
  <si>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</si>
  <si>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</si>
  <si>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</si>
  <si>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</si>
  <si>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</si>
  <si>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</si>
  <si>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</si>
  <si>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</si>
  <si>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</si>
  <si>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</si>
  <si>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</si>
  <si>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</si>
  <si>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</si>
  <si>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</si>
  <si>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</si>
  <si>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</si>
  <si>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</si>
  <si>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</si>
  <si>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</si>
  <si>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</si>
  <si>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</si>
  <si>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</si>
  <si>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</si>
  <si>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</si>
  <si>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</si>
  <si>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</si>
  <si>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</si>
  <si>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</si>
  <si>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</si>
  <si>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</si>
  <si>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</si>
  <si>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</si>
  <si>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</si>
  <si>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</si>
  <si>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</si>
  <si>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</si>
  <si>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</si>
  <si>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</si>
  <si>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</si>
  <si>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</si>
  <si>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</si>
  <si>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</si>
  <si>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</si>
  <si>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</si>
  <si>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</si>
  <si>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</si>
  <si>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</si>
  <si>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</si>
  <si>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</si>
  <si>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</si>
  <si>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</si>
  <si>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</si>
  <si>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</si>
  <si>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</si>
  <si>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</si>
  <si>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</si>
  <si>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</si>
  <si>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</si>
  <si>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</si>
  <si>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</si>
  <si>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</si>
  <si>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</si>
  <si>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</si>
  <si>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</si>
  <si>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</si>
  <si>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</si>
  <si>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</si>
  <si>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</si>
  <si>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</si>
  <si>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</si>
  <si>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</si>
  <si>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</si>
  <si>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</si>
  <si>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</si>
  <si>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</si>
  <si>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</si>
  <si>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</si>
  <si>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</si>
  <si>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</si>
  <si>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</si>
  <si>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</si>
  <si>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</si>
  <si>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</si>
  <si>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</si>
  <si>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</si>
  <si>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</si>
  <si>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</si>
  <si>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</si>
  <si>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</si>
  <si>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</si>
  <si>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</si>
  <si>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</si>
  <si>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</si>
  <si>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</si>
  <si>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</si>
  <si>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</si>
  <si>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</si>
  <si>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</si>
  <si>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</si>
  <si>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</si>
  <si>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</si>
  <si>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</si>
  <si>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</si>
  <si>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</si>
  <si>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</si>
  <si>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</si>
  <si>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</si>
  <si>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</si>
  <si>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</si>
  <si>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</si>
  <si>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</si>
  <si>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</si>
  <si>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</si>
  <si>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</si>
  <si>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</si>
  <si>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</si>
  <si>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</si>
  <si>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</si>
  <si>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</si>
  <si>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</si>
  <si>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</si>
  <si>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</si>
  <si>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</si>
  <si>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</si>
  <si>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</si>
  <si>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</si>
  <si>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</si>
  <si>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</si>
  <si>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</si>
  <si>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</si>
  <si>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</si>
  <si>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</si>
  <si>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</si>
  <si>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</si>
  <si>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</si>
  <si>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</si>
  <si>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</si>
  <si>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</si>
  <si>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</si>
  <si>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</si>
  <si>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</si>
  <si>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</si>
  <si>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</si>
  <si>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</si>
  <si>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</si>
  <si>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</si>
  <si>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</si>
  <si>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</si>
  <si>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</si>
  <si>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</si>
  <si>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</si>
  <si>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</si>
  <si>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</si>
  <si>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</si>
  <si>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</si>
  <si>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</si>
  <si>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</si>
  <si>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</si>
  <si>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</si>
  <si>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</si>
  <si>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</si>
  <si>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</si>
  <si>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</si>
  <si>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</si>
  <si>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</si>
  <si>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</si>
  <si>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</si>
  <si>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</si>
  <si>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</si>
  <si>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</si>
  <si>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</si>
  <si>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</si>
  <si>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</si>
  <si>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</si>
  <si>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</si>
  <si>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</si>
  <si>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</si>
  <si>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</si>
  <si>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</si>
  <si>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</si>
  <si>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</si>
  <si>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</si>
  <si>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</si>
  <si>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</si>
  <si>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</si>
  <si>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</si>
  <si>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</si>
  <si>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</si>
  <si>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</si>
  <si>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</si>
  <si>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</si>
  <si>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</si>
  <si>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</si>
  <si>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</si>
  <si>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</si>
  <si>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</si>
  <si>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</si>
  <si>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</si>
  <si>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</si>
  <si>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</si>
  <si>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</si>
  <si>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</si>
  <si>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</si>
  <si>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</si>
  <si>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</si>
  <si>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</si>
  <si>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</si>
  <si>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</si>
  <si>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</si>
  <si>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</si>
  <si>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</si>
  <si>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</si>
  <si>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</si>
  <si>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</si>
  <si>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</si>
  <si>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</si>
  <si>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</si>
  <si>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</si>
  <si>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</si>
  <si>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</si>
  <si>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</si>
  <si>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</si>
  <si>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</si>
  <si>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</si>
  <si>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</si>
  <si>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</si>
  <si>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</si>
  <si>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</si>
  <si>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</si>
  <si>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</si>
  <si>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</si>
  <si>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</si>
  <si>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</si>
  <si>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</si>
  <si>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</si>
  <si>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</si>
  <si>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</si>
  <si>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</si>
  <si>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</si>
  <si>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</si>
  <si>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</si>
  <si>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</si>
  <si>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</si>
  <si>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</si>
  <si>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</si>
  <si>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</si>
  <si>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</si>
  <si>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</si>
  <si>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</si>
  <si>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</si>
  <si>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</si>
  <si>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</si>
  <si>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</si>
  <si>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</si>
  <si>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</si>
  <si>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</si>
  <si>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</si>
  <si>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</si>
  <si>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</si>
  <si>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</si>
  <si>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</si>
  <si>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</si>
  <si>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</si>
  <si>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</si>
  <si>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</si>
  <si>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</si>
  <si>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</si>
  <si>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</si>
  <si>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</si>
  <si>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</si>
  <si>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</si>
  <si>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</si>
  <si>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</si>
  <si>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</si>
  <si>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</si>
  <si>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</si>
  <si>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</si>
  <si>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</si>
  <si>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</si>
  <si>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</si>
  <si>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</si>
  <si>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</si>
  <si>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</si>
  <si>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</si>
  <si>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</si>
  <si>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</si>
  <si>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</si>
  <si>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</si>
  <si>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</si>
  <si>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</si>
  <si>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</si>
  <si>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</si>
  <si>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</si>
  <si>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</si>
  <si>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</si>
  <si>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</si>
  <si>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</si>
  <si>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</si>
  <si>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</si>
  <si>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</si>
  <si>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</si>
  <si>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</si>
  <si>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</si>
  <si>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</si>
  <si>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</si>
  <si>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</si>
  <si>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</si>
  <si>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</si>
  <si>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</si>
  <si>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</si>
  <si>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</si>
  <si>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</si>
  <si>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</si>
  <si>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</si>
  <si>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</si>
  <si>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</si>
  <si>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</si>
  <si>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</si>
  <si>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</si>
  <si>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</si>
  <si>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</si>
  <si>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</si>
  <si>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</si>
  <si>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</si>
  <si>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</si>
  <si>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</si>
  <si>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</si>
  <si>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</si>
  <si>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</si>
  <si>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</si>
  <si>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</si>
  <si>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</si>
  <si>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</si>
  <si>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</si>
  <si>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</si>
  <si>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</si>
  <si>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</si>
  <si>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</si>
  <si>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</si>
  <si>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</si>
  <si>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</si>
  <si>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</si>
  <si>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</si>
  <si>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</si>
  <si>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</si>
  <si>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</si>
  <si>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</si>
  <si>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</si>
  <si>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</si>
  <si>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</si>
  <si>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</si>
  <si>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</si>
  <si>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</si>
  <si>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</si>
  <si>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</si>
  <si>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</si>
  <si>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</si>
  <si>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</si>
  <si>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</si>
  <si>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</si>
  <si>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</si>
  <si>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</si>
  <si>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</si>
  <si>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</si>
  <si>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</si>
  <si>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</si>
  <si>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</si>
  <si>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</si>
  <si>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</si>
  <si>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</si>
  <si>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</si>
  <si>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</si>
  <si>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</si>
  <si>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</si>
  <si>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</si>
  <si>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</si>
  <si>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</si>
  <si>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</si>
  <si>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</si>
  <si>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</si>
  <si>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</si>
  <si>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</si>
  <si>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</si>
  <si>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</si>
  <si>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</si>
  <si>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</si>
  <si>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</si>
  <si>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</si>
  <si>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</si>
  <si>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</si>
  <si>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</si>
  <si>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</si>
  <si>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</si>
  <si>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</si>
  <si>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</si>
  <si>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</si>
  <si>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</si>
  <si>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</si>
  <si>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</si>
  <si>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</si>
  <si>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</si>
  <si>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</si>
  <si>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</si>
  <si>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</si>
  <si>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</si>
  <si>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</si>
  <si>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</si>
  <si>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</si>
  <si>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</si>
  <si>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</si>
  <si>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</si>
  <si>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</si>
  <si>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</si>
  <si>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</si>
  <si>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</si>
  <si>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</si>
  <si>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</si>
  <si>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</si>
  <si>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</si>
  <si>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</si>
  <si>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</si>
  <si>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</si>
  <si>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</si>
  <si>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</si>
  <si>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</si>
  <si>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</si>
  <si>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</si>
  <si>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</si>
  <si>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</si>
  <si>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</si>
  <si>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</si>
  <si>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</si>
  <si>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</si>
  <si>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</si>
  <si>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</si>
  <si>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</si>
  <si>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</si>
  <si>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</si>
  <si>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</si>
  <si>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</si>
  <si>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</si>
  <si>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</si>
  <si>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</si>
  <si>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</si>
  <si>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</si>
  <si>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</si>
  <si>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</si>
  <si>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</si>
  <si>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</si>
  <si>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</si>
  <si>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</si>
  <si>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</si>
  <si>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</si>
  <si>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</si>
  <si>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</si>
  <si>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</si>
  <si>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</si>
  <si>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</si>
  <si>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</si>
  <si>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</si>
  <si>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</si>
  <si>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</si>
  <si>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</si>
  <si>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</si>
  <si>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</si>
  <si>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</si>
  <si>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</si>
  <si>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</si>
  <si>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</si>
  <si>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</si>
  <si>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</si>
  <si>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</si>
  <si>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</si>
  <si>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</si>
  <si>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</si>
  <si>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</si>
  <si>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</si>
  <si>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</si>
  <si>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</si>
  <si>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</si>
  <si>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</si>
  <si>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</si>
  <si>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</si>
  <si>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</si>
  <si>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</si>
  <si>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</si>
  <si>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</si>
  <si>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</si>
  <si>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</si>
  <si>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</si>
  <si>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</si>
  <si>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</si>
  <si>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</si>
  <si>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</si>
  <si>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</si>
  <si>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</si>
  <si>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</si>
  <si>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</si>
  <si>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</si>
  <si>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</si>
  <si>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</si>
  <si>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</si>
  <si>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</si>
  <si>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</si>
  <si>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</si>
  <si>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</si>
  <si>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</si>
  <si>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</si>
  <si>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</si>
  <si>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</si>
  <si>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</si>
  <si>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</si>
  <si>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</si>
  <si>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</si>
  <si>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</si>
  <si>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</si>
  <si>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</si>
  <si>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</si>
  <si>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</si>
  <si>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</si>
  <si>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</si>
  <si>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</si>
  <si>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</si>
  <si>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</si>
  <si>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</si>
  <si>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</si>
  <si>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</si>
  <si>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</si>
  <si>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</si>
  <si>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</si>
  <si>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</si>
  <si>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</si>
  <si>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</si>
  <si>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</si>
  <si>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</si>
  <si>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</si>
  <si>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</si>
  <si>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</si>
  <si>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</si>
  <si>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</si>
  <si>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</si>
  <si>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</si>
  <si>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</si>
  <si>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</si>
  <si>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</si>
  <si>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"Cùng nhau uống gì đó",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</si>
  <si>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</si>
  <si>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</si>
  <si>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</si>
  <si>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</si>
  <si>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</si>
  <si>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</si>
  <si>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</si>
  <si>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</si>
  <si>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</si>
  <si>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</si>
  <si>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</si>
  <si>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</si>
  <si>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</si>
  <si>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</si>
  <si>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</si>
  <si>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</si>
  <si>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</si>
  <si>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</si>
  <si>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</si>
  <si>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</si>
  <si>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</si>
  <si>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</si>
  <si>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</si>
  <si>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</si>
  <si>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</si>
  <si>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</si>
  <si>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</si>
  <si>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</si>
  <si>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</si>
  <si>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</si>
  <si>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</si>
  <si>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</si>
  <si>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</si>
  <si>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</si>
  <si>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</si>
  <si>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和妹妹看電視</t>
  </si>
  <si>
    <t>關於客廳，必須遊玩超過第5日後才會觸發，每個檔案都有一個隨機值判定是禮拜幾觸發。
例如：存檔的隨機值是"每周六"，遊戲內就是第6、13、20、27日可以觸發。設定上大約於晚上8點期間可能觸發</t>
  </si>
  <si>
    <t>觀看電視
*大部分功能未實裝</t>
  </si>
  <si>
    <t>Watching TV</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</si>
  <si>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</si>
  <si>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Watches TV with imouto
*Most features are not yet implemented</t>
  </si>
  <si>
    <t>Fernsehen glotzen</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</si>
  <si>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</si>
  <si>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Die meisten Funktionen sind noch nicht implementiert</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</si>
  <si>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</si>
  <si>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Xem TV cùng imouto
*Hầu hết các tính năng chưa được triển khai</t>
  </si>
  <si>
    <t>和妹妹撒嬌</t>
  </si>
  <si>
    <t>擁有"什麼都行券"，平時要和"妹妹做點什麼"時，會新增一個選項</t>
  </si>
  <si>
    <t>新增選項：向妹妹撒嬌吧！
*目前尚無後續</t>
  </si>
  <si>
    <t>妹に甘える</t>
  </si>
  <si>
    <t>「何でも券」を所持している場合、普段「妹と何かする」時に選択肢が一つ追加されます</t>
  </si>
  <si>
    <t xml:space="preserve">
選択肢が追加される：妹に甘えよう！
※現時点では続きはありません
</t>
  </si>
  <si>
    <t>Spoil me!</t>
  </si>
  <si>
    <t>If you have a "Free Pass Ticket", you can use it when choosing the "Do Something" option when you talk to imouto in her room.</t>
  </si>
  <si>
    <t>New option: Spoil me!
No-follow up yet</t>
  </si>
  <si>
    <t>Mit deiner kl. Schwester kuscheln</t>
  </si>
  <si>
    <t>Wenn man ein "Freie Fahrt Ticket" besitzt, erscheint normalerweise ein neuer Auswahlpunkt, wenn man etwas mit der kleinen Schwester unternehmen möchte.</t>
  </si>
  <si>
    <t>Neuer Auswahlpunkt: Bei deiner kl. Schwester schmusen
Bisher gibt es noch keine weiteren Inhalte</t>
  </si>
  <si>
    <t>Chiều chuộng!</t>
  </si>
  <si>
    <t>Nếu bạn có "Phiếu Thưởng Của Em Gái", bạn có thể dùng nó khi chọn lựa chọn "Làm gì đó" khi nói chuyện với imouto trong phòng em ấy</t>
  </si>
  <si>
    <t>Lựa chọn mới: Chiều chuộng!
Chưa có gì nối tiếp</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</si>
  <si>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</si>
  <si>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</si>
  <si>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</si>
  <si>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</si>
  <si>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</si>
  <si>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</si>
  <si>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</si>
  <si>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</si>
  <si>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</si>
  <si>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</si>
  <si>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</si>
  <si>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</si>
  <si>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</si>
  <si>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</si>
  <si>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</si>
  <si>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</si>
  <si>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</si>
  <si>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</si>
  <si>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</si>
  <si>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</si>
  <si>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</si>
  <si>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</si>
  <si>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</si>
  <si>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</si>
  <si>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</si>
  <si>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</si>
  <si>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</si>
  <si>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</si>
  <si>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</si>
  <si>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</si>
  <si>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</si>
  <si>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</si>
  <si>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</si>
  <si>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</si>
  <si>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</si>
  <si>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</si>
  <si>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</si>
  <si>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</si>
  <si>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</si>
  <si>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</si>
  <si>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</si>
  <si>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</si>
  <si>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</si>
  <si>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</si>
  <si>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</si>
  <si>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</si>
  <si>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</si>
  <si>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</si>
  <si>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</si>
  <si>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</si>
  <si>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</si>
  <si>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Meine 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</si>
  <si>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</si>
  <si>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</si>
  <si>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</si>
  <si>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</si>
  <si>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</si>
  <si>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</si>
  <si>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</si>
  <si>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</si>
  <si>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</si>
  <si>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</si>
  <si>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</si>
  <si>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</si>
  <si>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</si>
  <si>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</si>
  <si>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</si>
  <si>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</si>
  <si>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</si>
  <si>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</si>
  <si>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</si>
  <si>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</si>
  <si>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</si>
  <si>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Meine 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</si>
  <si>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</si>
  <si>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</si>
  <si>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</si>
  <si>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</si>
  <si>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</si>
  <si>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</si>
  <si>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</si>
  <si>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</si>
  <si>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</si>
  <si>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</si>
  <si>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</si>
  <si>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</si>
  <si>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</si>
  <si>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</si>
  <si>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</si>
  <si>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</si>
  <si>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</si>
  <si>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</si>
  <si>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</si>
  <si>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</si>
  <si>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</si>
  <si>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Meine 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</si>
  <si>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</si>
  <si>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</si>
  <si>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</si>
  <si>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</si>
  <si>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</si>
  <si>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</si>
  <si>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</si>
  <si>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</si>
  <si>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</si>
  <si>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</si>
  <si>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</si>
  <si>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</si>
  <si>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</si>
  <si>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</si>
  <si>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</si>
  <si>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</si>
  <si>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</si>
  <si>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</si>
  <si>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</si>
  <si>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</si>
  <si>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</si>
  <si>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</si>
  <si>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</si>
  <si>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</si>
  <si>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</si>
  <si>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</si>
  <si>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</si>
  <si>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</si>
  <si>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</si>
  <si>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</si>
  <si>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</si>
  <si>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</si>
  <si>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</si>
  <si>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</si>
  <si>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</si>
  <si>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</si>
  <si>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</si>
  <si>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</si>
  <si>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</si>
  <si>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</si>
  <si>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</si>
  <si>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</si>
  <si>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</si>
  <si>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</si>
  <si>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</si>
  <si>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</si>
  <si>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</si>
  <si>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</si>
  <si>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</si>
  <si>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</si>
  <si>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</si>
  <si>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</si>
  <si>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</si>
  <si>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</si>
  <si>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</si>
  <si>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</si>
  <si>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</si>
  <si>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</si>
  <si>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</si>
  <si>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</si>
  <si>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</si>
  <si>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</si>
  <si>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</si>
  <si>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</si>
  <si>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</si>
  <si>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</si>
  <si>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</si>
  <si>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</si>
  <si>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</si>
  <si>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</si>
  <si>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</si>
  <si>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</si>
  <si>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</si>
  <si>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</si>
  <si>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</si>
  <si>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</si>
  <si>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</si>
  <si>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</si>
  <si>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</si>
  <si>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</si>
  <si>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</si>
  <si>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</si>
  <si>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</si>
  <si>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</si>
  <si>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</si>
  <si>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</si>
  <si>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</si>
  <si>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</si>
  <si>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</si>
  <si>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</si>
  <si>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</si>
  <si>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</si>
  <si>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</si>
  <si>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</si>
  <si>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</si>
  <si>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</si>
  <si>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</si>
  <si>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</si>
  <si>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</si>
  <si>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</si>
  <si>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</si>
  <si>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</si>
  <si>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</si>
  <si>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</si>
  <si>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</si>
  <si>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</si>
  <si>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</si>
  <si>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</si>
  <si>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</si>
  <si>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</si>
  <si>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</si>
  <si>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</si>
  <si>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</si>
  <si>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</si>
  <si>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</si>
  <si>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</si>
  <si>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</si>
  <si>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</si>
  <si>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</si>
  <si>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</si>
  <si>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</si>
  <si>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</si>
  <si>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</si>
  <si>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</si>
  <si>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</si>
  <si>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</si>
  <si>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</si>
  <si>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</si>
  <si>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</si>
  <si>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</si>
  <si>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</si>
  <si>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</si>
  <si>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</si>
  <si>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</si>
  <si>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</si>
  <si>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</si>
  <si>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</si>
  <si>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</si>
  <si>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</si>
  <si>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</si>
  <si>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</si>
  <si>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</si>
  <si>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</si>
  <si>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</si>
  <si>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</si>
  <si>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</si>
  <si>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</si>
  <si>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</si>
  <si>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</si>
  <si>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</si>
  <si>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</si>
  <si>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</si>
  <si>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</si>
  <si>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</si>
  <si>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</si>
  <si>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</si>
  <si>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</si>
  <si>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</si>
  <si>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</si>
  <si>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</si>
  <si>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</si>
  <si>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</si>
  <si>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</si>
  <si>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</si>
  <si>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</si>
  <si>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</si>
  <si>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</si>
  <si>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</si>
  <si>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</si>
  <si>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</si>
  <si>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</si>
  <si>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</si>
  <si>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</si>
  <si>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</si>
  <si>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</si>
  <si>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</si>
  <si>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</si>
  <si>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</si>
  <si>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</si>
  <si>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</si>
  <si>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</si>
  <si>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</si>
  <si>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</si>
  <si>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</si>
  <si>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</si>
  <si>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</si>
  <si>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</si>
  <si>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</si>
  <si>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</si>
  <si>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</si>
  <si>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</si>
  <si>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</si>
  <si>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</si>
  <si>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</si>
  <si>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</si>
  <si>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</si>
  <si>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</si>
  <si>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</si>
  <si>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</si>
  <si>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</si>
  <si>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</si>
  <si>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</si>
  <si>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</si>
  <si>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</si>
  <si>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</si>
  <si>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</si>
  <si>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</si>
  <si>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</si>
  <si>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</si>
  <si>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</si>
  <si>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</si>
  <si>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</si>
  <si>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</si>
  <si>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</si>
  <si>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</si>
  <si>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</si>
  <si>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</si>
  <si>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</si>
  <si>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</si>
  <si>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</si>
  <si>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</si>
  <si>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</si>
  <si>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</si>
  <si>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</si>
  <si>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</si>
  <si>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</si>
  <si>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</si>
  <si>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</si>
  <si>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</si>
  <si>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</si>
  <si>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</si>
  <si>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</si>
  <si>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</si>
  <si>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</si>
  <si>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</si>
  <si>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</si>
  <si>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</si>
  <si>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</si>
  <si>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</si>
  <si>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</si>
  <si>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</si>
  <si>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</si>
  <si>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</si>
  <si>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</si>
  <si>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</si>
  <si>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</si>
  <si>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</si>
  <si>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</si>
  <si>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</si>
  <si>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</si>
  <si>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</si>
  <si>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</si>
  <si>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</si>
  <si>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</si>
  <si>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</si>
  <si>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</si>
  <si>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</si>
  <si>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</si>
  <si>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</si>
  <si>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</si>
  <si>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</si>
  <si>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</si>
  <si>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</si>
  <si>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</si>
  <si>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</si>
  <si>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</si>
  <si>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</si>
  <si>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</si>
  <si>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</si>
  <si>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</si>
  <si>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</si>
  <si>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</si>
  <si>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</si>
  <si>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</si>
  <si>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</si>
  <si>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</si>
  <si>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</si>
  <si>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</si>
  <si>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</si>
  <si>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</si>
  <si>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</si>
  <si>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</si>
  <si>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</si>
  <si>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</si>
  <si>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</si>
  <si>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</si>
  <si>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</si>
  <si>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</si>
  <si>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</si>
  <si>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</si>
  <si>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</si>
  <si>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</si>
  <si>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</si>
  <si>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</si>
  <si>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</si>
  <si>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</si>
  <si>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</si>
  <si>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</si>
  <si>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</si>
  <si>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</si>
  <si>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</si>
  <si>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</si>
  <si>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</si>
  <si>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</si>
  <si>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</si>
  <si>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</si>
  <si>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</si>
  <si>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</si>
  <si>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</si>
  <si>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</si>
  <si>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</si>
  <si>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</si>
  <si>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</si>
  <si>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</si>
  <si>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</si>
  <si>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</si>
  <si>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</si>
  <si>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</si>
  <si>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</si>
  <si>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</si>
  <si>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</si>
  <si>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</si>
  <si>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</si>
  <si>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</si>
  <si>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</si>
  <si>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</si>
  <si>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</si>
  <si>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</si>
  <si>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</si>
  <si>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</si>
  <si>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</si>
  <si>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</si>
  <si>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</si>
  <si>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</si>
  <si>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</si>
  <si>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</si>
  <si>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</si>
  <si>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</si>
  <si>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</si>
  <si>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</si>
  <si>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</si>
  <si>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</si>
  <si>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</si>
  <si>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</si>
  <si>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</si>
  <si>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</si>
  <si>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</si>
  <si>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</si>
  <si>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</si>
  <si>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</si>
  <si>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</si>
  <si>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</si>
  <si>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</si>
  <si>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</si>
  <si>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</si>
  <si>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</si>
  <si>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</si>
  <si>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</si>
  <si>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</si>
  <si>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</si>
  <si>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</si>
  <si>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</si>
  <si>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</si>
  <si>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</si>
  <si>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</si>
  <si>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</si>
  <si>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</si>
  <si>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</si>
  <si>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</si>
  <si>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</si>
  <si>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</si>
  <si>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</si>
  <si>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</si>
  <si>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</si>
  <si>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</si>
  <si>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</si>
  <si>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</si>
  <si>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</si>
  <si>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</si>
  <si>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</si>
  <si>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</si>
  <si>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</si>
  <si>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</si>
  <si>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</si>
  <si>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</si>
  <si>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</si>
  <si>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</si>
  <si>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</si>
  <si>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</si>
  <si>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</si>
  <si>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</si>
  <si>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</si>
  <si>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</si>
  <si>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</si>
  <si>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</si>
  <si>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</si>
  <si>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</si>
  <si>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</si>
  <si>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</si>
  <si>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</si>
  <si>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</si>
  <si>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</si>
  <si>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</si>
  <si>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</si>
  <si>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</si>
  <si>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</si>
  <si>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</si>
  <si>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</si>
  <si>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</si>
  <si>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</si>
  <si>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</si>
  <si>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</si>
  <si>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</si>
  <si>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</si>
  <si>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</si>
  <si>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</si>
  <si>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</si>
  <si>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</si>
  <si>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</si>
  <si>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</si>
  <si>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</si>
  <si>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</si>
  <si>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</si>
  <si>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</si>
  <si>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</si>
  <si>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</si>
  <si>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</si>
  <si>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</si>
  <si>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</si>
  <si>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</si>
  <si>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</si>
  <si>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</si>
  <si>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</si>
  <si>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</si>
  <si>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</si>
  <si>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</si>
  <si>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</si>
  <si>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</si>
  <si>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</si>
  <si>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</si>
  <si>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</si>
  <si>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</si>
  <si>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</si>
  <si>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</si>
  <si>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</si>
  <si>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</si>
  <si>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</si>
  <si>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</si>
  <si>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</si>
  <si>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</si>
  <si>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</si>
  <si>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</si>
  <si>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</si>
  <si>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</si>
  <si>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</si>
  <si>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</si>
  <si>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</si>
  <si>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</si>
  <si>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</si>
  <si>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</si>
  <si>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</si>
  <si>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</si>
  <si>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</si>
  <si>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</si>
  <si>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</si>
  <si>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</si>
  <si>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</si>
  <si>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</si>
  <si>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</si>
  <si>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</si>
  <si>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</si>
  <si>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</si>
  <si>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</si>
  <si>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</si>
  <si>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</si>
  <si>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</si>
  <si>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</si>
  <si>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</si>
  <si>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</si>
  <si>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</si>
  <si>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</si>
  <si>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</si>
  <si>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</si>
  <si>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</si>
  <si>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</si>
  <si>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</si>
  <si>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</si>
  <si>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</si>
  <si>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</si>
  <si>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</si>
  <si>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</si>
  <si>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</si>
  <si>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</si>
  <si>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</si>
  <si>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</si>
  <si>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</si>
  <si>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</si>
  <si>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</si>
  <si>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</si>
  <si>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</si>
  <si>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</si>
  <si>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</si>
  <si>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</si>
  <si>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</si>
  <si>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</si>
  <si>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</si>
  <si>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</si>
  <si>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</si>
  <si>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</si>
  <si>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</si>
  <si>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</si>
  <si>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</si>
  <si>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</si>
  <si>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</si>
  <si>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</si>
  <si>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</si>
  <si>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</si>
  <si>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</si>
  <si>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</si>
  <si>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</si>
  <si>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</si>
  <si>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</si>
  <si>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</si>
  <si>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</si>
  <si>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</si>
  <si>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</si>
  <si>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</si>
  <si>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</si>
  <si>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</si>
  <si>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</si>
  <si>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</si>
  <si>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</si>
  <si>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</si>
  <si>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</si>
  <si>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</si>
  <si>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</si>
  <si>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</si>
  <si>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</si>
  <si>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</si>
  <si>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</si>
  <si>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</si>
  <si>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</si>
  <si>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</si>
  <si>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</si>
  <si>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</si>
  <si>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</si>
  <si>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</si>
  <si>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</si>
  <si>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</si>
  <si>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</si>
  <si>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</si>
  <si>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</si>
  <si>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</si>
  <si>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</si>
  <si>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</si>
  <si>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</si>
  <si>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</si>
  <si>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</si>
  <si>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</si>
  <si>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</si>
  <si>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</si>
  <si>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</si>
  <si>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</si>
  <si>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</si>
  <si>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</si>
  <si>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</si>
  <si>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</si>
  <si>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</si>
  <si>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</si>
  <si>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</si>
  <si>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</si>
  <si>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</si>
  <si>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</si>
  <si>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</si>
  <si>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</si>
  <si>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</si>
  <si>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</si>
  <si>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</si>
  <si>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</si>
  <si>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</si>
  <si>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</si>
  <si>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</si>
  <si>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</si>
  <si>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</si>
  <si>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</si>
  <si>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快要熱暈了-1</t>
  </si>
  <si>
    <t>在沒有紫心的情況下，與妹妹一起泡澡時，如果一直摸妹妹，妹妹會逃跑</t>
  </si>
  <si>
    <t>妹妹逃跑了</t>
  </si>
  <si>
    <t>逆上せちゃいそう-1</t>
  </si>
  <si>
    <t>💜がない状態で妹とお風呂に入っている時、妹を撫で続けると、妹は逃げ出します</t>
  </si>
  <si>
    <t>妹が逃げちゃった…</t>
  </si>
  <si>
    <t>Almost Fainted - 1</t>
  </si>
  <si>
    <t>When bathing with imouto without purple hearts, if you consistently touch her, she will get up the bath and run away</t>
  </si>
  <si>
    <t>"Imouto ran away"</t>
  </si>
  <si>
    <t>Mir wird heiß und schwindelig-1</t>
  </si>
  <si>
    <t>Wenn du ohne lila Herzen zusammen mit deiner kl. Schwester badest, und sie die ganze Zeit berührst, wird deine kleine Schwester sich aus dem Staub machen.</t>
  </si>
  <si>
    <t>Deine kleine Schwster verpisst sich von dir</t>
  </si>
  <si>
    <t xml:space="preserve">Gần ngất đi - 1 </t>
  </si>
  <si>
    <t>Khi tắm với imouto mà không có tim tím nào, nếu bạn liên tục chọc em ấy, em ấy sẽ ra khỏi bồn tắm và chạy đi</t>
  </si>
  <si>
    <t>"Imouto chạy đi"</t>
  </si>
  <si>
    <t>快要熱暈了-2</t>
  </si>
  <si>
    <t>有至少一顆紫心時，一直摸妹妹，妹妹會熱到暈倒</t>
  </si>
  <si>
    <t>妹妹熱暈了
*此為一次性事件</t>
  </si>
  <si>
    <t>逆上せちゃいそう-2</t>
  </si>
  <si>
    <t>💜が1つ以上ある状態で妹を撫で続けると、妹は逆上せて気を失います</t>
  </si>
  <si>
    <t xml:space="preserve">
妹が逆上せて気絶しちゃった
※一度限りのイベントです
</t>
  </si>
  <si>
    <t>Similar to above, if you have at least 1 purple heart, she will end up fainting from the heat</t>
  </si>
  <si>
    <t>"Imouto fainted from the heat"
*One-time event</t>
  </si>
  <si>
    <t>Mir wird heiß und schwindelig-2</t>
  </si>
  <si>
    <t>Wenn du mindestens ein lila Herz hast und deine kl. Schwester die ganze Zeit berührt, wird ihr so heiß, dass sie ohnmächtig wird.</t>
  </si>
  <si>
    <t>Dein kl. Schwesterchen ist ohnmächtig geworden</t>
  </si>
  <si>
    <t>Gần ngất đi - 2</t>
  </si>
  <si>
    <t>Giống như trên, nếu bạn có ít nhất 1 tim tím, em ấy cuối cùng sẽ ngất đi vì hơi nóng</t>
  </si>
  <si>
    <t>"Imouto ngất đi vì hơi nóng"
*Sự kiện một lần</t>
  </si>
  <si>
    <t>快要熱暈了-3</t>
  </si>
  <si>
    <t>同上，第二次進入熱暈環節前，會進入特殊畫面</t>
  </si>
  <si>
    <t>CG演出</t>
  </si>
  <si>
    <t>逆上せちゃいそう-3</t>
  </si>
  <si>
    <t>2回目に気絶する段階に入る前に、特殊イベントに移行します</t>
  </si>
  <si>
    <t>Similar to above, but before she faints from the heat, a special screen will appear</t>
  </si>
  <si>
    <t>A special CG will show up</t>
  </si>
  <si>
    <t>Mir wird heiß und schwindelig-3</t>
  </si>
  <si>
    <t>Beim 2x, bevor Sie Ohnmächtig wird, erscheint ein spezielle Szene</t>
  </si>
  <si>
    <t>Bilderszene(Ein erotisches Bild)</t>
  </si>
  <si>
    <t>Gần ngất đi - 3</t>
  </si>
  <si>
    <t>Giống như trên, nhưng trước khi em ấy ngất đi vì hơi nóng, một cảnh đặc biệt sẽ xuất hiện</t>
  </si>
  <si>
    <t>Một CG đặc biệt sẽ xuất hiện</t>
  </si>
  <si>
    <t>請妹妹幫忙洗-1</t>
  </si>
  <si>
    <t>在和妹妹共浴時，請妹妹幫忙擦背</t>
  </si>
  <si>
    <t>觸發一段劇情
並於下一次時新增一個選項：清洗前方</t>
  </si>
  <si>
    <t>妹を洗ったり洗ってもらう−1</t>
  </si>
  <si>
    <t>妹と一緒にお風呂に入っているときに、妹に背中を洗ってもらう！</t>
  </si>
  <si>
    <t>イベントが発生し、次回に新しい選択肢『前を洗う』が追加される</t>
  </si>
  <si>
    <t>Imouto's Washing - 1</t>
  </si>
  <si>
    <t>When you bathe with imouto, ask her to wash your back. A new option will be added where you can ask her to wash your front.</t>
  </si>
  <si>
    <t>A new scene is triggered.
A new option is added: "Wash front"</t>
  </si>
  <si>
    <t>Helfe bitte deine kl. Schwester beim Waschen-1</t>
  </si>
  <si>
    <t>Wenn du zusammen mit deinen kl. Schwesterlein badest, bitte Sie deinen Geilen Sexy Rücken abzuwischen.</t>
  </si>
  <si>
    <t>Löst eine Szene aus und beim nächsten Mal erscheint ein neuer Auswahlpunkt: Vorderseite waschen</t>
  </si>
  <si>
    <t>Imouto tắm cho - 1</t>
  </si>
  <si>
    <t xml:space="preserve">Khi bạn tắm với imouto, hỏi em ấy kì lưng cho bạn. Một lựa chọn mới sẽ được thêm vào mà bạn có thể hỏi em ấy cọ phía trước của bạn </t>
  </si>
  <si>
    <t>Một cảnh đặc biệt xảy ra
Một lựa chọn mới được thêm vào: "Cọ phía trước"</t>
  </si>
  <si>
    <t>請妹妹幫忙洗-2</t>
  </si>
  <si>
    <t>同上，第二次選擇幫忙清洗前方，且未達4顆紫心時</t>
  </si>
  <si>
    <t>妹妹會拒絕幫忙</t>
  </si>
  <si>
    <t>妹を洗ったり洗ってもらう−2</t>
  </si>
  <si>
    <t>2回目で「前を洗う」を選択し、紫のハートが4つ未満の場合</t>
  </si>
  <si>
    <t>妹は洗われるのを嫌がる…</t>
  </si>
  <si>
    <t>Imouto's Washing - 2</t>
  </si>
  <si>
    <t>Similar to above, if you insist to wash the front while your purple hearts is below 4, imouto will refuse.</t>
  </si>
  <si>
    <t>Imouto will refuse your request</t>
  </si>
  <si>
    <t>Helfe bitte deine kl. Schwester beim Waschen-2</t>
  </si>
  <si>
    <t>Wenn du beim zweiten Mal auswählst, deiner kl. Schwester beim Vorderseitenwaschen zu helfen und noch keine 4 Purple Herzen hat</t>
  </si>
  <si>
    <t>Deine kl. Schwester wird sich weigern zu helfen</t>
  </si>
  <si>
    <t>Imouto tắm cho - 2</t>
  </si>
  <si>
    <t>Giống như trên, nếu bạn yêu cầu cọ phía trước mà số tim tím thấp hơn 4, imouto sẽ từ chối</t>
  </si>
  <si>
    <t>Imouto sẽ từ chối yêu cầu của bạn</t>
  </si>
  <si>
    <t>請妹妹幫忙洗-3</t>
  </si>
  <si>
    <t>同上，若達到4顆紫心時</t>
  </si>
  <si>
    <t>第一段素股畫面演出</t>
  </si>
  <si>
    <t>妹を洗ったり洗ってもらう−3</t>
  </si>
  <si>
    <t>💜が4つに達した時</t>
  </si>
  <si>
    <t>1段階目の「素股」で洗ってくれる…</t>
  </si>
  <si>
    <t>Imouto's Washing - 3</t>
  </si>
  <si>
    <t>Similar to above but if you have 4 purple hearts, the first sumata scene will trigger</t>
  </si>
  <si>
    <t>First scene of sumata</t>
  </si>
  <si>
    <t>Helfe bitte deine kl. Schwester beim Waschen-3</t>
  </si>
  <si>
    <t>Wenn du beim zweiten Mal auswählst, deiner kl. Schwesterchen beim Vorderseitenwaschen zu helfen ud bereits 4 Purple Herzen hat</t>
  </si>
  <si>
    <t>Erste Vaginale Sexszene ohne Kondom</t>
  </si>
  <si>
    <t>Imouto tắm cho - 3</t>
  </si>
  <si>
    <t>Giống như trên, nhưng nếu bạn có 4 tim tím, cảnh sumata đầu tiên sẽ xảy ra</t>
  </si>
  <si>
    <t>Cảnh Sumata đầu tiên</t>
  </si>
  <si>
    <t>請妹妹幫忙洗-4</t>
  </si>
  <si>
    <t>同上，若達到5顆紫心時</t>
  </si>
  <si>
    <t>第二段素股畫面演出</t>
  </si>
  <si>
    <t>妹を洗ったり洗ってもらう−4</t>
  </si>
  <si>
    <t>💜が5つに達した時</t>
  </si>
  <si>
    <t>2段階目の「素股」で洗ってくれる…</t>
  </si>
  <si>
    <t>Imouto's Washing - 4</t>
  </si>
  <si>
    <t>Similar to above but if you have 5 purple hearts, the second sumata scene will trigger</t>
  </si>
  <si>
    <t>Second scene of sumata</t>
  </si>
  <si>
    <t>Helfe bitte deine kl. Schwester beim Waschen-4</t>
  </si>
  <si>
    <t>Wenn du beim zweiten Mal auswählst, deiner kl. Schwester beim Vorderseitenwaschen zu helfen und bereits 5 Purple Herzen hat</t>
  </si>
  <si>
    <t>Zweite Vaginale Sexszene ohne Kondom</t>
  </si>
  <si>
    <t>Imouto tắm cho - 4</t>
  </si>
  <si>
    <t>Giống như trên nhưng nếu bạn có 5 tim tím, cảnh sumata thứ hai sẽ xảy ra</t>
  </si>
  <si>
    <t>Cảnh Sumata thứ hai</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</si>
  <si>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</si>
  <si>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</si>
  <si>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</si>
  <si>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</si>
  <si>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</si>
  <si>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</si>
  <si>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</si>
  <si>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</si>
  <si>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</si>
  <si>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</si>
  <si>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</si>
  <si>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</si>
  <si>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</si>
  <si>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</si>
  <si>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</si>
  <si>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</si>
  <si>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</si>
  <si>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</si>
  <si>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</si>
  <si>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</si>
  <si>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</si>
  <si>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</si>
  <si>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</si>
  <si>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</si>
  <si>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</si>
  <si>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</si>
  <si>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</si>
  <si>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</si>
  <si>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</si>
  <si>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</si>
  <si>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</si>
  <si>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</si>
  <si>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</si>
  <si>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</si>
  <si>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</si>
  <si>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</si>
  <si>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</si>
  <si>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</si>
  <si>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</si>
  <si>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</si>
  <si>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</si>
  <si>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</si>
  <si>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</si>
  <si>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</si>
  <si>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</si>
  <si>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</si>
  <si>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</si>
  <si>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</si>
  <si>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</si>
  <si>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</si>
  <si>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</si>
  <si>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</si>
  <si>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</si>
  <si>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</si>
  <si>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</si>
  <si>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</si>
  <si>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</si>
  <si>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</si>
  <si>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</si>
  <si>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</si>
  <si>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</si>
  <si>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</si>
  <si>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</si>
  <si>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</si>
  <si>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</si>
  <si>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</si>
  <si>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</si>
  <si>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</si>
  <si>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</si>
  <si>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</si>
  <si>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</si>
  <si>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</si>
  <si>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</si>
  <si>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</si>
  <si>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</si>
  <si>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</si>
  <si>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</si>
  <si>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</si>
  <si>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</si>
  <si>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</si>
  <si>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</si>
  <si>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</si>
  <si>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</si>
  <si>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</si>
  <si>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</si>
  <si>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</si>
  <si>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</si>
  <si>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</si>
  <si>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</si>
  <si>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</si>
  <si>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</si>
  <si>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</si>
  <si>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</si>
  <si>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</si>
  <si>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</si>
  <si>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</si>
  <si>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</si>
  <si>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</si>
  <si>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</si>
  <si>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</si>
  <si>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</si>
  <si>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</si>
  <si>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</si>
  <si>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</si>
  <si>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</si>
  <si>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</si>
  <si>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</si>
  <si>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</si>
  <si>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</si>
  <si>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</si>
  <si>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</si>
  <si>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</si>
  <si>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</si>
  <si>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</si>
  <si>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</si>
  <si>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</si>
  <si>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</si>
  <si>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</si>
  <si>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</si>
  <si>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</si>
  <si>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</si>
  <si>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</si>
  <si>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</si>
  <si>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</si>
  <si>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</si>
  <si>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</si>
  <si>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</si>
  <si>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</si>
  <si>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</si>
  <si>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</si>
  <si>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</si>
  <si>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</si>
  <si>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</si>
  <si>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</si>
  <si>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</si>
  <si>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</si>
  <si>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</si>
  <si>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</si>
  <si>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</si>
  <si>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</si>
  <si>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</si>
  <si>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</si>
  <si>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</si>
  <si>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</si>
  <si>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</si>
  <si>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</si>
  <si>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</si>
  <si>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</si>
  <si>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</si>
  <si>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</si>
  <si>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</si>
  <si>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</si>
  <si>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</si>
  <si>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</si>
  <si>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</si>
  <si>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</si>
  <si>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</si>
  <si>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</si>
  <si>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</si>
  <si>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</si>
  <si>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</si>
  <si>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</si>
  <si>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</si>
  <si>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</si>
  <si>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</si>
  <si>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</si>
  <si>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</si>
  <si>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</si>
  <si>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</si>
  <si>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</si>
  <si>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</si>
  <si>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</si>
  <si>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</si>
  <si>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</si>
  <si>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</si>
  <si>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</si>
  <si>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</si>
  <si>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</si>
  <si>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</si>
  <si>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</si>
  <si>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</si>
  <si>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</si>
  <si>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</si>
  <si>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</si>
  <si>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</si>
  <si>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</si>
  <si>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</si>
  <si>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</si>
  <si>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</si>
  <si>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</si>
  <si>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</si>
  <si>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</si>
  <si>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</si>
  <si>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</si>
  <si>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</si>
  <si>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</si>
  <si>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</si>
  <si>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</si>
  <si>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</si>
  <si>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</si>
  <si>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</si>
  <si>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</si>
  <si>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</si>
  <si>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</si>
  <si>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</si>
  <si>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</si>
  <si>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</si>
  <si>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</si>
  <si>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</si>
  <si>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</si>
  <si>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</si>
  <si>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</si>
  <si>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</si>
  <si>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</si>
  <si>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</si>
  <si>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Früh nach Hause gehen – 1</t>
  </si>
  <si>
    <t>An heißen Tagen kannst du früh nach Hause gehen und dich an deine Schwester heranschleichen (muss einen Ventilator besitzen).</t>
  </si>
  <si>
    <t>Die Schwester trägt das T-Shirt und benutzt den Ventilator.</t>
  </si>
  <si>
    <t>Về nhà sớm - 1</t>
  </si>
  <si>
    <t>Trong những ngày nóng, bạn có thể chọn về nhà sớm và lén lút tiếp cận imouto (phải có Quạt Điện)</t>
  </si>
  <si>
    <t>Imouto mặc chiếc T-shirt và dùng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</si>
  <si>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</si>
  <si>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</si>
  <si>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</si>
  <si>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</si>
  <si>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</si>
  <si>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</si>
  <si>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</si>
  <si>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</si>
  <si>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</si>
  <si>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Früh nach Hause gehen – 2</t>
  </si>
  <si>
    <t>Ähnlich wie oben: Es besteht eine Chance, dass dieses Ereignis eintritt.</t>
  </si>
  <si>
    <t>Về nhà sớm - 2</t>
  </si>
  <si>
    <t>Giống như trên, nhưng có khả năng sự kiện này sẽ xảy ra</t>
  </si>
  <si>
    <t>Imouto đang chĩa quạt vào háng em ấy và đang không mặc đồ lót nào</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</si>
  <si>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</si>
  <si>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</si>
  <si>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</si>
  <si>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</si>
  <si>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</si>
  <si>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</si>
  <si>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</si>
  <si>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</si>
  <si>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</si>
  <si>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Früh nach Hause gehen – 3</t>
  </si>
  <si>
    <t>Ähnlich wie oben: Dieses Ereignis kann auftreten, wenn deine Schwester ein hohes Lilaherz-Level hat.</t>
  </si>
  <si>
    <t>Về nhà sớm - 3</t>
  </si>
  <si>
    <t>Giống như trên, nhưng có khả năng sự kiện này sẽ xảy ra nếu imouto có số tim tím cao</t>
  </si>
  <si>
    <t>Imouto tự dùng que kem cho em ấy (chưa được triển khai)</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</si>
  <si>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</si>
  <si>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</si>
  <si>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</si>
  <si>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</si>
  <si>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</si>
  <si>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</si>
  <si>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</si>
  <si>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</si>
  <si>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</si>
  <si>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Früh nach Hause gehen – 4</t>
  </si>
  <si>
    <t>Wenn du mit deiner Schwester über schmutzige Dinge sprichst, besteht eine Chance, dass dieses Ereignis eintritt.</t>
  </si>
  <si>
    <t>Về nhà sớm - 4</t>
  </si>
  <si>
    <t>Khi nói chuyện với imouto về những chuyện dâm đãng, có khả năng sự kiện này sẽ xảy ra</t>
  </si>
  <si>
    <t>Imouto sẽ khỏa thân (chưa được triển khai)</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</si>
  <si>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</si>
  <si>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</si>
  <si>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</si>
  <si>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</si>
  <si>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</si>
  <si>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</si>
  <si>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</si>
  <si>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</si>
  <si>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</si>
  <si>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</si>
  <si>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</si>
  <si>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</si>
  <si>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</si>
  <si>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</si>
  <si>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</si>
  <si>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</si>
  <si>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</si>
  <si>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</si>
  <si>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</si>
  <si>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</si>
  <si>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</si>
  <si>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</si>
  <si>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</si>
  <si>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</si>
  <si>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</si>
  <si>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</si>
  <si>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</si>
  <si>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</si>
  <si>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</si>
  <si>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</si>
  <si>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</si>
  <si>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</si>
  <si>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</si>
  <si>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</si>
  <si>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</si>
  <si>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</si>
  <si>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</si>
  <si>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</si>
  <si>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</si>
  <si>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</si>
  <si>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</si>
  <si>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</si>
  <si>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</si>
  <si>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</si>
  <si>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</si>
  <si>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</si>
  <si>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</si>
  <si>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</si>
  <si>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</si>
  <si>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</si>
  <si>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</si>
  <si>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</si>
  <si>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</si>
  <si>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</si>
  <si>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</si>
  <si>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</si>
  <si>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</si>
  <si>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</si>
  <si>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</si>
  <si>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</si>
  <si>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</si>
  <si>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</si>
  <si>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</si>
  <si>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</si>
  <si>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</si>
  <si>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</si>
  <si>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</si>
  <si>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</si>
  <si>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</si>
  <si>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</si>
  <si>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</si>
  <si>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</si>
  <si>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</si>
  <si>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</si>
  <si>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</si>
  <si>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</si>
  <si>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</si>
  <si>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</si>
  <si>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</si>
  <si>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</si>
  <si>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</si>
  <si>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</si>
  <si>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</si>
  <si>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</si>
  <si>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</si>
  <si>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</si>
  <si>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</si>
  <si>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</si>
  <si>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</si>
  <si>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</si>
  <si>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</si>
  <si>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</si>
  <si>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</si>
  <si>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</si>
  <si>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</si>
  <si>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</si>
  <si>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</si>
  <si>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</si>
  <si>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</si>
  <si>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</si>
  <si>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</si>
  <si>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</si>
  <si>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</si>
  <si>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</si>
  <si>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</si>
  <si>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</si>
  <si>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</si>
  <si>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</si>
  <si>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</si>
  <si>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</si>
  <si>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</si>
  <si>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</si>
  <si>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</si>
  <si>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</si>
  <si>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</si>
  <si>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</si>
  <si>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</si>
  <si>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</si>
  <si>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</si>
  <si>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</si>
  <si>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</si>
  <si>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</si>
  <si>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</si>
  <si>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</si>
  <si>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</si>
  <si>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</si>
  <si>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</si>
  <si>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</si>
  <si>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</si>
  <si>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</si>
  <si>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</si>
  <si>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</si>
  <si>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</si>
  <si>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</si>
  <si>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</si>
  <si>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</si>
  <si>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</si>
  <si>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</si>
  <si>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</si>
  <si>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</si>
  <si>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</si>
  <si>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</si>
  <si>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</si>
  <si>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</si>
  <si>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</si>
  <si>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</si>
  <si>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</si>
  <si>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</si>
  <si>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</si>
  <si>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</si>
  <si>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</si>
  <si>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</si>
  <si>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</si>
  <si>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</si>
  <si>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</si>
  <si>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</si>
  <si>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</si>
  <si>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</si>
  <si>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</si>
  <si>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</si>
  <si>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</si>
  <si>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</si>
  <si>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</si>
  <si>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</si>
  <si>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</si>
  <si>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</si>
  <si>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</si>
  <si>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</si>
  <si>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</si>
  <si>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</si>
  <si>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</si>
  <si>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</si>
  <si>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</si>
  <si>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</si>
  <si>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</si>
  <si>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</si>
  <si>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</si>
  <si>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</si>
  <si>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</si>
  <si>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</si>
  <si>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</si>
  <si>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</si>
  <si>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</si>
  <si>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</si>
  <si>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</si>
  <si>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</si>
  <si>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</si>
  <si>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</si>
  <si>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</si>
  <si>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</si>
  <si>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</si>
  <si>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</si>
  <si>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</si>
  <si>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</si>
  <si>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</si>
  <si>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</si>
  <si>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</si>
  <si>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</si>
  <si>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</si>
  <si>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</si>
  <si>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</si>
  <si>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</si>
  <si>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</si>
  <si>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</si>
  <si>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</si>
  <si>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</si>
  <si>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</si>
  <si>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</si>
  <si>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</si>
  <si>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</si>
  <si>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</si>
  <si>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</si>
  <si>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</si>
  <si>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</si>
  <si>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</si>
  <si>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</si>
  <si>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</si>
  <si>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</si>
  <si>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</si>
  <si>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</si>
  <si>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</si>
  <si>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</si>
  <si>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</si>
  <si>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</si>
  <si>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</si>
  <si>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</si>
  <si>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</si>
  <si>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</si>
  <si>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</si>
  <si>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</si>
  <si>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</si>
  <si>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</si>
  <si>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</si>
  <si>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</si>
  <si>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</si>
  <si>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</si>
  <si>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</si>
  <si>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</si>
  <si>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</si>
  <si>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</si>
  <si>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</si>
  <si>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</si>
  <si>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</si>
  <si>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</si>
  <si>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</si>
  <si>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</si>
  <si>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</si>
  <si>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</si>
  <si>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</si>
  <si>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</si>
  <si>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</si>
  <si>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</si>
  <si>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</si>
  <si>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</si>
  <si>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</si>
  <si>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</si>
  <si>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</si>
  <si>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</si>
  <si>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</si>
  <si>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</si>
  <si>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</si>
  <si>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</si>
  <si>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</si>
  <si>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</si>
  <si>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</si>
  <si>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</si>
  <si>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</si>
  <si>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</si>
  <si>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</si>
  <si>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</si>
  <si>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</si>
  <si>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</si>
  <si>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</si>
  <si>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</si>
  <si>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</si>
  <si>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</si>
  <si>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</si>
  <si>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</si>
  <si>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</si>
  <si>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</si>
  <si>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</si>
  <si>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</si>
  <si>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</si>
  <si>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</si>
  <si>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</si>
  <si>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</si>
  <si>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</si>
  <si>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</si>
  <si>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</si>
  <si>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</si>
  <si>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</si>
  <si>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</si>
  <si>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</si>
  <si>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</si>
  <si>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</si>
  <si>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</si>
  <si>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</si>
  <si>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</si>
  <si>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</si>
  <si>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</si>
  <si>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</si>
  <si>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</si>
  <si>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</si>
  <si>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</si>
  <si>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</si>
  <si>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</si>
  <si>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</si>
  <si>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</si>
  <si>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</si>
  <si>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</si>
  <si>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</si>
  <si>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</si>
  <si>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</si>
  <si>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</si>
  <si>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</si>
  <si>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</si>
  <si>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</si>
  <si>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</si>
  <si>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</si>
  <si>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</si>
  <si>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</si>
  <si>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</si>
  <si>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</si>
  <si>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</si>
  <si>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</si>
  <si>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</si>
  <si>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</si>
  <si>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</si>
  <si>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</si>
  <si>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</si>
  <si>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</si>
  <si>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</si>
  <si>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</si>
  <si>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</si>
  <si>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</si>
  <si>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</si>
  <si>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</si>
  <si>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</si>
  <si>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</si>
  <si>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</si>
  <si>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</si>
  <si>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</si>
  <si>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</si>
  <si>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</si>
  <si>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</si>
  <si>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</si>
  <si>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</si>
  <si>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</si>
  <si>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</si>
  <si>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</si>
  <si>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</si>
  <si>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</si>
  <si>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</si>
  <si>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</si>
  <si>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</si>
  <si>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</si>
  <si>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</si>
  <si>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</si>
  <si>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</si>
  <si>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</si>
  <si>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</si>
  <si>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</si>
  <si>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</si>
  <si>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</si>
  <si>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</si>
  <si>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</si>
  <si>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</si>
  <si>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</si>
  <si>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</si>
  <si>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</si>
  <si>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</si>
  <si>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</si>
  <si>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</si>
  <si>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</si>
  <si>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</si>
  <si>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</si>
  <si>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</si>
  <si>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</si>
  <si>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</si>
  <si>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</si>
  <si>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</si>
  <si>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</si>
  <si>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</si>
  <si>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</si>
  <si>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</si>
  <si>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</si>
  <si>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</si>
  <si>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</si>
  <si>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</si>
  <si>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</si>
  <si>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</si>
  <si>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</si>
  <si>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</si>
  <si>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</si>
  <si>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</si>
  <si>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</si>
  <si>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</si>
  <si>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</si>
  <si>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</si>
  <si>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</si>
  <si>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</si>
  <si>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</si>
  <si>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</si>
  <si>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</si>
  <si>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</si>
  <si>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</si>
  <si>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</si>
  <si>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</si>
  <si>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</si>
  <si>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</si>
  <si>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</si>
  <si>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</si>
  <si>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</si>
  <si>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</si>
  <si>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</si>
  <si>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</si>
  <si>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</si>
  <si>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</si>
  <si>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</si>
  <si>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</si>
  <si>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</si>
  <si>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</si>
  <si>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</si>
  <si>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</si>
  <si>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</si>
  <si>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</si>
  <si>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</si>
  <si>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</si>
  <si>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</si>
  <si>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</si>
  <si>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</si>
  <si>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</si>
  <si>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</si>
  <si>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</si>
  <si>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</si>
  <si>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</si>
  <si>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</si>
  <si>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</si>
  <si>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</si>
  <si>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</si>
  <si>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</si>
  <si>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</si>
  <si>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</si>
  <si>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</si>
  <si>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</si>
  <si>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</si>
  <si>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</si>
  <si>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</si>
  <si>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</si>
  <si>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</si>
  <si>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</si>
  <si>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</si>
  <si>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</si>
  <si>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</si>
  <si>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</si>
  <si>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</si>
  <si>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</si>
  <si>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</si>
  <si>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</si>
  <si>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</si>
  <si>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</si>
  <si>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</si>
  <si>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</si>
  <si>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</si>
  <si>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</si>
  <si>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</si>
  <si>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</si>
  <si>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</si>
  <si>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</si>
  <si>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</si>
  <si>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</si>
  <si>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</si>
  <si>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</si>
  <si>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</si>
  <si>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</si>
  <si>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</si>
  <si>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</si>
  <si>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</si>
  <si>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</si>
  <si>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</si>
  <si>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</si>
  <si>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</si>
  <si>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</si>
  <si>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</si>
  <si>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</si>
  <si>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</si>
  <si>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</si>
  <si>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</si>
  <si>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</si>
  <si>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</si>
  <si>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</si>
  <si>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</si>
  <si>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</si>
  <si>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</si>
  <si>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</si>
  <si>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</si>
  <si>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</si>
  <si>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</si>
  <si>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</si>
  <si>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</si>
  <si>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</si>
  <si>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</si>
  <si>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</si>
  <si>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</si>
  <si>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</si>
  <si>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</si>
  <si>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</si>
  <si>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</si>
  <si>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</si>
  <si>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</si>
  <si>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</si>
  <si>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</si>
  <si>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</si>
  <si>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</si>
  <si>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</si>
  <si>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</si>
  <si>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</si>
  <si>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</si>
  <si>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</si>
  <si>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</si>
  <si>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</si>
  <si>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</si>
  <si>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</si>
  <si>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</si>
  <si>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</si>
  <si>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</si>
  <si>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</si>
  <si>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</si>
  <si>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</si>
  <si>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</si>
  <si>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</si>
  <si>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</si>
  <si>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</si>
  <si>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</si>
  <si>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</si>
  <si>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</si>
  <si>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</si>
  <si>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</si>
  <si>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</si>
  <si>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</si>
  <si>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</si>
  <si>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</si>
  <si>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</si>
  <si>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</si>
  <si>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</si>
  <si>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</si>
  <si>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</si>
  <si>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</si>
  <si>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</si>
  <si>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</si>
  <si>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</si>
  <si>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</si>
  <si>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</si>
  <si>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</si>
  <si>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</si>
  <si>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</si>
  <si>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</si>
  <si>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</si>
  <si>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</si>
  <si>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</si>
  <si>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</si>
  <si>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</si>
  <si>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</si>
  <si>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</si>
  <si>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</si>
  <si>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</si>
  <si>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</si>
  <si>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</si>
  <si>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</si>
  <si>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</si>
  <si>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</si>
  <si>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</si>
  <si>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</si>
  <si>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</si>
  <si>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</si>
  <si>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</si>
  <si>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</si>
  <si>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</si>
  <si>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</si>
  <si>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</si>
  <si>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</si>
  <si>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</si>
  <si>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</si>
  <si>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</si>
  <si>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</si>
  <si>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</si>
  <si>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</si>
  <si>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</si>
  <si>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</si>
  <si>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</si>
  <si>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</si>
  <si>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</si>
  <si>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</si>
  <si>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</si>
  <si>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</si>
  <si>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</si>
  <si>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</si>
  <si>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</si>
  <si>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</si>
  <si>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</si>
  <si>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</si>
  <si>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</si>
  <si>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</si>
  <si>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</si>
  <si>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</si>
  <si>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</si>
  <si>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</si>
  <si>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</si>
  <si>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</si>
  <si>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</si>
  <si>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</si>
  <si>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</si>
  <si>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</si>
  <si>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Zuneigung des Ladenbesitzers, desto geringer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</si>
  <si>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</si>
  <si>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</si>
  <si>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</si>
  <si>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</si>
  <si>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</si>
  <si>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</si>
  <si>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糖果機降價$50
*糖果機最低價格為$500</t>
  </si>
  <si>
    <t>神秘商店—「アキの菓子店」‐2</t>
  </si>
  <si>
    <t>Aki's Sweet Shop - 2</t>
  </si>
  <si>
    <t>Talk to the shopkeeper and give her a "Salmon".</t>
  </si>
  <si>
    <t>Gacha price of the candy machine is reduced by 50 yen. You can't reduce the price below 500 yen</t>
  </si>
  <si>
    <t>Dulceria de Aki 2</t>
  </si>
  <si>
    <t>Mysteriöser Laden - 2</t>
  </si>
  <si>
    <t>Sprich mit dem Ladenbesitzer im geheimnisvollen Laden und gib ihr einen Lachs.</t>
  </si>
  <si>
    <t>Zuckermaschine um $50 reduziert
Der Mindestpreis der Zuckermaschine beträgt $500</t>
  </si>
  <si>
    <t>Cửa hàng kẹo của Aki - 2</t>
  </si>
  <si>
    <t>Nói chuyện với chủ cửa hàng và đưa cho cô ấy “Cá Hồi”.</t>
  </si>
  <si>
    <t>Giá gacha máy bán kẹo được giảm 50 yên. Bạn không thể giảm giá bán xuống dưới 500 yên</t>
  </si>
  <si>
    <t>R38</t>
  </si>
  <si>
    <t>神秘商店-3</t>
  </si>
  <si>
    <t>於神秘商店的店長對話，並給予"帝王鮭"。</t>
  </si>
  <si>
    <t>糖果機降價$500
獲得道具:壽司布丁
*糖果機最低價格為$500</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</si>
  <si>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</si>
  <si>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</si>
  <si>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</si>
  <si>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</si>
  <si>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</si>
  <si>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</si>
  <si>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</si>
  <si>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</si>
  <si>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</si>
  <si>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</si>
  <si>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</si>
  <si>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</si>
  <si>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</si>
  <si>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</si>
  <si>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</si>
  <si>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</si>
  <si>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</si>
  <si>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</si>
  <si>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</si>
  <si>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</si>
  <si>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</si>
  <si>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</si>
  <si>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</si>
  <si>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</si>
  <si>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</si>
  <si>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</si>
  <si>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</si>
  <si>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</si>
  <si>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</si>
  <si>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</si>
  <si>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</si>
  <si>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</si>
  <si>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</si>
  <si>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</si>
  <si>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</si>
  <si>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</si>
  <si>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</si>
  <si>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</si>
  <si>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</si>
  <si>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</si>
  <si>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</si>
  <si>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</si>
  <si>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</si>
  <si>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</si>
  <si>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</si>
  <si>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</si>
  <si>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</si>
  <si>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</si>
  <si>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</si>
  <si>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</si>
  <si>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</si>
  <si>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</si>
  <si>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</si>
  <si>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</si>
  <si>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</si>
  <si>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</si>
  <si>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</si>
  <si>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</si>
  <si>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</si>
  <si>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</si>
  <si>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</si>
  <si>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</si>
  <si>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</si>
  <si>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</si>
  <si>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</si>
  <si>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</si>
  <si>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</si>
  <si>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</si>
  <si>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</si>
  <si>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</si>
  <si>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</si>
  <si>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</si>
  <si>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</si>
  <si>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</si>
  <si>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</si>
  <si>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</si>
  <si>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</si>
  <si>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</si>
  <si>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</si>
  <si>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</si>
  <si>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</si>
  <si>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</si>
  <si>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</si>
  <si>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</si>
  <si>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</si>
  <si>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</si>
  <si>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</si>
  <si>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</si>
  <si>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</si>
  <si>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</si>
  <si>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</si>
  <si>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</si>
  <si>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</si>
  <si>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</si>
  <si>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</si>
  <si>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</si>
  <si>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</si>
  <si>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</si>
  <si>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</si>
  <si>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</si>
  <si>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</si>
  <si>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</si>
  <si>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</si>
  <si>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</si>
  <si>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</si>
  <si>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</si>
  <si>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</si>
  <si>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</si>
  <si>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</si>
  <si>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</si>
  <si>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</si>
  <si>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</si>
  <si>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</si>
  <si>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</si>
  <si>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</si>
  <si>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</si>
  <si>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</si>
  <si>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</si>
  <si>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</si>
  <si>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</si>
  <si>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</si>
  <si>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</si>
  <si>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</si>
  <si>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</si>
  <si>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</si>
  <si>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</si>
  <si>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</si>
  <si>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</si>
  <si>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</si>
  <si>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</si>
  <si>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</si>
  <si>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</si>
  <si>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</si>
  <si>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</si>
  <si>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</si>
  <si>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</si>
  <si>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</si>
  <si>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</si>
  <si>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</si>
  <si>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</si>
  <si>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</si>
  <si>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</si>
  <si>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</si>
  <si>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</si>
  <si>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</si>
  <si>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</si>
  <si>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</si>
  <si>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</si>
  <si>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</si>
  <si>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</si>
  <si>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</si>
  <si>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</si>
  <si>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</si>
  <si>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</si>
  <si>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</si>
  <si>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</si>
  <si>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</si>
  <si>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</si>
  <si>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</si>
  <si>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</si>
  <si>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</si>
  <si>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</si>
  <si>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</si>
  <si>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</si>
  <si>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</si>
  <si>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</si>
  <si>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</si>
  <si>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</si>
  <si>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</si>
  <si>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</si>
  <si>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</si>
  <si>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</si>
  <si>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</si>
  <si>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</si>
  <si>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</si>
  <si>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</si>
  <si>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</si>
  <si>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</si>
  <si>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</si>
  <si>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</si>
  <si>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</si>
  <si>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</si>
  <si>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</si>
  <si>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</si>
  <si>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</si>
  <si>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</si>
  <si>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</si>
  <si>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</si>
  <si>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</si>
  <si>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</si>
  <si>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</si>
  <si>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</si>
  <si>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</si>
  <si>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</si>
  <si>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</si>
  <si>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</si>
  <si>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</si>
  <si>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</si>
  <si>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</si>
  <si>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</si>
  <si>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</si>
  <si>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</si>
  <si>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</si>
  <si>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</si>
  <si>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</si>
  <si>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</si>
  <si>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</si>
  <si>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</si>
  <si>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</si>
  <si>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</si>
  <si>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</si>
  <si>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</si>
  <si>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</si>
  <si>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</si>
  <si>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</si>
  <si>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</si>
  <si>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</si>
  <si>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</si>
  <si>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</si>
  <si>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</si>
  <si>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</si>
  <si>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</si>
  <si>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</si>
  <si>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</si>
  <si>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</si>
  <si>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</si>
  <si>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</si>
  <si>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</si>
  <si>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</si>
  <si>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</si>
  <si>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</si>
  <si>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</si>
  <si>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</si>
  <si>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</si>
  <si>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</si>
  <si>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</si>
  <si>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</si>
  <si>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</si>
  <si>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</si>
  <si>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</si>
  <si>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</si>
  <si>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</si>
  <si>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</si>
  <si>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</si>
  <si>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</si>
  <si>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</si>
  <si>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</si>
  <si>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</si>
  <si>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</si>
  <si>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</si>
  <si>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</si>
  <si>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</si>
  <si>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</si>
  <si>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</si>
  <si>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</si>
  <si>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</si>
  <si>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</si>
  <si>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</si>
  <si>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</si>
  <si>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</si>
  <si>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</si>
  <si>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</si>
  <si>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</si>
  <si>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</si>
  <si>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</si>
  <si>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</si>
  <si>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</si>
  <si>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</si>
  <si>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</si>
  <si>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</si>
  <si>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</si>
  <si>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</si>
  <si>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</si>
  <si>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</si>
  <si>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</si>
  <si>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</si>
  <si>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</si>
  <si>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</si>
  <si>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</si>
  <si>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</si>
  <si>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</si>
  <si>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</si>
  <si>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</si>
  <si>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</si>
  <si>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</si>
  <si>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</si>
  <si>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</si>
  <si>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</si>
  <si>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</si>
  <si>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</si>
  <si>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</si>
  <si>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</si>
  <si>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</si>
  <si>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</si>
  <si>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</si>
  <si>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</si>
  <si>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</si>
  <si>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</si>
  <si>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</si>
  <si>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</si>
  <si>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</si>
  <si>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</si>
  <si>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</si>
  <si>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</si>
  <si>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</si>
  <si>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</si>
  <si>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</si>
  <si>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</si>
  <si>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</si>
  <si>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</si>
  <si>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</si>
  <si>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</si>
  <si>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</si>
  <si>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</si>
  <si>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</si>
  <si>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</si>
  <si>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</si>
  <si>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</si>
  <si>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</si>
  <si>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</si>
  <si>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</si>
  <si>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</si>
  <si>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</si>
  <si>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</si>
  <si>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</si>
  <si>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</si>
  <si>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</si>
  <si>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</si>
  <si>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</si>
  <si>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</si>
  <si>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</si>
  <si>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</si>
  <si>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</si>
  <si>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</si>
  <si>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</si>
  <si>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</si>
  <si>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</si>
  <si>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</si>
  <si>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</si>
  <si>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</si>
  <si>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</si>
  <si>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</si>
  <si>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</si>
  <si>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</si>
  <si>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</si>
  <si>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</si>
  <si>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</si>
  <si>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</si>
  <si>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</si>
  <si>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</si>
  <si>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</si>
  <si>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</si>
  <si>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</si>
  <si>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</si>
  <si>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</si>
  <si>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</si>
  <si>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</si>
  <si>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</si>
  <si>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</si>
  <si>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</si>
  <si>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</si>
  <si>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</si>
  <si>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</si>
  <si>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</si>
  <si>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</si>
  <si>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</si>
  <si>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</si>
  <si>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</si>
  <si>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</si>
  <si>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</si>
  <si>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</si>
  <si>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</si>
  <si>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</si>
  <si>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</si>
  <si>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</si>
  <si>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</si>
  <si>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</si>
  <si>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</si>
  <si>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</si>
  <si>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</si>
  <si>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</si>
  <si>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</si>
  <si>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</si>
  <si>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</si>
  <si>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</si>
  <si>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</si>
  <si>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</si>
  <si>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</si>
  <si>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</si>
  <si>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</si>
  <si>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</si>
  <si>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</si>
  <si>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</si>
  <si>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</si>
  <si>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</si>
  <si>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</si>
  <si>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</si>
  <si>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</si>
  <si>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</si>
  <si>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</si>
  <si>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</si>
  <si>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</si>
  <si>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</si>
  <si>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</si>
  <si>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</si>
  <si>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</si>
  <si>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</si>
  <si>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</si>
  <si>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</si>
  <si>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</si>
  <si>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</si>
  <si>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</si>
  <si>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</si>
  <si>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</si>
  <si>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</si>
  <si>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</si>
  <si>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</si>
  <si>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</si>
  <si>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</si>
  <si>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</si>
  <si>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</si>
  <si>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</si>
  <si>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</si>
  <si>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</si>
  <si>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</si>
  <si>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</si>
  <si>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</si>
  <si>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</si>
  <si>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</si>
  <si>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</si>
  <si>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</si>
  <si>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</si>
  <si>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</si>
  <si>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</si>
  <si>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</si>
  <si>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</si>
  <si>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</si>
  <si>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</si>
  <si>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</si>
  <si>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</si>
  <si>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</si>
  <si>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</si>
  <si>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</si>
  <si>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</si>
  <si>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</si>
  <si>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</si>
  <si>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</si>
  <si>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</si>
  <si>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</si>
  <si>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</si>
  <si>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</si>
  <si>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</si>
  <si>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</si>
  <si>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</si>
  <si>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</si>
  <si>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</si>
  <si>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</si>
  <si>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</si>
  <si>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</si>
  <si>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</si>
  <si>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</si>
  <si>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</si>
  <si>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</si>
  <si>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</si>
  <si>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</si>
  <si>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</si>
  <si>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</si>
  <si>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</si>
  <si>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</si>
  <si>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</si>
  <si>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</si>
  <si>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</si>
  <si>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</si>
  <si>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</si>
  <si>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</si>
  <si>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</si>
  <si>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</si>
  <si>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</si>
  <si>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</si>
  <si>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</si>
  <si>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</si>
  <si>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</si>
  <si>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</si>
  <si>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</si>
  <si>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</si>
  <si>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</si>
  <si>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</si>
  <si>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</si>
  <si>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</si>
  <si>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</si>
  <si>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</si>
  <si>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</si>
  <si>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</si>
  <si>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</si>
  <si>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</si>
  <si>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</si>
  <si>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</si>
  <si>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</si>
  <si>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</si>
  <si>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</si>
  <si>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</si>
  <si>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</si>
  <si>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</si>
  <si>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</si>
  <si>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</si>
  <si>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</si>
  <si>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</si>
  <si>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</si>
  <si>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</si>
  <si>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</si>
  <si>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</si>
  <si>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</si>
  <si>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</si>
  <si>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</si>
  <si>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</si>
  <si>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</si>
  <si>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</si>
  <si>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</si>
  <si>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</si>
  <si>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</si>
  <si>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</si>
  <si>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</si>
  <si>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</si>
  <si>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</si>
  <si>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</si>
  <si>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</si>
  <si>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</si>
  <si>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</si>
  <si>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</si>
  <si>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</si>
  <si>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</si>
  <si>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</si>
  <si>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</si>
  <si>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</si>
  <si>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</si>
  <si>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</si>
  <si>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</si>
  <si>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</si>
  <si>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</si>
  <si>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</si>
  <si>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</si>
  <si>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</si>
  <si>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</si>
  <si>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</si>
  <si>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</si>
  <si>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</si>
  <si>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</si>
  <si>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</si>
  <si>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</si>
  <si>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</si>
  <si>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</si>
  <si>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</si>
  <si>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</si>
  <si>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</si>
  <si>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</si>
  <si>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</si>
  <si>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</si>
  <si>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</si>
  <si>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</si>
  <si>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</si>
  <si>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</si>
  <si>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</si>
  <si>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</si>
  <si>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</si>
  <si>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</si>
  <si>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</si>
  <si>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</si>
  <si>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</si>
  <si>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</si>
  <si>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</si>
  <si>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</si>
  <si>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</si>
  <si>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</si>
  <si>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</si>
  <si>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</si>
  <si>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</si>
  <si>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</si>
  <si>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</si>
  <si>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</si>
  <si>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</si>
  <si>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</si>
  <si>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</si>
  <si>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</si>
  <si>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</si>
  <si>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</si>
  <si>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</si>
  <si>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</si>
  <si>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</si>
  <si>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</si>
  <si>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</si>
  <si>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</si>
  <si>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</si>
  <si>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</si>
  <si>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</si>
  <si>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</si>
  <si>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</si>
  <si>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</si>
  <si>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</si>
  <si>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</si>
  <si>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</si>
  <si>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</si>
  <si>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</si>
  <si>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</si>
  <si>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</si>
  <si>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</si>
  <si>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</si>
  <si>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</si>
  <si>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</si>
  <si>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</si>
  <si>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</si>
  <si>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</si>
  <si>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</si>
  <si>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</si>
  <si>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</si>
  <si>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</si>
  <si>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</si>
  <si>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</si>
  <si>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</si>
  <si>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</si>
  <si>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</si>
  <si>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</si>
  <si>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</si>
  <si>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</si>
  <si>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</si>
  <si>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</si>
  <si>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</si>
  <si>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</si>
  <si>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</si>
  <si>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</si>
  <si>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</si>
  <si>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</si>
  <si>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</si>
  <si>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</si>
  <si>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</si>
  <si>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</si>
  <si>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</si>
  <si>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</si>
  <si>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</si>
  <si>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</si>
  <si>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</si>
  <si>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</si>
  <si>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</si>
  <si>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</si>
  <si>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</si>
  <si>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</si>
  <si>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</si>
  <si>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</si>
  <si>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</si>
  <si>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</si>
  <si>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</si>
  <si>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</si>
  <si>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</si>
  <si>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</si>
  <si>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</si>
  <si>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</si>
  <si>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</si>
  <si>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</si>
  <si>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</si>
  <si>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</si>
  <si>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</si>
  <si>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</si>
  <si>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</si>
  <si>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</si>
  <si>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</si>
  <si>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</si>
  <si>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</si>
  <si>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</si>
  <si>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</si>
  <si>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</si>
  <si>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</si>
  <si>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</si>
  <si>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</si>
  <si>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</si>
  <si>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</si>
  <si>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</si>
  <si>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</si>
  <si>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</si>
  <si>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</si>
  <si>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</si>
  <si>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</si>
  <si>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</si>
  <si>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</si>
  <si>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</si>
  <si>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</si>
  <si>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</si>
  <si>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</si>
  <si>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</si>
  <si>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</si>
  <si>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</si>
  <si>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</si>
  <si>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</si>
  <si>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</si>
  <si>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</si>
  <si>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</si>
  <si>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</si>
  <si>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</si>
  <si>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</si>
  <si>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</si>
  <si>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</si>
  <si>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</si>
  <si>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</si>
  <si>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</si>
  <si>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</si>
  <si>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</si>
  <si>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</si>
  <si>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</si>
  <si>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</si>
  <si>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</si>
  <si>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</si>
  <si>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</si>
  <si>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</si>
  <si>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</si>
  <si>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</si>
  <si>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</si>
  <si>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</si>
  <si>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</si>
  <si>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</si>
  <si>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</si>
  <si>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</si>
  <si>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</si>
  <si>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</si>
  <si>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</si>
  <si>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</si>
  <si>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</si>
  <si>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</si>
  <si>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</si>
  <si>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</si>
  <si>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</si>
  <si>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</si>
  <si>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</si>
  <si>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</si>
  <si>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</si>
  <si>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</si>
  <si>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</si>
  <si>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</si>
  <si>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</si>
  <si>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</si>
  <si>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</si>
  <si>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</si>
  <si>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</si>
  <si>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</si>
  <si>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</si>
  <si>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</si>
  <si>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</si>
  <si>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</si>
  <si>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</si>
  <si>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</si>
  <si>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</si>
  <si>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</si>
  <si>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</si>
  <si>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</si>
  <si>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</si>
  <si>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</si>
  <si>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</si>
  <si>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</si>
  <si>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</si>
  <si>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</si>
  <si>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</si>
  <si>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</si>
  <si>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</si>
  <si>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</si>
  <si>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</si>
  <si>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</si>
  <si>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</si>
  <si>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</si>
  <si>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</si>
  <si>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</si>
  <si>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</si>
  <si>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</si>
  <si>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</si>
  <si>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</si>
  <si>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</si>
  <si>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</si>
  <si>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</si>
  <si>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</si>
  <si>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</si>
  <si>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</si>
  <si>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</si>
  <si>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</si>
  <si>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</si>
  <si>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</si>
  <si>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</si>
  <si>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</si>
  <si>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</si>
  <si>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</si>
  <si>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</si>
  <si>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</si>
  <si>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</si>
  <si>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</si>
  <si>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</si>
  <si>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</si>
  <si>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</si>
  <si>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</si>
  <si>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</si>
  <si>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“Temperance”.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</si>
  <si>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</si>
  <si>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</si>
  <si>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</si>
  <si>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</si>
  <si>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</si>
  <si>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</si>
  <si>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</si>
  <si>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</si>
  <si>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</si>
  <si>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</si>
  <si>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</si>
  <si>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</si>
  <si>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</si>
  <si>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</si>
  <si>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</si>
  <si>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</si>
  <si>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</si>
  <si>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</si>
  <si>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</si>
  <si>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</si>
  <si>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</si>
  <si>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</si>
  <si>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</si>
  <si>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</si>
  <si>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</si>
  <si>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</si>
  <si>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</si>
  <si>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</si>
  <si>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</si>
  <si>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</si>
  <si>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</si>
  <si>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</si>
  <si>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</si>
  <si>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việc cửa đã mở rộng bao nhiêu</t>
  </si>
  <si>
    <t>機甲消失後，該地圖名稱會改變</t>
  </si>
  <si>
    <t>Once the mecha disappears, the map's name will change</t>
  </si>
  <si>
    <t>Sobald das Mecha verschwindet, ändert sich der Name der Karte</t>
  </si>
  <si>
    <t>Một khi mecha đã biến mất, tên của khu vực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</si>
  <si>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</si>
  <si>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</si>
  <si>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</si>
  <si>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</si>
  <si>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tìm thấy,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</si>
  <si>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</si>
  <si>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</si>
  <si>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</si>
  <si>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</si>
  <si>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</si>
  <si>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</si>
  <si>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</si>
  <si>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</si>
  <si>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</si>
  <si>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</si>
  <si>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</si>
  <si>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</si>
  <si>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</si>
  <si>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</si>
  <si>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</si>
  <si>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</si>
  <si>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</si>
  <si>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</si>
  <si>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</si>
  <si>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</si>
  <si>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</si>
  <si>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</si>
  <si>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</si>
  <si>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</si>
  <si>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</si>
  <si>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</si>
  <si>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</si>
  <si>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</si>
  <si>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</si>
  <si>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</si>
  <si>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</si>
  <si>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</si>
  <si>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</si>
  <si>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</si>
  <si>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</si>
  <si>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</si>
  <si>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</si>
  <si>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</si>
  <si>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</si>
  <si>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</si>
  <si>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</si>
  <si>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</si>
  <si>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</si>
  <si>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</si>
  <si>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</si>
  <si>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</si>
  <si>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</si>
  <si>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</si>
  <si>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</si>
  <si>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</si>
  <si>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</si>
  <si>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</si>
  <si>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</si>
  <si>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</si>
  <si>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</si>
  <si>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</si>
  <si>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</si>
  <si>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</si>
  <si>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</si>
  <si>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</si>
  <si>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</si>
  <si>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“Câu Hỏi Tối Thượng về Cuộc sống, Vũ trụ, và Mọi thứ” từ tiểu thuyết “Bí kíp quá giang vào Ngân Hà”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</si>
  <si>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</si>
  <si>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</si>
  <si>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</si>
  <si>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</si>
  <si>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</si>
  <si>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</si>
  <si>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</si>
  <si>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</si>
  <si>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</si>
  <si>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</si>
  <si>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</si>
  <si>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</si>
  <si>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</si>
  <si>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</si>
  <si>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</si>
  <si>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</si>
  <si>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</si>
  <si>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</si>
  <si>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</si>
  <si>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</si>
  <si>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</si>
  <si>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</si>
  <si>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</si>
  <si>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</si>
  <si>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</si>
  <si>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</si>
  <si>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</si>
  <si>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</si>
  <si>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</si>
  <si>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</si>
  <si>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</si>
  <si>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</si>
  <si>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</si>
  <si>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</si>
  <si>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</si>
  <si>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</si>
  <si>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</si>
  <si>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</si>
  <si>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</si>
  <si>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</si>
  <si>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</si>
  <si>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</si>
  <si>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</si>
  <si>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</si>
  <si>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</si>
  <si>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</si>
  <si>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</si>
  <si>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</si>
  <si>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</si>
  <si>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</si>
  <si>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</si>
  <si>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</si>
  <si>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</si>
  <si>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</si>
  <si>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</si>
  <si>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</si>
  <si>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</si>
  <si>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</si>
  <si>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</si>
  <si>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</si>
  <si>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</si>
  <si>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</si>
  <si>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</si>
  <si>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</si>
  <si>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</si>
  <si>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</si>
  <si>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</si>
  <si>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</si>
  <si>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</si>
  <si>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</si>
  <si>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</si>
  <si>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</si>
  <si>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</si>
  <si>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</si>
  <si>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</si>
  <si>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</si>
  <si>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</si>
  <si>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</si>
  <si>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</si>
  <si>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</si>
  <si>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</si>
  <si>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</si>
  <si>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</si>
  <si>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</si>
  <si>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</si>
  <si>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</si>
  <si>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</si>
  <si>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</si>
  <si>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</si>
  <si>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</si>
  <si>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</si>
  <si>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</si>
  <si>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</si>
  <si>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</si>
  <si>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</si>
  <si>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</si>
  <si>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</si>
  <si>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</si>
  <si>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</si>
  <si>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</si>
  <si>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</si>
  <si>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</si>
  <si>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</si>
  <si>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</si>
  <si>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</si>
  <si>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</si>
  <si>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</si>
  <si>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</si>
  <si>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</si>
  <si>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</si>
  <si>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</si>
  <si>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</si>
  <si>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</si>
  <si>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</si>
  <si>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</si>
  <si>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</si>
  <si>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</si>
  <si>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</si>
  <si>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</si>
  <si>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</si>
  <si>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</si>
  <si>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</si>
  <si>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</si>
  <si>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</si>
  <si>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</si>
  <si>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</si>
  <si>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</si>
  <si>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</si>
  <si>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</si>
  <si>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</si>
  <si>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</si>
  <si>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</si>
  <si>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</si>
  <si>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</si>
  <si>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</si>
  <si>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</si>
  <si>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</si>
  <si>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</si>
  <si>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</si>
  <si>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</si>
  <si>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</si>
  <si>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</si>
  <si>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</si>
  <si>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</si>
  <si>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</si>
  <si>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</si>
  <si>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</si>
  <si>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</si>
  <si>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</si>
  <si>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</si>
  <si>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</si>
  <si>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</si>
  <si>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</si>
  <si>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</si>
  <si>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</si>
  <si>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</si>
  <si>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</si>
  <si>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</si>
  <si>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</si>
  <si>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</si>
  <si>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</si>
  <si>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</si>
  <si>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</si>
  <si>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</si>
  <si>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</si>
  <si>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</si>
  <si>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</si>
  <si>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</si>
  <si>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</si>
  <si>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</si>
  <si>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</si>
  <si>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</si>
  <si>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</si>
  <si>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</si>
  <si>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</si>
  <si>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</si>
  <si>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</si>
  <si>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</si>
  <si>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</si>
  <si>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</si>
  <si>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</si>
  <si>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</si>
  <si>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</si>
  <si>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</si>
  <si>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</si>
  <si>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</si>
  <si>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</si>
  <si>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</si>
  <si>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</si>
  <si>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</si>
  <si>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</si>
  <si>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</si>
  <si>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</si>
  <si>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</si>
  <si>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</si>
  <si>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</si>
  <si>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</si>
  <si>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</si>
  <si>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</si>
  <si>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</si>
  <si>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</si>
  <si>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</si>
  <si>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</si>
  <si>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</si>
  <si>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</si>
  <si>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</si>
  <si>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</si>
  <si>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</si>
  <si>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</si>
  <si>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</si>
  <si>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</si>
  <si>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</si>
  <si>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</si>
  <si>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</si>
  <si>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</si>
  <si>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</si>
  <si>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</si>
  <si>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</si>
  <si>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</si>
  <si>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</si>
  <si>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</si>
  <si>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</si>
  <si>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</si>
  <si>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</si>
  <si>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</si>
  <si>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</si>
  <si>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</si>
  <si>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</si>
  <si>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</si>
  <si>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</si>
  <si>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</si>
  <si>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</si>
  <si>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</si>
  <si>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</si>
  <si>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</si>
  <si>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</si>
  <si>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</si>
  <si>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</si>
  <si>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</si>
  <si>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</si>
  <si>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</si>
  <si>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</si>
  <si>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</si>
  <si>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</si>
  <si>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</si>
  <si>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</si>
  <si>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</si>
  <si>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</si>
  <si>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</si>
  <si>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</si>
  <si>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</si>
  <si>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</si>
  <si>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</si>
  <si>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</si>
  <si>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</si>
  <si>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</si>
  <si>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</si>
  <si>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</si>
  <si>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</si>
  <si>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</si>
  <si>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</si>
  <si>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</si>
  <si>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</si>
  <si>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</si>
  <si>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</si>
  <si>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</si>
  <si>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</si>
  <si>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</si>
  <si>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</si>
  <si>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</si>
  <si>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</si>
  <si>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</si>
  <si>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</si>
  <si>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</si>
  <si>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</si>
  <si>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</si>
  <si>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</si>
  <si>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</si>
  <si>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</si>
  <si>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</si>
  <si>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</si>
  <si>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</si>
  <si>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</si>
  <si>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</si>
  <si>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</si>
  <si>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</si>
  <si>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</si>
  <si>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</si>
  <si>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</si>
  <si>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boss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</si>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</sst>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sz val="12.0"/>
      <color theme="1"/>
      <name val="Arial"/>
    </font>
    <font>
      <b/>
      <color theme="1"/>
      <name val="Arial"/>
    </font>
    <font>
      <b/>
      <sz val="12.0"/>
      <color theme="1"/>
      <name val="Arial"/>
    </font>
    <font>
      <b/>
      <color theme="1"/>
      <name val="Microsoft JhengHei"/>
    </font>
    <font>
      <sz val="8.0"/>
      <color theme="1"/>
      <name val="Microsoft JhengHei"/>
    </font>
    <font>
      <color theme="1"/>
      <name val="Aptos"/>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1">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000000"/>
        <bgColor rgb="FF000000"/>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26" numFmtId="0" xfId="0" applyAlignment="1" applyFont="1">
      <alignment horizontal="center"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readingOrder="0"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3" fontId="8" numFmtId="0" xfId="0" applyAlignment="1" applyFont="1">
      <alignment horizontal="left" readingOrder="0" shrinkToFit="0" vertical="center" wrapText="1"/>
    </xf>
    <xf borderId="0" fillId="3" fontId="18" numFmtId="0" xfId="0" applyAlignment="1" applyFont="1">
      <alignment horizontal="left" readingOrder="0" shrinkToFit="0" vertical="center" wrapText="1"/>
    </xf>
    <xf borderId="0" fillId="8" fontId="22"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8" fontId="1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left" readingOrder="0" shrinkToFit="0" vertical="center" wrapText="1"/>
    </xf>
    <xf borderId="0" fillId="4" fontId="26" numFmtId="0" xfId="0" applyAlignment="1" applyFont="1">
      <alignment horizontal="center" readingOrder="0" shrinkToFit="0" vertical="center" wrapText="1"/>
    </xf>
    <xf borderId="0" fillId="8" fontId="27" numFmtId="0" xfId="0" applyAlignment="1" applyFont="1">
      <alignment horizontal="left" readingOrder="0" shrinkToFit="0" vertical="center" wrapText="1"/>
    </xf>
    <xf borderId="0" fillId="8" fontId="28" numFmtId="0" xfId="0" applyAlignment="1" applyFont="1">
      <alignment horizontal="left" shrinkToFit="0" vertical="center" wrapText="1"/>
    </xf>
    <xf borderId="0" fillId="10" fontId="26" numFmtId="0" xfId="0" applyAlignment="1" applyFill="1" applyFont="1">
      <alignment horizontal="center" readingOrder="0" shrinkToFit="0" vertical="center" wrapText="1"/>
    </xf>
    <xf borderId="0" fillId="10" fontId="8" numFmtId="0" xfId="0" applyAlignment="1" applyFont="1">
      <alignment horizontal="left" shrinkToFit="0" vertical="center" wrapText="1"/>
    </xf>
    <xf borderId="0" fillId="10" fontId="8" numFmtId="0" xfId="0" applyAlignment="1" applyFont="1">
      <alignment horizontal="left" shrinkToFit="0" vertical="center" wrapText="1"/>
    </xf>
    <xf borderId="0" fillId="10" fontId="18" numFmtId="0" xfId="0" applyAlignment="1" applyFont="1">
      <alignment horizontal="left" shrinkToFit="0" vertical="center" wrapText="1"/>
    </xf>
    <xf borderId="0" fillId="9" fontId="25" numFmtId="0" xfId="0" applyAlignment="1" applyFont="1">
      <alignment horizontal="center" readingOrder="0" shrinkToFit="0" vertical="center" wrapText="1"/>
    </xf>
    <xf borderId="0" fillId="3" fontId="22" numFmtId="0" xfId="0" applyAlignment="1" applyFont="1">
      <alignment horizontal="left" readingOrder="0" shrinkToFit="0" vertical="center" wrapText="1"/>
    </xf>
    <xf borderId="0" fillId="10" fontId="8" numFmtId="0" xfId="0" applyAlignment="1" applyFont="1">
      <alignment horizontal="left" shrinkToFit="0" wrapText="1"/>
    </xf>
    <xf borderId="0" fillId="10" fontId="8" numFmtId="0" xfId="0" applyAlignment="1" applyFont="1">
      <alignment horizontal="left" shrinkToFit="0" wrapText="1"/>
    </xf>
    <xf borderId="0" fillId="10" fontId="26" numFmtId="0" xfId="0" applyAlignment="1" applyFont="1">
      <alignment horizontal="center" shrinkToFit="0" vertical="center" wrapText="1"/>
    </xf>
    <xf borderId="0" fillId="4" fontId="26" numFmtId="0" xfId="0" applyAlignment="1" applyFont="1">
      <alignment horizontal="center" shrinkToFit="0" vertical="center" wrapText="1"/>
    </xf>
    <xf borderId="0" fillId="4" fontId="26" numFmtId="0" xfId="0" applyAlignment="1" applyFont="1">
      <alignment horizontal="left" shrinkToFit="0" vertical="center" wrapText="1"/>
    </xf>
    <xf borderId="0" fillId="4" fontId="26" numFmtId="0" xfId="0" applyAlignment="1" applyFont="1">
      <alignment horizontal="left" shrinkToFit="0" vertical="center" wrapText="1"/>
    </xf>
    <xf borderId="0" fillId="4" fontId="22" numFmtId="0" xfId="0" applyAlignment="1" applyFont="1">
      <alignment horizontal="left" shrinkToFit="0" vertical="center" wrapText="1"/>
    </xf>
    <xf borderId="0" fillId="4" fontId="22" numFmtId="0" xfId="0" applyAlignment="1" applyFont="1">
      <alignment horizontal="left"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8" numFmtId="0" xfId="0" applyAlignment="1" applyFont="1">
      <alignment horizontal="left" shrinkToFit="0" vertical="center" wrapText="1"/>
    </xf>
    <xf borderId="0" fillId="9" fontId="2" numFmtId="0" xfId="0" applyAlignment="1" applyFont="1">
      <alignment horizontal="left" shrinkToFit="0" vertical="center" wrapText="1"/>
    </xf>
    <xf borderId="0" fillId="9" fontId="2" numFmtId="0" xfId="0" applyAlignment="1" applyFont="1">
      <alignment horizontal="left" readingOrder="0" shrinkToFit="0" vertical="center" wrapText="1"/>
    </xf>
    <xf borderId="0" fillId="9" fontId="22" numFmtId="0" xfId="0" applyAlignment="1" applyFont="1">
      <alignment horizontal="left" shrinkToFit="0" vertical="center" wrapText="1"/>
    </xf>
    <xf borderId="0" fillId="9" fontId="25" numFmtId="0" xfId="0" applyAlignment="1" applyFont="1">
      <alignment horizontal="left" shrinkToFit="0" vertical="center" wrapText="1"/>
    </xf>
    <xf borderId="0" fillId="11" fontId="22" numFmtId="0" xfId="0" applyAlignment="1" applyFill="1" applyFont="1">
      <alignment horizontal="left" vertical="center"/>
    </xf>
    <xf borderId="0" fillId="12" fontId="22" numFmtId="0" xfId="0" applyAlignment="1" applyFill="1" applyFont="1">
      <alignment horizontal="left" vertical="center"/>
    </xf>
    <xf borderId="0" fillId="13" fontId="22" numFmtId="0" xfId="0" applyAlignment="1" applyFill="1" applyFont="1">
      <alignment horizontal="left" vertical="center"/>
    </xf>
    <xf borderId="0" fillId="5" fontId="22" numFmtId="0" xfId="0" applyAlignment="1" applyFont="1">
      <alignment horizontal="left" vertical="center"/>
    </xf>
    <xf borderId="0" fillId="0" fontId="26" numFmtId="0" xfId="0" applyAlignment="1" applyFont="1">
      <alignment horizontal="left" shrinkToFit="0" vertical="center" wrapText="1"/>
    </xf>
    <xf borderId="0" fillId="0" fontId="19" numFmtId="0" xfId="0" applyAlignment="1" applyFont="1">
      <alignment horizontal="left" shrinkToFit="0" vertical="center" wrapText="1"/>
    </xf>
    <xf borderId="0" fillId="14" fontId="6" numFmtId="0" xfId="0" applyAlignment="1" applyFill="1" applyFont="1">
      <alignment horizontal="center" readingOrder="0" shrinkToFit="0" vertical="center" wrapText="1"/>
    </xf>
    <xf borderId="0" fillId="14" fontId="6" numFmtId="0" xfId="0" applyAlignment="1" applyFont="1">
      <alignment horizontal="center" shrinkToFit="0" vertical="center" wrapText="1"/>
    </xf>
    <xf borderId="0" fillId="14"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3" fontId="25" numFmtId="0" xfId="0" applyAlignment="1" applyFont="1">
      <alignment horizontal="center" shrinkToFit="0" vertical="center" wrapText="1"/>
    </xf>
    <xf borderId="0" fillId="15" fontId="25" numFmtId="0" xfId="0" applyAlignment="1" applyFill="1" applyFont="1">
      <alignment horizontal="center" shrinkToFit="0" vertical="center" wrapText="1"/>
    </xf>
    <xf borderId="0" fillId="5" fontId="25"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8"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15"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readingOrder="0" shrinkToFit="0" vertical="center" wrapText="1"/>
    </xf>
    <xf borderId="0" fillId="5" fontId="8"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18" numFmtId="0" xfId="0" applyAlignment="1" applyFont="1">
      <alignment horizontal="center" shrinkToFit="0" vertical="center" wrapText="1"/>
    </xf>
    <xf borderId="0" fillId="5" fontId="22"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readingOrder="0" shrinkToFit="0" vertical="center" wrapText="1"/>
    </xf>
    <xf borderId="0" fillId="5" fontId="8" numFmtId="0" xfId="0" applyAlignment="1" applyFont="1">
      <alignment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3" fontId="19" numFmtId="0" xfId="0" applyAlignment="1" applyFont="1">
      <alignment horizontal="center" readingOrder="0" shrinkToFit="0" vertical="center" wrapText="1"/>
    </xf>
    <xf borderId="0" fillId="8" fontId="8" numFmtId="0" xfId="0" applyAlignment="1" applyFont="1">
      <alignment horizontal="center" shrinkToFit="0" vertical="center" wrapText="1"/>
    </xf>
    <xf borderId="0" fillId="5" fontId="8" numFmtId="0" xfId="0" applyAlignment="1" applyFont="1">
      <alignmen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3" fontId="22" numFmtId="0" xfId="0" applyAlignment="1" applyFont="1">
      <alignment horizontal="center" shrinkToFit="0" vertical="center" wrapText="1"/>
    </xf>
    <xf borderId="0" fillId="15"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5" fontId="22" numFmtId="0" xfId="0" applyAlignment="1" applyFont="1">
      <alignment shrinkToFit="0" vertical="center" wrapText="1"/>
    </xf>
    <xf borderId="0" fillId="15"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5" fontId="22"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3" fontId="24" numFmtId="0" xfId="0" applyAlignment="1" applyFont="1">
      <alignment horizontal="center" shrinkToFit="0" vertical="center" wrapText="1"/>
    </xf>
    <xf borderId="0" fillId="8" fontId="29" numFmtId="0" xfId="0" applyAlignment="1" applyFont="1">
      <alignment horizontal="left" shrinkToFit="0" vertical="center" wrapText="1"/>
    </xf>
    <xf borderId="0" fillId="5" fontId="25" numFmtId="0" xfId="0" applyAlignment="1" applyFont="1">
      <alignment shrinkToFit="0" vertical="center" wrapText="1"/>
    </xf>
    <xf borderId="0" fillId="8" fontId="30" numFmtId="0" xfId="0" applyAlignment="1" applyFont="1">
      <alignment horizontal="left" shrinkToFit="0" vertical="center" wrapText="1"/>
    </xf>
    <xf borderId="0" fillId="5" fontId="30"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5" fontId="22" numFmtId="0" xfId="0" applyAlignment="1" applyFont="1">
      <alignment vertical="center"/>
    </xf>
    <xf borderId="0" fillId="0" fontId="22" numFmtId="0" xfId="0" applyAlignment="1" applyFont="1">
      <alignment vertical="center"/>
    </xf>
    <xf borderId="0" fillId="0" fontId="26" numFmtId="0" xfId="0" applyAlignment="1" applyFont="1">
      <alignment horizontal="center" shrinkToFit="0" vertical="center" wrapText="1"/>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31" numFmtId="0" xfId="0" applyAlignment="1" applyFont="1">
      <alignment horizontal="left" readingOrder="0" shrinkToFit="0" vertical="center" wrapText="1"/>
    </xf>
    <xf borderId="0" fillId="16" fontId="31"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31" numFmtId="0" xfId="0" applyAlignment="1" applyFont="1">
      <alignment horizontal="left" shrinkToFit="0" vertical="center" wrapText="1"/>
    </xf>
    <xf borderId="0" fillId="16" fontId="9" numFmtId="0" xfId="0" applyAlignment="1" applyFont="1">
      <alignment horizontal="left" shrinkToFit="0" vertical="center" wrapText="1"/>
    </xf>
    <xf borderId="0" fillId="0" fontId="32" numFmtId="0" xfId="0" applyAlignment="1" applyFont="1">
      <alignment horizontal="left" shrinkToFit="0" vertical="center" wrapText="1"/>
    </xf>
    <xf borderId="0" fillId="16" fontId="8" numFmtId="0" xfId="0" applyAlignment="1" applyFont="1">
      <alignment horizontal="left" readingOrder="0" shrinkToFit="0" vertical="center" wrapText="1"/>
    </xf>
    <xf borderId="0" fillId="16" fontId="8" numFmtId="0" xfId="0" applyAlignment="1" applyFont="1">
      <alignment horizontal="left" shrinkToFit="0" vertical="center" wrapText="1"/>
    </xf>
    <xf borderId="0" fillId="16" fontId="19" numFmtId="0" xfId="0" applyAlignment="1" applyFont="1">
      <alignment horizontal="left" readingOrder="0" shrinkToFit="0" vertical="center" wrapText="1"/>
    </xf>
    <xf borderId="0" fillId="5" fontId="33" numFmtId="0" xfId="0" applyAlignment="1" applyFont="1">
      <alignment horizontal="left" readingOrder="0" shrinkToFit="0" vertical="center" wrapText="1"/>
    </xf>
    <xf borderId="0" fillId="5" fontId="28" numFmtId="0" xfId="0" applyAlignment="1" applyFont="1">
      <alignment shrinkToFit="0" vertical="center" wrapText="1"/>
    </xf>
    <xf borderId="0" fillId="16" fontId="27" numFmtId="0" xfId="0" applyAlignment="1" applyFont="1">
      <alignment horizontal="left" readingOrder="0" shrinkToFit="0" vertical="center" wrapText="1"/>
    </xf>
    <xf borderId="0" fillId="5" fontId="22" numFmtId="0" xfId="0" applyAlignment="1" applyFont="1">
      <alignment vertical="center"/>
    </xf>
    <xf borderId="0" fillId="16"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4" numFmtId="0" xfId="0" applyBorder="1" applyFont="1"/>
    <xf borderId="3" fillId="0" fontId="34" numFmtId="0" xfId="0" applyBorder="1" applyFont="1"/>
    <xf borderId="1" fillId="7" fontId="35"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4" numFmtId="0" xfId="0" applyBorder="1" applyFont="1"/>
    <xf borderId="5" fillId="0" fontId="34" numFmtId="0" xfId="0" applyBorder="1" applyFont="1"/>
    <xf borderId="6" fillId="0" fontId="34" numFmtId="0" xfId="0" applyBorder="1" applyFont="1"/>
    <xf borderId="0" fillId="2" fontId="36" numFmtId="0" xfId="0" applyAlignment="1" applyFont="1">
      <alignment horizontal="center" readingOrder="0" shrinkToFit="0" vertical="center" wrapText="1"/>
    </xf>
    <xf borderId="7" fillId="0" fontId="34" numFmtId="0" xfId="0" applyBorder="1" applyFont="1"/>
    <xf borderId="1" fillId="5" fontId="35" numFmtId="0" xfId="0" applyAlignment="1" applyBorder="1" applyFont="1">
      <alignment horizontal="center" shrinkToFit="0" vertical="center" wrapText="1"/>
    </xf>
    <xf borderId="8" fillId="2" fontId="26" numFmtId="0" xfId="0" applyAlignment="1" applyBorder="1" applyFont="1">
      <alignment horizontal="center" readingOrder="0" vertical="center"/>
    </xf>
    <xf borderId="9" fillId="0" fontId="34" numFmtId="0" xfId="0" applyBorder="1" applyFont="1"/>
    <xf borderId="10" fillId="0" fontId="34"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7"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8"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1" fillId="17" fontId="19" numFmtId="0" xfId="0" applyAlignment="1" applyBorder="1" applyFill="1" applyFont="1">
      <alignment horizontal="center" readingOrder="0" shrinkToFit="0" vertical="center" wrapText="1"/>
    </xf>
    <xf borderId="11" fillId="17" fontId="19" numFmtId="0" xfId="0" applyAlignment="1" applyBorder="1" applyFont="1">
      <alignment horizontal="center" readingOrder="0" shrinkToFit="0" vertical="center" wrapText="1"/>
    </xf>
    <xf borderId="11" fillId="17" fontId="40" numFmtId="0" xfId="0" applyAlignment="1" applyBorder="1" applyFont="1">
      <alignment horizontal="center" readingOrder="0" shrinkToFit="0" vertical="center" wrapText="1"/>
    </xf>
    <xf borderId="12" fillId="16" fontId="22" numFmtId="0" xfId="0" applyAlignment="1" applyBorder="1" applyFont="1">
      <alignment horizontal="center" shrinkToFit="0" vertical="center" wrapText="1"/>
    </xf>
    <xf borderId="6" fillId="16" fontId="22" numFmtId="0" xfId="0" applyAlignment="1" applyBorder="1" applyFont="1">
      <alignment horizontal="center" shrinkToFit="0" vertical="center" wrapText="1"/>
    </xf>
    <xf borderId="6" fillId="16" fontId="41" numFmtId="0" xfId="0" applyAlignment="1" applyBorder="1" applyFont="1">
      <alignment horizontal="center" shrinkToFit="0" vertical="center" wrapText="1"/>
    </xf>
    <xf borderId="0" fillId="17"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2" numFmtId="0" xfId="0" applyAlignment="1" applyBorder="1" applyFont="1">
      <alignment horizontal="center" readingOrder="0" vertical="center"/>
    </xf>
    <xf borderId="11" fillId="5" fontId="43" numFmtId="0" xfId="0" applyAlignment="1" applyBorder="1" applyFont="1">
      <alignment horizontal="center" readingOrder="0" vertical="center"/>
    </xf>
    <xf borderId="11" fillId="16" fontId="44" numFmtId="0" xfId="0" applyAlignment="1" applyBorder="1" applyFont="1">
      <alignment horizontal="center" readingOrder="0" vertical="center"/>
    </xf>
    <xf borderId="11" fillId="17" fontId="19" numFmtId="0" xfId="0" applyAlignment="1" applyBorder="1" applyFont="1">
      <alignment horizontal="center" readingOrder="0" vertical="center"/>
    </xf>
    <xf borderId="11" fillId="17" fontId="45" numFmtId="0" xfId="0" applyAlignment="1" applyBorder="1" applyFont="1">
      <alignment horizontal="center" readingOrder="0" vertical="center"/>
    </xf>
    <xf borderId="6" fillId="16" fontId="22" numFmtId="0" xfId="0" applyAlignment="1" applyBorder="1" applyFont="1">
      <alignment horizontal="center" vertical="center"/>
    </xf>
    <xf borderId="12" fillId="16" fontId="46" numFmtId="0" xfId="0" applyAlignment="1" applyBorder="1" applyFont="1">
      <alignment horizontal="center" shrinkToFit="0" vertical="center" wrapText="1"/>
    </xf>
    <xf borderId="8" fillId="7" fontId="47" numFmtId="0" xfId="0" applyAlignment="1" applyBorder="1" applyFont="1">
      <alignment horizontal="center" readingOrder="0" shrinkToFit="0" vertical="center" wrapText="1"/>
    </xf>
    <xf borderId="13" fillId="7" fontId="33" numFmtId="0" xfId="0" applyAlignment="1" applyBorder="1" applyFont="1">
      <alignment horizontal="center" readingOrder="0" shrinkToFit="0" vertical="center" wrapText="1"/>
    </xf>
    <xf borderId="13" fillId="5" fontId="48" numFmtId="0" xfId="0" applyAlignment="1" applyBorder="1" applyFont="1">
      <alignment horizontal="center" readingOrder="0" shrinkToFit="0" vertical="center" wrapText="1"/>
    </xf>
    <xf borderId="13" fillId="16" fontId="49" numFmtId="0" xfId="0" applyAlignment="1" applyBorder="1" applyFont="1">
      <alignment horizontal="center" readingOrder="0" shrinkToFit="0" vertical="center" wrapText="1"/>
    </xf>
    <xf borderId="11" fillId="17" fontId="50" numFmtId="0" xfId="0" applyAlignment="1" applyBorder="1" applyFont="1">
      <alignment horizontal="center" readingOrder="0" shrinkToFit="0" vertical="center" wrapText="1"/>
    </xf>
    <xf borderId="13" fillId="17" fontId="51" numFmtId="0" xfId="0" applyAlignment="1" applyBorder="1" applyFont="1">
      <alignment horizontal="center" readingOrder="0" shrinkToFit="0" vertical="center" wrapText="1"/>
    </xf>
    <xf borderId="11" fillId="17" fontId="52" numFmtId="0" xfId="0" applyAlignment="1" applyBorder="1" applyFont="1">
      <alignment horizontal="center" readingOrder="0" shrinkToFit="0" vertical="center" wrapText="1"/>
    </xf>
    <xf borderId="7" fillId="16" fontId="22" numFmtId="0" xfId="0" applyAlignment="1" applyBorder="1" applyFont="1">
      <alignment horizontal="center" shrinkToFit="0" vertical="center" wrapText="1"/>
    </xf>
    <xf borderId="0" fillId="17" fontId="52" numFmtId="0" xfId="0" applyAlignment="1" applyFont="1">
      <alignment horizontal="center" readingOrder="0" shrinkToFit="0" vertical="center" wrapText="1"/>
    </xf>
    <xf borderId="12" fillId="0" fontId="34" numFmtId="0" xfId="0" applyBorder="1" applyFont="1"/>
    <xf borderId="0" fillId="17" fontId="19" numFmtId="0" xfId="0" applyAlignment="1" applyFont="1">
      <alignment horizontal="center" readingOrder="0" shrinkToFit="0" vertical="center" wrapText="1"/>
    </xf>
    <xf borderId="6" fillId="16" fontId="22" numFmtId="0" xfId="0" applyAlignment="1" applyBorder="1" applyFont="1">
      <alignment vertical="center"/>
    </xf>
    <xf borderId="12" fillId="16"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6" numFmtId="0" xfId="0" applyAlignment="1" applyFont="1">
      <alignment horizontal="center" readingOrder="0" vertical="center"/>
    </xf>
    <xf borderId="11" fillId="5" fontId="53" numFmtId="0" xfId="0" applyAlignment="1" applyBorder="1" applyFont="1">
      <alignment horizontal="center" readingOrder="0"/>
    </xf>
    <xf borderId="11" fillId="5" fontId="8" numFmtId="0" xfId="0" applyAlignment="1" applyBorder="1" applyFont="1">
      <alignment horizontal="center" shrinkToFit="0" vertical="center" wrapText="1"/>
    </xf>
    <xf borderId="11" fillId="16" fontId="27"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1" fillId="17" fontId="8" numFmtId="0" xfId="0" applyAlignment="1" applyBorder="1" applyFont="1">
      <alignment horizontal="center" readingOrder="0" shrinkToFit="0" vertical="center" wrapText="1"/>
    </xf>
    <xf borderId="11" fillId="17" fontId="55" numFmtId="0" xfId="0" applyAlignment="1" applyBorder="1" applyFont="1">
      <alignment horizontal="center" readingOrder="0"/>
    </xf>
    <xf borderId="12" fillId="16" fontId="22" numFmtId="0" xfId="0" applyAlignment="1" applyBorder="1" applyFont="1">
      <alignment vertical="center"/>
    </xf>
    <xf borderId="6" fillId="16" fontId="56" numFmtId="0" xfId="0" applyAlignment="1" applyBorder="1" applyFont="1">
      <alignment horizontal="center" vertical="center"/>
    </xf>
    <xf borderId="0" fillId="17" fontId="8" numFmtId="0" xfId="0" applyAlignment="1" applyFont="1">
      <alignment horizontal="center" readingOrder="0" shrinkToFit="0" vertical="center" wrapText="1"/>
    </xf>
    <xf borderId="11" fillId="16"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17" fontId="59" numFmtId="0" xfId="0" applyAlignment="1" applyBorder="1" applyFont="1">
      <alignment horizontal="center" readingOrder="0" shrinkToFit="0" vertical="center" wrapText="1"/>
    </xf>
    <xf borderId="11" fillId="7" fontId="60" numFmtId="0" xfId="0" applyAlignment="1" applyBorder="1" applyFont="1">
      <alignment horizontal="center" readingOrder="0" shrinkToFit="0" vertical="center" wrapText="1"/>
    </xf>
    <xf borderId="11" fillId="5" fontId="60" numFmtId="0" xfId="0" applyAlignment="1" applyBorder="1" applyFont="1">
      <alignment horizontal="center" readingOrder="0" shrinkToFit="0" vertical="center" wrapText="1"/>
    </xf>
    <xf borderId="11" fillId="16" fontId="61" numFmtId="0" xfId="0" applyAlignment="1" applyBorder="1" applyFont="1">
      <alignment horizontal="center" readingOrder="0"/>
    </xf>
    <xf borderId="11" fillId="17" fontId="61" numFmtId="0" xfId="0" applyAlignment="1" applyBorder="1" applyFont="1">
      <alignment horizontal="center" readingOrder="0"/>
    </xf>
    <xf borderId="11" fillId="16" fontId="60" numFmtId="0" xfId="0" applyAlignment="1" applyBorder="1" applyFont="1">
      <alignment horizontal="center" readingOrder="0" shrinkToFit="0" vertical="center" wrapText="1"/>
    </xf>
    <xf borderId="11" fillId="17" fontId="60"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22" numFmtId="0" xfId="0" applyAlignment="1" applyFont="1">
      <alignment vertical="center"/>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27" numFmtId="0" xfId="0" applyAlignment="1" applyFont="1">
      <alignment horizontal="center" shrinkToFit="0" vertical="center" wrapText="1"/>
    </xf>
    <xf borderId="0" fillId="7" fontId="62"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6"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6"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31" numFmtId="0" xfId="0" applyAlignment="1" applyFont="1">
      <alignment horizontal="center" shrinkToFit="0" vertical="center" wrapText="1"/>
    </xf>
    <xf borderId="0" fillId="16"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6" fontId="2"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16" fontId="25" numFmtId="0" xfId="0" applyAlignment="1" applyFont="1">
      <alignment horizontal="center" shrinkToFit="0" vertical="center" wrapText="1"/>
    </xf>
    <xf borderId="0" fillId="0" fontId="63" numFmtId="0" xfId="0" applyAlignment="1" applyFont="1">
      <alignment horizontal="center" shrinkToFit="0" vertical="center" wrapText="1"/>
    </xf>
    <xf borderId="0" fillId="16"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6"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6" fontId="8" numFmtId="0" xfId="0" applyAlignment="1" applyFont="1">
      <alignment horizontal="center" shrinkToFit="0" vertical="center" wrapText="1"/>
    </xf>
    <xf borderId="0" fillId="16" fontId="19" numFmtId="0" xfId="0" applyAlignment="1" applyFont="1">
      <alignment horizontal="center" readingOrder="0" shrinkToFit="0" vertical="center" wrapText="1"/>
    </xf>
    <xf borderId="0" fillId="16" fontId="22" numFmtId="0" xfId="0" applyAlignment="1" applyFont="1">
      <alignment horizontal="center" shrinkToFit="0" vertical="center" wrapText="1"/>
    </xf>
    <xf borderId="0" fillId="16"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6" fontId="22" numFmtId="0" xfId="0" applyAlignment="1" applyFont="1">
      <alignment horizontal="center" vertical="center"/>
    </xf>
    <xf borderId="0" fillId="7" fontId="24" numFmtId="0" xfId="0" applyAlignment="1" applyFont="1">
      <alignment horizontal="center" readingOrder="0" shrinkToFit="0" vertical="center" wrapText="1"/>
    </xf>
    <xf borderId="0" fillId="18" fontId="17" numFmtId="0" xfId="0" applyAlignment="1" applyFill="1" applyFont="1">
      <alignment horizontal="center" readingOrder="0" shrinkToFit="0" vertical="center" wrapText="1"/>
    </xf>
    <xf borderId="0" fillId="18" fontId="2" numFmtId="0" xfId="0" applyAlignment="1" applyFont="1">
      <alignment horizontal="center" shrinkToFit="0" vertical="center" wrapText="1"/>
    </xf>
    <xf borderId="0" fillId="18" fontId="17" numFmtId="0" xfId="0" applyAlignment="1" applyFont="1">
      <alignment horizontal="center" shrinkToFit="0" vertical="center" wrapText="1"/>
    </xf>
    <xf borderId="0" fillId="18" fontId="64" numFmtId="0" xfId="0" applyAlignment="1" applyFont="1">
      <alignment horizontal="center" vertical="center"/>
    </xf>
    <xf borderId="0" fillId="5" fontId="64" numFmtId="0" xfId="0" applyAlignment="1" applyFont="1">
      <alignment horizontal="center" vertical="center"/>
    </xf>
    <xf borderId="0" fillId="18" fontId="8" numFmtId="0" xfId="0" applyAlignment="1" applyFont="1">
      <alignment horizontal="center" readingOrder="0" shrinkToFit="0" vertical="center" wrapText="1"/>
    </xf>
    <xf borderId="0" fillId="18" fontId="19" numFmtId="0" xfId="0" applyAlignment="1" applyFont="1">
      <alignment horizontal="center" readingOrder="0" shrinkToFit="0" vertical="center" wrapText="1"/>
    </xf>
    <xf borderId="0" fillId="18" fontId="8" numFmtId="0" xfId="0" applyAlignment="1" applyFont="1">
      <alignment horizontal="center" shrinkToFit="0" vertical="center" wrapText="1"/>
    </xf>
    <xf borderId="0" fillId="18" fontId="19" numFmtId="0" xfId="0" applyAlignment="1" applyFont="1">
      <alignment horizontal="center" shrinkToFit="0" vertical="center" wrapText="1"/>
    </xf>
    <xf borderId="0" fillId="18" fontId="22" numFmtId="0" xfId="0" applyAlignment="1" applyFont="1">
      <alignment horizontal="center" vertical="center"/>
    </xf>
    <xf borderId="0" fillId="5" fontId="22" numFmtId="0" xfId="0" applyAlignment="1" applyFont="1">
      <alignment horizontal="center" vertical="center"/>
    </xf>
    <xf borderId="0" fillId="18" fontId="8"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8" numFmtId="0" xfId="0" applyAlignment="1" applyFont="1">
      <alignment shrinkToFit="0" vertical="center" wrapText="1"/>
    </xf>
    <xf borderId="0" fillId="18" fontId="65" numFmtId="0" xfId="0" applyAlignment="1" applyFont="1">
      <alignment horizontal="center" shrinkToFit="0" vertical="center" wrapText="1"/>
    </xf>
    <xf borderId="0" fillId="5" fontId="65" numFmtId="0" xfId="0" applyAlignment="1" applyFont="1">
      <alignment horizontal="center" shrinkToFit="0" vertical="center" wrapText="1"/>
    </xf>
    <xf borderId="0" fillId="18" fontId="2" numFmtId="0" xfId="0" applyAlignment="1" applyFont="1">
      <alignment horizontal="center" readingOrder="0" shrinkToFit="0" vertical="center" wrapText="1"/>
    </xf>
    <xf borderId="0" fillId="18"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8" fontId="7" numFmtId="0" xfId="0" applyAlignment="1" applyFont="1">
      <alignment horizontal="center" shrinkToFit="0" vertical="center" wrapText="1"/>
    </xf>
    <xf borderId="0" fillId="18" fontId="22" numFmtId="0" xfId="0" applyAlignment="1" applyFont="1">
      <alignment horizontal="center" readingOrder="0" vertical="center"/>
    </xf>
    <xf borderId="0" fillId="18" fontId="66" numFmtId="0" xfId="0" applyAlignment="1" applyFont="1">
      <alignment horizontal="center" readingOrder="0" shrinkToFit="0" vertical="center" wrapText="1"/>
    </xf>
    <xf borderId="0" fillId="5" fontId="66" numFmtId="0" xfId="0" applyAlignment="1" applyFont="1">
      <alignment horizontal="center" readingOrder="0" shrinkToFit="0" vertical="center" wrapText="1"/>
    </xf>
    <xf borderId="0" fillId="18" fontId="22" numFmtId="0" xfId="0" applyAlignment="1" applyFont="1">
      <alignment horizontal="center" vertical="center"/>
    </xf>
    <xf borderId="0" fillId="5" fontId="22" numFmtId="0" xfId="0" applyAlignment="1" applyFont="1">
      <alignment horizontal="center" shrinkToFit="0" vertical="center" wrapText="0"/>
    </xf>
    <xf borderId="0" fillId="18"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7" numFmtId="0" xfId="0" applyAlignment="1" applyFont="1">
      <alignment horizontal="center" shrinkToFit="0" vertical="center" wrapText="1"/>
    </xf>
    <xf borderId="0" fillId="18" fontId="22" numFmtId="0" xfId="0" applyAlignment="1" applyFont="1">
      <alignment vertical="center"/>
    </xf>
    <xf borderId="0" fillId="7" fontId="68" numFmtId="0" xfId="0" applyAlignment="1" applyFont="1">
      <alignment horizontal="center" readingOrder="0" shrinkToFit="0" vertical="center" wrapText="1"/>
    </xf>
    <xf borderId="0" fillId="18"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0" fontId="17" numFmtId="0" xfId="0" applyAlignment="1" applyFont="1">
      <alignment horizontal="center" shrinkToFit="0" vertical="center" wrapText="1"/>
    </xf>
    <xf borderId="0" fillId="18" fontId="69" numFmtId="0" xfId="0" applyAlignment="1" applyFont="1">
      <alignment horizontal="center" readingOrder="0" shrinkToFit="0" vertical="center" wrapText="1"/>
    </xf>
    <xf borderId="0" fillId="18" fontId="22" numFmtId="0" xfId="0" applyAlignment="1" applyFont="1">
      <alignment shrinkToFit="0" vertical="center" wrapText="1"/>
    </xf>
    <xf borderId="0" fillId="0" fontId="22" numFmtId="0" xfId="0" applyAlignment="1" applyFont="1">
      <alignment shrinkToFit="0" vertical="center" wrapText="1"/>
    </xf>
    <xf borderId="0" fillId="8" fontId="18" numFmtId="0" xfId="0" applyAlignment="1" applyFont="1">
      <alignment horizontal="center" shrinkToFit="0" vertical="center" wrapText="1"/>
    </xf>
    <xf borderId="0" fillId="4" fontId="18" numFmtId="0" xfId="0" applyAlignment="1" applyFont="1">
      <alignment horizontal="center" shrinkToFit="0" vertical="center" wrapText="1"/>
    </xf>
    <xf borderId="0" fillId="5" fontId="32" numFmtId="0" xfId="0" applyAlignment="1" applyFont="1">
      <alignment readingOrder="0" shrinkToFit="0" vertical="center" wrapText="1"/>
    </xf>
    <xf borderId="0" fillId="5" fontId="32" numFmtId="0" xfId="0" applyAlignment="1" applyFont="1">
      <alignment horizontal="left" shrinkToFit="0" vertical="center" wrapText="1"/>
    </xf>
    <xf borderId="0" fillId="5" fontId="32" numFmtId="0" xfId="0" applyAlignment="1" applyFont="1">
      <alignment shrinkToFit="0" vertical="center" wrapText="1"/>
    </xf>
    <xf borderId="0" fillId="8" fontId="18" numFmtId="0" xfId="0" applyAlignment="1" applyFont="1">
      <alignment horizontal="center" readingOrder="0" shrinkToFit="0" vertical="center" wrapText="1"/>
    </xf>
    <xf borderId="0" fillId="15" fontId="3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4" numFmtId="0" xfId="0" applyAlignment="1" applyFont="1">
      <alignment horizontal="center" shrinkToFit="0" vertical="center" wrapText="1"/>
    </xf>
    <xf borderId="0" fillId="4" fontId="64"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7" numFmtId="0" xfId="0" applyAlignment="1" applyFont="1">
      <alignment horizontal="left" shrinkToFit="0" vertical="center" wrapText="1"/>
    </xf>
    <xf borderId="0" fillId="3" fontId="18"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3" fontId="18" numFmtId="0" xfId="0" applyAlignment="1" applyFont="1">
      <alignment readingOrder="0" shrinkToFit="0" vertical="center" wrapText="1"/>
    </xf>
    <xf borderId="0" fillId="4" fontId="23"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3" fontId="8" numFmtId="0" xfId="0" applyAlignment="1" applyFont="1">
      <alignment shrinkToFit="0" vertical="center" wrapText="1"/>
    </xf>
    <xf borderId="0" fillId="3" fontId="2" numFmtId="0" xfId="0" applyAlignment="1" applyFont="1">
      <alignment horizontal="center" readingOrder="0" shrinkToFit="0" vertical="center" wrapText="1"/>
    </xf>
    <xf borderId="0" fillId="3" fontId="35" numFmtId="0" xfId="0" applyAlignment="1" applyFont="1">
      <alignment horizontal="center" shrinkToFit="0" vertical="center" wrapText="1"/>
    </xf>
    <xf borderId="0" fillId="16" fontId="35" numFmtId="0" xfId="0" applyAlignment="1" applyFont="1">
      <alignment horizontal="center" shrinkToFit="0" vertical="center" wrapText="1"/>
    </xf>
    <xf borderId="0" fillId="15" fontId="35"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5" fontId="22" numFmtId="0" xfId="0" applyAlignment="1" applyFont="1">
      <alignment vertical="center"/>
    </xf>
    <xf borderId="0" fillId="16" fontId="22" numFmtId="0" xfId="0" applyAlignment="1" applyFont="1">
      <alignment vertical="center"/>
    </xf>
    <xf borderId="0" fillId="16" fontId="22" numFmtId="0" xfId="0" applyAlignment="1" applyFont="1">
      <alignment vertical="center"/>
    </xf>
    <xf borderId="0" fillId="8" fontId="22" numFmtId="0" xfId="0" applyAlignment="1" applyFont="1">
      <alignment vertical="center"/>
    </xf>
    <xf borderId="0" fillId="3" fontId="30" numFmtId="0" xfId="0" applyAlignment="1" applyFont="1">
      <alignment vertical="center"/>
    </xf>
    <xf borderId="0" fillId="5" fontId="30" numFmtId="0" xfId="0" applyAlignment="1" applyFont="1">
      <alignment vertical="center"/>
    </xf>
    <xf borderId="0" fillId="16" fontId="30" numFmtId="0" xfId="0" applyAlignment="1" applyFont="1">
      <alignment vertical="center"/>
    </xf>
    <xf borderId="0" fillId="8" fontId="30" numFmtId="0" xfId="0" applyAlignment="1" applyFont="1">
      <alignment vertical="center"/>
    </xf>
    <xf borderId="0" fillId="3" fontId="26" numFmtId="0" xfId="0" applyAlignment="1" applyFont="1">
      <alignment horizontal="left" readingOrder="0" shrinkToFit="0" vertical="center" wrapText="1"/>
    </xf>
    <xf borderId="0" fillId="5" fontId="26" numFmtId="0" xfId="0" applyAlignment="1" applyFont="1">
      <alignment horizontal="left" shrinkToFit="0" vertical="center" wrapText="1"/>
    </xf>
    <xf borderId="0" fillId="16" fontId="26" numFmtId="0" xfId="0" applyAlignment="1" applyFont="1">
      <alignment horizontal="left" shrinkToFit="0" vertical="center" wrapText="1"/>
    </xf>
    <xf borderId="0" fillId="8" fontId="22" numFmtId="0" xfId="0" applyAlignment="1" applyFont="1">
      <alignment horizontal="center" vertical="center"/>
    </xf>
    <xf borderId="0" fillId="3" fontId="73" numFmtId="0" xfId="0" applyAlignment="1" applyFont="1">
      <alignment horizontal="left" shrinkToFit="0" vertical="center" wrapText="1"/>
    </xf>
    <xf borderId="0" fillId="16"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9" fontId="2" numFmtId="0" xfId="0" applyAlignment="1" applyFill="1" applyFont="1">
      <alignment horizontal="center" shrinkToFit="0" vertical="center" wrapText="1"/>
    </xf>
    <xf borderId="0" fillId="3" fontId="22" numFmtId="0" xfId="0" applyAlignment="1" applyFont="1">
      <alignment horizontal="left" vertical="center"/>
    </xf>
    <xf borderId="0" fillId="16" fontId="22" numFmtId="0" xfId="0" applyAlignment="1" applyFont="1">
      <alignment horizontal="left" vertical="center"/>
    </xf>
    <xf borderId="0" fillId="19" fontId="22" numFmtId="0" xfId="0" applyAlignment="1" applyFont="1">
      <alignment horizontal="center" vertical="center"/>
    </xf>
    <xf borderId="0" fillId="7" fontId="6"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7" fontId="6" numFmtId="0" xfId="0" applyAlignment="1" applyFont="1">
      <alignment horizontal="center" shrinkToFit="0" vertical="center" wrapText="1"/>
    </xf>
    <xf borderId="0" fillId="15" fontId="6" numFmtId="0" xfId="0" applyAlignment="1" applyFont="1">
      <alignment horizontal="center" readingOrder="0" shrinkToFit="0" vertical="center" wrapText="1"/>
    </xf>
    <xf borderId="0" fillId="20"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7" fontId="19"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20"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6" fontId="76" numFmtId="0" xfId="0" applyAlignment="1" applyFont="1">
      <alignment readingOrder="0" shrinkToFit="0" wrapText="1"/>
    </xf>
    <xf borderId="0" fillId="17" fontId="77" numFmtId="0" xfId="0" applyAlignment="1" applyFont="1">
      <alignment readingOrder="0" shrinkToFit="0" wrapText="1"/>
    </xf>
    <xf borderId="0" fillId="15" fontId="78" numFmtId="0" xfId="0" applyAlignment="1" applyFont="1">
      <alignment readingOrder="0" shrinkToFit="0" wrapText="1"/>
    </xf>
    <xf borderId="0" fillId="20"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6" fontId="26" numFmtId="0" xfId="0" applyAlignment="1" applyFont="1">
      <alignment horizontal="center" readingOrder="0" shrinkToFit="0" vertical="center" wrapText="1"/>
    </xf>
    <xf borderId="0" fillId="17" fontId="6" numFmtId="0" xfId="0" applyAlignment="1" applyFont="1">
      <alignment horizontal="center" readingOrder="0" shrinkToFit="0" vertical="center" wrapText="1"/>
    </xf>
    <xf borderId="0" fillId="20" fontId="24" numFmtId="0" xfId="0" applyAlignment="1" applyFont="1">
      <alignment horizontal="center" shrinkToFit="0" vertical="center" wrapText="1"/>
    </xf>
    <xf borderId="0" fillId="16" fontId="8" numFmtId="0" xfId="0" applyAlignment="1" applyFont="1">
      <alignment readingOrder="0" shrinkToFit="0" vertical="center" wrapText="1"/>
    </xf>
    <xf borderId="0" fillId="17"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6" fontId="82" numFmtId="0" xfId="0" applyAlignment="1" applyFont="1">
      <alignment horizontal="left" readingOrder="0" shrinkToFit="0" vertical="center" wrapText="1"/>
    </xf>
    <xf borderId="0" fillId="17" fontId="83"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4" numFmtId="0" xfId="0" applyAlignment="1" applyFont="1">
      <alignment horizontal="left" readingOrder="0" shrinkToFit="0" vertical="center" wrapText="1"/>
    </xf>
    <xf borderId="0" fillId="20" fontId="22" numFmtId="0" xfId="0" applyAlignment="1" applyFont="1">
      <alignment vertical="center"/>
    </xf>
    <xf borderId="0" fillId="0" fontId="22" numFmtId="0" xfId="0" applyFont="1"/>
    <xf borderId="0" fillId="0" fontId="52"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攻略アイテム「冒険のヒント」については、ウェブサイトリンクやマップなどの外部リンクを開くことができないため、各種リンク機能を正しくご利用いただくために、通常のウェブサイトからアクセスすることをお勧めします。
（一部の地域では、正しくアクセスするためにVPNが必要になる場合があります。）")</f>
        <v>ゲーム内攻略アイテム「冒険のヒント」については、ウェブサイトリンクやマップなどの外部リンクを開くことができないため、各種リンク機能を正しくご利用いただくために、通常のウェブサイトからアクセスすることをお勧めします。
（一部の地域では、正しくアクセスするためにVPNが必要になる場合があります。）</v>
      </c>
      <c r="C2" s="9" t="str">
        <f>IFERROR(__xludf.DUMMYFUNCTION("GOOGLETRANSLATE(A2,""zh-tw"",""en"")"),"Regarding the in-game strategy item ""Adventurer's Tips,"" since it cannot open external links such as website links/maps, players who need it are advised to use a regular website to access this guide to use its various link functions properly.
(In some "&amp;"regions, a VPN may still be required to access it correctly).")</f>
        <v>Regarding the in-game strategy item "Adventurer's Tips," since it cannot open external links such as website links/maps, players who need it are advised to use a regular website to access this guide to use its various link functions properly.
(In some regions, a VPN may still be required to access it correctly).</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al objeto estratégico del juego «Consejos del aventurero», dado que no puede abrir enlaces externos como enlaces a sitios web o mapas, se recomienda a los jugadores que lo necesiten que utilicen un sitio web convencional para acceder a esta guía"&amp;" y usar correctamente sus diversas funciones de enlace.
(En algunas regiones, puede que se requiera una VPN para acceder correctamente).")</f>
        <v>En cuanto al objeto estratégico del juego «Consejos del aventurero», dado que no puede abrir enlaces externos como enlaces a sitios web o mapas, se recomienda a los jugadores que lo necesiten que utilicen un sitio web convencional para acceder a esta guía y usar correctamente sus diversas funciones de enlace.
(En algunas regiones, puede que se requiera una VPN para acceder correctamente).</v>
      </c>
      <c r="F2" s="5" t="str">
        <f>IFERROR(__xludf.DUMMYFUNCTION("GOOGLETRANSLATE(A2,""zh-tw"",""KO"")"),"게임 내 전략 아이템 ""모험가의 팁""은 웹사이트 링크/맵 등 외부 링크를 열 수 없으므로, 해당 아이템이 필요한 플레이어는 다양한 링크 기능을 제대로 사용하기 위해 일반 웹사이트를 통해 이 가이드에 접속하시기 바랍니다.
(일부 지역에서는 VPN 연결이 필요할 수 있습니다.)")</f>
        <v>게임 내 전략 아이템 "모험가의 팁"은 웹사이트 링크/맵 등 외부 링크를 열 수 없으므로, 해당 아이템이 필요한 플레이어는 다양한 링크 기능을 제대로 사용하기 위해 일반 웹사이트를 통해 이 가이드에 접속하시기 바랍니다.
(일부 지역에서는 VPN 연결이 필요할 수 있습니다.)</v>
      </c>
      <c r="G2" s="4" t="str">
        <f>IFERROR(__xludf.DUMMYFUNCTION("GOOGLETRANSLATE(A2,""zh-tw"",""RU"")"),"Что касается внутриигрового стратегического пункта «Советы искателя приключений», то, поскольку он не может открывать внешние ссылки, такие как ссылки на веб-сайты/карты, игрокам, которым он необходим, рекомендуется использовать обычный веб-сайт для досту"&amp;"па к этому руководству, чтобы использовать различные функции ссылок.
(В некоторых регионах для корректного доступа к нему может потребоваться VPN).")</f>
        <v>Что касается внутриигрового стратегического пункта «Советы искателя приключений», то, поскольку он не может открывать внешние ссылки, такие как ссылки на веб-сайты/карты, игрокам, которым он необходим, рекомендуется использовать обычный веб-сайт для доступа к этому руководству, чтобы использовать различные функции ссылок.
(В некоторых регионах для корректного доступа к нему может потребоваться VPN).</v>
      </c>
      <c r="H2" s="4" t="str">
        <f>IFERROR(__xludf.DUMMYFUNCTION("GOOGLETRANSLATE(A2,""zh-tw"",""DE"")"),"Da der Strategiegegenstand „Abenteurertipps“ im Spiel keine externen Links wie Webseiten oder Karten öffnen kann, wird Spielern, die ihn benötigen, empfohlen, für den Zugriff auf diesen Leitfaden eine reguläre Webseite zu verwenden, um die verschiedenen L"&amp;"inkfunktionen korrekt nutzen zu können.
(In einigen Regionen ist möglicherweise weiterhin ein VPN erforderlich, um korrekt darauf zugreifen zu können.)")</f>
        <v>Da der Strategiegegenstand „Abenteurertipps“ im Spiel keine externen Links wie Webseiten oder Karten öffnen kann, wird Spielern, die ihn benötigen, empfohlen, für den Zugriff auf diesen Leitfaden eine reguläre Webseite zu verwenden, um die verschiedenen Linkfunktionen korrekt nutzen zu können.
(In einigen Regionen ist möglicherweise weiterhin ein VPN erforderlich, um korrekt darauf zugreifen zu können.)</v>
      </c>
      <c r="I2" s="4" t="str">
        <f>IFERROR(__xludf.DUMMYFUNCTION("GOOGLETRANSLATE(A2,""zh-tw"",""VI"")"),"Về mục chiến lược trong trò chơi ""Mẹo Phiêu lưu"", vì mục này không thể mở các liên kết ngoài như liên kết trang web/bản đồ, người chơi cần mục này nên sử dụng trang web thông thường để truy cập hướng dẫn này nhằm sử dụng đúng các chức năng liên kết khác"&amp;" nhau.
(Ở một số khu vực, vẫn có thể cần VPN để truy cập chính xác).")</f>
        <v>Về mục chiến lược trong trò chơi "Mẹo Phiêu lưu", vì mục này không thể mở các liên kết ngoài như liên kết trang web/bản đồ, người chơi cần mục này nên sử dụng trang web thông thường để truy cập hướng dẫn này nhằm sử dụng đúng các chức năng liên kết khác nhau.
(Ở một số khu vực, vẫn có thể cần VPN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amp;"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f>
        <v>※※※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v>
      </c>
      <c r="C3" s="9" t="str">
        <f>IFERROR(__xludf.DUMMYFUNCTION("GOOGLETRANSLATE(A3,""zh-tw"",""en"")"),"※※※
1. Images in official promotional materials or previews, and some items already implemented, do not guarantee full implementation. Therefore, please do not ask how to do things that are not yet available; the answer is always ""not yet,"" not that th"&amp;"e guide is incomplete!
2. For each major version update, it is recommended to manually download the latest version from the official website and use automatic updates (this update function requires a VPN to access other regions in some areas).
3. This g"&amp;"uide focuses on the PC version. Some functions are unavailable on the Android version (e.g., the camera), therefore some content is not applicable to this guide.
4. An iOS version is not currently planned by the official team.
5. This document does not "&amp;"require permission; anyone can directly view it from the tabs at the bottom.")</f>
        <v>※※※
1. Images in official promotional materials or previews, and some items already implemented, do not guarantee full implementation. Therefore, please do not ask how to do things that are not yet available; the answer is always "not yet," not that the guide is incomplete!
2. For each major version update, it is recommended to manually download the latest version from the official website and use automatic updates (this update function requires a VPN to access other regions in some areas).
3. This guide focuses on the PC version. Some functions are unavailable on the Android version (e.g., the camera), therefore some content is not applicable to this guide.
4. An iOS version is not currently planned by the official team.
5. This document does not require permission; anyone can directly view it from the tabs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en los materiales promocionales oficiales o avances, y algunos elementos ya implementados, no garantizan su implementación completa. Por lo tanto, no pregunte cómo realizar funciones que aún no están disponibles; la respuesta siempre "&amp;"es «aún no», ¡no porque la guía esté incompleta!
2. Para cada actualización importante, se recomienda descargar manualmente la última versión desde el sitio web oficial y usar las actualizaciones automáticas (esta función requiere una VPN para acceder a "&amp;"otras regiones en algunas zonas).
3. Esta guía se centra en la versión para PC. Algunas funciones no están disponibles en la versión para Android (por ejemplo, la cámara), por lo que parte del contenido no se aplica a esta guía.
4. El equipo oficial no "&amp;"tiene previsto lanzar una versión para iOS.
5. Este documento no requiere permisos; cualquiera puede consultarlo directamente desde las pestañas de la parte inferior.")</f>
        <v>※※※
1. Las imágenes en los materiales promocionales oficiales o avances, y algunos elementos ya implementados, no garantizan su implementación completa. Por lo tanto, no pregunte cómo realizar funciones que aún no están disponibles; la respuesta siempre es «aún no», ¡no porque la guía esté incompleta!
2. Para cada actualización importante, se recomienda descargar manualmente la última versión desde el sitio web oficial y usar las actualizaciones automáticas (esta función requiere una VPN para acceder a otras regiones en algunas zonas).
3. Esta guía se centra en la versión para PC. Algunas funciones no están disponibles en la versión para Android (por ejemplo, la cámara), por lo que parte del contenido no se aplica a esta guía.
4. El equipo oficial no tiene previsto lanzar una versión para iOS.
5. Este documento no requiere permisos; cualquiera puede consultarlo directamente desde las pestañas de la parte inferior.</v>
      </c>
      <c r="F3" s="5" t="str">
        <f>IFERROR(__xludf.DUMMYFUNCTION("GOOGLETRANSLATE(A3,""zh-tw"",""KO"")"),"※※※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"&amp;"위해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f>
        <v>※※※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v>
      </c>
      <c r="G3" s="4" t="str">
        <f>IFERROR(__xludf.DUMMYFUNCTION("GOOGLETRANSLATE(A3,""zh-tw"",""RU"")"),"※※※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о"&amp;"значает,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требу"&amp;"ется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официа"&amp;"льной командой.
5. Для просмотра этого документа не требуется разрешение; любой желающий может напрямую просмотреть его с помощью вкладок внизу.")</f>
        <v>※※※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официальной командой.
5. Для просмотра этого документа не требуется разрешение; любой желающий может напрямую просмотреть его с помощью вкладок внизу.</v>
      </c>
      <c r="H3" s="4" t="str">
        <f>IFERROR(__xludf.DUMMYFUNCTION("GOOGLETRANSLATE(A3,""zh-tw"",""DE"")"),"※※※
1. Bilder in offiziellen Werbematerialien oder Vorschauen sowie einige bereits implementierte Elemente garantieren keine vollständige Implementierung. Fragen Sie daher bitte nicht nach Funktionen, die noch nicht verfügbar sind. Die Antwort lautet imm"&amp;"er „noch nicht“, nicht, dass die Anleitung unvollständig ist!
2. Bei jedem größeren Versionsupdate wird empfohlen, die neueste Version manuell von der offiziellen Website herunterzuladen und automatische Updates zu aktivieren (für diese Update-Funktion i"&amp;"st in einigen Regionen ein VPN erforderlich).
3. Diese Anleitung bezieht sich auf die PC-Version. Einige Funktionen sind in der Android-Version nicht verfügbar (z. B. die Kamera), daher sind manche Inhalte dieser Anleitung nicht relevant.
4. Eine iOS-Ve"&amp;"rsion ist derzeit nicht geplant.
5. Dieses Dokument ist ohne Berechtigung zugänglich; jeder kann es direkt über die Tabs am unteren Rand einsehen.")</f>
        <v>※※※
1. Bilder in offiziellen Werbematerialien oder Vorschauen sowie einige bereits implementierte Elemente garantieren keine vollständige Implementierung. Fragen Sie daher bitte nicht nach Funktionen, die noch nicht verfügbar sind. Die Antwort lautet immer „noch nicht“, nicht, dass die Anleitung unvollständig ist!
2. Bei jedem größeren Versionsupdate wird empfohlen, die neueste Version manuell von der offiziellen Website herunterzuladen und automatische Updates zu aktivieren (für diese Update-Funktion ist in einigen Regionen ein VPN erforderlich).
3. Diese Anleitung bezieht sich auf die PC-Version. Einige Funktionen sind in der Android-Version nicht verfügbar (z. B. die Kamera), daher sind manche Inhalte dieser Anleitung nicht relevant.
4. Eine iOS-Version ist derzeit nicht geplant.
5. Dieses Dokument ist ohne Berechtigung zugänglich; jeder kann es direkt über die Tabs am unteren Rand einsehen.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f>
        <v>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v>
      </c>
      <c r="C4" s="12" t="str">
        <f>IFERROR(__xludf.DUMMYFUNCTION("GOOGLETRANSLATE(A4,""zh-tw"",""en"")"),"Version 0.82 does not include any new SLG (Strategy/Simulation) gameplay elements; please decide whether to skip it. The next version, 0.85, is expected to implement many bathroom and washroom features; let's look forward to it!")</f>
        <v>Version 0.82 does not include any new SLG (Strategy/Simulation) gameplay elements; please decide whether to skip it. The next version, 0.85, is expected to implement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nuevos elementos de juego de estrategia/simulación; por favor, decida si desea omitirla. Se espera que la próxima versión, la 0.85, implemente muchas características para baños y aseos; ¡esperémosla con ansias!")</f>
        <v>La versión 0.82 no incluye nuevos elementos de juego de estrategia/simulación; por favor, decida si desea omitirla. Se espera que la próxima versión, la 0.85, implemente muchas características para baños y aseos; ¡esperémosla con ansias!</v>
      </c>
      <c r="F4" s="11" t="str">
        <f>IFERROR(__xludf.DUMMYFUNCTION("GOOGLETRANSLATE(A4,""zh-tw"",""KO"")"),"버전 0.82에는 새로운 SLG(전략/시뮬레이션) 게임플레이 요소가 포함되어 있지 않습니다. 건너뛸지 여부를 결정해 주세요. 다음 버전인 0.85에는 욕실 및 세면실 관련 기능이 많이 추가될 예정입니다. 기대해 주세요!")</f>
        <v>버전 0.82에는 새로운 SLG(전략/시뮬레이션) 게임플레이 요소가 포함되어 있지 않습니다. 건너뛸지 여부를 결정해 주세요. 다음 버전인 0.85에는 욕실 및 세면실 관련 기능이 많이 추가될 예정입니다. 기대해 주세요!</v>
      </c>
      <c r="G4" s="11" t="str">
        <f>IFERROR(__xludf.DUMMYFUNCTION("GOOGLETRANSLATE(A4,""zh-tw"",""RU"")"),"Версия 0.82 не включает в себя никаких новых элементов SLG (стратегия/симулятор); пожалуйста, решайте сами, стоит ли её пропускать. Ожидается, что в следующей версии, 0.85, будет реализовано множество функций для ванных комнат и туалетов; будем ждать с не"&amp;"терпением!")</f>
        <v>Версия 0.82 не включает в себя никаких новых элементов SLG (стратегия/симулятор); пожалуйста, решайте сами, стоит ли её пропускать. Ожидается, что в следующей версии, 0.85, будет реализовано множество функций для ванных комнат и туалетов; будем ждать с нетерпением!</v>
      </c>
      <c r="H4" s="11" t="str">
        <f>IFERROR(__xludf.DUMMYFUNCTION("GOOGLETRANSLATE(A4,""zh-tw"",""DE"")"),"Version 0.82 enthält keine neuen SLG-Spielelemente (Strategie/Simulation); entscheiden Sie selbst, ob Sie sie überspringen möchten. Die nächste Version, 0.85, wird voraussichtlich viele neue Funktionen für Badezimmer und Toiletten bieten; seien Sie gespan"&amp;"nt!")</f>
        <v>Version 0.82 enthält keine neuen SLG-Spielelemente (Strategie/Simulation); entscheiden Sie selbst, ob Sie sie überspringen möchten. Die nächste Version, 0.85, wird voraussichtlich viele neue Funktionen für Badezimmer und Toiletten bieten; seien Sie gespannt!</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プロトタイプコア」のアップグレードについてですが、使用スロットはスキルバーにあります。現在、このスロットにはテキスト説明がないため、空欄になっています。これは設計がまだ完了していないためであり、バグではありません。選択後、通常通りアップグレードできます。")</f>
        <v>アイテム「プロトタイプコア」のアップグレードについてですが、使用スロットはスキルバーにあります。現在、このスロットにはテキスト説明がないため、空欄になっています。これは設計がまだ完了していないためであり、バグではありません。選択後、通常通りアップグレードできます。</v>
      </c>
      <c r="C5" s="12" t="str">
        <f>IFERROR(__xludf.DUMMYFUNCTION("GOOGLETRANSLATE(A5,""zh-tw"",""en"")"),"Regarding the upgrade of the item ""Prototype Core"", the usage slot is in the skill bar. Since there is currently no text description for this slot, it is currently blank. This is just because the design is not yet complete and is not a bug. You can upgr"&amp;"ade as usual after selecting it.")</f>
        <v>Regarding the upgrade of the item "Prototype Core", the usage slot is in the skill bar. Since there is currently no text description for this slot, it is currently blank. This is just because the design is not yet complete and is not a bug. You can upgrade as usual after selecting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IFERROR(__xludf.DUMMYFUNCTION("GOOGLETRANSLATE(A5,""zh-tw"",""es-MX"")"),"En cuanto a la mejora del objeto ""Núcleo Prototipo"", la ranura de uso se encuentra en la barra de habilidades. Dado que actualmente no hay ninguna descripción para esta ranura, aparece en blanco. Esto se debe simplemente a que el diseño aún no está comp"&amp;"leto y no es un error. Puedes mejorarlo como de costumbre después de seleccionarlo.")</f>
        <v>En cuanto a la mejora del objeto "Núcleo Prototipo", la ranura de uso se encuentra en la barra de habilidades. Dado que actualmente no hay ninguna descripción para esta ranura, aparece en blanco. Esto se debe simplemente a que el diseño aún no está completo y no es un error. Puedes mejorarlo como de costumbre después de seleccionarlo.</v>
      </c>
      <c r="F5" s="11" t="str">
        <f>IFERROR(__xludf.DUMMYFUNCTION("GOOGLETRANSLATE(A5,""zh-tw"",""KO"")"),"""프로토타입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f>
        <v>"프로토타입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v>
      </c>
      <c r="G5" s="11" t="str">
        <f>IFERROR(__xludf.DUMMYFUNCTION("GOOGLETRANSLATE(A5,""zh-tw"",""RU"")"),"Что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улу"&amp;"чшить его как обычно, выбрав его.")</f>
        <v>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улучшить его как обычно, выбрав его.</v>
      </c>
      <c r="H5" s="11" t="str">
        <f>IFERROR(__xludf.DUMMYFUNCTION("GOOGLETRANSLATE(A5,""zh-tw"",""DE"")"),"Bezüglich der Aufwertung des Gegenstands „Prototypkern“: Der Verwendungsplatz befindet sich in der Fertigkeitenleiste. Da dieser Platz aktuell keine Textbeschreibung hat, ist er leer. Dies liegt daran, dass das Design noch nicht final ist und stellt keine"&amp;"n Fehler dar. Sie können die Aufwertung wie gewohnt durchführen, nachdem Sie den Gegenstand ausgewählt haben.")</f>
        <v>Bezüglich der Aufwertung des Gegenstands „Prototypkern“: Der Verwendungsplatz befindet sich in der Fertigkeitenleiste. Da dieser Platz aktuell keine Textbeschreibung hat, ist er leer. Dies liegt daran, dass das Design noch nicht final ist und stellt keinen Fehler dar. Sie können die Aufwertung wie gewohnt durchführen, nachdem Sie den Gegenstand ausgewählt haben.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des umfangreichen Entwicklungsaufwands für die Kartenversion 0.8 sind einige Sprachinhalte auf dieser Seite möglicherweise nicht vollständig verfügbar. Bitte beachten Sie, dass die Version in traditionellem Chinesisch als Vergleichsreferenz diene"&amp;"n kann.")</f>
        <v>Aufgrund des umfangreichen Entwicklungsaufwands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"&amp;"ロシア語翻訳：Libeti
韓国語翻訳：maltesey
ベトナム語翻訳：IntenseLag、Nian Sprout
データ編集協力：Luo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データ編集協力：Luo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translators: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translators: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del mapa: Discord: mioakatukaze
Traductor de chino simplificado: ShigeLuna
Traductor de japonés: 눈_눈
Traductor de inglés: Ruika
Traduc"&amp;"tores de español: zNagato, AndyJango
Traductor de alemán: Gabriel Buth
Traductor de ruso: Libeti
Traductor de coreano: maltesey
Traductores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del mapa: Discord: mioakatukaze
Traductor de chino simplificado: ShigeLuna
Traductor de japonés: 눈_눈
Traductor de inglés: Ruika
Traductores de español: zNagato, AndyJango
Traductor de alemán: Gabriel Buth
Traductor de ruso: Libeti
Traductor de coreano: maltesey
Traductores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지도 제작: Discord: mioakatukaze
중국어 간체 번역: ShigeLuna
일본어 번역: 눈_눈
영어 "&amp;"번역: Ruika
스페인어 번역: zNagato, AndyJango
독일어 번역: Gabriel Buth
러시아어 번역: Libeti
한국어 번역: maltesey
베트남어 번역: IntenseLag, Nian Sprout
데이터 수집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지도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수집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ihren Fragen helfen und ist nicht für kommerzielle oder Werbezwecke bestimmt!
Dieser Leitfaden wurde von einem taiwanesischen Spieler erstellt und verwendet daher hauptsächlich traditionelles Chinesisch. Wir bitten etwai"&amp;"ge Ungenauigkeiten in Übersetzungen in andere Sprachen zu entschuldigen.
Der Chefredakteur ist selbst Spieler. Die meisten unveröffentlichten Informationen stammen aus offiziellen Quellen, daher können unentdeckte Spielmechaniken fehlen. Sollten Sie unen"&amp;"tdeckte Mechaniken, Auslassungen oder Anomalien in diesem Dokument finden, kontaktieren Sie bitte den Chefredakteur per E-Mail.
Sie können die Erlaubnis erhalten, dieses Dokument (kostenlos) anderweitig zu veröffentlichen oder es mit zusätzlichen Inhalte"&amp;"n zu ergänzen. Bitte kontaktieren Sie mich per E-Mail.
Discord-Link des Chefredakteurs: RORO#3330
Alternativ erreichen Sie mich per E-Mail unter gameconlch@gmail.com. Vielen Dank für Ihre Mitarbeit.
Kartenerstellung: Discord: mioakatukaze
Übersetzer (Ve"&amp;"reinfachtes Chinesisch): ShigeLuna
Übersetzer (Japanisch): 눈_눈
Übersetzer (Englisch): Ruika
Übersetzer (Spanisch): zNagato, AndyJango
Übersetzer (Deutsch): Gabriel Buth
Übersetzer (Russisch): Libeti
Übersetzer (Koreanisch): maltesey
Übersetzer (Vietnamesi"&amp;"sch): IntenseLag, Nian Sprout
Unterstützung bei der Datenerfassung: Luo Ran
")</f>
        <v>Dieses Dokument soll Spielern bei ihren Fragen helfen und ist nicht für kommerzielle oder Werbezwecke bestimmt!
Dieser Leitfaden wurde von einem taiwanesischen Spieler erstellt und verwendet daher hauptsächlich traditionelles Chinesisch. Wir bitten etwaige Ungenauigkeiten in Übersetzungen in andere Sprachen zu entschuldigen.
Der Chefredakteur ist selbst Spieler. Die meisten unveröffentlichten Informationen stammen aus offiziellen Quellen, daher können unentdeckte Spielmechaniken fehlen. Sollten Sie unentdeckte Mechaniken, Auslassungen oder Anomalien in diesem Dokument finden, kontaktieren Sie bitte den Chefredakteur per E-Mail.
Sie können die Erlaubnis erhalten, dieses Dokument (kostenlos) anderweitig zu veröffentlichen oder es mit zusätzlichen Inhalten zu ergänzen. Bitte kontaktieren Sie mich per E-Mail.
Discord-Link des Chefredakteurs: RORO#3330
Alternativ erreichen Sie mich per E-Mail unter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aktuell in der Beta-Phase. Die Vorschaubilder garantieren keine Veröffentlichung. Bitte fragen Sie daher nicht nach Funktionen, die noch nicht verfügbar sind. Die Antwort lautet immer: „Es ist noch nicht fertig.“
Dieses Dokument b"&amp;"ehandelt derzeit ausschließlich Anfragen zu fehlenden Spieldateien. Anfragen zu Spielinhalten oder Fehlerberichten werden nicht beantwortet. Bitte senden Sie uns keine E-Mails.
Bei allen weiteren Fragen besuchen Sie bitte den offiziellen Discord-Kanal, u"&amp;"m sich mit anderen Spielern auszutauschen. Vielen Dank für Ihre Mitarbeit!")</f>
        <v>Das Spiel befindet sich aktuell in der Beta-Phase. Die Vorschaubilder garantieren keine Veröffentlichung. Bitte fragen Sie daher nicht nach Funktionen, die noch nicht verfügbar sind. Die Antwort lautet immer: „Es ist noch nicht fertig.“
Dieses Dokument behandelt derzeit ausschließlich Anfragen zu fehlenden Spieldateien. Anfragen zu Spielinhalten oder Fehlerberichten werden nicht beantwortet. Bitte senden Sie uns keine E-Mails.
Bei allen weiteren Fragen besuchen Sie bitte den offiziellen Discord-Kanal, um sich mit anderen Spielern auszutauschen. Vielen Dank für Ihre Mitarbeit!</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IFERROR(__xludf.DUMMYFUNCTION("GOOGLETRANSLATE(A19,""zh-tw"",""DE"")"),"Arbeitszeitprotokoll bearbeiten")</f>
        <v>Arbeitszeitprotokoll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IFERROR(__xludf.DUMMYFUNCTION("GOOGLETRANSLATE(A20,""zh-tw"",""ja"")"),"2025年10月30日：バージョン0.85を追加：S-C-23～S-C-29、S-A-24")</f>
        <v>2025年10月30日：バージョン0.85を追加：S-C-23～S-C-29、S-A-24</v>
      </c>
      <c r="C20" s="44" t="str">
        <f>IFERROR(__xludf.DUMMYFUNCTION("GOOGLETRANSLATE(A20,""zh-tw"",""en"")"),"October 30, 2025: Added version 0.85: S-C-23~S-C-29, S-A-24")</f>
        <v>October 30, 2025: Added version 0.85: S-C-23~S-C-29, S-A-24</v>
      </c>
      <c r="D20" s="43" t="str">
        <f>IFERROR(__xludf.DUMMYFUNCTION("GOOGLETRANSLATE(A20,""zh-tw"",""zh"")"),"2025/10/30 新增0.85版本：S-C-23~S-C-29、S-A-24")</f>
        <v>2025/10/30 新增0.85版本：S-C-23~S-C-29、S-A-24</v>
      </c>
      <c r="E20" s="45" t="str">
        <f>IFERROR(__xludf.DUMMYFUNCTION("GOOGLETRANSLATE(A20,""zh-tw"",""es-MX"")"),"30 de octubre de 2025: Se añadió la versión 0.85: S-C-23~S-C-29, S-A-24")</f>
        <v>30 de octubre de 2025: Se añadió la versión 0.85: S-C-23~S-C-29, S-A-24</v>
      </c>
      <c r="F20" s="45" t="str">
        <f>IFERROR(__xludf.DUMMYFUNCTION("GOOGLETRANSLATE(A20,""zh-tw"",""KO"")"),"2025년 10월 30일: 버전 0.85 추가: S-C-23~S-C-29, S-A-24")</f>
        <v>2025년 10월 30일: 버전 0.85 추가: S-C-23~S-C-29, S-A-24</v>
      </c>
      <c r="G20" s="45" t="str">
        <f>IFERROR(__xludf.DUMMYFUNCTION("GOOGLETRANSLATE(A20,""zh-tw"",""RU"")"),"30 октября 2025 г.: добавлена ​​версия 0.85: S-C-23~S-C-29, S-A-24")</f>
        <v>30 октября 2025 г.: добавлена ​​версия 0.85: S-C-23~S-C-29, S-A-24</v>
      </c>
      <c r="H20" s="45" t="str">
        <f>IFERROR(__xludf.DUMMYFUNCTION("GOOGLETRANSLATE(A20,""zh-tw"",""DE"")"),"30. Oktober 2025: Version 0.85 hinzugefügt: S-C-23 bis S-C-29, S-A-24")</f>
        <v>30. Oktober 2025: Version 0.85 hinzugefügt: S-C-23 bis S-C-29, S-A-24</v>
      </c>
      <c r="I20" s="45" t="str">
        <f>IFERROR(__xludf.DUMMYFUNCTION("GOOGLETRANSLATE(A20,""zh-tw"",""vi"")"),"Ngày 30 tháng 10 năm 2025: Đã thêm phiên bản 0.85: S-C-23~S-C-29, S-A-24")</f>
        <v>Ngày 30 tháng 10 năm 2025: Đã thêm phiên bản 0.85: S-C-23~S-C-29, S-A-24</v>
      </c>
      <c r="J20" s="46"/>
      <c r="K20" s="46"/>
      <c r="L20" s="46"/>
      <c r="M20" s="46"/>
      <c r="N20" s="46"/>
      <c r="O20" s="46"/>
      <c r="P20" s="46"/>
      <c r="Q20" s="46"/>
      <c r="R20" s="46"/>
      <c r="S20" s="46"/>
      <c r="T20" s="46"/>
      <c r="U20" s="46"/>
      <c r="V20" s="46"/>
      <c r="W20" s="46"/>
    </row>
    <row r="21">
      <c r="A21" s="43" t="s">
        <v>62</v>
      </c>
      <c r="B21" s="43" t="str">
        <f>IFERROR(__xludf.DUMMYFUNCTION("GOOGLETRANSLATE(A21,""zh-tw"",""ja"")"),"2025年10月14日: 0.82Dを追加: R4、R68、アイテム+3")</f>
        <v>2025年10月14日: 0.82Dを追加: R4、R68、アイテム+3</v>
      </c>
      <c r="C21" s="44" t="str">
        <f>IFERROR(__xludf.DUMMYFUNCTION("GOOGLETRANSLATE(A21,""zh-tw"",""en"")"),"October 14, 2025: Added 0.82D: R4, R68, Items +3")</f>
        <v>October 14, 2025: Added 0.82D: R4, R68, Items +3</v>
      </c>
      <c r="D21" s="43" t="str">
        <f>IFERROR(__xludf.DUMMYFUNCTION("GOOGLETRANSLATE(A21,""zh-tw"",""zh"")"),"2025/10/14 新增0.82D：R4、R68、Items +3")</f>
        <v>2025/10/14 新增0.82D：R4、R68、Items +3</v>
      </c>
      <c r="E21" s="45" t="str">
        <f>IFERROR(__xludf.DUMMYFUNCTION("GOOGLETRANSLATE(A21,""zh-tw"",""es-MX"")"),"14 de octubre de 2025: Añadido 0.82D: R4, R68, Artículos +3")</f>
        <v>14 de octubre de 2025: Añadido 0.82D: R4, R68, Artículos +3</v>
      </c>
      <c r="F21" s="45" t="str">
        <f>IFERROR(__xludf.DUMMYFUNCTION("GOOGLETRANSLATE(A21,""zh-tw"",""KO"")"),"2025년 10월 14일: 0.82D 추가: R4, R68, 아이템 +3")</f>
        <v>2025년 10월 14일: 0.82D 추가: R4, R68, 아이템 +3</v>
      </c>
      <c r="G21" s="45" t="str">
        <f>IFERROR(__xludf.DUMMYFUNCTION("GOOGLETRANSLATE(A21,""zh-tw"",""RU"")"),"14 октября 2025 г.: добавлено 0.82D: R4, R68, предметы +3")</f>
        <v>14 октября 2025 г.: добавлено 0.82D: R4, R68, предметы +3</v>
      </c>
      <c r="H21" s="45" t="str">
        <f>IFERROR(__xludf.DUMMYFUNCTION("GOOGLETRANSLATE(A21,""zh-tw"",""DE"")"),"14. Oktober 2025: Hinzugefügt 0.82D: R4, R68, Gegenstände +3")</f>
        <v>14. Oktober 2025: Hinzugefügt 0.82D: R4, R68, Gegenstände +3</v>
      </c>
      <c r="I21" s="45" t="str">
        <f>IFERROR(__xludf.DUMMYFUNCTION("GOOGLETRANSLATE(A21,""zh-tw"",""vi"")"),"Ngày 14 tháng 10 năm 2025: Thêm 0.82D: R4, R68, Vật phẩm +3")</f>
        <v>Ngày 14 tháng 10 năm 2025: Thêm 0.82D: R4, R68, Vật phẩm +3</v>
      </c>
      <c r="J21" s="46"/>
      <c r="K21" s="46"/>
      <c r="L21" s="46"/>
      <c r="M21" s="46"/>
      <c r="N21" s="46"/>
      <c r="O21" s="46"/>
      <c r="P21" s="46"/>
      <c r="Q21" s="46"/>
      <c r="R21" s="46"/>
      <c r="S21" s="46"/>
      <c r="T21" s="46"/>
      <c r="U21" s="46"/>
      <c r="V21" s="46"/>
      <c r="W21" s="46"/>
    </row>
    <row r="22">
      <c r="A22" s="43" t="s">
        <v>63</v>
      </c>
      <c r="B22" s="43" t="str">
        <f>IFERROR(__xludf.DUMMYFUNCTION("GOOGLETRANSLATE(A22,""zh-tw"",""ja"")"),"2025/10/6 ベトナム語翻訳を追加")</f>
        <v>2025/10/6 ベトナム語翻訳を追加</v>
      </c>
      <c r="C22" s="44" t="str">
        <f>IFERROR(__xludf.DUMMYFUNCTION("GOOGLETRANSLATE(A22,""zh-tw"",""en"")"),"2025/10/6 Added Vietnamese translation")</f>
        <v>2025/10/6 Added Vietnamese translation</v>
      </c>
      <c r="D22" s="43" t="str">
        <f>IFERROR(__xludf.DUMMYFUNCTION("GOOGLETRANSLATE(A22,""zh-tw"",""zh"")"),"2025/10/6 新增越南文的翻译")</f>
        <v>2025/10/6 新增越南文的翻译</v>
      </c>
      <c r="E22" s="45" t="str">
        <f>IFERROR(__xludf.DUMMYFUNCTION("GOOGLETRANSLATE(A22,""zh-tw"",""es-MX"")"),"2025/10/6 Se agregó traducción al vietnamita")</f>
        <v>2025/10/6 Se agregó traducción al vietnamita</v>
      </c>
      <c r="F22" s="45" t="str">
        <f>IFERROR(__xludf.DUMMYFUNCTION("GOOGLETRANSLATE(A22,""zh-tw"",""KO"")"),"2025/10/6 베트남어 번역 추가")</f>
        <v>2025/10/6 베트남어 번역 추가</v>
      </c>
      <c r="G22" s="45" t="str">
        <f>IFERROR(__xludf.DUMMYFUNCTION("GOOGLETRANSLATE(A22,""zh-tw"",""RU"")"),"06.10.2025 Добавлен перевод на вьетнамский язык.")</f>
        <v>06.10.2025 Добавлен перевод на вьетнамский язык.</v>
      </c>
      <c r="H22" s="45" t="str">
        <f>IFERROR(__xludf.DUMMYFUNCTION("GOOGLETRANSLATE(A22,""zh-tw"",""DE"")"),"06.10.2025 Vietnamesische Übersetzung hinzugefügt")</f>
        <v>06.10.2025 Vietnamesische Übersetzung hinzugefügt</v>
      </c>
      <c r="I22" s="47" t="s">
        <v>64</v>
      </c>
      <c r="J22" s="46"/>
      <c r="K22" s="46"/>
      <c r="L22" s="46"/>
      <c r="M22" s="46"/>
      <c r="N22" s="46"/>
      <c r="O22" s="46"/>
      <c r="P22" s="46"/>
      <c r="Q22" s="46"/>
      <c r="R22" s="46"/>
      <c r="S22" s="46"/>
      <c r="T22" s="46"/>
      <c r="U22" s="46"/>
      <c r="V22" s="46"/>
      <c r="W22" s="46"/>
    </row>
    <row r="23">
      <c r="A23" s="43" t="s">
        <v>65</v>
      </c>
      <c r="B23" s="43" t="str">
        <f>IFERROR(__xludf.DUMMYFUNCTION("GOOGLETRANSLATE(A23,""zh-tw"",""ja"")"),"2025/10/1
0.82 アップデート:
R21、R66～R68、R83～89、武器-45～49、ドロップ-15、47～49、ギア-75～78、ヒント-106～112")</f>
        <v>2025/10/1
0.82 アップデート:
R21、R66～R68、R83～89、武器-45～49、ドロップ-15、47～49、ギア-75～78、ヒント-106～112</v>
      </c>
      <c r="C23" s="44" t="str">
        <f>IFERROR(__xludf.DUMMYFUNCTION("GOOGLETRANSLATE(A23,""zh-tw"",""en"")"),"2025/10/1
0.82 update:
R21, R66~R68, R83~89, Weap-45~49, Drops-15, 47~49, Gears-75~78, TIPS-106~112")</f>
        <v>2025/10/1
0.82 update:
R21, R66~R68, R83~89, Weap-45~49, Drops-15, 47~49, Gears-75~78, TIPS-106~112</v>
      </c>
      <c r="D23" s="43" t="str">
        <f>IFERROR(__xludf.DUMMYFUNCTION("GOOGLETRANSLATE(A23,""zh-tw"",""zh"")"),"2025/10/1
0.82 update：
R21、R66~R68、R83~89、Weap-45~49、Drops-15、47~49、Gears-75~78、TIPS-106~112")</f>
        <v>2025/10/1
0.82 update：
R21、R66~R68、R83~89、Weap-45~49、Drops-15、47~49、Gears-75~78、TIPS-106~112</v>
      </c>
      <c r="E23" s="45" t="str">
        <f>IFERROR(__xludf.DUMMYFUNCTION("GOOGLETRANSLATE(A23,""zh-tw"",""es-MX"")"),"01/10/2025
Actualización 0.82: Rangos 21, 66-68, 83-89; Armas: 45-49; Objetos: 15, 47-49; Engranajes: 75-78; Consejos: 106-112")</f>
        <v>01/10/2025
Actualización 0.82: Rangos 21, 66-68, 83-89; Armas: 45-49; Objetos: 15, 47-49; Engranajes: 75-78; Consejos: 106-112</v>
      </c>
      <c r="F23" s="45" t="str">
        <f>IFERROR(__xludf.DUMMYFUNCTION("GOOGLETRANSLATE(A23,""zh-tw"",""KO"")"),"2025년 10월 1일
0.82 업데이트:
R21, R66~R68, R83~89, 무기-45~49, 드랍-15, 47~49, 장비-75~78, 팁-106~112")</f>
        <v>2025년 10월 1일
0.82 업데이트:
R21, R66~R68, R83~89, 무기-45~49, 드랍-15, 47~49, 장비-75~78, 팁-106~112</v>
      </c>
      <c r="G23" s="45" t="str">
        <f>IFERROR(__xludf.DUMMYFUNCTION("GOOGLETRANSLATE(A23,""zh-tw"",""RU"")"),"1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3" s="45" t="str">
        <f>IFERROR(__xludf.DUMMYFUNCTION("GOOGLETRANSLATE(A23,""zh-tw"",""DE"")"),"01.10.2025
Update 0.82:
R21, R66–R68, R83–89, Waffen 45–49, Drops 15, 47–49, Ausrüstung 75–78, Tipps 106–112")</f>
        <v>01.10.2025
Update 0.82:
R21, R66–R68, R83–89, Waffen 45–49, Drops 15, 47–49, Ausrüstung 75–78, Tipps 106–112</v>
      </c>
      <c r="I23" s="48" t="s">
        <v>66</v>
      </c>
      <c r="J23" s="46"/>
      <c r="K23" s="46"/>
      <c r="L23" s="46"/>
      <c r="M23" s="46"/>
      <c r="N23" s="46"/>
      <c r="O23" s="46"/>
      <c r="P23" s="46"/>
      <c r="Q23" s="46"/>
      <c r="R23" s="46"/>
      <c r="S23" s="46"/>
      <c r="T23" s="46"/>
      <c r="U23" s="46"/>
      <c r="V23" s="46"/>
      <c r="W23" s="46"/>
    </row>
    <row r="24">
      <c r="A24" s="43" t="s">
        <v>67</v>
      </c>
      <c r="B24" s="43" t="str">
        <f>IFERROR(__xludf.DUMMYFUNCTION("GOOGLETRANSLATE(A24,""zh-tw"",""ja"")"),"2025/9/14 0.81アップデート:
R69~R82, R24/TIPS 105~106/ドロップ 46/武器 45.46/ギア 64~74/アイテム 42")</f>
        <v>2025/9/14 0.81アップデート:
R69~R82, R24/TIPS 105~106/ドロップ 46/武器 45.46/ギア 64~74/アイテム 42</v>
      </c>
      <c r="C24" s="44" t="str">
        <f>IFERROR(__xludf.DUMMYFUNCTION("GOOGLETRANSLATE(A24,""zh-tw"",""en"")"),"2025/9/14 0.81update:
R69~R82, R24/TIPS 105~106/Drops 46/Weap 45.46/Gears 64~74/Items 42")</f>
        <v>2025/9/14 0.81update:
R69~R82, R24/TIPS 105~106/Drops 46/Weap 45.46/Gears 64~74/Items 42</v>
      </c>
      <c r="D24" s="43" t="str">
        <f>IFERROR(__xludf.DUMMYFUNCTION("GOOGLETRANSLATE(A24,""zh-tw"",""zh"")"),"2025/9/14 0.81update：
R69~R82、R24/TIPS 105~106/Drops 46/Weap 45.46/Gears 64~74/Items 42")</f>
        <v>2025/9/14 0.81update：
R69~R82、R24/TIPS 105~106/Drops 46/Weap 45.46/Gears 64~74/Items 42</v>
      </c>
      <c r="E24" s="45" t="str">
        <f>IFERROR(__xludf.DUMMYFUNCTION("GOOGLETRANSLATE(A24,""zh-tw"",""es-MX"")"),"Actualización 0.81 del 14/09/2025: R69~R82, R24/CONSEJOS 105~106/Botín 46/Armas 45.46/Equipamiento 64~74/Objetos 42")</f>
        <v>Actualización 0.81 del 14/09/2025: R69~R82, R24/CONSEJOS 105~106/Botín 46/Armas 45.46/Equipamiento 64~74/Objetos 42</v>
      </c>
      <c r="F24" s="45" t="str">
        <f>IFERROR(__xludf.DUMMYFUNCTION("GOOGLETRANSLATE(A24,""zh-tw"",""KO"")"),"2025년 9월 14일 0.81 업데이트:
R69~R82, R24/팁 105~106/드랍 46/무기 45.46/장비 64~74/아이템 42")</f>
        <v>2025년 9월 14일 0.81 업데이트:
R69~R82, R24/팁 105~106/드랍 46/무기 45.46/장비 64~74/아이템 42</v>
      </c>
      <c r="G24" s="45" t="str">
        <f>IFERROR(__xludf.DUMMYFUNCTION("GOOGLETRANSLATE(A24,""zh-tw"",""RU"")"),"Обновление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4" s="45" t="str">
        <f>IFERROR(__xludf.DUMMYFUNCTION("GOOGLETRANSLATE(A24,""zh-tw"",""DE"")"),"Update 0.81 vom 14.09.2025:
R69–R82, R24/Tipps 105–106/Beute 46/Waffen 45,46/Ausrüstung 64–74/Gegenstände 42")</f>
        <v>Update 0.81 vom 14.09.2025:
R69–R82, R24/Tipps 105–106/Beute 46/Waffen 45,46/Ausrüstung 64–74/Gegenstände 42</v>
      </c>
      <c r="I24" s="49" t="s">
        <v>68</v>
      </c>
      <c r="J24" s="46"/>
      <c r="K24" s="46"/>
      <c r="L24" s="46"/>
      <c r="M24" s="46"/>
      <c r="N24" s="46"/>
      <c r="O24" s="46"/>
      <c r="P24" s="46"/>
      <c r="Q24" s="46"/>
      <c r="R24" s="46"/>
      <c r="S24" s="46"/>
      <c r="T24" s="46"/>
      <c r="U24" s="46"/>
      <c r="V24" s="46"/>
      <c r="W24" s="46"/>
    </row>
    <row r="25">
      <c r="A25" s="43" t="s">
        <v>69</v>
      </c>
      <c r="B25" s="43" t="str">
        <f>IFERROR(__xludf.DUMMYFUNCTION("GOOGLETRANSLATE(A25,""zh-tw"",""ja"")"),"2025 年 9 月 4 日にビデオ/オーディオのページネーションを追加しました。")</f>
        <v>2025 年 9 月 4 日にビデオ/オーディオのページネーションを追加しました。</v>
      </c>
      <c r="C25" s="44" t="str">
        <f>IFERROR(__xludf.DUMMYFUNCTION("GOOGLETRANSLATE(A25,""zh-tw"",""en"")"),"Added video/audio pagination on September 4, 2025.")</f>
        <v>Added video/audio pagination on September 4, 2025.</v>
      </c>
      <c r="D25" s="43" t="str">
        <f>IFERROR(__xludf.DUMMYFUNCTION("GOOGLETRANSLATE(A25,""zh-tw"",""zh"")"),"2025/9/4 新增影音分页")</f>
        <v>2025/9/4 新增影音分页</v>
      </c>
      <c r="E25" s="45" t="str">
        <f>IFERROR(__xludf.DUMMYFUNCTION("GOOGLETRANSLATE(A25,""zh-tw"",""es-MX"")"),"Se añadió la paginación de vídeo/audio el 4 de septiembre de 2025.")</f>
        <v>Se añadió la paginación de vídeo/audio el 4 de septiembre de 2025.</v>
      </c>
      <c r="F25" s="45" t="str">
        <f>IFERROR(__xludf.DUMMYFUNCTION("GOOGLETRANSLATE(A25,""zh-tw"",""KO"")"),"2025년 9월 4일에 비디오/오디오 페이지 매김 기능이 추가되었습니다.")</f>
        <v>2025년 9월 4일에 비디오/오디오 페이지 매김 기능이 추가되었습니다.</v>
      </c>
      <c r="G25" s="45" t="str">
        <f>IFERROR(__xludf.DUMMYFUNCTION("GOOGLETRANSLATE(A25,""zh-tw"",""RU"")"),"Добавлена ​​пагинация видео/аудио 4 сентября 2025 г.")</f>
        <v>Добавлена ​​пагинация видео/аудио 4 сентября 2025 г.</v>
      </c>
      <c r="H25" s="45" t="str">
        <f>IFERROR(__xludf.DUMMYFUNCTION("GOOGLETRANSLATE(A25,""zh-tw"",""DE"")"),"Video-/Audio-Seitennummerierung hinzugefügt am 4. September 2025.")</f>
        <v>Video-/Audio-Seitennummerierung hinzugefügt am 4. September 2025.</v>
      </c>
      <c r="I25" s="49" t="s">
        <v>70</v>
      </c>
      <c r="J25" s="46"/>
      <c r="K25" s="46"/>
      <c r="L25" s="46"/>
      <c r="M25" s="46"/>
      <c r="N25" s="46"/>
      <c r="O25" s="46"/>
      <c r="P25" s="46"/>
      <c r="Q25" s="46"/>
      <c r="R25" s="46"/>
      <c r="S25" s="46"/>
      <c r="T25" s="46"/>
      <c r="U25" s="46"/>
      <c r="V25" s="46"/>
      <c r="W25" s="46"/>
    </row>
    <row r="26">
      <c r="A26" s="43" t="s">
        <v>71</v>
      </c>
      <c r="B26" s="43" t="str">
        <f>IFERROR(__xludf.DUMMYFUNCTION("GOOGLETRANSLATE(A26,""zh-tw"",""ja"")"),"2025/8/31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6" s="44" t="str">
        <f>IFERROR(__xludf.DUMMYFUNCTION("GOOGLETRANSLATE(A26,""zh-tw"",""en"")"),"2025/8/31 The map section image file website will be changed from imgse website to postimage")</f>
        <v>2025/8/31 The map section image file website will be changed from imgse website to postimage</v>
      </c>
      <c r="D26" s="43" t="str">
        <f>IFERROR(__xludf.DUMMYFUNCTION("GOOGLETRANSLATE(A26,""zh-tw"",""zh"")"),"2025/8/31 Map板块图档网站由imgse网站更换为postimage")</f>
        <v>2025/8/31 Map板块图档网站由imgse网站更换为postimage</v>
      </c>
      <c r="E26" s="45" t="str">
        <f>IFERROR(__xludf.DUMMYFUNCTION("GOOGLETRANSLATE(A26,""zh-tw"",""es-MX"")"),"31/08/2025 El sitio web de archivos de imágenes de la sección de mapas cambiará de imgse a postimage.")</f>
        <v>31/08/2025 El sitio web de archivos de imágenes de la sección de mapas cambiará de imgse a postimage.</v>
      </c>
      <c r="F26" s="45" t="str">
        <f>IFERROR(__xludf.DUMMYFUNCTION("GOOGLETRANSLATE(A26,""zh-tw"",""KO"")"),"2025/8/31 지도 섹션 이미지 파일 웹사이트가 imgse 웹사이트에서 postimage로 변경됩니다.")</f>
        <v>2025/8/31 지도 섹션 이미지 파일 웹사이트가 imgse 웹사이트에서 postimage로 변경됩니다.</v>
      </c>
      <c r="G26" s="45" t="str">
        <f>IFERROR(__xludf.DUMMYFUNCTION("GOOGLETRANSLATE(A26,""zh-tw"",""RU"")"),"31.08.2025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6" s="45" t="str">
        <f>IFERROR(__xludf.DUMMYFUNCTION("GOOGLETRANSLATE(A26,""zh-tw"",""DE"")"),"31.08.2025 Die Website mit den Bilddateien des Kartenabschnitts wird von der Imgse-Website in Postimage geändert.")</f>
        <v>31.08.2025 Die Website mit den Bilddateien des Kartenabschnitts wird von der Imgse-Website in Postimage geändert.</v>
      </c>
      <c r="I26" s="49" t="s">
        <v>72</v>
      </c>
      <c r="J26" s="46"/>
      <c r="K26" s="46"/>
      <c r="L26" s="46"/>
      <c r="M26" s="46"/>
      <c r="N26" s="46"/>
      <c r="O26" s="46"/>
      <c r="P26" s="46"/>
      <c r="Q26" s="46"/>
      <c r="R26" s="46"/>
      <c r="S26" s="46"/>
      <c r="T26" s="46"/>
      <c r="U26" s="46"/>
      <c r="V26" s="46"/>
      <c r="W26" s="46"/>
    </row>
    <row r="27">
      <c r="A27" s="43" t="s">
        <v>73</v>
      </c>
      <c r="B27" s="43" t="str">
        <f>IFERROR(__xludf.DUMMYFUNCTION("GOOGLETRANSLATE(A27,""zh-tw"",""ja"")"),"バージョン 0.80 (2025 年 8 月 30 日) では、SLG-A8、R11、R59 ～ 68、6 つの新しい装備とアイテム、および繁体字中国語マップの更新が追加されました。")</f>
        <v>バージョン 0.80 (2025 年 8 月 30 日) では、SLG-A8、R11、R59 ～ 68、6 つの新しい装備とアイテム、および繁体字中国語マップの更新が追加されました。</v>
      </c>
      <c r="C27" s="44" t="str">
        <f>IFERROR(__xludf.DUMMYFUNCTION("GOOGLETRANSLATE(A27,""zh-tw"",""en"")"),"Version 0.80 (August 30, 2025) adds: SLG-A8, R11, R59~68, 6 new equipment and items, and a Traditional Chinese map update.")</f>
        <v>Version 0.80 (August 30, 2025) adds: SLG-A8, R11, R59~68, 6 new equipment and items, and a Traditional Chinese map update.</v>
      </c>
      <c r="D27" s="43" t="str">
        <f>IFERROR(__xludf.DUMMYFUNCTION("GOOGLETRANSLATE(A27,""zh-tw"",""zh"")"),"2025/8/30 0.80版本新增：SLG-A8、R11、R59~68、6样装备及道具、繁体中文地图更新")</f>
        <v>2025/8/30 0.80版本新增：SLG-A8、R11、R59~68、6样装备及道具、繁体中文地图更新</v>
      </c>
      <c r="E27" s="45" t="str">
        <f>IFERROR(__xludf.DUMMYFUNCTION("GOOGLETRANSLATE(A27,""zh-tw"",""es-MX"")"),"La versión 0.80 (30 de agosto de 2025) agrega: SLG-A8, R11, R59~68, 6 nuevos equipos y artículos, y una actualización del mapa de China tradicional.")</f>
        <v>La versión 0.80 (30 de agosto de 2025) agrega: SLG-A8, R11, R59~68, 6 nuevos equipos y artículos, y una actualización del mapa de China tradicional.</v>
      </c>
      <c r="F27" s="45" t="str">
        <f>IFERROR(__xludf.DUMMYFUNCTION("GOOGLETRANSLATE(A27,""zh-tw"",""KO"")"),"버전 0.80(2025년 8월 30일)에 다음이 추가되었습니다: SLG-A8, R11, R59~68, 6개의 새로운 장비와 아이템, 그리고 중국어 번체 지도 업데이트.")</f>
        <v>버전 0.80(2025년 8월 30일)에 다음이 추가되었습니다: SLG-A8, R11, R59~68, 6개의 새로운 장비와 아이템, 그리고 중국어 번체 지도 업데이트.</v>
      </c>
      <c r="G27" s="45" t="str">
        <f>IFERROR(__xludf.DUMMYFUNCTION("GOOGLETRANSLATE(A27,""zh-tw"",""RU"")"),"Версия 0.80 (30 августа 2025 г.) добавляет: SLG-A8, R11, R59~68, 6 новых видов снаряжения и предметов, а также обновление карты на традиционном китайском языке.")</f>
        <v>Версия 0.80 (30 августа 2025 г.) добавляет: SLG-A8, R11, R59~68, 6 новых видов снаряжения и предметов, а также обновление карты на традиционном китайском языке.</v>
      </c>
      <c r="H27" s="45" t="str">
        <f>IFERROR(__xludf.DUMMYFUNCTION("GOOGLETRANSLATE(A27,""zh-tw"",""DE"")"),"Version 0.80 (30. August 2025) fügt Folgendes hinzu: SLG-A8, R11, R59~68, 6 neue Ausrüstungsgegenstände und Items sowie ein Update der Karte in traditionellem Chinesisch.")</f>
        <v>Version 0.80 (30. August 2025) fügt Folgendes hinzu: SLG-A8, R11, R59~68, 6 neue Ausrüstungsgegenstände und Items sowie ein Update der Karte in traditionellem Chinesisch.</v>
      </c>
      <c r="I27" s="49" t="s">
        <v>74</v>
      </c>
      <c r="J27" s="46"/>
      <c r="K27" s="46"/>
      <c r="L27" s="46"/>
      <c r="M27" s="46"/>
      <c r="N27" s="46"/>
      <c r="O27" s="46"/>
      <c r="P27" s="46"/>
      <c r="Q27" s="46"/>
      <c r="R27" s="46"/>
      <c r="S27" s="46"/>
      <c r="T27" s="46"/>
      <c r="U27" s="46"/>
      <c r="V27" s="46"/>
      <c r="W27" s="46"/>
    </row>
    <row r="28">
      <c r="A28" s="43" t="s">
        <v>75</v>
      </c>
      <c r="B28" s="43" t="str">
        <f>IFERROR(__xludf.DUMMYFUNCTION("GOOGLETRANSLATE(A28,""zh-tw"",""ja"")"),"2025/8/29 地図更新完了 繁体字中国語版、他言語も順次更新予定")</f>
        <v>2025/8/29 地図更新完了 繁体字中国語版、他言語も順次更新予定</v>
      </c>
      <c r="C28" s="44" t="str">
        <f>IFERROR(__xludf.DUMMYFUNCTION("GOOGLETRANSLATE(A28,""zh-tw"",""en"")"),"2025/8/29 Map update completed Traditional Chinese version, other languages ​​will be updated gradually")</f>
        <v>2025/8/29 Map update completed Traditional Chinese version, other languages ​​will be updated gradually</v>
      </c>
      <c r="D28" s="43" t="str">
        <f>IFERROR(__xludf.DUMMYFUNCTION("GOOGLETRANSLATE(A28,""zh-tw"",""zh"")"),"2025/8/29 map更新完成繁体中文版本，其余语系将逐步更新")</f>
        <v>2025/8/29 map更新完成繁体中文版本，其余语系将逐步更新</v>
      </c>
      <c r="E28" s="45" t="str">
        <f>IFERROR(__xludf.DUMMYFUNCTION("GOOGLETRANSLATE(A28,""zh-tw"",""es-MX"")"),"2025/8/29 Actualización del mapa completada Versión en chino tradicional, otros idiomas se actualizarán gradualmente")</f>
        <v>2025/8/29 Actualización del mapa completada Versión en chino tradicional, otros idiomas se actualizarán gradualmente</v>
      </c>
      <c r="F28" s="45" t="str">
        <f>IFERROR(__xludf.DUMMYFUNCTION("GOOGLETRANSLATE(A28,""zh-tw"",""KO"")"),"2025/8/29 지도 업데이트 완료 중국어 번체 버전, 기타 언어는 점진적으로 업데이트 예정")</f>
        <v>2025/8/29 지도 업데이트 완료 중국어 번체 버전, 기타 언어는 점진적으로 업데이트 예정</v>
      </c>
      <c r="G28" s="45" t="str">
        <f>IFERROR(__xludf.DUMMYFUNCTION("GOOGLETRANSLATE(A28,""zh-tw"",""RU"")"),"29.08.2025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8" s="45" t="str">
        <f>IFERROR(__xludf.DUMMYFUNCTION("GOOGLETRANSLATE(A28,""zh-tw"",""DE"")"),"29.08.2025 Kartenaktualisierung abgeschlossen (traditionelles Chinesisch), weitere Sprachen folgen nach und nach.")</f>
        <v>29.08.2025 Kartenaktualisierung abgeschlossen (traditionelles Chinesisch), weitere Sprachen folgen nach und nach.</v>
      </c>
      <c r="I28" s="49" t="s">
        <v>76</v>
      </c>
      <c r="J28" s="46"/>
      <c r="K28" s="46"/>
      <c r="L28" s="46"/>
      <c r="M28" s="46"/>
      <c r="N28" s="46"/>
      <c r="O28" s="46"/>
      <c r="P28" s="46"/>
      <c r="Q28" s="46"/>
      <c r="R28" s="46"/>
      <c r="S28" s="46"/>
      <c r="T28" s="46"/>
      <c r="U28" s="46"/>
      <c r="V28" s="46"/>
      <c r="W28" s="46"/>
    </row>
    <row r="29">
      <c r="A29" s="43" t="s">
        <v>77</v>
      </c>
      <c r="B29" s="43" t="str">
        <f>IFERROR(__xludf.DUMMYFUNCTION("GOOGLETRANSLATE(A29,""zh-tw"",""ja"")"),"2025年8月11日にバージョン0.79Hが追加されました。（TIPS）")</f>
        <v>2025年8月11日にバージョン0.79Hが追加されました。（TIPS）</v>
      </c>
      <c r="C29" s="44" t="str">
        <f>IFERROR(__xludf.DUMMYFUNCTION("GOOGLETRANSLATE(A29,""zh-tw"",""en"")"),"Version 0.79H was added on August 11, 2025. (TIPS)")</f>
        <v>Version 0.79H was added on August 11, 2025. (TIPS)</v>
      </c>
      <c r="D29" s="43" t="str">
        <f>IFERROR(__xludf.DUMMYFUNCTION("GOOGLETRANSLATE(A29,""zh-tw"",""zh"")"),"2025/8/11 新增了0.79H版本 TIPS")</f>
        <v>2025/8/11 新增了0.79H版本 TIPS</v>
      </c>
      <c r="E29" s="45" t="str">
        <f>IFERROR(__xludf.DUMMYFUNCTION("GOOGLETRANSLATE(A29,""zh-tw"",""es-MX"")"),"La versión 0.79H se añadió el 11 de agosto de 2025. (CONSEJOS)")</f>
        <v>La versión 0.79H se añadió el 11 de agosto de 2025. (CONSEJOS)</v>
      </c>
      <c r="F29" s="45" t="str">
        <f>IFERROR(__xludf.DUMMYFUNCTION("GOOGLETRANSLATE(A29,""zh-tw"",""KO"")"),"2025년 8월 11일에 버전 0.79H가 추가되었습니다. (팁)")</f>
        <v>2025년 8월 11일에 버전 0.79H가 추가되었습니다. (팁)</v>
      </c>
      <c r="G29" s="45" t="str">
        <f>IFERROR(__xludf.DUMMYFUNCTION("GOOGLETRANSLATE(A29,""zh-tw"",""RU"")"),"Версия 0.79H была добавлена ​​11 августа 2025 г. (СОВЕТЫ)")</f>
        <v>Версия 0.79H была добавлена ​​11 августа 2025 г. (СОВЕТЫ)</v>
      </c>
      <c r="H29" s="45" t="str">
        <f>IFERROR(__xludf.DUMMYFUNCTION("GOOGLETRANSLATE(A29,""zh-tw"",""DE"")"),"Version 0.79H wurde am 11. August 2025 hinzugefügt. (TIPPS)")</f>
        <v>Version 0.79H wurde am 11. August 2025 hinzugefügt. (TIPPS)</v>
      </c>
      <c r="I29" s="49" t="s">
        <v>78</v>
      </c>
      <c r="J29" s="46"/>
      <c r="K29" s="46"/>
      <c r="L29" s="46"/>
      <c r="M29" s="46"/>
      <c r="N29" s="46"/>
      <c r="O29" s="46"/>
      <c r="P29" s="46"/>
      <c r="Q29" s="46"/>
      <c r="R29" s="46"/>
      <c r="S29" s="46"/>
      <c r="T29" s="46"/>
      <c r="U29" s="46"/>
      <c r="V29" s="46"/>
      <c r="W29" s="46"/>
    </row>
    <row r="30">
      <c r="A30" s="43" t="s">
        <v>79</v>
      </c>
      <c r="B30" s="43" t="str">
        <f>IFERROR(__xludf.DUMMYFUNCTION("GOOGLETRANSLATE(A30,""zh-tw"",""ja"")"),"2025/7/20 バージョン0.79E RPG35.41を追加")</f>
        <v>2025/7/20 バージョン0.79E RPG35.41を追加</v>
      </c>
      <c r="C30" s="44" t="str">
        <f>IFERROR(__xludf.DUMMYFUNCTION("GOOGLETRANSLATE(A30,""zh-tw"",""en"")"),"2025/7/20 Added version 0.79E RPG35.41")</f>
        <v>2025/7/20 Added version 0.79E RPG35.41</v>
      </c>
      <c r="D30" s="43" t="str">
        <f>IFERROR(__xludf.DUMMYFUNCTION("GOOGLETRANSLATE(A30,""zh-tw"",""zh"")"),"2025/7/20 新增了0.79E版本 RPG35.41")</f>
        <v>2025/7/20 新增了0.79E版本 RPG35.41</v>
      </c>
      <c r="E30" s="45" t="str">
        <f>IFERROR(__xludf.DUMMYFUNCTION("GOOGLETRANSLATE(A30,""zh-tw"",""es-MX"")"),"20/7/2025 Añadida la versión 0.79E RPG35.41")</f>
        <v>20/7/2025 Añadida la versión 0.79E RPG35.41</v>
      </c>
      <c r="F30" s="45" t="str">
        <f>IFERROR(__xludf.DUMMYFUNCTION("GOOGLETRANSLATE(A30,""zh-tw"",""KO"")"),"2025/7/20 버전 0.79E RPG35.41 추가")</f>
        <v>2025/7/20 버전 0.79E RPG35.41 추가</v>
      </c>
      <c r="G30" s="45" t="str">
        <f>IFERROR(__xludf.DUMMYFUNCTION("GOOGLETRANSLATE(A30,""zh-tw"",""RU"")"),"2025/7/20 Добавлена ​​версия 0.79E RPG35.41")</f>
        <v>2025/7/20 Добавлена ​​версия 0.79E RPG35.41</v>
      </c>
      <c r="H30" s="45" t="str">
        <f>IFERROR(__xludf.DUMMYFUNCTION("GOOGLETRANSLATE(A30,""zh-tw"",""DE"")"),"20.07.2025 Version 0.79E RPG35.41 hinzugefügt")</f>
        <v>20.07.2025 Version 0.79E RPG35.41 hinzugefügt</v>
      </c>
      <c r="I30" s="49" t="s">
        <v>80</v>
      </c>
      <c r="J30" s="46"/>
      <c r="K30" s="46"/>
      <c r="L30" s="46"/>
      <c r="M30" s="46"/>
      <c r="N30" s="46"/>
      <c r="O30" s="46"/>
      <c r="P30" s="46"/>
      <c r="Q30" s="46"/>
      <c r="R30" s="46"/>
      <c r="S30" s="46"/>
      <c r="T30" s="46"/>
      <c r="U30" s="46"/>
      <c r="V30" s="46"/>
      <c r="W30" s="46"/>
    </row>
    <row r="31">
      <c r="A31" s="43" t="s">
        <v>81</v>
      </c>
      <c r="B31" s="43" t="str">
        <f>IFERROR(__xludf.DUMMYFUNCTION("GOOGLETRANSLATE(A31,""zh-tw"",""ja"")"),"2025/7/20にバージョン0.79DのTIPSを追加しました")</f>
        <v>2025/7/20にバージョン0.79DのTIPSを追加しました</v>
      </c>
      <c r="C31" s="44" t="str">
        <f>IFERROR(__xludf.DUMMYFUNCTION("GOOGLETRANSLATE(A31,""zh-tw"",""en"")"),"Added version 0.79D TIPS on 2025/7/20")</f>
        <v>Added version 0.79D TIPS on 2025/7/20</v>
      </c>
      <c r="D31" s="43" t="str">
        <f>IFERROR(__xludf.DUMMYFUNCTION("GOOGLETRANSLATE(A31,""zh-tw"",""zh"")"),"2025/7/20 新增了0.79D版本TIPS")</f>
        <v>2025/7/20 新增了0.79D版本TIPS</v>
      </c>
      <c r="E31" s="45" t="str">
        <f>IFERROR(__xludf.DUMMYFUNCTION("GOOGLETRANSLATE(A31,""zh-tw"",""es-MX"")"),"Se añadió la versión 0.79D de TIPS el 20/07/2025.")</f>
        <v>Se añadió la versión 0.79D de TIPS el 20/07/2025.</v>
      </c>
      <c r="F31" s="45" t="str">
        <f>IFERROR(__xludf.DUMMYFUNCTION("GOOGLETRANSLATE(A31,""zh-tw"",""KO"")"),"2025/7/20에 0.79D TIPS 버전이 추가되었습니다.")</f>
        <v>2025/7/20에 0.79D TIPS 버전이 추가되었습니다.</v>
      </c>
      <c r="G31" s="45" t="str">
        <f>IFERROR(__xludf.DUMMYFUNCTION("GOOGLETRANSLATE(A31,""zh-tw"",""RU"")"),"Добавлена ​​версия 0.79D TIPS 20.07.2025")</f>
        <v>Добавлена ​​версия 0.79D TIPS 20.07.2025</v>
      </c>
      <c r="H31" s="45" t="str">
        <f>IFERROR(__xludf.DUMMYFUNCTION("GOOGLETRANSLATE(A31,""zh-tw"",""DE"")"),"Version 0.79D TIPS hinzugefügt am 20.07.2025")</f>
        <v>Version 0.79D TIPS hinzugefügt am 20.07.2025</v>
      </c>
      <c r="I31" s="49" t="s">
        <v>82</v>
      </c>
      <c r="J31" s="46"/>
      <c r="K31" s="46"/>
      <c r="L31" s="46"/>
      <c r="M31" s="46"/>
      <c r="N31" s="46"/>
      <c r="O31" s="46"/>
      <c r="P31" s="46"/>
      <c r="Q31" s="46"/>
      <c r="R31" s="46"/>
      <c r="S31" s="46"/>
      <c r="T31" s="46"/>
      <c r="U31" s="46"/>
      <c r="V31" s="46"/>
      <c r="W31" s="46"/>
    </row>
    <row r="32">
      <c r="A32" s="43" t="s">
        <v>83</v>
      </c>
      <c r="B32" s="43" t="str">
        <f>IFERROR(__xludf.DUMMYFUNCTION("GOOGLETRANSLATE(A32,""zh-tw"",""ja"")"),"2025/7/12 バージョン0.79 SLG-A、SLG-C、TIPS、武器、ドロップを追加")</f>
        <v>2025/7/12 バージョン0.79 SLG-A、SLG-C、TIPS、武器、ドロップを追加</v>
      </c>
      <c r="C32" s="44" t="str">
        <f>IFERROR(__xludf.DUMMYFUNCTION("GOOGLETRANSLATE(A32,""zh-tw"",""en"")"),"2025/7/12 Added version 0.79 SLG-A, SLG-C, TIPS, Weap, Drops")</f>
        <v>2025/7/12 Added version 0.79 SLG-A, SLG-C, TIPS, Weap, Drops</v>
      </c>
      <c r="D32" s="43" t="str">
        <f>IFERROR(__xludf.DUMMYFUNCTION("GOOGLETRANSLATE(A32,""zh-tw"",""zh"")"),"2025/7/12 新增了0.79版本SLG-A、SLG-C、TIPS、Weap、Drops")</f>
        <v>2025/7/12 新增了0.79版本SLG-A、SLG-C、TIPS、Weap、Drops</v>
      </c>
      <c r="E32" s="45" t="str">
        <f>IFERROR(__xludf.DUMMYFUNCTION("GOOGLETRANSLATE(A32,""zh-tw"",""es-MX"")"),"12/07/2025 Añadida la versión 0.79 SLG-A, SLG-C, CONSEJOS, Armas, Botín")</f>
        <v>12/07/2025 Añadida la versión 0.79 SLG-A, SLG-C, CONSEJOS, Armas, Botín</v>
      </c>
      <c r="F32" s="45" t="str">
        <f>IFERROR(__xludf.DUMMYFUNCTION("GOOGLETRANSLATE(A32,""zh-tw"",""KO"")"),"2025/7/12 버전 0.79 SLG-A, SLG-C, TIPS, Weap, Drops 추가")</f>
        <v>2025/7/12 버전 0.79 SLG-A, SLG-C, TIPS, Weap, Drops 추가</v>
      </c>
      <c r="G32" s="45" t="str">
        <f>IFERROR(__xludf.DUMMYFUNCTION("GOOGLETRANSLATE(A32,""zh-tw"",""RU"")"),"12.07.2025 Добавлена ​​версия 0.79 SLG-A, SLG-C, TIPS, Weap, Drops.")</f>
        <v>12.07.2025 Добавлена ​​версия 0.79 SLG-A, SLG-C, TIPS, Weap, Drops.</v>
      </c>
      <c r="H32" s="45" t="str">
        <f>IFERROR(__xludf.DUMMYFUNCTION("GOOGLETRANSLATE(A32,""zh-tw"",""DE"")"),"12.07.2025 Version 0.79 hinzugefügt: SLG-A, SLG-C, TIPS, Weap, Drops")</f>
        <v>12.07.2025 Version 0.79 hinzugefügt: SLG-A, SLG-C, TIPS, Weap, Drops</v>
      </c>
      <c r="I32" s="49" t="s">
        <v>84</v>
      </c>
      <c r="J32" s="46"/>
      <c r="K32" s="46"/>
      <c r="L32" s="46"/>
      <c r="M32" s="46"/>
      <c r="N32" s="46"/>
      <c r="O32" s="46"/>
      <c r="P32" s="46"/>
      <c r="Q32" s="46"/>
      <c r="R32" s="46"/>
      <c r="S32" s="46"/>
      <c r="T32" s="46"/>
      <c r="U32" s="46"/>
      <c r="V32" s="46"/>
      <c r="W32" s="46"/>
    </row>
    <row r="33">
      <c r="A33" s="43" t="s">
        <v>85</v>
      </c>
      <c r="B33" s="43" t="str">
        <f>IFERROR(__xludf.DUMMYFUNCTION("GOOGLETRANSLATE(A33,""zh-tw"",""ja"")"),"2025/6/11 バージョン0.77の説明を一部修正し、TIPSを追加しました")</f>
        <v>2025/6/11 バージョン0.77の説明を一部修正し、TIPSを追加しました</v>
      </c>
      <c r="C33" s="44" t="str">
        <f>IFERROR(__xludf.DUMMYFUNCTION("GOOGLETRANSLATE(A33,""zh-tw"",""en"")"),"2025/6/11 Corrected some of the descriptions of version 0.77 and added TIPS")</f>
        <v>2025/6/11 Corrected some of the descriptions of version 0.77 and added TIPS</v>
      </c>
      <c r="D33" s="43" t="str">
        <f>IFERROR(__xludf.DUMMYFUNCTION("GOOGLETRANSLATE(A33,""zh-tw"",""zh"")"),"2025/6/11 修正了部分0.77版本的叙述，并新增了TIPS")</f>
        <v>2025/6/11 修正了部分0.77版本的叙述，并新增了TIPS</v>
      </c>
      <c r="E33" s="45" t="str">
        <f>IFERROR(__xludf.DUMMYFUNCTION("GOOGLETRANSLATE(A33,""zh-tw"",""es-MX"")"),"11/06/2025 Se corrigieron algunas descripciones de la versión 0.77 y se añadieron consejos.")</f>
        <v>11/06/2025 Se corrigieron algunas descripciones de la versión 0.77 y se añadieron consejos.</v>
      </c>
      <c r="F33" s="45" t="str">
        <f>IFERROR(__xludf.DUMMYFUNCTION("GOOGLETRANSLATE(A33,""zh-tw"",""KO"")"),"2025/6/11 버전 0.77에 대한 설명 중 일부를 수정하고 TIPS를 추가했습니다.")</f>
        <v>2025/6/11 버전 0.77에 대한 설명 중 일부를 수정하고 TIPS를 추가했습니다.</v>
      </c>
      <c r="G33" s="45" t="str">
        <f>IFERROR(__xludf.DUMMYFUNCTION("GOOGLETRANSLATE(A33,""zh-tw"",""RU"")"),"2025/6/11 Исправлены некоторые описания версии 0.77 и добавлены СОВЕТЫ")</f>
        <v>2025/6/11 Исправлены некоторые описания версии 0.77 и добавлены СОВЕТЫ</v>
      </c>
      <c r="H33" s="45" t="str">
        <f>IFERROR(__xludf.DUMMYFUNCTION("GOOGLETRANSLATE(A33,""zh-tw"",""DE"")"),"11.06.2025 Einige Beschreibungen der Version 0.77 korrigiert und TIPPS hinzugefügt")</f>
        <v>11.06.2025 Einige Beschreibungen der Version 0.77 korrigiert und TIPPS hinzugefügt</v>
      </c>
      <c r="I33" s="49" t="s">
        <v>86</v>
      </c>
      <c r="J33" s="46"/>
      <c r="K33" s="46"/>
      <c r="L33" s="46"/>
      <c r="M33" s="46"/>
      <c r="N33" s="46"/>
      <c r="O33" s="46"/>
      <c r="P33" s="46"/>
      <c r="Q33" s="46"/>
      <c r="R33" s="46"/>
      <c r="S33" s="46"/>
      <c r="T33" s="46"/>
      <c r="U33" s="46"/>
      <c r="V33" s="46"/>
      <c r="W33" s="46"/>
    </row>
    <row r="34">
      <c r="A34" s="43" t="s">
        <v>87</v>
      </c>
      <c r="B34" s="43" t="str">
        <f>IFERROR(__xludf.DUMMYFUNCTION("GOOGLETRANSLATE(A34,""zh-tw"",""ja"")"),"2025年6月10日にバージョン0.77に更新されました。")</f>
        <v>2025年6月10日にバージョン0.77に更新されました。</v>
      </c>
      <c r="C34" s="44" t="str">
        <f>IFERROR(__xludf.DUMMYFUNCTION("GOOGLETRANSLATE(A34,""zh-tw"",""en"")"),"Updated to version 0.77 on June 10, 2025.")</f>
        <v>Updated to version 0.77 on June 10, 2025.</v>
      </c>
      <c r="D34" s="43" t="str">
        <f>IFERROR(__xludf.DUMMYFUNCTION("GOOGLETRANSLATE(A34,""zh-tw"",""zh"")"),"2025/6/10 更新0.77版本的内容")</f>
        <v>2025/6/10 更新0.77版本的内容</v>
      </c>
      <c r="E34" s="45" t="str">
        <f>IFERROR(__xludf.DUMMYFUNCTION("GOOGLETRANSLATE(A34,""zh-tw"",""es-MX"")"),"Actualizado a la versión 0.77 el 10 de junio de 2025.")</f>
        <v>Actualizado a la versión 0.77 el 10 de junio de 2025.</v>
      </c>
      <c r="F34" s="45" t="str">
        <f>IFERROR(__xludf.DUMMYFUNCTION("GOOGLETRANSLATE(A34,""zh-tw"",""KO"")"),"2025년 6월 10일에 버전 0.77로 업데이트되었습니다.")</f>
        <v>2025년 6월 10일에 버전 0.77로 업데이트되었습니다.</v>
      </c>
      <c r="G34" s="45" t="str">
        <f>IFERROR(__xludf.DUMMYFUNCTION("GOOGLETRANSLATE(A34,""zh-tw"",""RU"")"),"Обновлено до версии 0.77 10 июня 2025 г.")</f>
        <v>Обновлено до версии 0.77 10 июня 2025 г.</v>
      </c>
      <c r="H34" s="45" t="str">
        <f>IFERROR(__xludf.DUMMYFUNCTION("GOOGLETRANSLATE(A34,""zh-tw"",""DE"")"),"Aktualisiert auf Version 0.77 am 10. Juni 2025.")</f>
        <v>Aktualisiert auf Version 0.77 am 10. Juni 2025.</v>
      </c>
      <c r="I34" s="49" t="s">
        <v>88</v>
      </c>
      <c r="J34" s="46"/>
      <c r="K34" s="46"/>
      <c r="L34" s="46"/>
      <c r="M34" s="46"/>
      <c r="N34" s="46"/>
      <c r="O34" s="46"/>
      <c r="P34" s="46"/>
      <c r="Q34" s="46"/>
      <c r="R34" s="46"/>
      <c r="S34" s="46"/>
      <c r="T34" s="46"/>
      <c r="U34" s="46"/>
      <c r="V34" s="46"/>
      <c r="W34" s="46"/>
    </row>
    <row r="35">
      <c r="A35" s="43" t="s">
        <v>89</v>
      </c>
      <c r="B35" s="43" t="str">
        <f>IFERROR(__xludf.DUMMYFUNCTION("GOOGLETRANSLATE(A35,""zh-tw"",""ja"")"),"2025年6月3日にバージョン0.77に更新されました。")</f>
        <v>2025年6月3日にバージョン0.77に更新されました。</v>
      </c>
      <c r="C35" s="44" t="str">
        <f>IFERROR(__xludf.DUMMYFUNCTION("GOOGLETRANSLATE(A35,""zh-tw"",""en"")"),"Updated to version 0.77 on June 3, 2025.")</f>
        <v>Updated to version 0.77 on June 3, 2025.</v>
      </c>
      <c r="D35" s="43" t="str">
        <f>IFERROR(__xludf.DUMMYFUNCTION("GOOGLETRANSLATE(A35,""zh-tw"",""zh"")"),"2025/6/3 更新0.77版本的内容")</f>
        <v>2025/6/3 更新0.77版本的内容</v>
      </c>
      <c r="E35" s="45" t="str">
        <f>IFERROR(__xludf.DUMMYFUNCTION("GOOGLETRANSLATE(A35,""zh-tw"",""es-MX"")"),"Actualizado a la versión 0.77 el 3 de junio de 2025.")</f>
        <v>Actualizado a la versión 0.77 el 3 de junio de 2025.</v>
      </c>
      <c r="F35" s="45" t="str">
        <f>IFERROR(__xludf.DUMMYFUNCTION("GOOGLETRANSLATE(A35,""zh-tw"",""KO"")"),"2025년 6월 3일에 0.77 버전으로 업데이트되었습니다.")</f>
        <v>2025년 6월 3일에 0.77 버전으로 업데이트되었습니다.</v>
      </c>
      <c r="G35" s="45" t="str">
        <f>IFERROR(__xludf.DUMMYFUNCTION("GOOGLETRANSLATE(A35,""zh-tw"",""RU"")"),"Обновлено до версии 0.77 3 июня 2025 г.")</f>
        <v>Обновлено до версии 0.77 3 июня 2025 г.</v>
      </c>
      <c r="H35" s="45" t="str">
        <f>IFERROR(__xludf.DUMMYFUNCTION("GOOGLETRANSLATE(A35,""zh-tw"",""DE"")"),"Aktualisiert auf Version 0.77 am 3. Juni 2025.")</f>
        <v>Aktualisiert auf Version 0.77 am 3. Juni 2025.</v>
      </c>
      <c r="I35" s="49" t="s">
        <v>90</v>
      </c>
      <c r="J35" s="46"/>
      <c r="K35" s="46"/>
      <c r="L35" s="46"/>
      <c r="M35" s="46"/>
      <c r="N35" s="46"/>
      <c r="O35" s="46"/>
      <c r="P35" s="46"/>
      <c r="Q35" s="46"/>
      <c r="R35" s="46"/>
      <c r="S35" s="46"/>
      <c r="T35" s="46"/>
      <c r="U35" s="46"/>
      <c r="V35" s="46"/>
      <c r="W35" s="46"/>
    </row>
    <row r="36">
      <c r="A36" s="43" t="s">
        <v>91</v>
      </c>
      <c r="B36" s="43" t="str">
        <f>IFERROR(__xludf.DUMMYFUNCTION("GOOGLETRANSLATE(A36,""zh-tw"",""ja"")"),"2025年5月26日に、SLGページのレイアウトがすべて再設計されました。")</f>
        <v>2025年5月26日に、SLGページのレイアウトがすべて再設計されました。</v>
      </c>
      <c r="C36" s="44" t="str">
        <f>IFERROR(__xludf.DUMMYFUNCTION("GOOGLETRANSLATE(A36,""zh-tw"",""en"")"),"On May 26, 2025, all layouts of the SLG page were redesigned.")</f>
        <v>On May 26, 2025, all layouts of the SLG page were redesigned.</v>
      </c>
      <c r="D36" s="43" t="str">
        <f>IFERROR(__xludf.DUMMYFUNCTION("GOOGLETRANSLATE(A36,""zh-tw"",""zh"")"),"2025/5/26 重制了SLG页面的所有排版")</f>
        <v>2025/5/26 重制了SLG页面的所有排版</v>
      </c>
      <c r="E36" s="45" t="str">
        <f>IFERROR(__xludf.DUMMYFUNCTION("GOOGLETRANSLATE(A36,""zh-tw"",""es-MX"")"),"El 26 de mayo de 2025, se rediseñaron todos los diseños de la página SLG.")</f>
        <v>El 26 de mayo de 2025, se rediseñaron todos los diseños de la página SLG.</v>
      </c>
      <c r="F36" s="45" t="str">
        <f>IFERROR(__xludf.DUMMYFUNCTION("GOOGLETRANSLATE(A36,""zh-tw"",""KO"")"),"2025년 5월 26일, SLG 페이지의 모든 레이아웃이 재설계되었습니다.")</f>
        <v>2025년 5월 26일, SLG 페이지의 모든 레이아웃이 재설계되었습니다.</v>
      </c>
      <c r="G36" s="45" t="str">
        <f>IFERROR(__xludf.DUMMYFUNCTION("GOOGLETRANSLATE(A36,""zh-tw"",""RU"")"),"26 мая 2025 года все макеты страницы SLG были переработаны.")</f>
        <v>26 мая 2025 года все макеты страницы SLG были переработаны.</v>
      </c>
      <c r="H36" s="45" t="str">
        <f>IFERROR(__xludf.DUMMYFUNCTION("GOOGLETRANSLATE(A36,""zh-tw"",""DE"")"),"Am 26. Mai 2025 wurden alle Layouts der SLG-Seite neu gestaltet.")</f>
        <v>Am 26. Mai 2025 wurden alle Layouts der SLG-Seite neu gestaltet.</v>
      </c>
      <c r="I36" s="49" t="s">
        <v>92</v>
      </c>
      <c r="J36" s="46"/>
      <c r="K36" s="46"/>
      <c r="L36" s="46"/>
      <c r="M36" s="46"/>
      <c r="N36" s="46"/>
      <c r="O36" s="46"/>
      <c r="P36" s="46"/>
      <c r="Q36" s="46"/>
      <c r="R36" s="46"/>
      <c r="S36" s="46"/>
      <c r="T36" s="46"/>
      <c r="U36" s="46"/>
      <c r="V36" s="46"/>
      <c r="W36" s="46"/>
    </row>
    <row r="37">
      <c r="A37" s="43" t="s">
        <v>93</v>
      </c>
      <c r="B37" s="43" t="str">
        <f>IFERROR(__xludf.DUMMYFUNCTION("GOOGLETRANSLATE(A37,""zh-tw"",""ja"")"),"2025年5月24日に専用グラフィックカードのインストールに関するチュートリアルが追加されました。")</f>
        <v>2025年5月24日に専用グラフィックカードのインストールに関するチュートリアルが追加されました。</v>
      </c>
      <c r="C37" s="44" t="str">
        <f>IFERROR(__xludf.DUMMYFUNCTION("GOOGLETRANSLATE(A37,""zh-tw"",""en"")"),"On May 24, 2025, a tutorial on installing a dedicated graphics card was added.")</f>
        <v>On May 24, 2025, a tutorial on installing a dedicated graphics card was added.</v>
      </c>
      <c r="D37" s="43" t="str">
        <f>IFERROR(__xludf.DUMMYFUNCTION("GOOGLETRANSLATE(A37,""zh-tw"",""zh"")"),"2025/5/24 新增了独立显卡的安装教学")</f>
        <v>2025/5/24 新增了独立显卡的安装教学</v>
      </c>
      <c r="E37" s="45" t="str">
        <f>IFERROR(__xludf.DUMMYFUNCTION("GOOGLETRANSLATE(A37,""zh-tw"",""es-MX"")"),"El 24 de mayo de 2025 se añadió un tutorial sobre cómo instalar una tarjeta gráfica dedicada.")</f>
        <v>El 24 de mayo de 2025 se añadió un tutorial sobre cómo instalar una tarjeta gráfica dedicada.</v>
      </c>
      <c r="F37" s="45" t="str">
        <f>IFERROR(__xludf.DUMMYFUNCTION("GOOGLETRANSLATE(A37,""zh-tw"",""KO"")"),"2025년 5월 24일에 전용 그래픽 카드를 설치하는 방법에 대한 튜토리얼이 추가되었습니다.")</f>
        <v>2025년 5월 24일에 전용 그래픽 카드를 설치하는 방법에 대한 튜토리얼이 추가되었습니다.</v>
      </c>
      <c r="G37" s="45" t="str">
        <f>IFERROR(__xludf.DUMMYFUNCTION("GOOGLETRANSLATE(A37,""zh-tw"",""RU"")"),"24 мая 2025 года было добавлено руководство по установке дискретной видеокарты.")</f>
        <v>24 мая 2025 года было добавлено руководство по установке дискретной видеокарты.</v>
      </c>
      <c r="H37" s="45" t="str">
        <f>IFERROR(__xludf.DUMMYFUNCTION("GOOGLETRANSLATE(A37,""zh-tw"",""DE"")"),"Am 24. Mai 2025 wurde eine Anleitung zur Installation einer dedizierten Grafikkarte hinzugefügt.")</f>
        <v>Am 24. Mai 2025 wurde eine Anleitung zur Installation einer dedizierten Grafikkarte hinzugefügt.</v>
      </c>
      <c r="I37" s="49" t="s">
        <v>94</v>
      </c>
      <c r="J37" s="46"/>
      <c r="K37" s="46"/>
      <c r="L37" s="46"/>
      <c r="M37" s="46"/>
      <c r="N37" s="46"/>
      <c r="O37" s="46"/>
      <c r="P37" s="46"/>
      <c r="Q37" s="46"/>
      <c r="R37" s="46"/>
      <c r="S37" s="46"/>
      <c r="T37" s="46"/>
      <c r="U37" s="46"/>
      <c r="V37" s="46"/>
      <c r="W37" s="46"/>
    </row>
    <row r="38">
      <c r="A38" s="43" t="s">
        <v>95</v>
      </c>
      <c r="B38" s="43" t="str">
        <f>IFERROR(__xludf.DUMMYFUNCTION("GOOGLETRANSLATE(A38,""zh-tw"",""ja"")"),"2025 年 5 月 15 日: バージョン 0.75D (R4、R33) のコンテンツと鎧 1 個を追加しました。")</f>
        <v>2025 年 5 月 15 日: バージョン 0.75D (R4、R33) のコンテンツと鎧 1 個を追加しました。</v>
      </c>
      <c r="C38" s="44" t="str">
        <f>IFERROR(__xludf.DUMMYFUNCTION("GOOGLETRANSLATE(A38,""zh-tw"",""en"")"),"May 15, 2025: Added content for version 0.75D (R4, R33) and one piece of armor.")</f>
        <v>May 15, 2025: Added content for version 0.75D (R4, R33) and one piece of armor.</v>
      </c>
      <c r="D38" s="43" t="str">
        <f>IFERROR(__xludf.DUMMYFUNCTION("GOOGLETRANSLATE(A38,""zh-tw"",""zh"")"),"2025/5/15 新增0.75D版本的内容 (R4、R33)、一个防具")</f>
        <v>2025/5/15 新增0.75D版本的内容 (R4、R33)、一个防具</v>
      </c>
      <c r="E38" s="45" t="str">
        <f>IFERROR(__xludf.DUMMYFUNCTION("GOOGLETRANSLATE(A38,""zh-tw"",""es-MX"")"),"15 de mayo de 2025: Se agregó contenido para la versión 0.75D (R4, R33) y una pieza de armadura.")</f>
        <v>15 de mayo de 2025: Se agregó contenido para la versión 0.75D (R4, R33) y una pieza de armadura.</v>
      </c>
      <c r="F38" s="45" t="str">
        <f>IFERROR(__xludf.DUMMYFUNCTION("GOOGLETRANSLATE(A38,""zh-tw"",""KO"")"),"2025년 5월 15일: 버전 0.75D(R4, R33)의 콘텐츠와 방어구 한 개가 추가되었습니다.")</f>
        <v>2025년 5월 15일: 버전 0.75D(R4, R33)의 콘텐츠와 방어구 한 개가 추가되었습니다.</v>
      </c>
      <c r="G38" s="45" t="str">
        <f>IFERROR(__xludf.DUMMYFUNCTION("GOOGLETRANSLATE(A38,""zh-tw"",""RU"")"),"15 мая 2025 г.: Добавлен контент для версии 0.75D (R4, R33) и один элемент брони.")</f>
        <v>15 мая 2025 г.: Добавлен контент для версии 0.75D (R4, R33) и один элемент брони.</v>
      </c>
      <c r="H38" s="45" t="str">
        <f>IFERROR(__xludf.DUMMYFUNCTION("GOOGLETRANSLATE(A38,""zh-tw"",""DE"")"),"15. Mai 2025: Inhalte für Version 0.75D (R4, R33) und ein Rüstungsteil hinzugefügt.")</f>
        <v>15. Mai 2025: Inhalte für Version 0.75D (R4, R33) und ein Rüstungsteil hinzugefügt.</v>
      </c>
      <c r="I38" s="49" t="s">
        <v>96</v>
      </c>
      <c r="J38" s="46"/>
      <c r="K38" s="46"/>
      <c r="L38" s="46"/>
      <c r="M38" s="46"/>
      <c r="N38" s="46"/>
      <c r="O38" s="46"/>
      <c r="P38" s="46"/>
      <c r="Q38" s="46"/>
      <c r="R38" s="46"/>
      <c r="S38" s="46"/>
      <c r="T38" s="46"/>
      <c r="U38" s="46"/>
      <c r="V38" s="46"/>
      <c r="W38" s="46"/>
    </row>
    <row r="39">
      <c r="A39" s="43" t="s">
        <v>97</v>
      </c>
      <c r="B39" s="43" t="str">
        <f>IFERROR(__xludf.DUMMYFUNCTION("GOOGLETRANSLATE(A39,""zh-tw"",""ja"")"),"2025/5/6 大灼熱溶岩地帯のマップ画像を追加しました")</f>
        <v>2025/5/6 大灼熱溶岩地帯のマップ画像を追加しました</v>
      </c>
      <c r="C39" s="44" t="str">
        <f>IFERROR(__xludf.DUMMYFUNCTION("GOOGLETRANSLATE(A39,""zh-tw"",""en"")"),"2025/5/6 Added map image of the Great Scorching Hot Lava Zone")</f>
        <v>2025/5/6 Added map image of the Great Scorching Hot Lava Zone</v>
      </c>
      <c r="D39" s="43" t="str">
        <f>IFERROR(__xludf.DUMMYFUNCTION("GOOGLETRANSLATE(A39,""zh-tw"",""zh"")"),"2025/5/6 新增大焦热熔岩带地图图片")</f>
        <v>2025/5/6 新增大焦热熔岩带地图图片</v>
      </c>
      <c r="E39" s="45" t="str">
        <f>IFERROR(__xludf.DUMMYFUNCTION("GOOGLETRANSLATE(A39,""zh-tw"",""es-MX"")"),"06/05/2025 Se añadió una imagen del mapa de la Gran Zona de Lava Ardiente")</f>
        <v>06/05/2025 Se añadió una imagen del mapa de la Gran Zona de Lava Ardiente</v>
      </c>
      <c r="F39" s="45" t="str">
        <f>IFERROR(__xludf.DUMMYFUNCTION("GOOGLETRANSLATE(A39,""zh-tw"",""KO"")"),"2025/5/6 그레이트 스코칭 핫 라바 존의 지도 이미지 추가")</f>
        <v>2025/5/6 그레이트 스코칭 핫 라바 존의 지도 이미지 추가</v>
      </c>
      <c r="G39" s="45" t="str">
        <f>IFERROR(__xludf.DUMMYFUNCTION("GOOGLETRANSLATE(A39,""zh-tw"",""RU"")"),"06.05.2025 Добавлено изображение карты Великой зоны раскаленной лавы.")</f>
        <v>06.05.2025 Добавлено изображение карты Великой зоны раскаленной лавы.</v>
      </c>
      <c r="H39" s="45" t="str">
        <f>IFERROR(__xludf.DUMMYFUNCTION("GOOGLETRANSLATE(A39,""zh-tw"",""DE"")"),"06.05.2025: Kartenbild der Großen Brennend Heißen Lavazone hinzugefügt")</f>
        <v>06.05.2025: Kartenbild der Großen Brennend Heißen Lavazone hinzugefügt</v>
      </c>
      <c r="I39" s="49" t="s">
        <v>98</v>
      </c>
      <c r="J39" s="46"/>
      <c r="K39" s="46"/>
      <c r="L39" s="46"/>
      <c r="M39" s="46"/>
      <c r="N39" s="46"/>
      <c r="O39" s="46"/>
      <c r="P39" s="46"/>
      <c r="Q39" s="46"/>
      <c r="R39" s="46"/>
      <c r="S39" s="46"/>
      <c r="T39" s="46"/>
      <c r="U39" s="46"/>
      <c r="V39" s="46"/>
      <c r="W39" s="46"/>
    </row>
    <row r="40">
      <c r="A40" s="43" t="s">
        <v>99</v>
      </c>
      <c r="B40" s="43" t="str">
        <f>IFERROR(__xludf.DUMMYFUNCTION("GOOGLETRANSLATE(A40,""zh-tw"",""ja"")"),"2025年5月5日から[日付不明]まで、マップセクションが更新され、洞窟の入り口にドロップされたアイテムの位置が表示されます。乞うご期待！")</f>
        <v>2025年5月5日から[日付不明]まで、マップセクションが更新され、洞窟の入り口にドロップされたアイテムの位置が表示されます。乞うご期待！</v>
      </c>
      <c r="C40" s="44" t="str">
        <f>IFERROR(__xludf.DUMMYFUNCTION("GOOGLETRANSLATE(A40,""zh-tw"",""en"")"),"From May 5th, 2025 to [date missing], the map section will be updated with the locations of items dropped at the cave entrance. Please stay tuned.")</f>
        <v>From May 5th, 2025 to [date missing], the map section will be updated with the locations of items dropped at the cave entrance. Please stay tuned.</v>
      </c>
      <c r="D40" s="43" t="str">
        <f>IFERROR(__xludf.DUMMYFUNCTION("GOOGLETRANSLATE(A40,""zh-tw"",""zh"")"),"2025/5/5-2025/？ 地图板块最近会尝试更新洞口掉落位置，还请后续留意")</f>
        <v>2025/5/5-2025/？ 地图板块最近会尝试更新洞口掉落位置，还请后续留意</v>
      </c>
      <c r="E40" s="45" t="str">
        <f>IFERROR(__xludf.DUMMYFUNCTION("GOOGLETRANSLATE(A40,""zh-tw"",""es-MX"")"),"Desde el 5 de mayo de 2025 hasta [fecha desconocida], la sección del mapa se actualizará con la ubicación de los objetos que aparecen en la entrada de la cueva. Manténganse al tanto.")</f>
        <v>Desde el 5 de mayo de 2025 hasta [fecha desconocida], la sección del mapa se actualizará con la ubicación de los objetos que aparecen en la entrada de la cueva. Manténganse al tanto.</v>
      </c>
      <c r="F40" s="45" t="str">
        <f>IFERROR(__xludf.DUMMYFUNCTION("GOOGLETRANSLATE(A40,""zh-tw"",""KO"")"),"2025년 5월 5일부터 [날짜 누락]까지 동굴 입구에 떨어진 아이템의 위치가 지도 섹션에 업데이트됩니다. 계속 지켜봐 주세요.")</f>
        <v>2025년 5월 5일부터 [날짜 누락]까지 동굴 입구에 떨어진 아이템의 위치가 지도 섹션에 업데이트됩니다. 계속 지켜봐 주세요.</v>
      </c>
      <c r="G40" s="45" t="str">
        <f>IFERROR(__xludf.DUMMYFUNCTION("GOOGLETRANSLATE(A40,""zh-tw"",""RU"")"),"С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f>
        <v>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v>
      </c>
      <c r="H40" s="45" t="str">
        <f>IFERROR(__xludf.DUMMYFUNCTION("GOOGLETRANSLATE(A40,""zh-tw"",""DE"")"),"Vom 5. Mai 2025 bis [Datum fehlt] wird der Kartenabschnitt mit den Fundorten der am Höhleneingang gefundenen Gegenstände aktualisiert. Bleiben Sie dran.")</f>
        <v>Vom 5. Mai 2025 bis [Datum fehlt] wird der Kartenabschnitt mit den Fundorten der am Höhleneingang gefundenen Gegenstände aktualisiert. Bleiben Sie dran.</v>
      </c>
      <c r="I40" s="49" t="s">
        <v>100</v>
      </c>
      <c r="J40" s="46"/>
      <c r="K40" s="46"/>
      <c r="L40" s="46"/>
      <c r="M40" s="46"/>
      <c r="N40" s="46"/>
      <c r="O40" s="46"/>
      <c r="P40" s="46"/>
      <c r="Q40" s="46"/>
      <c r="R40" s="46"/>
      <c r="S40" s="46"/>
      <c r="T40" s="46"/>
      <c r="U40" s="46"/>
      <c r="V40" s="46"/>
      <c r="W40" s="46"/>
    </row>
    <row r="41">
      <c r="A41" s="43" t="s">
        <v>101</v>
      </c>
      <c r="B41" s="43" t="str">
        <f>IFERROR(__xludf.DUMMYFUNCTION("GOOGLETRANSLATE(A41,""zh-tw"",""ja"")"),"2025 年 5 月 4 日にロシア語とドイツ語の翻訳を追加しました。")</f>
        <v>2025 年 5 月 4 日にロシア語とドイツ語の翻訳を追加しました。</v>
      </c>
      <c r="C41" s="44" t="str">
        <f>IFERROR(__xludf.DUMMYFUNCTION("GOOGLETRANSLATE(A41,""zh-tw"",""en"")"),"Added Russian and German translations on May 4, 2025.")</f>
        <v>Added Russian and German translations on May 4, 2025.</v>
      </c>
      <c r="D41" s="43" t="str">
        <f>IFERROR(__xludf.DUMMYFUNCTION("GOOGLETRANSLATE(A41,""zh-tw"",""zh"")"),"2025/5/4 新增了俄语和德语翻译")</f>
        <v>2025/5/4 新增了俄语和德语翻译</v>
      </c>
      <c r="E41" s="45" t="str">
        <f>IFERROR(__xludf.DUMMYFUNCTION("GOOGLETRANSLATE(A41,""zh-tw"",""es-MX"")"),"Se añadieron las traducciones al ruso y al alemán el 4 de mayo de 2025.")</f>
        <v>Se añadieron las traducciones al ruso y al alemán el 4 de mayo de 2025.</v>
      </c>
      <c r="F41" s="45" t="str">
        <f>IFERROR(__xludf.DUMMYFUNCTION("GOOGLETRANSLATE(A41,""zh-tw"",""KO"")"),"2025년 5월 4일에 러시아어와 독일어 번역이 추가되었습니다.")</f>
        <v>2025년 5월 4일에 러시아어와 독일어 번역이 추가되었습니다.</v>
      </c>
      <c r="G41" s="45" t="str">
        <f>IFERROR(__xludf.DUMMYFUNCTION("GOOGLETRANSLATE(A41,""zh-tw"",""RU"")"),"Добавлены переводы на русский и немецкий языки 4 мая 2025 года.")</f>
        <v>Добавлены переводы на русский и немецкий языки 4 мая 2025 года.</v>
      </c>
      <c r="H41" s="45" t="str">
        <f>IFERROR(__xludf.DUMMYFUNCTION("GOOGLETRANSLATE(A41,""zh-tw"",""DE"")"),"Russische und deutsche Übersetzungen wurden am 4. Mai 2025 hinzugefügt.")</f>
        <v>Russische und deutsche Übersetzungen wurden am 4. Mai 2025 hinzugefügt.</v>
      </c>
      <c r="I41" s="49" t="s">
        <v>102</v>
      </c>
      <c r="J41" s="46"/>
      <c r="K41" s="46"/>
      <c r="L41" s="46"/>
      <c r="M41" s="46"/>
      <c r="N41" s="46"/>
      <c r="O41" s="46"/>
      <c r="P41" s="46"/>
      <c r="Q41" s="46"/>
      <c r="R41" s="46"/>
      <c r="S41" s="46"/>
      <c r="T41" s="46"/>
      <c r="U41" s="46"/>
      <c r="V41" s="46"/>
      <c r="W41" s="46"/>
    </row>
    <row r="42">
      <c r="A42" s="43" t="s">
        <v>103</v>
      </c>
      <c r="B42" s="43" t="str">
        <f>IFERROR(__xludf.DUMMYFUNCTION("GOOGLETRANSLATE(A42,""zh-tw"",""ja"")"),"バージョン0.75は2025年5月2日に追加されました。")</f>
        <v>バージョン0.75は2025年5月2日に追加されました。</v>
      </c>
      <c r="C42" s="44" t="str">
        <f>IFERROR(__xludf.DUMMYFUNCTION("GOOGLETRANSLATE(A42,""zh-tw"",""en"")"),"Version 0.75 was added on May 2, 2025.")</f>
        <v>Version 0.75 was added on May 2, 2025.</v>
      </c>
      <c r="D42" s="43" t="str">
        <f>IFERROR(__xludf.DUMMYFUNCTION("GOOGLETRANSLATE(A42,""zh-tw"",""zh"")"),"2025/5/2 新增了0.75版本内容")</f>
        <v>2025/5/2 新增了0.75版本内容</v>
      </c>
      <c r="E42" s="45" t="str">
        <f>IFERROR(__xludf.DUMMYFUNCTION("GOOGLETRANSLATE(A42,""zh-tw"",""es-MX"")"),"La versión 0.75 se agregó el 2 de mayo de 2025.")</f>
        <v>La versión 0.75 se agregó el 2 de mayo de 2025.</v>
      </c>
      <c r="F42" s="45" t="str">
        <f>IFERROR(__xludf.DUMMYFUNCTION("GOOGLETRANSLATE(A42,""zh-tw"",""KO"")"),"버전 0.75는 2025년 5월 2일에 추가되었습니다.")</f>
        <v>버전 0.75는 2025년 5월 2일에 추가되었습니다.</v>
      </c>
      <c r="G42" s="45" t="str">
        <f>IFERROR(__xludf.DUMMYFUNCTION("GOOGLETRANSLATE(A42,""zh-tw"",""RU"")"),"Версия 0.75 была добавлена ​​2 мая 2025 года.")</f>
        <v>Версия 0.75 была добавлена ​​2 мая 2025 года.</v>
      </c>
      <c r="H42" s="45" t="str">
        <f>IFERROR(__xludf.DUMMYFUNCTION("GOOGLETRANSLATE(A42,""zh-tw"",""DE"")"),"Version 0.75 wurde am 2. Mai 2025 hinzugefügt.")</f>
        <v>Version 0.75 wurde am 2. Mai 2025 hinzugefügt.</v>
      </c>
      <c r="I42" s="49" t="s">
        <v>104</v>
      </c>
      <c r="J42" s="46"/>
      <c r="K42" s="46"/>
      <c r="L42" s="46"/>
      <c r="M42" s="46"/>
      <c r="N42" s="46"/>
      <c r="O42" s="46"/>
      <c r="P42" s="46"/>
      <c r="Q42" s="46"/>
      <c r="R42" s="46"/>
      <c r="S42" s="46"/>
      <c r="T42" s="46"/>
      <c r="U42" s="46"/>
      <c r="V42" s="46"/>
      <c r="W42" s="46"/>
    </row>
    <row r="43">
      <c r="A43" s="43" t="s">
        <v>105</v>
      </c>
      <c r="B43" s="43" t="str">
        <f>IFERROR(__xludf.DUMMYFUNCTION("GOOGLETRANSLATE(A43,""zh-tw"",""ja"")"),"2025 年 4 月 29 日: 2 番目のフォームを削除し、スペイン語と韓国語の翻訳をこのフォームに統合しました。")</f>
        <v>2025 年 4 月 29 日: 2 番目のフォームを削除し、スペイン語と韓国語の翻訳をこのフォームに統合しました。</v>
      </c>
      <c r="C43" s="44" t="str">
        <f>IFERROR(__xludf.DUMMYFUNCTION("GOOGLETRANSLATE(A43,""zh-tw"",""en"")"),"April 29, 2025: Deleted the second form and merged the Spanish and Korean translations into this form.")</f>
        <v>April 29, 2025: Deleted the second form and merged the Spanish and Korean translations into this form.</v>
      </c>
      <c r="D43" s="43" t="str">
        <f>IFERROR(__xludf.DUMMYFUNCTION("GOOGLETRANSLATE(A43,""zh-tw"",""zh"")"),"2025/4/29 删除第二份表单，合并西班牙语和韩语的翻译至本表单")</f>
        <v>2025/4/29 删除第二份表单，合并西班牙语和韩语的翻译至本表单</v>
      </c>
      <c r="E43" s="45" t="str">
        <f>IFERROR(__xludf.DUMMYFUNCTION("GOOGLETRANSLATE(A43,""zh-tw"",""es-MX"")"),"29 de abril de 2025: Se eliminó el segundo formulario y se fusionaron las traducciones al español y al coreano en este formulario.")</f>
        <v>29 de abril de 2025: Se eliminó el segundo formulario y se fusionaron las traducciones al español y al coreano en este formulario.</v>
      </c>
      <c r="F43" s="45" t="str">
        <f>IFERROR(__xludf.DUMMYFUNCTION("GOOGLETRANSLATE(A43,""zh-tw"",""KO"")"),"2025년 4월 29일: 두 번째 양식을 삭제하고 스페인어와 한국어 번역을 이 양식에 병합했습니다.")</f>
        <v>2025년 4월 29일: 두 번째 양식을 삭제하고 스페인어와 한국어 번역을 이 양식에 병합했습니다.</v>
      </c>
      <c r="G43" s="45" t="str">
        <f>IFERROR(__xludf.DUMMYFUNCTION("GOOGLETRANSLATE(A43,""zh-tw"",""RU"")"),"29 апреля 2025 г.: Удалил вторую форму и объединил испанский и корейский переводы в эту форму.")</f>
        <v>29 апреля 2025 г.: Удалил вторую форму и объединил испанский и корейский переводы в эту форму.</v>
      </c>
      <c r="H43" s="45" t="str">
        <f>IFERROR(__xludf.DUMMYFUNCTION("GOOGLETRANSLATE(A43,""zh-tw"",""DE"")"),"29. April 2025: Das zweite Formular wurde gelöscht und die spanischen und koreanischen Übersetzungen in dieses Formular zusammengeführt.")</f>
        <v>29. April 2025: Das zweite Formular wurde gelöscht und die spanischen und koreanischen Übersetzungen in dieses Formular zusammengeführt.</v>
      </c>
      <c r="I43" s="49" t="s">
        <v>106</v>
      </c>
      <c r="J43" s="46"/>
      <c r="K43" s="46"/>
      <c r="L43" s="46"/>
      <c r="M43" s="46"/>
      <c r="N43" s="46"/>
      <c r="O43" s="46"/>
      <c r="P43" s="46"/>
      <c r="Q43" s="46"/>
      <c r="R43" s="46"/>
      <c r="S43" s="46"/>
      <c r="T43" s="46"/>
      <c r="U43" s="46"/>
      <c r="V43" s="46"/>
      <c r="W43" s="46"/>
    </row>
    <row r="44">
      <c r="A44" s="43" t="s">
        <v>107</v>
      </c>
      <c r="B44" s="43" t="str">
        <f>IFERROR(__xludf.DUMMYFUNCTION("GOOGLETRANSLATE(A44,""zh-tw"",""ja"")"),"2025 年 4 月 19 日: スペイン語と韓国語の翻訳を加えた 2 番目のフォームを作成しました。")</f>
        <v>2025 年 4 月 19 日: スペイン語と韓国語の翻訳を加えた 2 番目のフォームを作成しました。</v>
      </c>
      <c r="C44" s="44" t="str">
        <f>IFERROR(__xludf.DUMMYFUNCTION("GOOGLETRANSLATE(A44,""zh-tw"",""en"")"),"April 19, 2025: Created a second form with Spanish and Korean translations.")</f>
        <v>April 19, 2025: Created a second form with Spanish and Korean translations.</v>
      </c>
      <c r="D44" s="43" t="str">
        <f>IFERROR(__xludf.DUMMYFUNCTION("GOOGLETRANSLATE(A44,""zh-tw"",""zh"")"),"2025/4/19 新建第二份表单，有西班牙语和韩语的翻译")</f>
        <v>2025/4/19 新建第二份表单，有西班牙语和韩语的翻译</v>
      </c>
      <c r="E44" s="45" t="str">
        <f>IFERROR(__xludf.DUMMYFUNCTION("GOOGLETRANSLATE(A44,""zh-tw"",""es-MX"")"),"19 de abril de 2025: Se creó un segundo formulario con traducciones al español y al coreano.")</f>
        <v>19 de abril de 2025: Se creó un segundo formulario con traducciones al español y al coreano.</v>
      </c>
      <c r="F44" s="45" t="str">
        <f>IFERROR(__xludf.DUMMYFUNCTION("GOOGLETRANSLATE(A44,""zh-tw"",""KO"")"),"2025년 4월 19일: 스페인어와 한국어 번역이 포함된 두 번째 양식을 만들었습니다.")</f>
        <v>2025년 4월 19일: 스페인어와 한국어 번역이 포함된 두 번째 양식을 만들었습니다.</v>
      </c>
      <c r="G44" s="45" t="str">
        <f>IFERROR(__xludf.DUMMYFUNCTION("GOOGLETRANSLATE(A44,""zh-tw"",""RU"")"),"19 апреля 2025 г.: Создана вторая форма с переводами на испанский и корейский языки.")</f>
        <v>19 апреля 2025 г.: Создана вторая форма с переводами на испанский и корейский языки.</v>
      </c>
      <c r="H44" s="45" t="str">
        <f>IFERROR(__xludf.DUMMYFUNCTION("GOOGLETRANSLATE(A44,""zh-tw"",""DE"")"),"19. April 2025: Ein zweites Formular mit spanischen und koreanischen Übersetzungen wurde erstellt.")</f>
        <v>19. April 2025: Ein zweites Formular mit spanischen und koreanischen Übersetzungen wurde erstellt.</v>
      </c>
      <c r="I44" s="49" t="s">
        <v>108</v>
      </c>
      <c r="J44" s="46"/>
      <c r="K44" s="46"/>
      <c r="L44" s="46"/>
      <c r="M44" s="46"/>
      <c r="N44" s="46"/>
      <c r="O44" s="46"/>
      <c r="P44" s="46"/>
      <c r="Q44" s="46"/>
      <c r="R44" s="46"/>
      <c r="S44" s="46"/>
      <c r="T44" s="46"/>
      <c r="U44" s="46"/>
      <c r="V44" s="46"/>
      <c r="W44" s="46"/>
    </row>
    <row r="45">
      <c r="A45" s="43" t="s">
        <v>109</v>
      </c>
      <c r="B45" s="43" t="str">
        <f>IFERROR(__xludf.DUMMYFUNCTION("GOOGLETRANSLATE(A45,""zh-tw"",""ja"")"),"2025/4/13に「料理」ページを新規作成しました")</f>
        <v>2025/4/13に「料理」ページを新規作成しました</v>
      </c>
      <c r="C45" s="44" t="str">
        <f>IFERROR(__xludf.DUMMYFUNCTION("GOOGLETRANSLATE(A45,""zh-tw"",""en"")"),"Created a new ""Cooking"" page on 2025/4/13")</f>
        <v>Created a new "Cooking" page on 2025/4/13</v>
      </c>
      <c r="D45" s="43" t="str">
        <f>IFERROR(__xludf.DUMMYFUNCTION("GOOGLETRANSLATE(A45,""zh-tw"",""zh"")"),"2025/4/13  新建""料理""分页")</f>
        <v>2025/4/13  新建"料理"分页</v>
      </c>
      <c r="E45" s="45" t="str">
        <f>IFERROR(__xludf.DUMMYFUNCTION("GOOGLETRANSLATE(A45,""zh-tw"",""es-MX"")"),"Se creó una nueva página de ""Cocina"" el 13/4/2025.")</f>
        <v>Se creó una nueva página de "Cocina" el 13/4/2025.</v>
      </c>
      <c r="F45" s="45" t="str">
        <f>IFERROR(__xludf.DUMMYFUNCTION("GOOGLETRANSLATE(A45,""zh-tw"",""KO"")"),"2025/4/13에 새로운 ""요리"" 페이지를 만들었습니다.")</f>
        <v>2025/4/13에 새로운 "요리" 페이지를 만들었습니다.</v>
      </c>
      <c r="G45" s="45" t="str">
        <f>IFERROR(__xludf.DUMMYFUNCTION("GOOGLETRANSLATE(A45,""zh-tw"",""RU"")"),"Создал новую страницу «Кулинария» 13.04.2025")</f>
        <v>Создал новую страницу «Кулинария» 13.04.2025</v>
      </c>
      <c r="H45" s="45" t="str">
        <f>IFERROR(__xludf.DUMMYFUNCTION("GOOGLETRANSLATE(A45,""zh-tw"",""DE"")"),"Am 13.04.2025 wurde eine neue Seite zum Thema „Kochen“ erstellt.")</f>
        <v>Am 13.04.2025 wurde eine neue Seite zum Thema „Kochen“ erstellt.</v>
      </c>
      <c r="I45" s="49" t="s">
        <v>110</v>
      </c>
      <c r="J45" s="46"/>
      <c r="K45" s="46"/>
      <c r="L45" s="46"/>
      <c r="M45" s="46"/>
      <c r="N45" s="46"/>
      <c r="O45" s="46"/>
      <c r="P45" s="46"/>
      <c r="Q45" s="46"/>
      <c r="R45" s="46"/>
      <c r="S45" s="46"/>
      <c r="T45" s="46"/>
      <c r="U45" s="46"/>
      <c r="V45" s="46"/>
      <c r="W45" s="46"/>
    </row>
    <row r="46">
      <c r="A46" s="43" t="s">
        <v>111</v>
      </c>
      <c r="B46" s="43" t="str">
        <f>IFERROR(__xludf.DUMMYFUNCTION("GOOGLETRANSLATE(A46,""zh-tw"",""ja"")"),"2025年4月6日（S32〜34）にバージョン0.721にアップデートされました。")</f>
        <v>2025年4月6日（S32〜34）にバージョン0.721にアップデートされました。</v>
      </c>
      <c r="C46" s="44" t="str">
        <f>IFERROR(__xludf.DUMMYFUNCTION("GOOGLETRANSLATE(A46,""zh-tw"",""en"")"),"Updated to version 0.721 on April 6, 2025 (S32~34).")</f>
        <v>Updated to version 0.721 on April 6, 2025 (S32~34).</v>
      </c>
      <c r="D46" s="43" t="str">
        <f>IFERROR(__xludf.DUMMYFUNCTION("GOOGLETRANSLATE(A46,""zh-tw"",""zh"")"),"2025/4/6 更新0.721版本 S32~34")</f>
        <v>2025/4/6 更新0.721版本 S32~34</v>
      </c>
      <c r="E46" s="45" t="str">
        <f>IFERROR(__xludf.DUMMYFUNCTION("GOOGLETRANSLATE(A46,""zh-tw"",""es-MX"")"),"Actualizado a la versión 0.721 el 6 de abril de 2025 (S32~34).")</f>
        <v>Actualizado a la versión 0.721 el 6 de abril de 2025 (S32~34).</v>
      </c>
      <c r="F46" s="45" t="str">
        <f>IFERROR(__xludf.DUMMYFUNCTION("GOOGLETRANSLATE(A46,""zh-tw"",""KO"")"),"2025년 4월 6일 버전 0.721로 업데이트되었습니다(S32~34).")</f>
        <v>2025년 4월 6일 버전 0.721로 업데이트되었습니다(S32~34).</v>
      </c>
      <c r="G46" s="45" t="str">
        <f>IFERROR(__xludf.DUMMYFUNCTION("GOOGLETRANSLATE(A46,""zh-tw"",""RU"")"),"Обновлено до версии 0.721 6 апреля 2025 г. (S32~34).")</f>
        <v>Обновлено до версии 0.721 6 апреля 2025 г. (S32~34).</v>
      </c>
      <c r="H46" s="45" t="str">
        <f>IFERROR(__xludf.DUMMYFUNCTION("GOOGLETRANSLATE(A46,""zh-tw"",""DE"")"),"Aktualisiert auf Version 0.721 am 6. April 2025 (S32~34).")</f>
        <v>Aktualisiert auf Version 0.721 am 6. April 2025 (S32~34).</v>
      </c>
      <c r="I46" s="49" t="s">
        <v>112</v>
      </c>
      <c r="J46" s="46"/>
      <c r="K46" s="46"/>
      <c r="L46" s="46"/>
      <c r="M46" s="46"/>
      <c r="N46" s="46"/>
      <c r="O46" s="46"/>
      <c r="P46" s="46"/>
      <c r="Q46" s="46"/>
      <c r="R46" s="46"/>
      <c r="S46" s="46"/>
      <c r="T46" s="46"/>
      <c r="U46" s="46"/>
      <c r="V46" s="46"/>
      <c r="W46" s="46"/>
    </row>
    <row r="47">
      <c r="A47" s="43" t="s">
        <v>113</v>
      </c>
      <c r="B47" s="43" t="s">
        <v>114</v>
      </c>
      <c r="C47" s="43" t="s">
        <v>115</v>
      </c>
      <c r="D47" s="43" t="str">
        <f>IFERROR(__xludf.DUMMYFUNCTION("GOOGLETRANSLATE(A47,""zh-tw"",""zh"")"),"2025/4/4 地图新增大焦热溶岩帯")</f>
        <v>2025/4/4 地图新增大焦热溶岩帯</v>
      </c>
      <c r="E47" s="45" t="str">
        <f>IFERROR(__xludf.DUMMYFUNCTION("GOOGLETRANSLATE(A47,""zh-tw"",""es-MX"")"),"4/4/2025 Se añadió el Gran Cinturón de Lava Caliente al mapa")</f>
        <v>4/4/2025 Se añadió el Gran Cinturón de Lava Caliente al mapa</v>
      </c>
      <c r="F47" s="45" t="str">
        <f>IFERROR(__xludf.DUMMYFUNCTION("GOOGLETRANSLATE(A47,""zh-tw"",""KO"")"),"2025/4/4 그레이트 핫 라바 벨트가 맵에 추가되었습니다.")</f>
        <v>2025/4/4 그레이트 핫 라바 벨트가 맵에 추가되었습니다.</v>
      </c>
      <c r="G47" s="45" t="str">
        <f>IFERROR(__xludf.DUMMYFUNCTION("GOOGLETRANSLATE(A47,""zh-tw"",""RU"")"),"4 апреля 2025 г. на карту добавлен Большой пояс горячей лавы.")</f>
        <v>4 апреля 2025 г. на карту добавлен Большой пояс горячей лавы.</v>
      </c>
      <c r="H47" s="45" t="str">
        <f>IFERROR(__xludf.DUMMYFUNCTION("GOOGLETRANSLATE(A47,""zh-tw"",""DE"")"),"Am 4. April 2025 wurde der Große Heiße Lavagürtel der Karte hinzugefügt.")</f>
        <v>Am 4. April 2025 wurde der Große Heiße Lavagürtel der Karte hinzugefügt.</v>
      </c>
      <c r="I47" s="49" t="s">
        <v>116</v>
      </c>
      <c r="J47" s="46"/>
      <c r="K47" s="46"/>
      <c r="L47" s="46"/>
      <c r="M47" s="46"/>
      <c r="N47" s="46"/>
      <c r="O47" s="46"/>
      <c r="P47" s="46"/>
      <c r="Q47" s="46"/>
      <c r="R47" s="46"/>
      <c r="S47" s="46"/>
      <c r="T47" s="46"/>
      <c r="U47" s="46"/>
      <c r="V47" s="46"/>
      <c r="W47" s="46"/>
    </row>
    <row r="48">
      <c r="A48" s="43" t="s">
        <v>117</v>
      </c>
      <c r="B48" s="43" t="str">
        <f>IFERROR(__xludf.DUMMYFUNCTION("GOOGLETRANSLATE(A48,""zh-tw"",""ja"")"),"2025年4月1日：バージョン0.72のアイテムを追加しました：S7、S32〜S35、TIPS、アイテム2つ、鎧1つ。")</f>
        <v>2025年4月1日：バージョン0.72のアイテムを追加しました：S7、S32〜S35、TIPS、アイテム2つ、鎧1つ。</v>
      </c>
      <c r="C48" s="44" t="str">
        <f>IFERROR(__xludf.DUMMYFUNCTION("GOOGLETRANSLATE(A48,""zh-tw"",""en"")"),"April 1, 2025: Added version 0.72 items: S7, S32~S35, TIPS, two items, and one piece of armor.")</f>
        <v>April 1, 2025: Added version 0.72 items: S7, S32~S35, TIPS, two items, and one piece of armor.</v>
      </c>
      <c r="D48" s="43" t="str">
        <f>IFERROR(__xludf.DUMMYFUNCTION("GOOGLETRANSLATE(A48,""zh-tw"",""zh"")"),"2025/4/1  新增0.72版本项目：S7、S32~S35、TIPS、两样道具、一件防具")</f>
        <v>2025/4/1  新增0.72版本项目：S7、S32~S35、TIPS、两样道具、一件防具</v>
      </c>
      <c r="E48" s="45" t="str">
        <f>IFERROR(__xludf.DUMMYFUNCTION("GOOGLETRANSLATE(A48,""zh-tw"",""es-MX"")"),"1 de abril de 2025: Se agregaron los siguientes elementos de la versión 0.72: S7, S32~S35, TIPS, dos objetos y una pieza de armadura.")</f>
        <v>1 de abril de 2025: Se agregaron los siguientes elementos de la versión 0.72: S7, S32~S35, TIPS, dos objetos y una pieza de armadura.</v>
      </c>
      <c r="F48" s="45" t="str">
        <f>IFERROR(__xludf.DUMMYFUNCTION("GOOGLETRANSLATE(A48,""zh-tw"",""KO"")"),"2025년 4월 1일: 버전 0.72 아이템 추가: S7, S32~S35, TIPS, 아이템 2개, 방어구 1개.")</f>
        <v>2025년 4월 1일: 버전 0.72 아이템 추가: S7, S32~S35, TIPS, 아이템 2개, 방어구 1개.</v>
      </c>
      <c r="G48" s="45" t="str">
        <f>IFERROR(__xludf.DUMMYFUNCTION("GOOGLETRANSLATE(A48,""zh-tw"",""RU"")"),"1 апреля 2025 г.: Добавлены предметы версии 0.72: S7, S32~S35, TIPS, два предмета и одна часть брони.")</f>
        <v>1 апреля 2025 г.: Добавлены предметы версии 0.72: S7, S32~S35, TIPS, два предмета и одна часть брони.</v>
      </c>
      <c r="H48" s="45" t="str">
        <f>IFERROR(__xludf.DUMMYFUNCTION("GOOGLETRANSLATE(A48,""zh-tw"",""DE"")"),"1. April 2025: Hinzugefügte Gegenstände der Version 0.72: S7, S32~S35, TIPS, zwei Gegenstände und ein Rüstungsteil.")</f>
        <v>1. April 2025: Hinzugefügte Gegenstände der Version 0.72: S7, S32~S35, TIPS, zwei Gegenstände und ein Rüstungsteil.</v>
      </c>
      <c r="I48" s="49" t="s">
        <v>118</v>
      </c>
      <c r="J48" s="46"/>
      <c r="K48" s="46"/>
      <c r="L48" s="46"/>
      <c r="M48" s="46"/>
      <c r="N48" s="46"/>
      <c r="O48" s="46"/>
      <c r="P48" s="46"/>
      <c r="Q48" s="46"/>
      <c r="R48" s="46"/>
      <c r="S48" s="46"/>
      <c r="T48" s="46"/>
      <c r="U48" s="46"/>
      <c r="V48" s="46"/>
      <c r="W48" s="46"/>
    </row>
    <row r="49">
      <c r="A49" s="43" t="s">
        <v>119</v>
      </c>
      <c r="B49" s="43" t="str">
        <f>IFERROR(__xludf.DUMMYFUNCTION("GOOGLETRANSLATE(A49,""zh-tw"",""ja"")"),"2025 年 4 月 1 日に、エイプリルフールのちょっとしたサプライズがウェブサイトに追加されました。")</f>
        <v>2025 年 4 月 1 日に、エイプリルフールのちょっとしたサプライズがウェブサイトに追加されました。</v>
      </c>
      <c r="C49" s="44" t="str">
        <f>IFERROR(__xludf.DUMMYFUNCTION("GOOGLETRANSLATE(A49,""zh-tw"",""en"")"),"A little April Fool's Day surprise was added to the website on April 1, 2025.")</f>
        <v>A little April Fool's Day surprise was added to the website on April 1, 2025.</v>
      </c>
      <c r="D49" s="43" t="str">
        <f>IFERROR(__xludf.DUMMYFUNCTION("GOOGLETRANSLATE(A49,""zh-tw"",""zh"")"),"2025/4/1  新增了网页愚人节的小彩蛋")</f>
        <v>2025/4/1  新增了网页愚人节的小彩蛋</v>
      </c>
      <c r="E49" s="45" t="str">
        <f>IFERROR(__xludf.DUMMYFUNCTION("GOOGLETRANSLATE(A49,""zh-tw"",""es-MX"")"),"El 1 de abril de 2025 se añadió una pequeña sorpresa del Día de los Inocentes al sitio web.")</f>
        <v>El 1 de abril de 2025 se añadió una pequeña sorpresa del Día de los Inocentes al sitio web.</v>
      </c>
      <c r="F49" s="45" t="str">
        <f>IFERROR(__xludf.DUMMYFUNCTION("GOOGLETRANSLATE(A49,""zh-tw"",""KO"")"),"2025년 4월 1일에 만우절을 기념하여 작은 놀라움이 웹사이트에 추가되었습니다.")</f>
        <v>2025년 4월 1일에 만우절을 기념하여 작은 놀라움이 웹사이트에 추가되었습니다.</v>
      </c>
      <c r="G49" s="45" t="str">
        <f>IFERROR(__xludf.DUMMYFUNCTION("GOOGLETRANSLATE(A49,""zh-tw"",""RU"")"),"Небольшой сюрприз ко Дню смеха был добавлен на сайт 1 апреля 2025 года.")</f>
        <v>Небольшой сюрприз ко Дню смеха был добавлен на сайт 1 апреля 2025 года.</v>
      </c>
      <c r="H49" s="45" t="str">
        <f>IFERROR(__xludf.DUMMYFUNCTION("GOOGLETRANSLATE(A49,""zh-tw"",""DE"")"),"Am 1. April 2025 wurde der Website eine kleine Aprilscherz-Überraschung hinzugefügt.")</f>
        <v>Am 1. April 2025 wurde der Website eine kleine Aprilscherz-Überraschung hinzugefügt.</v>
      </c>
      <c r="I49" s="49" t="s">
        <v>120</v>
      </c>
      <c r="J49" s="46"/>
      <c r="K49" s="46"/>
      <c r="L49" s="46"/>
      <c r="M49" s="46"/>
      <c r="N49" s="46"/>
      <c r="O49" s="46"/>
      <c r="P49" s="46"/>
      <c r="Q49" s="46"/>
      <c r="R49" s="46"/>
      <c r="S49" s="46"/>
      <c r="T49" s="46"/>
      <c r="U49" s="46"/>
      <c r="V49" s="46"/>
      <c r="W49" s="46"/>
    </row>
    <row r="50">
      <c r="A50" s="43" t="s">
        <v>121</v>
      </c>
      <c r="B50" s="43" t="str">
        <f>IFERROR(__xludf.DUMMYFUNCTION("GOOGLETRANSLATE(A50,""zh-tw"",""ja"")"),"2025 年 3 月 25 日更新: マップ名とイベント内の一部のコンテンツが修正されました。")</f>
        <v>2025 年 3 月 25 日更新: マップ名とイベント内の一部のコンテンツが修正されました。</v>
      </c>
      <c r="C50" s="44" t="str">
        <f>IFERROR(__xludf.DUMMYFUNCTION("GOOGLETRANSLATE(A50,""zh-tw"",""en"")"),"March 25, 2025 Update: Map names and some content within the event have been corrected.")</f>
        <v>March 25, 2025 Update: Map names and some content within the event have been corrected.</v>
      </c>
      <c r="D50" s="43" t="str">
        <f>IFERROR(__xludf.DUMMYFUNCTION("GOOGLETRANSLATE(A50,""zh-tw"",""zh"")"),"2025/3/25 更新事件内地图名称与部分内容修正")</f>
        <v>2025/3/25 更新事件内地图名称与部分内容修正</v>
      </c>
      <c r="E50" s="45" t="str">
        <f>IFERROR(__xludf.DUMMYFUNCTION("GOOGLETRANSLATE(A50,""zh-tw"",""es-MX"")"),"Actualización del 25 de marzo de 2025: Se han corregido los nombres de los mapas y algunos contenidos del evento.")</f>
        <v>Actualización del 25 de marzo de 2025: Se han corregido los nombres de los mapas y algunos contenidos del evento.</v>
      </c>
      <c r="F50" s="45" t="str">
        <f>IFERROR(__xludf.DUMMYFUNCTION("GOOGLETRANSLATE(A50,""zh-tw"",""KO"")"),"2025년 3월 25일 업데이트: 이벤트 내 맵 이름과 일부 콘텐츠가 수정되었습니다.")</f>
        <v>2025년 3월 25일 업데이트: 이벤트 내 맵 이름과 일부 콘텐츠가 수정되었습니다.</v>
      </c>
      <c r="G50" s="45" t="str">
        <f>IFERROR(__xludf.DUMMYFUNCTION("GOOGLETRANSLATE(A50,""zh-tw"",""RU"")"),"Обновление от 25 марта 2025 г.: исправлены названия карт и часть контента в событии.")</f>
        <v>Обновление от 25 марта 2025 г.: исправлены названия карт и часть контента в событии.</v>
      </c>
      <c r="H50" s="45" t="str">
        <f>IFERROR(__xludf.DUMMYFUNCTION("GOOGLETRANSLATE(A50,""zh-tw"",""DE"")"),"Update vom 25. März 2025: Kartennamen und einige Inhalte innerhalb der Veranstaltung wurden korrigiert.")</f>
        <v>Update vom 25. März 2025: Kartennamen und einige Inhalte innerhalb der Veranstaltung wurden korrigiert.</v>
      </c>
      <c r="I50" s="49" t="s">
        <v>122</v>
      </c>
      <c r="J50" s="46"/>
      <c r="K50" s="46"/>
      <c r="L50" s="46"/>
      <c r="M50" s="46"/>
      <c r="N50" s="46"/>
      <c r="O50" s="46"/>
      <c r="P50" s="46"/>
      <c r="Q50" s="46"/>
      <c r="R50" s="46"/>
      <c r="S50" s="46"/>
      <c r="T50" s="46"/>
      <c r="U50" s="46"/>
      <c r="V50" s="46"/>
      <c r="W50" s="46"/>
    </row>
    <row r="51">
      <c r="A51" s="43" t="s">
        <v>123</v>
      </c>
      <c r="B51" s="43" t="str">
        <f>IFERROR(__xludf.DUMMYFUNCTION("GOOGLETRANSLATE(A51,""zh-tw"",""ja"")"),"マップセクションは、2025 年 3 月 22 日から 2025 年 5 月 5 日まで再設計されました。")</f>
        <v>マップセクションは、2025 年 3 月 22 日から 2025 年 5 月 5 日まで再設計されました。</v>
      </c>
      <c r="C51" s="44" t="str">
        <f>IFERROR(__xludf.DUMMYFUNCTION("GOOGLETRANSLATE(A51,""zh-tw"",""en"")"),"Map sections were redesigned from March 22, 2025 to May 5, 2025.")</f>
        <v>Map sections were redesigned from March 22, 2025 to May 5, 2025.</v>
      </c>
      <c r="D51" s="43" t="str">
        <f>IFERROR(__xludf.DUMMYFUNCTION("GOOGLETRANSLATE(A51,""zh-tw"",""zh"")"),"2025/3/22-2025/5/5 地图板块重新完成")</f>
        <v>2025/3/22-2025/5/5 地图板块重新完成</v>
      </c>
      <c r="E51" s="45" t="str">
        <f>IFERROR(__xludf.DUMMYFUNCTION("GOOGLETRANSLATE(A51,""zh-tw"",""es-MX"")"),"Las secciones del mapa fueron rediseñadas entre el 22 de marzo de 2025 y el 5 de mayo de 2025.")</f>
        <v>Las secciones del mapa fueron rediseñadas entre el 22 de marzo de 2025 y el 5 de mayo de 2025.</v>
      </c>
      <c r="F51" s="45" t="str">
        <f>IFERROR(__xludf.DUMMYFUNCTION("GOOGLETRANSLATE(A51,""zh-tw"",""KO"")"),"지도 섹션은 2025년 3월 22일부터 2025년 5월 5일까지 재설계되었습니다.")</f>
        <v>지도 섹션은 2025년 3월 22일부터 2025년 5월 5일까지 재설계되었습니다.</v>
      </c>
      <c r="G51" s="45" t="str">
        <f>IFERROR(__xludf.DUMMYFUNCTION("GOOGLETRANSLATE(A51,""zh-tw"",""RU"")"),"Разделы карты были переработаны с 22 марта 2025 года по 5 мая 2025 года.")</f>
        <v>Разделы карты были переработаны с 22 марта 2025 года по 5 мая 2025 года.</v>
      </c>
      <c r="H51" s="45" t="str">
        <f>IFERROR(__xludf.DUMMYFUNCTION("GOOGLETRANSLATE(A51,""zh-tw"",""DE"")"),"Die Kartenabschnitte wurden vom 22. März 2025 bis zum 5. Mai 2025 neu gestaltet.")</f>
        <v>Die Kartenabschnitte wurden vom 22. März 2025 bis zum 5. Mai 2025 neu gestaltet.</v>
      </c>
      <c r="I51" s="49" t="s">
        <v>124</v>
      </c>
      <c r="J51" s="46"/>
      <c r="K51" s="46"/>
      <c r="L51" s="46"/>
      <c r="M51" s="46"/>
      <c r="N51" s="46"/>
      <c r="O51" s="46"/>
      <c r="P51" s="46"/>
      <c r="Q51" s="46"/>
      <c r="R51" s="46"/>
      <c r="S51" s="46"/>
      <c r="T51" s="46"/>
      <c r="U51" s="46"/>
      <c r="V51" s="46"/>
      <c r="W51" s="46"/>
    </row>
    <row r="52">
      <c r="A52" s="43" t="s">
        <v>125</v>
      </c>
      <c r="B52" s="43" t="str">
        <f>IFERROR(__xludf.DUMMYFUNCTION("GOOGLETRANSLATE(A52,""zh-tw"",""ja"")"),"2025年3月21日：イベントページが再設計され、SLGページとRPGページに分割されました。")</f>
        <v>2025年3月21日：イベントページが再設計され、SLGページとRPGページに分割されました。</v>
      </c>
      <c r="C52" s="44" t="str">
        <f>IFERROR(__xludf.DUMMYFUNCTION("GOOGLETRANSLATE(A52,""zh-tw"",""en"")"),"March 21, 2025: Event page redesigned, divided into SLG and RPG pages.")</f>
        <v>March 21, 2025: Event page redesigned, divided into SLG and RPG pages.</v>
      </c>
      <c r="D52" s="43" t="str">
        <f>IFERROR(__xludf.DUMMYFUNCTION("GOOGLETRANSLATE(A52,""zh-tw"",""zh"")"),"2025/3/21 重制事件页面，分成SLG、RPG页面")</f>
        <v>2025/3/21 重制事件页面，分成SLG、RPG页面</v>
      </c>
      <c r="E52" s="45" t="str">
        <f>IFERROR(__xludf.DUMMYFUNCTION("GOOGLETRANSLATE(A52,""zh-tw"",""es-MX"")"),"21 de marzo de 2025: Se rediseñó la página del evento, dividiéndola en páginas de SLG y RPG.")</f>
        <v>21 de marzo de 2025: Se rediseñó la página del evento, dividiéndola en páginas de SLG y RPG.</v>
      </c>
      <c r="F52" s="45" t="str">
        <f>IFERROR(__xludf.DUMMYFUNCTION("GOOGLETRANSLATE(A52,""zh-tw"",""KO"")"),"2025년 3월 21일: 이벤트 페이지가 재설계되어 SLG와 RPG 페이지로 나뉘었습니다.")</f>
        <v>2025년 3월 21일: 이벤트 페이지가 재설계되어 SLG와 RPG 페이지로 나뉘었습니다.</v>
      </c>
      <c r="G52" s="45" t="str">
        <f>IFERROR(__xludf.DUMMYFUNCTION("GOOGLETRANSLATE(A52,""zh-tw"",""RU"")"),"21 марта 2025 г.: страница событий переработана и разделена на страницы SLG и RPG.")</f>
        <v>21 марта 2025 г.: страница событий переработана и разделена на страницы SLG и RPG.</v>
      </c>
      <c r="H52" s="45" t="str">
        <f>IFERROR(__xludf.DUMMYFUNCTION("GOOGLETRANSLATE(A52,""zh-tw"",""DE"")"),"21. März 2025: Die Veranstaltungsseite wurde neu gestaltet und in SLG- und RPG-Seiten unterteilt.")</f>
        <v>21. März 2025: Die Veranstaltungsseite wurde neu gestaltet und in SLG- und RPG-Seiten unterteilt.</v>
      </c>
      <c r="I52" s="49" t="s">
        <v>126</v>
      </c>
      <c r="J52" s="46"/>
      <c r="K52" s="46"/>
      <c r="L52" s="46"/>
      <c r="M52" s="46"/>
      <c r="N52" s="46"/>
      <c r="O52" s="46"/>
      <c r="P52" s="46"/>
      <c r="Q52" s="46"/>
      <c r="R52" s="46"/>
      <c r="S52" s="46"/>
      <c r="T52" s="46"/>
      <c r="U52" s="46"/>
      <c r="V52" s="46"/>
      <c r="W52" s="46"/>
    </row>
    <row r="53">
      <c r="A53" s="43" t="s">
        <v>127</v>
      </c>
      <c r="B53" s="43" t="str">
        <f>IFERROR(__xludf.DUMMYFUNCTION("GOOGLETRANSLATE(A53,""zh-tw"",""ja"")"),"2025/3/16 バージョン0.7の情報を更新しました")</f>
        <v>2025/3/16 バージョン0.7の情報を更新しました</v>
      </c>
      <c r="C53" s="44" t="str">
        <f>IFERROR(__xludf.DUMMYFUNCTION("GOOGLETRANSLATE(A53,""zh-tw"",""en"")"),"2025/3/16 Updated version 0.7 information")</f>
        <v>2025/3/16 Updated version 0.7 information</v>
      </c>
      <c r="D53" s="43" t="str">
        <f>IFERROR(__xludf.DUMMYFUNCTION("GOOGLETRANSLATE(A53,""zh-tw"",""zh"")"),"2025/3/16 更新0.7版本资讯")</f>
        <v>2025/3/16 更新0.7版本资讯</v>
      </c>
      <c r="E53" s="45" t="str">
        <f>IFERROR(__xludf.DUMMYFUNCTION("GOOGLETRANSLATE(A53,""zh-tw"",""es-MX"")"),"16/03/2025 Información actualizada a la versión 0.7")</f>
        <v>16/03/2025 Información actualizada a la versión 0.7</v>
      </c>
      <c r="F53" s="45" t="str">
        <f>IFERROR(__xludf.DUMMYFUNCTION("GOOGLETRANSLATE(A53,""zh-tw"",""KO"")"),"2025/3/16 업데이트 버전 0.7 정보")</f>
        <v>2025/3/16 업데이트 버전 0.7 정보</v>
      </c>
      <c r="G53" s="45" t="str">
        <f>IFERROR(__xludf.DUMMYFUNCTION("GOOGLETRANSLATE(A53,""zh-tw"",""RU"")"),"16.03.2025 Обновленная информация о версии 0.7")</f>
        <v>16.03.2025 Обновленная информация о версии 0.7</v>
      </c>
      <c r="H53" s="45" t="str">
        <f>IFERROR(__xludf.DUMMYFUNCTION("GOOGLETRANSLATE(A53,""zh-tw"",""DE"")"),"16.03.2025 Aktualisierte Version 0.7 Informationen")</f>
        <v>16.03.2025 Aktualisierte Version 0.7 Informationen</v>
      </c>
      <c r="I53" s="49" t="s">
        <v>128</v>
      </c>
      <c r="J53" s="46"/>
      <c r="K53" s="46"/>
      <c r="L53" s="46"/>
      <c r="M53" s="46"/>
      <c r="N53" s="46"/>
      <c r="O53" s="46"/>
      <c r="P53" s="46"/>
      <c r="Q53" s="46"/>
      <c r="R53" s="46"/>
      <c r="S53" s="46"/>
      <c r="T53" s="46"/>
      <c r="U53" s="46"/>
      <c r="V53" s="46"/>
      <c r="W53" s="46"/>
    </row>
    <row r="54">
      <c r="A54" s="43" t="s">
        <v>129</v>
      </c>
      <c r="B54" s="43" t="str">
        <f>IFERROR(__xludf.DUMMYFUNCTION("GOOGLETRANSLATE(A54,""zh-tw"",""ja"")"),"2025/3/15 ステータスページを追加しました")</f>
        <v>2025/3/15 ステータスページを追加しました</v>
      </c>
      <c r="C54" s="44" t="str">
        <f>IFERROR(__xludf.DUMMYFUNCTION("GOOGLETRANSLATE(A54,""zh-tw"",""en"")"),"2025/3/15 Added status page")</f>
        <v>2025/3/15 Added status page</v>
      </c>
      <c r="D54" s="43" t="str">
        <f>IFERROR(__xludf.DUMMYFUNCTION("GOOGLETRANSLATE(A54,""zh-tw"",""zh"")"),"2025/3/15 新增状态分页")</f>
        <v>2025/3/15 新增状态分页</v>
      </c>
      <c r="E54" s="45" t="str">
        <f>IFERROR(__xludf.DUMMYFUNCTION("GOOGLETRANSLATE(A54,""zh-tw"",""es-MX"")"),"15/03/2025 Se agregó la página de estado")</f>
        <v>15/03/2025 Se agregó la página de estado</v>
      </c>
      <c r="F54" s="45" t="str">
        <f>IFERROR(__xludf.DUMMYFUNCTION("GOOGLETRANSLATE(A54,""zh-tw"",""KO"")"),"2025/3/15 상태 페이지 추가")</f>
        <v>2025/3/15 상태 페이지 추가</v>
      </c>
      <c r="G54" s="45" t="str">
        <f>IFERROR(__xludf.DUMMYFUNCTION("GOOGLETRANSLATE(A54,""zh-tw"",""RU"")"),"2025/3/15 Добавлена ​​страница статуса")</f>
        <v>2025/3/15 Добавлена ​​страница статуса</v>
      </c>
      <c r="H54" s="45" t="str">
        <f>IFERROR(__xludf.DUMMYFUNCTION("GOOGLETRANSLATE(A54,""zh-tw"",""DE"")"),"15.03.2025 Statusseite hinzugefügt")</f>
        <v>15.03.2025 Statusseite hinzugefügt</v>
      </c>
      <c r="I54" s="49" t="s">
        <v>130</v>
      </c>
      <c r="J54" s="46"/>
      <c r="K54" s="46"/>
      <c r="L54" s="46"/>
      <c r="M54" s="46"/>
      <c r="N54" s="46"/>
      <c r="O54" s="46"/>
      <c r="P54" s="46"/>
      <c r="Q54" s="46"/>
      <c r="R54" s="46"/>
      <c r="S54" s="46"/>
      <c r="T54" s="46"/>
      <c r="U54" s="46"/>
      <c r="V54" s="46"/>
      <c r="W54" s="46"/>
    </row>
    <row r="55">
      <c r="A55" s="43" t="s">
        <v>131</v>
      </c>
      <c r="B55" s="43" t="str">
        <f>IFERROR(__xludf.DUMMYFUNCTION("GOOGLETRANSLATE(A55,""zh-tw"",""ja"")"),"2025/3/13にTIPSを更新しました")</f>
        <v>2025/3/13にTIPSを更新しました</v>
      </c>
      <c r="C55" s="44" t="str">
        <f>IFERROR(__xludf.DUMMYFUNCTION("GOOGLETRANSLATE(A55,""zh-tw"",""en"")"),"Updated TIPS 2025/3/13")</f>
        <v>Updated TIPS 2025/3/13</v>
      </c>
      <c r="D55" s="43" t="str">
        <f>IFERROR(__xludf.DUMMYFUNCTION("GOOGLETRANSLATE(A55,""zh-tw"",""zh"")"),"2025/3/13 更新TIPS")</f>
        <v>2025/3/13 更新TIPS</v>
      </c>
      <c r="E55" s="45" t="str">
        <f>IFERROR(__xludf.DUMMYFUNCTION("GOOGLETRANSLATE(A55,""zh-tw"",""es-MX"")"),"Consejos actualizados el 13/3/2025")</f>
        <v>Consejos actualizados el 13/3/2025</v>
      </c>
      <c r="F55" s="45" t="str">
        <f>IFERROR(__xludf.DUMMYFUNCTION("GOOGLETRANSLATE(A55,""zh-tw"",""KO"")"),"업데이트된 TIPS 2025/3/13")</f>
        <v>업데이트된 TIPS 2025/3/13</v>
      </c>
      <c r="G55" s="45" t="str">
        <f>IFERROR(__xludf.DUMMYFUNCTION("GOOGLETRANSLATE(A55,""zh-tw"",""RU"")"),"Обновленные СОВЕТЫ 2025/3/13")</f>
        <v>Обновленные СОВЕТЫ 2025/3/13</v>
      </c>
      <c r="H55" s="45" t="str">
        <f>IFERROR(__xludf.DUMMYFUNCTION("GOOGLETRANSLATE(A55,""zh-tw"",""DE"")"),"Aktualisierte Tipps vom 13.03.2025")</f>
        <v>Aktualisierte Tipps vom 13.03.2025</v>
      </c>
      <c r="I55" s="49" t="s">
        <v>132</v>
      </c>
      <c r="J55" s="46"/>
      <c r="K55" s="46"/>
      <c r="L55" s="46"/>
      <c r="M55" s="46"/>
      <c r="N55" s="46"/>
      <c r="O55" s="46"/>
      <c r="P55" s="46"/>
      <c r="Q55" s="46"/>
      <c r="R55" s="46"/>
      <c r="S55" s="46"/>
      <c r="T55" s="46"/>
      <c r="U55" s="46"/>
      <c r="V55" s="46"/>
      <c r="W55" s="46"/>
    </row>
    <row r="56">
      <c r="A56" s="43" t="s">
        <v>133</v>
      </c>
      <c r="B56" s="43" t="str">
        <f>IFERROR(__xludf.DUMMYFUNCTION("GOOGLETRANSLATE(A56,""zh-tw"",""ja"")"),"2025 年 3 月 12 日: 武器、防具、アイテムのページを再設計しました。")</f>
        <v>2025 年 3 月 12 日: 武器、防具、アイテムのページを再設計しました。</v>
      </c>
      <c r="C56" s="44" t="str">
        <f>IFERROR(__xludf.DUMMYFUNCTION("GOOGLETRANSLATE(A56,""zh-tw"",""en"")"),"March 12, 2025: Redesigned the weapon, armor, and item pages.")</f>
        <v>March 12, 2025: Redesigned the weapon, armor, and item pages.</v>
      </c>
      <c r="D56" s="43" t="str">
        <f>IFERROR(__xludf.DUMMYFUNCTION("GOOGLETRANSLATE(A56,""zh-tw"",""zh"")"),"2025/3/12 重新制作武器、防具、道具的页面")</f>
        <v>2025/3/12 重新制作武器、防具、道具的页面</v>
      </c>
      <c r="E56" s="45" t="str">
        <f>IFERROR(__xludf.DUMMYFUNCTION("GOOGLETRANSLATE(A56,""zh-tw"",""es-MX"")"),"12 de marzo de 2025: Se rediseñaron las páginas de armas, armaduras y objetos.")</f>
        <v>12 de marzo de 2025: Se rediseñaron las páginas de armas, armaduras y objetos.</v>
      </c>
      <c r="F56" s="45" t="str">
        <f>IFERROR(__xludf.DUMMYFUNCTION("GOOGLETRANSLATE(A56,""zh-tw"",""KO"")"),"2025년 3월 12일: 무기, 방어구, 아이템 페이지를 재설계했습니다.")</f>
        <v>2025년 3월 12일: 무기, 방어구, 아이템 페이지를 재설계했습니다.</v>
      </c>
      <c r="G56" s="45" t="str">
        <f>IFERROR(__xludf.DUMMYFUNCTION("GOOGLETRANSLATE(A56,""zh-tw"",""RU"")"),"12 марта 2025 г.: переработан дизайн страниц оружия, брони и предметов.")</f>
        <v>12 марта 2025 г.: переработан дизайн страниц оружия, брони и предметов.</v>
      </c>
      <c r="H56" s="45" t="str">
        <f>IFERROR(__xludf.DUMMYFUNCTION("GOOGLETRANSLATE(A56,""zh-tw"",""DE"")"),"12. März 2025: Die Seiten für Waffen, Rüstungen und Gegenstände wurden neu gestaltet.")</f>
        <v>12. März 2025: Die Seiten für Waffen, Rüstungen und Gegenstände wurden neu gestaltet.</v>
      </c>
      <c r="I56" s="49" t="s">
        <v>134</v>
      </c>
      <c r="J56" s="46"/>
      <c r="K56" s="46"/>
      <c r="L56" s="46"/>
      <c r="M56" s="46"/>
      <c r="N56" s="46"/>
      <c r="O56" s="46"/>
      <c r="P56" s="46"/>
      <c r="Q56" s="46"/>
      <c r="R56" s="46"/>
      <c r="S56" s="46"/>
      <c r="T56" s="46"/>
      <c r="U56" s="46"/>
      <c r="V56" s="46"/>
      <c r="W56" s="46"/>
    </row>
    <row r="57">
      <c r="A57" s="43" t="s">
        <v>135</v>
      </c>
      <c r="B57" s="43" t="str">
        <f>IFERROR(__xludf.DUMMYFUNCTION("GOOGLETRANSLATE(A57,""zh-tw"",""ja"")"),"アップデートのお知らせ（2025年3月10日）")</f>
        <v>アップデートのお知らせ（2025年3月10日）</v>
      </c>
      <c r="C57" s="44" t="str">
        <f>IFERROR(__xludf.DUMMYFUNCTION("GOOGLETRANSLATE(A57,""zh-tw"",""en"")"),"Update Announcement (March 10, 2025)")</f>
        <v>Update Announcement (March 10, 2025)</v>
      </c>
      <c r="D57" s="43" t="str">
        <f>IFERROR(__xludf.DUMMYFUNCTION("GOOGLETRANSLATE(A57,""zh-tw"",""zh"")"),"2025/3/10 更新公告")</f>
        <v>2025/3/10 更新公告</v>
      </c>
      <c r="E57" s="45" t="str">
        <f>IFERROR(__xludf.DUMMYFUNCTION("GOOGLETRANSLATE(A57,""zh-tw"",""es-MX"")"),"Anuncio de actualización (10 de marzo de 2025)")</f>
        <v>Anuncio de actualización (10 de marzo de 2025)</v>
      </c>
      <c r="F57" s="45" t="str">
        <f>IFERROR(__xludf.DUMMYFUNCTION("GOOGLETRANSLATE(A57,""zh-tw"",""KO"")"),"업데이트 공지 (2025년 3월 10일)")</f>
        <v>업데이트 공지 (2025년 3월 10일)</v>
      </c>
      <c r="G57" s="45" t="str">
        <f>IFERROR(__xludf.DUMMYFUNCTION("GOOGLETRANSLATE(A57,""zh-tw"",""RU"")"),"Объявление об обновлении (10 марта 2025 г.)")</f>
        <v>Объявление об обновлении (10 марта 2025 г.)</v>
      </c>
      <c r="H57" s="45" t="str">
        <f>IFERROR(__xludf.DUMMYFUNCTION("GOOGLETRANSLATE(A57,""zh-tw"",""DE"")"),"Aktualisierungsankündigung (10. März 2025)")</f>
        <v>Aktualisierungsankündigung (10. März 2025)</v>
      </c>
      <c r="I57" s="49" t="s">
        <v>136</v>
      </c>
      <c r="J57" s="46"/>
      <c r="K57" s="46"/>
      <c r="L57" s="46"/>
      <c r="M57" s="46"/>
      <c r="N57" s="46"/>
      <c r="O57" s="46"/>
      <c r="P57" s="46"/>
      <c r="Q57" s="46"/>
      <c r="R57" s="46"/>
      <c r="S57" s="46"/>
      <c r="T57" s="46"/>
      <c r="U57" s="46"/>
      <c r="V57" s="46"/>
      <c r="W57" s="46"/>
    </row>
    <row r="58">
      <c r="A58" s="43" t="s">
        <v>137</v>
      </c>
      <c r="B58" s="43" t="str">
        <f>IFERROR(__xludf.DUMMYFUNCTION("GOOGLETRANSLATE(A58,""zh-tw"",""ja"")"),"アップデートのお知らせ（2025年2月10日）")</f>
        <v>アップデートのお知らせ（2025年2月10日）</v>
      </c>
      <c r="C58" s="44" t="str">
        <f>IFERROR(__xludf.DUMMYFUNCTION("GOOGLETRANSLATE(A58,""zh-tw"",""en"")"),"Update Announcement (February 10, 2025)")</f>
        <v>Update Announcement (February 10, 2025)</v>
      </c>
      <c r="D58" s="43" t="str">
        <f>IFERROR(__xludf.DUMMYFUNCTION("GOOGLETRANSLATE(A58,""zh-tw"",""zh"")"),"2025/2/10 更新公告")</f>
        <v>2025/2/10 更新公告</v>
      </c>
      <c r="E58" s="45" t="str">
        <f>IFERROR(__xludf.DUMMYFUNCTION("GOOGLETRANSLATE(A58,""zh-tw"",""es-MX"")"),"Anuncio de actualización (10 de febrero de 2025)")</f>
        <v>Anuncio de actualización (10 de febrero de 2025)</v>
      </c>
      <c r="F58" s="45" t="str">
        <f>IFERROR(__xludf.DUMMYFUNCTION("GOOGLETRANSLATE(A58,""zh-tw"",""KO"")"),"업데이트 공지 (2025년 2월 10일)")</f>
        <v>업데이트 공지 (2025년 2월 10일)</v>
      </c>
      <c r="G58" s="45" t="str">
        <f>IFERROR(__xludf.DUMMYFUNCTION("GOOGLETRANSLATE(A58,""zh-tw"",""RU"")"),"Объявление об обновлении (10 февраля 2025 г.)")</f>
        <v>Объявление об обновлении (10 февраля 2025 г.)</v>
      </c>
      <c r="H58" s="45" t="str">
        <f>IFERROR(__xludf.DUMMYFUNCTION("GOOGLETRANSLATE(A58,""zh-tw"",""DE"")"),"Aktualisierungsankündigung (10. Februar 2025)")</f>
        <v>Aktualisierungsankündigung (10. Februar 2025)</v>
      </c>
      <c r="I58" s="49" t="s">
        <v>138</v>
      </c>
      <c r="J58" s="46"/>
      <c r="K58" s="46"/>
      <c r="L58" s="46"/>
      <c r="M58" s="46"/>
      <c r="N58" s="46"/>
      <c r="O58" s="46"/>
      <c r="P58" s="46"/>
      <c r="Q58" s="46"/>
      <c r="R58" s="46"/>
      <c r="S58" s="46"/>
      <c r="T58" s="46"/>
      <c r="U58" s="46"/>
      <c r="V58" s="46"/>
      <c r="W58" s="46"/>
    </row>
    <row r="59">
      <c r="A59" s="43" t="s">
        <v>139</v>
      </c>
      <c r="B59" s="43" t="str">
        <f>IFERROR(__xludf.DUMMYFUNCTION("GOOGLETRANSLATE(A59,""zh-tw"",""ja"")"),"2025/2/4 0.65Bバージョンイベントを新規追加")</f>
        <v>2025/2/4 0.65Bバージョンイベントを新規追加</v>
      </c>
      <c r="C59" s="44" t="str">
        <f>IFERROR(__xludf.DUMMYFUNCTION("GOOGLETRANSLATE(A59,""zh-tw"",""en"")"),"2025/2/4 Newly added 0.65 B version event")</f>
        <v>2025/2/4 Newly added 0.65 B version event</v>
      </c>
      <c r="D59" s="43" t="str">
        <f>IFERROR(__xludf.DUMMYFUNCTION("GOOGLETRANSLATE(A59,""zh-tw"",""zh"")"),"2025/2/4 新增0.65 B版本 事件")</f>
        <v>2025/2/4 新增0.65 B版本 事件</v>
      </c>
      <c r="E59" s="45" t="str">
        <f>IFERROR(__xludf.DUMMYFUNCTION("GOOGLETRANSLATE(A59,""zh-tw"",""es-MX"")"),"4/2/2025 Se agregó la nueva versión 0.65 B")</f>
        <v>4/2/2025 Se agregó la nueva versión 0.65 B</v>
      </c>
      <c r="F59" s="45" t="str">
        <f>IFERROR(__xludf.DUMMYFUNCTION("GOOGLETRANSLATE(A59,""zh-tw"",""KO"")"),"2025/2/4 신규 추가 0.65 B 버전 이벤트")</f>
        <v>2025/2/4 신규 추가 0.65 B 버전 이벤트</v>
      </c>
      <c r="G59" s="45" t="str">
        <f>IFERROR(__xludf.DUMMYFUNCTION("GOOGLETRANSLATE(A59,""zh-tw"",""RU"")"),"4 февраля 2025 г. Добавлено новое событие версии 0.65 B")</f>
        <v>4 февраля 2025 г. Добавлено новое событие версии 0.65 B</v>
      </c>
      <c r="H59" s="45" t="str">
        <f>IFERROR(__xludf.DUMMYFUNCTION("GOOGLETRANSLATE(A59,""zh-tw"",""DE"")"),"04.02.2025 Neu hinzugefügtes Event der Version 0.65 B")</f>
        <v>04.02.2025 Neu hinzugefügtes Event der Version 0.65 B</v>
      </c>
      <c r="I59" s="49" t="s">
        <v>140</v>
      </c>
      <c r="J59" s="46"/>
      <c r="K59" s="46"/>
      <c r="L59" s="46"/>
      <c r="M59" s="46"/>
      <c r="N59" s="46"/>
      <c r="O59" s="46"/>
      <c r="P59" s="46"/>
      <c r="Q59" s="46"/>
      <c r="R59" s="46"/>
      <c r="S59" s="46"/>
      <c r="T59" s="46"/>
      <c r="U59" s="46"/>
      <c r="V59" s="46"/>
      <c r="W59" s="46"/>
    </row>
    <row r="60">
      <c r="A60" s="43" t="s">
        <v>141</v>
      </c>
      <c r="B60" s="43" t="str">
        <f>IFERROR(__xludf.DUMMYFUNCTION("GOOGLETRANSLATE(A60,""zh-tw"",""ja"")"),"2025/2/3-2/4 Fallen Templeのマップ画像を追加し、一部のマップに焚き火マークを追加しました")</f>
        <v>2025/2/3-2/4 Fallen Templeのマップ画像を追加し、一部のマップに焚き火マークを追加しました</v>
      </c>
      <c r="C60" s="44" t="str">
        <f>IFERROR(__xludf.DUMMYFUNCTION("GOOGLETRANSLATE(A60,""zh-tw"",""en"")"),"2025/2/3-2/4 Added the Fallen Temple map image, and added bonfire marks to some maps")</f>
        <v>2025/2/3-2/4 Added the Fallen Temple map image, and added bonfire marks to some maps</v>
      </c>
      <c r="D60" s="43" t="str">
        <f>IFERROR(__xludf.DUMMYFUNCTION("GOOGLETRANSLATE(A60,""zh-tw"",""zh"")"),"2025/2/3-2/4 新增堕落的圣堂地图图片，一部分地图新增了篝火的标记")</f>
        <v>2025/2/3-2/4 新增堕落的圣堂地图图片，一部分地图新增了篝火的标记</v>
      </c>
      <c r="E60" s="45" t="str">
        <f>IFERROR(__xludf.DUMMYFUNCTION("GOOGLETRANSLATE(A60,""zh-tw"",""es-MX"")"),"3-4 de febrero de 2025: Se añadió la imagen del mapa del Templo Caído y se añadieron marcas de hogueras a algunos mapas.")</f>
        <v>3-4 de febrero de 2025: Se añadió la imagen del mapa del Templo Caído y se añadieron marcas de hogueras a algunos mapas.</v>
      </c>
      <c r="F60" s="45" t="str">
        <f>IFERROR(__xludf.DUMMYFUNCTION("GOOGLETRANSLATE(A60,""zh-tw"",""KO"")"),"2025/2/3-2/4 Fallen Temple 맵 이미지 추가 및 일부 맵에 모닥불 표시 추가")</f>
        <v>2025/2/3-2/4 Fallen Temple 맵 이미지 추가 및 일부 맵에 모닥불 표시 추가</v>
      </c>
      <c r="G60" s="45" t="str">
        <f>IFERROR(__xludf.DUMMYFUNCTION("GOOGLETRANSLATE(A60,""zh-tw"",""RU"")"),"03.02.2025-04.02.2025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60" s="45" t="str">
        <f>IFERROR(__xludf.DUMMYFUNCTION("GOOGLETRANSLATE(A60,""zh-tw"",""DE"")"),"03.02.-04.02.2025: Kartenbild des Gefallenen Tempels hinzugefügt und Leuchtfeuermarkierungen auf einigen Karten hinzugefügt.")</f>
        <v>03.02.-04.02.2025: Kartenbild des Gefallenen Tempels hinzugefügt und Leuchtfeuermarkierungen auf einigen Karten hinzugefügt.</v>
      </c>
      <c r="I60" s="49" t="s">
        <v>142</v>
      </c>
      <c r="J60" s="46"/>
      <c r="K60" s="46"/>
      <c r="L60" s="46"/>
      <c r="M60" s="46"/>
      <c r="N60" s="46"/>
      <c r="O60" s="46"/>
      <c r="P60" s="46"/>
      <c r="Q60" s="46"/>
      <c r="R60" s="46"/>
      <c r="S60" s="46"/>
      <c r="T60" s="46"/>
      <c r="U60" s="46"/>
      <c r="V60" s="46"/>
      <c r="W60" s="46"/>
    </row>
    <row r="61">
      <c r="A61" s="43" t="s">
        <v>143</v>
      </c>
      <c r="B61" s="43" t="str">
        <f>IFERROR(__xludf.DUMMYFUNCTION("GOOGLETRANSLATE(A61,""zh-tw"",""ja"")"),"2025年2月2日：イベントとアーマーを含むバージョン0.65Aを追加しました。")</f>
        <v>2025年2月2日：イベントとアーマーを含むバージョン0.65Aを追加しました。</v>
      </c>
      <c r="C61" s="44" t="str">
        <f>IFERROR(__xludf.DUMMYFUNCTION("GOOGLETRANSLATE(A61,""zh-tw"",""en"")"),"February 2, 2025: Added version 0.65A, including events and armor.")</f>
        <v>February 2, 2025: Added version 0.65A, including events and armor.</v>
      </c>
      <c r="D61" s="43" t="str">
        <f>IFERROR(__xludf.DUMMYFUNCTION("GOOGLETRANSLATE(A61,""zh-tw"",""zh"")"),"2025/2/2 新增0.65A版本 事件、装甲")</f>
        <v>2025/2/2 新增0.65A版本 事件、装甲</v>
      </c>
      <c r="E61" s="45" t="str">
        <f>IFERROR(__xludf.DUMMYFUNCTION("GOOGLETRANSLATE(A61,""zh-tw"",""es-MX"")"),"2 de febrero de 2025: Se agregó la versión 0.65A, que incluye eventos y armaduras.")</f>
        <v>2 de febrero de 2025: Se agregó la versión 0.65A, que incluye eventos y armaduras.</v>
      </c>
      <c r="F61" s="45" t="str">
        <f>IFERROR(__xludf.DUMMYFUNCTION("GOOGLETRANSLATE(A61,""zh-tw"",""KO"")"),"2025년 2월 2일: 이벤트와 방어구를 포함한 버전 0.65A가 추가되었습니다.")</f>
        <v>2025년 2월 2일: 이벤트와 방어구를 포함한 버전 0.65A가 추가되었습니다.</v>
      </c>
      <c r="G61" s="45" t="str">
        <f>IFERROR(__xludf.DUMMYFUNCTION("GOOGLETRANSLATE(A61,""zh-tw"",""RU"")"),"2 февраля 2025 г.: Добавлена ​​версия 0.65A, включая события и броню.")</f>
        <v>2 февраля 2025 г.: Добавлена ​​версия 0.65A, включая события и броню.</v>
      </c>
      <c r="H61" s="45" t="str">
        <f>IFERROR(__xludf.DUMMYFUNCTION("GOOGLETRANSLATE(A61,""zh-tw"",""DE"")"),"2. Februar 2025: Version 0.65A hinzugefügt, inklusive Ereignissen und Rüstungen.")</f>
        <v>2. Februar 2025: Version 0.65A hinzugefügt, inklusive Ereignissen und Rüstungen.</v>
      </c>
      <c r="I61" s="49" t="s">
        <v>144</v>
      </c>
      <c r="J61" s="46"/>
      <c r="K61" s="46"/>
      <c r="L61" s="46"/>
      <c r="M61" s="46"/>
      <c r="N61" s="46"/>
      <c r="O61" s="46"/>
      <c r="P61" s="46"/>
      <c r="Q61" s="46"/>
      <c r="R61" s="46"/>
      <c r="S61" s="46"/>
      <c r="T61" s="46"/>
      <c r="U61" s="46"/>
      <c r="V61" s="46"/>
      <c r="W61" s="46"/>
    </row>
    <row r="62">
      <c r="A62" s="43" t="s">
        <v>145</v>
      </c>
      <c r="B62" s="43" t="str">
        <f>IFERROR(__xludf.DUMMYFUNCTION("GOOGLETRANSLATE(A62,""zh-tw"",""ja"")"),"2025/1/15 地図ライブラリ情報更新")</f>
        <v>2025/1/15 地図ライブラリ情報更新</v>
      </c>
      <c r="C62" s="44" t="str">
        <f>IFERROR(__xludf.DUMMYFUNCTION("GOOGLETRANSLATE(A62,""zh-tw"",""en"")"),"2025/1/15 Map Library Information Update")</f>
        <v>2025/1/15 Map Library Information Update</v>
      </c>
      <c r="D62" s="43" t="str">
        <f>IFERROR(__xludf.DUMMYFUNCTION("GOOGLETRANSLATE(A62,""zh-tw"",""zh"")"),"2025/1/15 地图图库资讯更新")</f>
        <v>2025/1/15 地图图库资讯更新</v>
      </c>
      <c r="E62" s="45" t="str">
        <f>IFERROR(__xludf.DUMMYFUNCTION("GOOGLETRANSLATE(A62,""zh-tw"",""es-MX"")"),"Actualización de información de la biblioteca de mapas (15/01/2025)")</f>
        <v>Actualización de información de la biblioteca de mapas (15/01/2025)</v>
      </c>
      <c r="F62" s="45" t="str">
        <f>IFERROR(__xludf.DUMMYFUNCTION("GOOGLETRANSLATE(A62,""zh-tw"",""KO"")"),"2025/1/15 지도 라이브러리 정보 업데이트")</f>
        <v>2025/1/15 지도 라이브러리 정보 업데이트</v>
      </c>
      <c r="G62" s="45" t="str">
        <f>IFERROR(__xludf.DUMMYFUNCTION("GOOGLETRANSLATE(A62,""zh-tw"",""RU"")"),"Обновление информации о библиотеке карт от 15.01.2025")</f>
        <v>Обновление информации о библиотеке карт от 15.01.2025</v>
      </c>
      <c r="H62" s="45" t="str">
        <f>IFERROR(__xludf.DUMMYFUNCTION("GOOGLETRANSLATE(A62,""zh-tw"",""DE"")"),"15.01.2025 Aktualisierung der Kartenbibliotheksinformationen")</f>
        <v>15.01.2025 Aktualisierung der Kartenbibliotheksinformationen</v>
      </c>
      <c r="I62" s="49" t="s">
        <v>146</v>
      </c>
      <c r="J62" s="46"/>
      <c r="K62" s="46"/>
      <c r="L62" s="46"/>
      <c r="M62" s="46"/>
      <c r="N62" s="46"/>
      <c r="O62" s="46"/>
      <c r="P62" s="46"/>
      <c r="Q62" s="46"/>
      <c r="R62" s="46"/>
      <c r="S62" s="46"/>
      <c r="T62" s="46"/>
      <c r="U62" s="46"/>
      <c r="V62" s="46"/>
      <c r="W62" s="46"/>
    </row>
    <row r="63">
      <c r="A63" s="43" t="s">
        <v>147</v>
      </c>
      <c r="B63" s="43" t="str">
        <f>IFERROR(__xludf.DUMMYFUNCTION("GOOGLETRANSLATE(A63,""zh-tw"",""ja"")"),"2025年1月13日: バージョン0.61の情報を追加しました: イベント")</f>
        <v>2025年1月13日: バージョン0.61の情報を追加しました: イベント</v>
      </c>
      <c r="C63" s="44" t="str">
        <f>IFERROR(__xludf.DUMMYFUNCTION("GOOGLETRANSLATE(A63,""zh-tw"",""en"")"),"January 13, 2025: Added version 0.61 information: Events")</f>
        <v>January 13, 2025: Added version 0.61 information: Events</v>
      </c>
      <c r="D63" s="43" t="str">
        <f>IFERROR(__xludf.DUMMYFUNCTION("GOOGLETRANSLATE(A63,""zh-tw"",""zh"")"),"2025/1/13 新增0.61版本资讯:事件")</f>
        <v>2025/1/13 新增0.61版本资讯:事件</v>
      </c>
      <c r="E63" s="45" t="str">
        <f>IFERROR(__xludf.DUMMYFUNCTION("GOOGLETRANSLATE(A63,""zh-tw"",""es-MX"")"),"13 de enero de 2025: Se agregó información de la versión 0.61: Eventos")</f>
        <v>13 de enero de 2025: Se agregó información de la versión 0.61: Eventos</v>
      </c>
      <c r="F63" s="45" t="str">
        <f>IFERROR(__xludf.DUMMYFUNCTION("GOOGLETRANSLATE(A63,""zh-tw"",""KO"")"),"2025년 1월 13일: 버전 0.61 정보 추가: 이벤트")</f>
        <v>2025년 1월 13일: 버전 0.61 정보 추가: 이벤트</v>
      </c>
      <c r="G63" s="45" t="str">
        <f>IFERROR(__xludf.DUMMYFUNCTION("GOOGLETRANSLATE(A63,""zh-tw"",""RU"")"),"13 января 2025 г.: добавлена ​​информация о версии 0.61: События.")</f>
        <v>13 января 2025 г.: добавлена ​​информация о версии 0.61: События.</v>
      </c>
      <c r="H63" s="45" t="str">
        <f>IFERROR(__xludf.DUMMYFUNCTION("GOOGLETRANSLATE(A63,""zh-tw"",""DE"")"),"13. Januar 2025: Informationen zu Version 0.61 hinzugefügt: Ereignisse")</f>
        <v>13. Januar 2025: Informationen zu Version 0.61 hinzugefügt: Ereignisse</v>
      </c>
      <c r="I63" s="49" t="s">
        <v>148</v>
      </c>
      <c r="J63" s="46"/>
      <c r="K63" s="46"/>
      <c r="L63" s="46"/>
      <c r="M63" s="46"/>
      <c r="N63" s="46"/>
      <c r="O63" s="46"/>
      <c r="P63" s="46"/>
      <c r="Q63" s="46"/>
      <c r="R63" s="46"/>
      <c r="S63" s="46"/>
      <c r="T63" s="46"/>
      <c r="U63" s="46"/>
      <c r="V63" s="46"/>
      <c r="W63" s="46"/>
    </row>
    <row r="64">
      <c r="A64" s="43" t="s">
        <v>149</v>
      </c>
      <c r="B64" s="43" t="str">
        <f>IFERROR(__xludf.DUMMYFUNCTION("GOOGLETRANSLATE(A64,""zh-tw"",""ja"")"),"2025/1/6 0.6Cバージョン情報追加：アーマー")</f>
        <v>2025/1/6 0.6Cバージョン情報追加：アーマー</v>
      </c>
      <c r="C64" s="44" t="str">
        <f>IFERROR(__xludf.DUMMYFUNCTION("GOOGLETRANSLATE(A64,""zh-tw"",""en"")"),"2025/1/6 Newly added 0.6C version information: Armor")</f>
        <v>2025/1/6 Newly added 0.6C version information: Armor</v>
      </c>
      <c r="D64" s="43" t="str">
        <f>IFERROR(__xludf.DUMMYFUNCTION("GOOGLETRANSLATE(A64,""zh-tw"",""zh"")"),"2025/1/6 新增0.6C版本资讯:装甲")</f>
        <v>2025/1/6 新增0.6C版本资讯:装甲</v>
      </c>
      <c r="E64" s="45" t="str">
        <f>IFERROR(__xludf.DUMMYFUNCTION("GOOGLETRANSLATE(A64,""zh-tw"",""es-MX"")"),"6/1/2025 Nueva información de la versión 0.6C: Armor")</f>
        <v>6/1/2025 Nueva información de la versión 0.6C: Armor</v>
      </c>
      <c r="F64" s="45" t="str">
        <f>IFERROR(__xludf.DUMMYFUNCTION("GOOGLETRANSLATE(A64,""zh-tw"",""KO"")"),"2025/1/6 신규 추가 0.6C 버전 정보 : Armor")</f>
        <v>2025/1/6 신규 추가 0.6C 버전 정보 : Armor</v>
      </c>
      <c r="G64" s="45" t="str">
        <f>IFERROR(__xludf.DUMMYFUNCTION("GOOGLETRANSLATE(A64,""zh-tw"",""RU"")"),"01.06.2025 Добавлена ​​новая информация о версии 0.6C: Броня")</f>
        <v>01.06.2025 Добавлена ​​новая информация о версии 0.6C: Броня</v>
      </c>
      <c r="H64" s="45" t="str">
        <f>IFERROR(__xludf.DUMMYFUNCTION("GOOGLETRANSLATE(A64,""zh-tw"",""DE"")"),"06.01.2025 Neu hinzugefügte Versionsinformationen 0.6C: Armor")</f>
        <v>06.01.2025 Neu hinzugefügte Versionsinformationen 0.6C: Armor</v>
      </c>
      <c r="I64" s="49" t="s">
        <v>150</v>
      </c>
      <c r="J64" s="46"/>
      <c r="K64" s="46"/>
      <c r="L64" s="46"/>
      <c r="M64" s="46"/>
      <c r="N64" s="46"/>
      <c r="O64" s="46"/>
      <c r="P64" s="46"/>
      <c r="Q64" s="46"/>
      <c r="R64" s="46"/>
      <c r="S64" s="46"/>
      <c r="T64" s="46"/>
      <c r="U64" s="46"/>
      <c r="V64" s="46"/>
      <c r="W64" s="46"/>
    </row>
    <row r="65">
      <c r="A65" s="43" t="s">
        <v>151</v>
      </c>
      <c r="B65" s="43" t="str">
        <f>IFERROR(__xludf.DUMMYFUNCTION("GOOGLETRANSLATE(A65,""zh-tw"",""ja"")"),"2025年1月5日: バージョン0.6Bの情報を追加: イベント")</f>
        <v>2025年1月5日: バージョン0.6Bの情報を追加: イベント</v>
      </c>
      <c r="C65" s="44" t="str">
        <f>IFERROR(__xludf.DUMMYFUNCTION("GOOGLETRANSLATE(A65,""zh-tw"",""en"")"),"January 5, 2025: Added version 0.6B information: Events")</f>
        <v>January 5, 2025: Added version 0.6B information: Events</v>
      </c>
      <c r="D65" s="43" t="str">
        <f>IFERROR(__xludf.DUMMYFUNCTION("GOOGLETRANSLATE(A65,""zh-tw"",""zh"")"),"2025/1/5 新增0.6B版本资讯:事件")</f>
        <v>2025/1/5 新增0.6B版本资讯:事件</v>
      </c>
      <c r="E65" s="45" t="str">
        <f>IFERROR(__xludf.DUMMYFUNCTION("GOOGLETRANSLATE(A65,""zh-tw"",""es-MX"")"),"5 de enero de 2025: Se agregó información de la versión 0.6B: Eventos")</f>
        <v>5 de enero de 2025: Se agregó información de la versión 0.6B: Eventos</v>
      </c>
      <c r="F65" s="45" t="str">
        <f>IFERROR(__xludf.DUMMYFUNCTION("GOOGLETRANSLATE(A65,""zh-tw"",""KO"")"),"2025년 1월 5일: 버전 0.6B 정보 추가: 이벤트")</f>
        <v>2025년 1월 5일: 버전 0.6B 정보 추가: 이벤트</v>
      </c>
      <c r="G65" s="45" t="str">
        <f>IFERROR(__xludf.DUMMYFUNCTION("GOOGLETRANSLATE(A65,""zh-tw"",""RU"")"),"5 января 2025 г.: добавлена ​​информация о версии 0.6B: События.")</f>
        <v>5 января 2025 г.: добавлена ​​информация о версии 0.6B: События.</v>
      </c>
      <c r="H65" s="45" t="str">
        <f>IFERROR(__xludf.DUMMYFUNCTION("GOOGLETRANSLATE(A65,""zh-tw"",""DE"")"),"5. Januar 2025: Informationen zu Version 0.6B hinzugefügt: Ereignisse")</f>
        <v>5. Januar 2025: Informationen zu Version 0.6B hinzugefügt: Ereignisse</v>
      </c>
      <c r="I65" s="49" t="s">
        <v>152</v>
      </c>
      <c r="J65" s="46"/>
      <c r="K65" s="46"/>
      <c r="L65" s="46"/>
      <c r="M65" s="46"/>
      <c r="N65" s="46"/>
      <c r="O65" s="46"/>
      <c r="P65" s="46"/>
      <c r="Q65" s="46"/>
      <c r="R65" s="46"/>
      <c r="S65" s="46"/>
      <c r="T65" s="46"/>
      <c r="U65" s="46"/>
      <c r="V65" s="46"/>
      <c r="W65" s="46"/>
    </row>
    <row r="66">
      <c r="A66" s="43" t="s">
        <v>153</v>
      </c>
      <c r="B66" s="43" t="str">
        <f>IFERROR(__xludf.DUMMYFUNCTION("GOOGLETRANSLATE(A66,""zh-tw"",""ja"")"),"2025年1月3日: バージョン0.6Aの情報を追加しました: イベント")</f>
        <v>2025年1月3日: バージョン0.6Aの情報を追加しました: イベント</v>
      </c>
      <c r="C66" s="44" t="str">
        <f>IFERROR(__xludf.DUMMYFUNCTION("GOOGLETRANSLATE(A66,""zh-tw"",""en"")"),"January 3, 2025: Added information for version 0.6A: Events")</f>
        <v>January 3, 2025: Added information for version 0.6A: Events</v>
      </c>
      <c r="D66" s="43" t="str">
        <f>IFERROR(__xludf.DUMMYFUNCTION("GOOGLETRANSLATE(A66,""zh-tw"",""zh"")"),"2025/1/3 新增0.6A版本资讯:事件")</f>
        <v>2025/1/3 新增0.6A版本资讯:事件</v>
      </c>
      <c r="E66" s="45" t="str">
        <f>IFERROR(__xludf.DUMMYFUNCTION("GOOGLETRANSLATE(A66,""zh-tw"",""es-MX"")"),"3 de enero de 2025: Se agregó información para la versión 0.6A: Eventos")</f>
        <v>3 de enero de 2025: Se agregó información para la versión 0.6A: Eventos</v>
      </c>
      <c r="F66" s="45" t="str">
        <f>IFERROR(__xludf.DUMMYFUNCTION("GOOGLETRANSLATE(A66,""zh-tw"",""KO"")"),"2025년 1월 3일: 버전 0.6A에 대한 정보 추가: 이벤트")</f>
        <v>2025년 1월 3일: 버전 0.6A에 대한 정보 추가: 이벤트</v>
      </c>
      <c r="G66" s="45" t="str">
        <f>IFERROR(__xludf.DUMMYFUNCTION("GOOGLETRANSLATE(A66,""zh-tw"",""RU"")"),"3 января 2025 г.: Добавлена ​​информация для версии 0.6A: События.")</f>
        <v>3 января 2025 г.: Добавлена ​​информация для версии 0.6A: События.</v>
      </c>
      <c r="H66" s="45" t="str">
        <f>IFERROR(__xludf.DUMMYFUNCTION("GOOGLETRANSLATE(A66,""zh-tw"",""DE"")"),"3. Januar 2025: Informationen für Version 0.6A hinzugefügt: Ereignisse")</f>
        <v>3. Januar 2025: Informationen für Version 0.6A hinzugefügt: Ereignisse</v>
      </c>
      <c r="I66" s="49" t="s">
        <v>154</v>
      </c>
      <c r="J66" s="46"/>
      <c r="K66" s="46"/>
      <c r="L66" s="46"/>
      <c r="M66" s="46"/>
      <c r="N66" s="46"/>
      <c r="O66" s="46"/>
      <c r="P66" s="46"/>
      <c r="Q66" s="46"/>
      <c r="R66" s="46"/>
      <c r="S66" s="46"/>
      <c r="T66" s="46"/>
      <c r="U66" s="46"/>
      <c r="V66" s="46"/>
      <c r="W66" s="46"/>
    </row>
    <row r="67">
      <c r="A67" s="43" t="s">
        <v>155</v>
      </c>
      <c r="B67" s="43" t="str">
        <f>IFERROR(__xludf.DUMMYFUNCTION("GOOGLETRANSLATE(A67,""zh-tw"",""ja"")"),"2025/1/2 バージョン0.6の情報を追加しました")</f>
        <v>2025/1/2 バージョン0.6の情報を追加しました</v>
      </c>
      <c r="C67" s="44" t="str">
        <f>IFERROR(__xludf.DUMMYFUNCTION("GOOGLETRANSLATE(A67,""zh-tw"",""en"")"),"2025/1/2 Added version 0.6 information")</f>
        <v>2025/1/2 Added version 0.6 information</v>
      </c>
      <c r="D67" s="43" t="str">
        <f>IFERROR(__xludf.DUMMYFUNCTION("GOOGLETRANSLATE(A67,""zh-tw"",""zh"")"),"2025/1/2 新增0.6版本资讯")</f>
        <v>2025/1/2 新增0.6版本资讯</v>
      </c>
      <c r="E67" s="45" t="str">
        <f>IFERROR(__xludf.DUMMYFUNCTION("GOOGLETRANSLATE(A67,""zh-tw"",""es-MX"")"),"2025/1/2 Se agregó información de la versión 0.6")</f>
        <v>2025/1/2 Se agregó información de la versión 0.6</v>
      </c>
      <c r="F67" s="45" t="str">
        <f>IFERROR(__xludf.DUMMYFUNCTION("GOOGLETRANSLATE(A67,""zh-tw"",""KO"")"),"2025/1/2 버전 0.6 정보 추가")</f>
        <v>2025/1/2 버전 0.6 정보 추가</v>
      </c>
      <c r="G67" s="45" t="str">
        <f>IFERROR(__xludf.DUMMYFUNCTION("GOOGLETRANSLATE(A67,""zh-tw"",""RU"")"),"2025/1/2 Добавлена ​​информация о версии 0.6")</f>
        <v>2025/1/2 Добавлена ​​информация о версии 0.6</v>
      </c>
      <c r="H67" s="45" t="str">
        <f>IFERROR(__xludf.DUMMYFUNCTION("GOOGLETRANSLATE(A67,""zh-tw"",""DE"")"),"2025/1/2 Informationen zu Version 0.6 hinzugefügt")</f>
        <v>2025/1/2 Informationen zu Version 0.6 hinzugefügt</v>
      </c>
      <c r="I67" s="49" t="s">
        <v>156</v>
      </c>
      <c r="J67" s="46"/>
      <c r="K67" s="46"/>
      <c r="L67" s="46"/>
      <c r="M67" s="46"/>
      <c r="N67" s="46"/>
      <c r="O67" s="46"/>
      <c r="P67" s="46"/>
      <c r="Q67" s="46"/>
      <c r="R67" s="46"/>
      <c r="S67" s="46"/>
      <c r="T67" s="46"/>
      <c r="U67" s="46"/>
      <c r="V67" s="46"/>
      <c r="W67" s="46"/>
    </row>
    <row r="68">
      <c r="A68" s="43" t="s">
        <v>157</v>
      </c>
      <c r="B68" s="43" t="str">
        <f>IFERROR(__xludf.DUMMYFUNCTION("GOOGLETRANSLATE(A68,""zh-tw"",""ja"")"),"2024 年 12 月 25 日: 新しいヒントを追加し、一部のテキストを修正しました。初期マップの作成が完了しました。")</f>
        <v>2024 年 12 月 25 日: 新しいヒントを追加し、一部のテキストを修正しました。初期マップの作成が完了しました。</v>
      </c>
      <c r="C68" s="44" t="str">
        <f>IFERROR(__xludf.DUMMYFUNCTION("GOOGLETRANSLATE(A68,""zh-tw"",""en"")"),"December 25, 2024: Added new hints and corrected some text; initial map creation completed.")</f>
        <v>December 25, 2024: Added new hints and corrected some text; initial map creation completed.</v>
      </c>
      <c r="D68" s="43" t="str">
        <f>IFERROR(__xludf.DUMMYFUNCTION("GOOGLETRANSLATE(A68,""zh-tw"",""zh"")"),"2024/12/25 新增提示与部分文本修正、地图制作初步完成")</f>
        <v>2024/12/25 新增提示与部分文本修正、地图制作初步完成</v>
      </c>
      <c r="E68" s="45" t="str">
        <f>IFERROR(__xludf.DUMMYFUNCTION("GOOGLETRANSLATE(A68,""zh-tw"",""es-MX"")"),"25 de diciembre de 2024: Se agregaron nuevas pistas y se corrigió parte del texto; se completó la creación inicial del mapa.")</f>
        <v>25 de diciembre de 2024: Se agregaron nuevas pistas y se corrigió parte del texto; se completó la creación inicial del mapa.</v>
      </c>
      <c r="F68" s="45" t="str">
        <f>IFERROR(__xludf.DUMMYFUNCTION("GOOGLETRANSLATE(A68,""zh-tw"",""KO"")"),"2024년 12월 25일: 새로운 힌트를 추가하고 일부 텍스트를 수정했습니다. 초기 지도 생성이 완료되었습니다.")</f>
        <v>2024년 12월 25일: 새로운 힌트를 추가하고 일부 텍스트를 수정했습니다. 초기 지도 생성이 완료되었습니다.</v>
      </c>
      <c r="G68" s="45" t="str">
        <f>IFERROR(__xludf.DUMMYFUNCTION("GOOGLETRANSLATE(A68,""zh-tw"",""RU"")"),"25 декабря 2024 г.: добавлены новые подсказки и исправлены некоторые тексты; завершено первоначальное создание карты.")</f>
        <v>25 декабря 2024 г.: добавлены новые подсказки и исправлены некоторые тексты; завершено первоначальное создание карты.</v>
      </c>
      <c r="H68" s="45" t="str">
        <f>IFERROR(__xludf.DUMMYFUNCTION("GOOGLETRANSLATE(A68,""zh-tw"",""DE"")"),"25. Dezember 2024: Neue Hinweise hinzugefügt und einige Textpassagen korrigiert; Erstellung der ersten Karte abgeschlossen.")</f>
        <v>25. Dezember 2024: Neue Hinweise hinzugefügt und einige Textpassagen korrigiert; Erstellung der ersten Karte abgeschlossen.</v>
      </c>
      <c r="I68" s="49" t="s">
        <v>158</v>
      </c>
      <c r="J68" s="46"/>
      <c r="K68" s="46"/>
      <c r="L68" s="46"/>
      <c r="M68" s="46"/>
      <c r="N68" s="46"/>
      <c r="O68" s="46"/>
      <c r="P68" s="46"/>
      <c r="Q68" s="46"/>
      <c r="R68" s="46"/>
      <c r="S68" s="46"/>
      <c r="T68" s="46"/>
      <c r="U68" s="46"/>
      <c r="V68" s="46"/>
      <c r="W68" s="46"/>
    </row>
    <row r="69">
      <c r="A69" s="43" t="s">
        <v>159</v>
      </c>
      <c r="B69" s="43" t="str">
        <f>IFERROR(__xludf.DUMMYFUNCTION("GOOGLETRANSLATE(A69,""zh-tw"",""ja"")"),"2024/12/2 0.55情報追加 - イベント")</f>
        <v>2024/12/2 0.55情報追加 - イベント</v>
      </c>
      <c r="C69" s="44" t="str">
        <f>IFERROR(__xludf.DUMMYFUNCTION("GOOGLETRANSLATE(A69,""zh-tw"",""en"")"),"2024/12/2 Added 0.55 information - event")</f>
        <v>2024/12/2 Added 0.55 information - event</v>
      </c>
      <c r="D69" s="43" t="str">
        <f>IFERROR(__xludf.DUMMYFUNCTION("GOOGLETRANSLATE(A69,""zh-tw"",""zh"")"),"2024/12/2 新增0.55资讯-事件")</f>
        <v>2024/12/2 新增0.55资讯-事件</v>
      </c>
      <c r="E69" s="45" t="str">
        <f>IFERROR(__xludf.DUMMYFUNCTION("GOOGLETRANSLATE(A69,""zh-tw"",""es-MX"")"),"2024/12/2 Se agregó información de 0.55 - evento")</f>
        <v>2024/12/2 Se agregó información de 0.55 - evento</v>
      </c>
      <c r="F69" s="45" t="str">
        <f>IFERROR(__xludf.DUMMYFUNCTION("GOOGLETRANSLATE(A69,""zh-tw"",""KO"")"),"2024/12/2 0.55 정보 추가 - 이벤트")</f>
        <v>2024/12/2 0.55 정보 추가 - 이벤트</v>
      </c>
      <c r="G69" s="45" t="str">
        <f>IFERROR(__xludf.DUMMYFUNCTION("GOOGLETRANSLATE(A69,""zh-tw"",""RU"")"),"2024/12/2 Добавлено 0,55 информации - событие")</f>
        <v>2024/12/2 Добавлено 0,55 информации - событие</v>
      </c>
      <c r="H69" s="45" t="str">
        <f>IFERROR(__xludf.DUMMYFUNCTION("GOOGLETRANSLATE(A69,""zh-tw"",""DE"")"),"02.12.2024: Informationen (0,55) hinzugefügt – Ereignis")</f>
        <v>02.12.2024: Informationen (0,55) hinzugefügt – Ereignis</v>
      </c>
      <c r="I69" s="49" t="s">
        <v>160</v>
      </c>
      <c r="J69" s="46"/>
      <c r="K69" s="46"/>
      <c r="L69" s="46"/>
      <c r="M69" s="46"/>
      <c r="N69" s="46"/>
      <c r="O69" s="46"/>
      <c r="P69" s="46"/>
      <c r="Q69" s="46"/>
      <c r="R69" s="46"/>
      <c r="S69" s="46"/>
      <c r="T69" s="46"/>
      <c r="U69" s="46"/>
      <c r="V69" s="46"/>
      <c r="W69" s="46"/>
    </row>
    <row r="70">
      <c r="A70" s="43" t="s">
        <v>161</v>
      </c>
      <c r="B70" s="43" t="str">
        <f>IFERROR(__xludf.DUMMYFUNCTION("GOOGLETRANSLATE(A70,""zh-tw"",""ja"")"),"2024/11/29に遺跡関連マップを追加しました")</f>
        <v>2024/11/29に遺跡関連マップを追加しました</v>
      </c>
      <c r="C70" s="44" t="str">
        <f>IFERROR(__xludf.DUMMYFUNCTION("GOOGLETRANSLATE(A70,""zh-tw"",""en"")"),"Added ruin-related maps on 2024/11/29")</f>
        <v>Added ruin-related maps on 2024/11/29</v>
      </c>
      <c r="D70" s="43" t="str">
        <f>IFERROR(__xludf.DUMMYFUNCTION("GOOGLETRANSLATE(A70,""zh-tw"",""zh"")"),"2024/11/29 新增遗迹相关地图")</f>
        <v>2024/11/29 新增遗迹相关地图</v>
      </c>
      <c r="E70" s="45" t="str">
        <f>IFERROR(__xludf.DUMMYFUNCTION("GOOGLETRANSLATE(A70,""zh-tw"",""es-MX"")"),"Se añadieron mapas relacionados con ruinas el 29/11/2024")</f>
        <v>Se añadieron mapas relacionados con ruinas el 29/11/2024</v>
      </c>
      <c r="F70" s="45" t="str">
        <f>IFERROR(__xludf.DUMMYFUNCTION("GOOGLETRANSLATE(A70,""zh-tw"",""KO"")"),"2024/11/29에 폐허 관련 맵이 추가되었습니다.")</f>
        <v>2024/11/29에 폐허 관련 맵이 추가되었습니다.</v>
      </c>
      <c r="G70" s="45" t="str">
        <f>IFERROR(__xludf.DUMMYFUNCTION("GOOGLETRANSLATE(A70,""zh-tw"",""RU"")"),"Добавлены карты, связанные с руинами, 29.11.2024.")</f>
        <v>Добавлены карты, связанные с руинами, 29.11.2024.</v>
      </c>
      <c r="H70" s="45" t="str">
        <f>IFERROR(__xludf.DUMMYFUNCTION("GOOGLETRANSLATE(A70,""zh-tw"",""DE"")"),"Am 29.11.2024 wurden Karten mit Bezug zu Ruinen hinzugefügt.")</f>
        <v>Am 29.11.2024 wurden Karten mit Bezug zu Ruinen hinzugefügt.</v>
      </c>
      <c r="I70" s="49" t="s">
        <v>162</v>
      </c>
      <c r="J70" s="46"/>
      <c r="K70" s="46"/>
      <c r="L70" s="46"/>
      <c r="M70" s="46"/>
      <c r="N70" s="46"/>
      <c r="O70" s="46"/>
      <c r="P70" s="46"/>
      <c r="Q70" s="46"/>
      <c r="R70" s="46"/>
      <c r="S70" s="46"/>
      <c r="T70" s="46"/>
      <c r="U70" s="46"/>
      <c r="V70" s="46"/>
      <c r="W70" s="46"/>
    </row>
    <row r="71">
      <c r="A71" s="43" t="s">
        <v>163</v>
      </c>
      <c r="B71" s="43" t="str">
        <f>IFERROR(__xludf.DUMMYFUNCTION("GOOGLETRANSLATE(A71,""zh-tw"",""ja"")"),"2024/11/24 0.5C版コンテンツ追加 - イベント、モンスター情報、ヒント")</f>
        <v>2024/11/24 0.5C版コンテンツ追加 - イベント、モンスター情報、ヒント</v>
      </c>
      <c r="C71" s="44" t="str">
        <f>IFERROR(__xludf.DUMMYFUNCTION("GOOGLETRANSLATE(A71,""zh-tw"",""en"")"),"2024/11/24 Added 0.5C version content - Events, Monster Information, Tips")</f>
        <v>2024/11/24 Added 0.5C version content - Events, Monster Information, Tips</v>
      </c>
      <c r="D71" s="43" t="str">
        <f>IFERROR(__xludf.DUMMYFUNCTION("GOOGLETRANSLATE(A71,""zh-tw"",""zh"")"),"2024/11/24 新增0.5C版本内容-事件、怪物资讯、提示")</f>
        <v>2024/11/24 新增0.5C版本内容-事件、怪物资讯、提示</v>
      </c>
      <c r="E71" s="45" t="str">
        <f>IFERROR(__xludf.DUMMYFUNCTION("GOOGLETRANSLATE(A71,""zh-tw"",""es-MX"")"),"24/11/2024 Se añadió el contenido de la versión 0.5C: eventos, información sobre monstruos y consejos.")</f>
        <v>24/11/2024 Se añadió el contenido de la versión 0.5C: eventos, información sobre monstruos y consejos.</v>
      </c>
      <c r="F71" s="45" t="str">
        <f>IFERROR(__xludf.DUMMYFUNCTION("GOOGLETRANSLATE(A71,""zh-tw"",""KO"")"),"2024/11/24 0.5C 버전 콘텐츠 추가 - 이벤트, 몬스터 정보, 팁")</f>
        <v>2024/11/24 0.5C 버전 콘텐츠 추가 - 이벤트, 몬스터 정보, 팁</v>
      </c>
      <c r="G71" s="45" t="str">
        <f>IFERROR(__xludf.DUMMYFUNCTION("GOOGLETRANSLATE(A71,""zh-tw"",""RU"")"),"24.11.2024 Добавлен контент версии 0.5C — события, информация о монстрах, советы.")</f>
        <v>24.11.2024 Добавлен контент версии 0.5C — события, информация о монстрах, советы.</v>
      </c>
      <c r="H71" s="45" t="str">
        <f>IFERROR(__xludf.DUMMYFUNCTION("GOOGLETRANSLATE(A71,""zh-tw"",""DE"")"),"24.11.2024: Inhalte der Version 0.5C hinzugefügt – Ereignisse, Monsterinformationen, Tipps")</f>
        <v>24.11.2024: Inhalte der Version 0.5C hinzugefügt – Ereignisse, Monsterinformationen, Tipps</v>
      </c>
      <c r="I71" s="49" t="s">
        <v>164</v>
      </c>
      <c r="J71" s="46"/>
      <c r="K71" s="46"/>
      <c r="L71" s="46"/>
      <c r="M71" s="46"/>
      <c r="N71" s="46"/>
      <c r="O71" s="46"/>
      <c r="P71" s="46"/>
      <c r="Q71" s="46"/>
      <c r="R71" s="46"/>
      <c r="S71" s="46"/>
      <c r="T71" s="46"/>
      <c r="U71" s="46"/>
      <c r="V71" s="46"/>
      <c r="W71" s="46"/>
    </row>
    <row r="72">
      <c r="A72" s="43" t="s">
        <v>165</v>
      </c>
      <c r="B72" s="43" t="str">
        <f>IFERROR(__xludf.DUMMYFUNCTION("GOOGLETRANSLATE(A72,""zh-tw"",""ja"")"),"2024/11/22にバージョン0.5Bのコンテンツを追加しました - イベント/通知")</f>
        <v>2024/11/22にバージョン0.5Bのコンテンツを追加しました - イベント/通知</v>
      </c>
      <c r="C72" s="44" t="str">
        <f>IFERROR(__xludf.DUMMYFUNCTION("GOOGLETRANSLATE(A72,""zh-tw"",""en"")"),"Added version 0.5B content on 2024/11/22 - Events/Notifications")</f>
        <v>Added version 0.5B content on 2024/11/22 - Events/Notifications</v>
      </c>
      <c r="D72" s="43" t="str">
        <f>IFERROR(__xludf.DUMMYFUNCTION("GOOGLETRANSLATE(A72,""zh-tw"",""zh"")"),"2024/11/22 新增0.5B版本内容-事件/提示")</f>
        <v>2024/11/22 新增0.5B版本内容-事件/提示</v>
      </c>
      <c r="E72" s="45" t="str">
        <f>IFERROR(__xludf.DUMMYFUNCTION("GOOGLETRANSLATE(A72,""zh-tw"",""es-MX"")"),"Se añadió contenido de la versión 0.5B el 22/11/2024 - Eventos/Notificaciones")</f>
        <v>Se añadió contenido de la versión 0.5B el 22/11/2024 - Eventos/Notificaciones</v>
      </c>
      <c r="F72" s="45" t="str">
        <f>IFERROR(__xludf.DUMMYFUNCTION("GOOGLETRANSLATE(A72,""zh-tw"",""KO"")"),"2024/11/22에 버전 0.5B 콘텐츠 추가 - 이벤트/알림")</f>
        <v>2024/11/22에 버전 0.5B 콘텐츠 추가 - 이벤트/알림</v>
      </c>
      <c r="G72" s="45" t="str">
        <f>IFERROR(__xludf.DUMMYFUNCTION("GOOGLETRANSLATE(A72,""zh-tw"",""RU"")"),"Добавлен контент версии 0.5B 22.11.2024 — События/Уведомления")</f>
        <v>Добавлен контент версии 0.5B 22.11.2024 — События/Уведомления</v>
      </c>
      <c r="H72" s="45" t="str">
        <f>IFERROR(__xludf.DUMMYFUNCTION("GOOGLETRANSLATE(A72,""zh-tw"",""DE"")"),"Inhalte der Version 0.5B wurden am 22.11.2024 hinzugefügt – Ereignisse/Benachrichtigungen")</f>
        <v>Inhalte der Version 0.5B wurden am 22.11.2024 hinzugefügt – Ereignisse/Benachrichtigungen</v>
      </c>
      <c r="I72" s="49" t="s">
        <v>166</v>
      </c>
      <c r="J72" s="46"/>
      <c r="K72" s="46"/>
      <c r="L72" s="46"/>
      <c r="M72" s="46"/>
      <c r="N72" s="46"/>
      <c r="O72" s="46"/>
      <c r="P72" s="46"/>
      <c r="Q72" s="46"/>
      <c r="R72" s="46"/>
      <c r="S72" s="46"/>
      <c r="T72" s="46"/>
      <c r="U72" s="46"/>
      <c r="V72" s="46"/>
      <c r="W72" s="46"/>
    </row>
    <row r="73">
      <c r="A73" s="43" t="s">
        <v>167</v>
      </c>
      <c r="B73" s="43" t="str">
        <f>IFERROR(__xludf.DUMMYFUNCTION("GOOGLETRANSLATE(A73,""zh-tw"",""ja"")"),"2024/11/21にMAPファイルを追加しました")</f>
        <v>2024/11/21にMAPファイルを追加しました</v>
      </c>
      <c r="C73" s="44" t="str">
        <f>IFERROR(__xludf.DUMMYFUNCTION("GOOGLETRANSLATE(A73,""zh-tw"",""en"")"),"Added MAP file on 2024/11/21")</f>
        <v>Added MAP file on 2024/11/21</v>
      </c>
      <c r="D73" s="43" t="s">
        <v>168</v>
      </c>
      <c r="E73" s="45" t="str">
        <f>IFERROR(__xludf.DUMMYFUNCTION("GOOGLETRANSLATE(A73,""zh-tw"",""es-MX"")"),"Se agregó el archivo MAP el 21/11/2024")</f>
        <v>Se agregó el archivo MAP el 21/11/2024</v>
      </c>
      <c r="F73" s="45" t="str">
        <f>IFERROR(__xludf.DUMMYFUNCTION("GOOGLETRANSLATE(A73,""zh-tw"",""KO"")"),"2024/11/21에 MAP 파일 추가됨")</f>
        <v>2024/11/21에 MAP 파일 추가됨</v>
      </c>
      <c r="G73" s="45" t="str">
        <f>IFERROR(__xludf.DUMMYFUNCTION("GOOGLETRANSLATE(A73,""zh-tw"",""RU"")"),"Добавлен файл MAP 21.11.2024")</f>
        <v>Добавлен файл MAP 21.11.2024</v>
      </c>
      <c r="H73" s="45" t="str">
        <f>IFERROR(__xludf.DUMMYFUNCTION("GOOGLETRANSLATE(A73,""zh-tw"",""DE"")"),"MAP-Datei hinzugefügt am 21.11.2024")</f>
        <v>MAP-Datei hinzugefügt am 21.11.2024</v>
      </c>
      <c r="I73" s="49" t="s">
        <v>169</v>
      </c>
      <c r="J73" s="46"/>
      <c r="K73" s="46"/>
      <c r="L73" s="46"/>
      <c r="M73" s="46"/>
      <c r="N73" s="46"/>
      <c r="O73" s="46"/>
      <c r="P73" s="46"/>
      <c r="Q73" s="46"/>
      <c r="R73" s="46"/>
      <c r="S73" s="46"/>
      <c r="T73" s="46"/>
      <c r="U73" s="46"/>
      <c r="V73" s="46"/>
      <c r="W73" s="46"/>
    </row>
    <row r="74">
      <c r="A74" s="43" t="s">
        <v>170</v>
      </c>
      <c r="B74" s="43" t="str">
        <f>IFERROR(__xludf.DUMMYFUNCTION("GOOGLETRANSLATE(A74,""zh-tw"",""ja"")"),"2024/11/20 バージョン0.5Aのコンテンツを追加しました - イベント/プロンプト")</f>
        <v>2024/11/20 バージョン0.5Aのコンテンツを追加しました - イベント/プロンプト</v>
      </c>
      <c r="C74" s="44" t="str">
        <f>IFERROR(__xludf.DUMMYFUNCTION("GOOGLETRANSLATE(A74,""zh-tw"",""en"")"),"2024/11/20 Added version 0.5A content - Events/Prompts")</f>
        <v>2024/11/20 Added version 0.5A content - Events/Prompts</v>
      </c>
      <c r="D74" s="43" t="str">
        <f>IFERROR(__xludf.DUMMYFUNCTION("GOOGLETRANSLATE(A74,""zh-tw"",""zh"")"),"2024/11/20 新增0.5A版本内容-事件/提示")</f>
        <v>2024/11/20 新增0.5A版本内容-事件/提示</v>
      </c>
      <c r="E74" s="45" t="str">
        <f>IFERROR(__xludf.DUMMYFUNCTION("GOOGLETRANSLATE(A74,""zh-tw"",""es-MX"")"),"20/11/2024 Se añadió el contenido de la versión 0.5A: Eventos/Avisos")</f>
        <v>20/11/2024 Se añadió el contenido de la versión 0.5A: Eventos/Avisos</v>
      </c>
      <c r="F74" s="45" t="str">
        <f>IFERROR(__xludf.DUMMYFUNCTION("GOOGLETRANSLATE(A74,""zh-tw"",""KO"")"),"2024/11/20 버전 0.5A 콘텐츠 추가 - 이벤트/프롬프트")</f>
        <v>2024/11/20 버전 0.5A 콘텐츠 추가 - 이벤트/프롬프트</v>
      </c>
      <c r="G74" s="45" t="str">
        <f>IFERROR(__xludf.DUMMYFUNCTION("GOOGLETRANSLATE(A74,""zh-tw"",""RU"")"),"2024/11/20 Добавлен контент версии 0.5A — События/Подсказки")</f>
        <v>2024/11/20 Добавлен контент версии 0.5A — События/Подсказки</v>
      </c>
      <c r="H74" s="45" t="str">
        <f>IFERROR(__xludf.DUMMYFUNCTION("GOOGLETRANSLATE(A74,""zh-tw"",""DE"")"),"20.11.2024: Inhalt der Version 0.5A hinzugefügt – Ereignisse/Aufforderungen")</f>
        <v>20.11.2024: Inhalt der Version 0.5A hinzugefügt – Ereignisse/Aufforderungen</v>
      </c>
      <c r="I74" s="49" t="s">
        <v>171</v>
      </c>
      <c r="J74" s="46"/>
      <c r="K74" s="46"/>
      <c r="L74" s="46"/>
      <c r="M74" s="46"/>
      <c r="N74" s="46"/>
      <c r="O74" s="46"/>
      <c r="P74" s="46"/>
      <c r="Q74" s="46"/>
      <c r="R74" s="46"/>
      <c r="S74" s="46"/>
      <c r="T74" s="46"/>
      <c r="U74" s="46"/>
      <c r="V74" s="46"/>
      <c r="W74" s="46"/>
    </row>
    <row r="75">
      <c r="A75" s="43" t="s">
        <v>172</v>
      </c>
      <c r="B75" s="43" t="str">
        <f>IFERROR(__xludf.DUMMYFUNCTION("GOOGLETRANSLATE(A75,""zh-tw"",""ja"")"),"2024年11月2日にバハムートの個人作品から転載：https://home.gamer.com.tw/artwork.php?sn=6032493")</f>
        <v>2024年11月2日にバハムートの個人作品から転載：https://home.gamer.com.tw/artwork.php?sn=6032493</v>
      </c>
      <c r="C75" s="44" t="str">
        <f>IFERROR(__xludf.DUMMYFUNCTION("GOOGLETRANSLATE(A75,""zh-tw"",""en"")"),"Reposted from Bahamut's personal creations on November 2, 2024: https://home.gamer.com.tw/artwork.php?sn=6032493")</f>
        <v>Reposted from Bahamut's personal creations on November 2, 2024: https://home.gamer.com.tw/artwork.php?sn=6032493</v>
      </c>
      <c r="D75" s="43" t="str">
        <f>IFERROR(__xludf.DUMMYFUNCTION("GOOGLETRANSLATE(A75,""zh-tw"",""zh"")"),"2024/11/2 转载至巴哈姆特个人创作https://home.gamer.com.tw/artwork.php?sn=6032493")</f>
        <v>2024/11/2 转载至巴哈姆特个人创作https://home.gamer.com.tw/artwork.php?sn=6032493</v>
      </c>
      <c r="E75" s="45" t="str">
        <f>IFERROR(__xludf.DUMMYFUNCTION("GOOGLETRANSLATE(A75,""zh-tw"",""es-MX"")"),"Publicado originalmente en las creaciones personales de Bahamut el 2 de noviembre de 2024: https://home.gamer.com.tw/artwork.php?sn=6032493")</f>
        <v>Publicado originalmente en las creaciones personales de Bahamut el 2 de noviembre de 2024: https://home.gamer.com.tw/artwork.php?sn=6032493</v>
      </c>
      <c r="F75" s="45" t="str">
        <f>IFERROR(__xludf.DUMMYFUNCTION("GOOGLETRANSLATE(A75,""zh-tw"",""KO"")"),"2024년 11월 2일에 Bahamut의 개인 창작물에서 다시 게시됨: https://home.gamer.com.tw/artwork.php?sn=6032493")</f>
        <v>2024년 11월 2일에 Bahamut의 개인 창작물에서 다시 게시됨: https://home.gamer.com.tw/artwork.php?sn=6032493</v>
      </c>
      <c r="G75" s="45" t="str">
        <f>IFERROR(__xludf.DUMMYFUNCTION("GOOGLETRANSLATE(A75,""zh-tw"",""RU"")"),"Переопубликовано из личных творений Бахамута 2 ноября 2024 г.: https://home.gamer.com.tw/artwork.php?sn=6032493")</f>
        <v>Переопубликовано из личных творений Бахамута 2 ноября 2024 г.: https://home.gamer.com.tw/artwork.php?sn=6032493</v>
      </c>
      <c r="H75" s="45" t="str">
        <f>IFERROR(__xludf.DUMMYFUNCTION("GOOGLETRANSLATE(A75,""zh-tw"",""DE"")"),"Neu veröffentlicht von Bahamuts persönlichen Kreationen am 2. November 2024: https://home.gamer.com.tw/artwork.php?sn=6032493")</f>
        <v>Neu veröffentlicht von Bahamuts persönlichen Kreationen am 2. November 2024: https://home.gamer.com.tw/artwork.php?sn=6032493</v>
      </c>
      <c r="I75" s="49" t="s">
        <v>173</v>
      </c>
      <c r="J75" s="46"/>
      <c r="K75" s="46"/>
      <c r="L75" s="46"/>
      <c r="M75" s="46"/>
      <c r="N75" s="46"/>
      <c r="O75" s="46"/>
      <c r="P75" s="46"/>
      <c r="Q75" s="46"/>
      <c r="R75" s="46"/>
      <c r="S75" s="46"/>
      <c r="T75" s="46"/>
      <c r="U75" s="46"/>
      <c r="V75" s="46"/>
      <c r="W75" s="46"/>
    </row>
    <row r="76">
      <c r="A76" s="43" t="s">
        <v>174</v>
      </c>
      <c r="B76" s="43" t="str">
        <f>IFERROR(__xludf.DUMMYFUNCTION("GOOGLETRANSLATE(A76,""zh-tw"",""ja"")"),"2024/11/2 バージョン0.45で新しいコンテンツを追加しました - イベント/プロンプト")</f>
        <v>2024/11/2 バージョン0.45で新しいコンテンツを追加しました - イベント/プロンプト</v>
      </c>
      <c r="C76" s="44" t="str">
        <f>IFERROR(__xludf.DUMMYFUNCTION("GOOGLETRANSLATE(A76,""zh-tw"",""en"")"),"2024/11/2 Added new content in version 0.45 - Events/Prompts")</f>
        <v>2024/11/2 Added new content in version 0.45 - Events/Prompts</v>
      </c>
      <c r="D76" s="43" t="str">
        <f>IFERROR(__xludf.DUMMYFUNCTION("GOOGLETRANSLATE(A76,""zh-tw"",""zh"")"),"2024/11/2 新增0.45版本内容-事件/提示")</f>
        <v>2024/11/2 新增0.45版本内容-事件/提示</v>
      </c>
      <c r="E76" s="45" t="str">
        <f>IFERROR(__xludf.DUMMYFUNCTION("GOOGLETRANSLATE(A76,""zh-tw"",""es-MX"")"),"2024/11/2 Se agregó contenido nuevo en la versión 0.45: Eventos/Avisos")</f>
        <v>2024/11/2 Se agregó contenido nuevo en la versión 0.45: Eventos/Avisos</v>
      </c>
      <c r="F76" s="45" t="str">
        <f>IFERROR(__xludf.DUMMYFUNCTION("GOOGLETRANSLATE(A76,""zh-tw"",""KO"")"),"2024/11/2 버전 0.45에 새로운 콘텐츠 추가 - 이벤트/프롬프트")</f>
        <v>2024/11/2 버전 0.45에 새로운 콘텐츠 추가 - 이벤트/프롬프트</v>
      </c>
      <c r="G76" s="45" t="str">
        <f>IFERROR(__xludf.DUMMYFUNCTION("GOOGLETRANSLATE(A76,""zh-tw"",""RU"")"),"2 ноября 2024 г. Добавлен новый контент в версии 0.45 — События/Подсказки.")</f>
        <v>2 ноября 2024 г. Добавлен новый контент в версии 0.45 — События/Подсказки.</v>
      </c>
      <c r="H76" s="45" t="str">
        <f>IFERROR(__xludf.DUMMYFUNCTION("GOOGLETRANSLATE(A76,""zh-tw"",""DE"")"),"02.11.2024: Neue Inhalte in Version 0.45 hinzugefügt – Ereignisse/Aufforderungen")</f>
        <v>02.11.2024: Neue Inhalte in Version 0.45 hinzugefügt – Ereignisse/Aufforderungen</v>
      </c>
      <c r="I76" s="49" t="s">
        <v>175</v>
      </c>
      <c r="J76" s="46"/>
      <c r="K76" s="46"/>
      <c r="L76" s="46"/>
      <c r="M76" s="46"/>
      <c r="N76" s="46"/>
      <c r="O76" s="46"/>
      <c r="P76" s="46"/>
      <c r="Q76" s="46"/>
      <c r="R76" s="46"/>
      <c r="S76" s="46"/>
      <c r="T76" s="46"/>
      <c r="U76" s="46"/>
      <c r="V76" s="46"/>
      <c r="W76" s="46"/>
    </row>
    <row r="77">
      <c r="A77" s="43" t="s">
        <v>176</v>
      </c>
      <c r="B77" s="43" t="str">
        <f>IFERROR(__xludf.DUMMYFUNCTION("GOOGLETRANSLATE(A77,""zh-tw"",""ja"")"),"専用グラフィックカードの追加手順（2024/10/31）")</f>
        <v>専用グラフィックカードの追加手順（2024/10/31）</v>
      </c>
      <c r="C77" s="44" t="str">
        <f>IFERROR(__xludf.DUMMYFUNCTION("GOOGLETRANSLATE(A77,""zh-tw"",""en"")"),"Instructions for adding a dedicated graphics card (2024/10/31)")</f>
        <v>Instructions for adding a dedicated graphics card (2024/10/31)</v>
      </c>
      <c r="D77" s="43" t="str">
        <f>IFERROR(__xludf.DUMMYFUNCTION("GOOGLETRANSLATE(A77,""zh-tw"",""zh"")"),"2024/10/31 新增独立显卡操作说明")</f>
        <v>2024/10/31 新增独立显卡操作说明</v>
      </c>
      <c r="E77" s="45" t="str">
        <f>IFERROR(__xludf.DUMMYFUNCTION("GOOGLETRANSLATE(A77,""zh-tw"",""es-MX"")"),"Instrucciones para agregar una tarjeta gráfica dedicada (31/10/2024)")</f>
        <v>Instrucciones para agregar una tarjeta gráfica dedicada (31/10/2024)</v>
      </c>
      <c r="F77" s="45" t="str">
        <f>IFERROR(__xludf.DUMMYFUNCTION("GOOGLETRANSLATE(A77,""zh-tw"",""KO"")"),"전용 그래픽 카드 추가 방법 (2024/10/31)")</f>
        <v>전용 그래픽 카드 추가 방법 (2024/10/31)</v>
      </c>
      <c r="G77" s="45" t="str">
        <f>IFERROR(__xludf.DUMMYFUNCTION("GOOGLETRANSLATE(A77,""zh-tw"",""RU"")"),"Инструкция по добавлению дискретной видеокарты (31.10.2024)")</f>
        <v>Инструкция по добавлению дискретной видеокарты (31.10.2024)</v>
      </c>
      <c r="H77" s="45" t="str">
        <f>IFERROR(__xludf.DUMMYFUNCTION("GOOGLETRANSLATE(A77,""zh-tw"",""DE"")"),"Anleitung zum Hinzufügen einer dedizierten Grafikkarte (31.10.2024)")</f>
        <v>Anleitung zum Hinzufügen einer dedizierten Grafikkarte (31.10.2024)</v>
      </c>
      <c r="I77" s="49" t="s">
        <v>177</v>
      </c>
      <c r="J77" s="46"/>
      <c r="K77" s="46"/>
      <c r="L77" s="46"/>
      <c r="M77" s="46"/>
      <c r="N77" s="46"/>
      <c r="O77" s="46"/>
      <c r="P77" s="46"/>
      <c r="Q77" s="46"/>
      <c r="R77" s="46"/>
      <c r="S77" s="46"/>
      <c r="T77" s="46"/>
      <c r="U77" s="46"/>
      <c r="V77" s="46"/>
      <c r="W77" s="46"/>
    </row>
    <row r="78">
      <c r="A78" s="43" t="s">
        <v>178</v>
      </c>
      <c r="B78" s="43" t="str">
        <f>IFERROR(__xludf.DUMMYFUNCTION("GOOGLETRANSLATE(A78,""zh-tw"",""ja"")"),"2024/10/28にお知らせ内容を追加しました")</f>
        <v>2024/10/28にお知らせ内容を追加しました</v>
      </c>
      <c r="C78" s="44" t="str">
        <f>IFERROR(__xludf.DUMMYFUNCTION("GOOGLETRANSLATE(A78,""zh-tw"",""en"")"),"Added some announcement content on 2024/10/28")</f>
        <v>Added some announcement content on 2024/10/28</v>
      </c>
      <c r="D78" s="43" t="str">
        <f>IFERROR(__xludf.DUMMYFUNCTION("GOOGLETRANSLATE(A78,""zh-tw"",""zh"")"),"2024/10/28 新增部分公告内容")</f>
        <v>2024/10/28 新增部分公告内容</v>
      </c>
      <c r="E78" s="45" t="str">
        <f>IFERROR(__xludf.DUMMYFUNCTION("GOOGLETRANSLATE(A78,""zh-tw"",""es-MX"")"),"Se añadió contenido de anuncio el 28/10/2024")</f>
        <v>Se añadió contenido de anuncio el 28/10/2024</v>
      </c>
      <c r="F78" s="45" t="str">
        <f>IFERROR(__xludf.DUMMYFUNCTION("GOOGLETRANSLATE(A78,""zh-tw"",""KO"")"),"2024/10/28에 일부 공지 내용을 추가했습니다.")</f>
        <v>2024/10/28에 일부 공지 내용을 추가했습니다.</v>
      </c>
      <c r="G78" s="45" t="str">
        <f>IFERROR(__xludf.DUMMYFUNCTION("GOOGLETRANSLATE(A78,""zh-tw"",""RU"")"),"Добавлены некоторые анонсы от 28.10.2024")</f>
        <v>Добавлены некоторые анонсы от 28.10.2024</v>
      </c>
      <c r="H78" s="45" t="str">
        <f>IFERROR(__xludf.DUMMYFUNCTION("GOOGLETRANSLATE(A78,""zh-tw"",""DE"")"),"Am 28.10.2024 wurden einige Ankündigungsinhalte hinzugefügt.")</f>
        <v>Am 28.10.2024 wurden einige Ankündigungsinhalte hinzugefügt.</v>
      </c>
      <c r="I78" s="49" t="s">
        <v>179</v>
      </c>
      <c r="J78" s="46"/>
      <c r="K78" s="46"/>
      <c r="L78" s="46"/>
      <c r="M78" s="46"/>
      <c r="N78" s="46"/>
      <c r="O78" s="46"/>
      <c r="P78" s="46"/>
      <c r="Q78" s="46"/>
      <c r="R78" s="46"/>
      <c r="S78" s="46"/>
      <c r="T78" s="46"/>
      <c r="U78" s="46"/>
      <c r="V78" s="46"/>
      <c r="W78" s="46"/>
    </row>
    <row r="79">
      <c r="A79" s="43" t="s">
        <v>180</v>
      </c>
      <c r="B79" s="43" t="str">
        <f>IFERROR(__xludf.DUMMYFUNCTION("GOOGLETRANSLATE(A79,""zh-tw"",""ja"")"),"2024/10/24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9" s="44" t="str">
        <f>IFERROR(__xludf.DUMMYFUNCTION("GOOGLETRANSLATE(A79,""zh-tw"",""en"")"),"2024/10/24 New content added to version 0.4C - events/field drops/armor")</f>
        <v>2024/10/24 New content added to version 0.4C - events/field drops/armor</v>
      </c>
      <c r="D79" s="43" t="str">
        <f>IFERROR(__xludf.DUMMYFUNCTION("GOOGLETRANSLATE(A79,""zh-tw"",""zh"")"),"2024/10/24 新增0.4C版本内容-事件/野外掉落/装甲")</f>
        <v>2024/10/24 新增0.4C版本内容-事件/野外掉落/装甲</v>
      </c>
      <c r="E79" s="45" t="str">
        <f>IFERROR(__xludf.DUMMYFUNCTION("GOOGLETRANSLATE(A79,""zh-tw"",""es-MX"")"),"24/10/2024 Nuevo contenido añadido a la versión 0.4C: eventos/botín de campo/armaduras")</f>
        <v>24/10/2024 Nuevo contenido añadido a la versión 0.4C: eventos/botín de campo/armaduras</v>
      </c>
      <c r="F79" s="45" t="str">
        <f>IFERROR(__xludf.DUMMYFUNCTION("GOOGLETRANSLATE(A79,""zh-tw"",""KO"")"),"2024/10/24 버전 0.4C에 새로운 콘텐츠 추가 - 이벤트/필드 드랍/방어구")</f>
        <v>2024/10/24 버전 0.4C에 새로운 콘텐츠 추가 - 이벤트/필드 드랍/방어구</v>
      </c>
      <c r="G79" s="45" t="str">
        <f>IFERROR(__xludf.DUMMYFUNCTION("GOOGLETRANSLATE(A79,""zh-tw"",""RU"")"),"24.10.2024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9" s="45" t="str">
        <f>IFERROR(__xludf.DUMMYFUNCTION("GOOGLETRANSLATE(A79,""zh-tw"",""DE"")"),"24.10.2024 Neue Inhalte in Version 0.4C hinzugefügt – Ereignisse/Feldbeute/Rüstung")</f>
        <v>24.10.2024 Neue Inhalte in Version 0.4C hinzugefügt – Ereignisse/Feldbeute/Rüstung</v>
      </c>
      <c r="I79" s="49" t="s">
        <v>181</v>
      </c>
      <c r="J79" s="46"/>
      <c r="K79" s="46"/>
      <c r="L79" s="46"/>
      <c r="M79" s="46"/>
      <c r="N79" s="46"/>
      <c r="O79" s="46"/>
      <c r="P79" s="46"/>
      <c r="Q79" s="46"/>
      <c r="R79" s="46"/>
      <c r="S79" s="46"/>
      <c r="T79" s="46"/>
      <c r="U79" s="46"/>
      <c r="V79" s="46"/>
      <c r="W79" s="46"/>
    </row>
    <row r="80">
      <c r="A80" s="43" t="s">
        <v>182</v>
      </c>
      <c r="B80" s="43" t="str">
        <f>IFERROR(__xludf.DUMMYFUNCTION("GOOGLETRANSLATE(A80,""zh-tw"",""ja"")"),"2024年10月21日：バージョン0.4Aコンテンツ（ドロップ/装備/ヒント）を追加")</f>
        <v>2024年10月21日：バージョン0.4Aコンテンツ（ドロップ/装備/ヒント）を追加</v>
      </c>
      <c r="C80" s="44" t="str">
        <f>IFERROR(__xludf.DUMMYFUNCTION("GOOGLETRANSLATE(A80,""zh-tw"",""en"")"),"October 21, 2024: Added version 0.4A content (Drop/Equip/Tips)")</f>
        <v>October 21, 2024: Added version 0.4A content (Drop/Equip/Tips)</v>
      </c>
      <c r="D80" s="43" t="str">
        <f>IFERROR(__xludf.DUMMYFUNCTION("GOOGLETRANSLATE(A80,""zh-tw"",""zh"")"),"2024/10/21 新增0.4A版本内容(Drop/Equip/Tips)")</f>
        <v>2024/10/21 新增0.4A版本内容(Drop/Equip/Tips)</v>
      </c>
      <c r="E80" s="45" t="str">
        <f>IFERROR(__xludf.DUMMYFUNCTION("GOOGLETRANSLATE(A80,""zh-tw"",""es-MX"")"),"21 de octubre de 2024: Se añadió el contenido de la versión 0.4A (Objetos/Equipamiento/Consejos)")</f>
        <v>21 de octubre de 2024: Se añadió el contenido de la versión 0.4A (Objetos/Equipamiento/Consejos)</v>
      </c>
      <c r="F80" s="45" t="str">
        <f>IFERROR(__xludf.DUMMYFUNCTION("GOOGLETRANSLATE(A80,""zh-tw"",""KO"")"),"2024년 10월 21일: 버전 0.4A 콘텐츠 추가(드랍/장비/팁)")</f>
        <v>2024년 10월 21일: 버전 0.4A 콘텐츠 추가(드랍/장비/팁)</v>
      </c>
      <c r="G80" s="45" t="str">
        <f>IFERROR(__xludf.DUMMYFUNCTION("GOOGLETRANSLATE(A80,""zh-tw"",""RU"")"),"21 октября 2024 г.: добавлен контент версии 0.4A (выброс/экипировка/советы).")</f>
        <v>21 октября 2024 г.: добавлен контент версии 0.4A (выброс/экипировка/советы).</v>
      </c>
      <c r="H80" s="45" t="str">
        <f>IFERROR(__xludf.DUMMYFUNCTION("GOOGLETRANSLATE(A80,""zh-tw"",""DE"")"),"21. Oktober 2024: Inhalt der Version 0.4A hinzugefügt (Beute/Ausrüstung/Tipps)")</f>
        <v>21. Oktober 2024: Inhalt der Version 0.4A hinzugefügt (Beute/Ausrüstung/Tipps)</v>
      </c>
      <c r="I80" s="49" t="s">
        <v>183</v>
      </c>
      <c r="J80" s="46"/>
      <c r="K80" s="46"/>
      <c r="L80" s="46"/>
      <c r="M80" s="46"/>
      <c r="N80" s="46"/>
      <c r="O80" s="46"/>
      <c r="P80" s="46"/>
      <c r="Q80" s="46"/>
      <c r="R80" s="46"/>
      <c r="S80" s="46"/>
      <c r="T80" s="46"/>
      <c r="U80" s="46"/>
      <c r="V80" s="46"/>
      <c r="W80" s="46"/>
    </row>
    <row r="81">
      <c r="A81" s="43" t="s">
        <v>184</v>
      </c>
      <c r="B81" s="43" t="str">
        <f>IFERROR(__xludf.DUMMYFUNCTION("GOOGLETRANSLATE(A81,""zh-tw"",""ja"")"),"2024/10/15 マップとイベント番号表を新規追加しました")</f>
        <v>2024/10/15 マップとイベント番号表を新規追加しました</v>
      </c>
      <c r="C81" s="44" t="str">
        <f>IFERROR(__xludf.DUMMYFUNCTION("GOOGLETRANSLATE(A81,""zh-tw"",""en"")"),"2024/10/15 Newly added map and event number table")</f>
        <v>2024/10/15 Newly added map and event number table</v>
      </c>
      <c r="D81" s="43" t="str">
        <f>IFERROR(__xludf.DUMMYFUNCTION("GOOGLETRANSLATE(A81,""zh-tw"",""zh"")"),"2024/10/15新增地图、事件编号表")</f>
        <v>2024/10/15新增地图、事件编号表</v>
      </c>
      <c r="E81" s="45" t="str">
        <f>IFERROR(__xludf.DUMMYFUNCTION("GOOGLETRANSLATE(A81,""zh-tw"",""es-MX"")"),"15/10/2024 Nueva tabla de mapas y números de eventos")</f>
        <v>15/10/2024 Nueva tabla de mapas y números de eventos</v>
      </c>
      <c r="F81" s="45" t="str">
        <f>IFERROR(__xludf.DUMMYFUNCTION("GOOGLETRANSLATE(A81,""zh-tw"",""KO"")"),"2024/10/15 신규 추가 맵 및 이벤트 번호표")</f>
        <v>2024/10/15 신규 추가 맵 및 이벤트 번호표</v>
      </c>
      <c r="G81" s="45" t="str">
        <f>IFERROR(__xludf.DUMMYFUNCTION("GOOGLETRANSLATE(A81,""zh-tw"",""RU"")"),"2024/10/15 Добавлены новые карты и таблицы номеров событий")</f>
        <v>2024/10/15 Добавлены новые карты и таблицы номеров событий</v>
      </c>
      <c r="H81" s="45" t="str">
        <f>IFERROR(__xludf.DUMMYFUNCTION("GOOGLETRANSLATE(A81,""zh-tw"",""DE"")"),"15.10.2024: Neue Karte und Ereignisnummerntabelle hinzugefügt")</f>
        <v>15.10.2024: Neue Karte und Ereignisnummerntabelle hinzugefügt</v>
      </c>
      <c r="I81" s="49" t="s">
        <v>185</v>
      </c>
      <c r="J81" s="46"/>
      <c r="K81" s="46"/>
      <c r="L81" s="46"/>
      <c r="M81" s="46"/>
      <c r="N81" s="46"/>
      <c r="O81" s="46"/>
      <c r="P81" s="46"/>
      <c r="Q81" s="46"/>
      <c r="R81" s="46"/>
      <c r="S81" s="46"/>
      <c r="T81" s="46"/>
      <c r="U81" s="46"/>
      <c r="V81" s="46"/>
      <c r="W81" s="46"/>
    </row>
    <row r="82">
      <c r="A82" s="43" t="s">
        <v>186</v>
      </c>
      <c r="B82" s="43" t="str">
        <f>IFERROR(__xludf.DUMMYFUNCTION("GOOGLETRANSLATE(A82,""zh-tw"",""ja"")"),"2024/10/15にいくつかのイベントと新しいイベント番号を追加しました。")</f>
        <v>2024/10/15にいくつかのイベントと新しいイベント番号を追加しました。</v>
      </c>
      <c r="C82" s="44" t="str">
        <f>IFERROR(__xludf.DUMMYFUNCTION("GOOGLETRANSLATE(A82,""zh-tw"",""en"")"),"Added some events and new event numbers on 2024/10/15.")</f>
        <v>Added some events and new event numbers on 2024/10/15.</v>
      </c>
      <c r="D82" s="43" t="str">
        <f>IFERROR(__xludf.DUMMYFUNCTION("GOOGLETRANSLATE(A82,""zh-tw"",""zh"")"),"2024/10/15新增部分事件、新增事件NO.")</f>
        <v>2024/10/15新增部分事件、新增事件NO.</v>
      </c>
      <c r="E82" s="45" t="str">
        <f>IFERROR(__xludf.DUMMYFUNCTION("GOOGLETRANSLATE(A82,""zh-tw"",""es-MX"")"),"Se agregaron algunos eventos y nuevos números de eventos el 15/10/2024.")</f>
        <v>Se agregaron algunos eventos y nuevos números de eventos el 15/10/2024.</v>
      </c>
      <c r="F82" s="45" t="str">
        <f>IFERROR(__xludf.DUMMYFUNCTION("GOOGLETRANSLATE(A82,""zh-tw"",""KO"")"),"2024년 10월 15일에 몇 가지 이벤트와 새로운 이벤트 번호가 추가되었습니다.")</f>
        <v>2024년 10월 15일에 몇 가지 이벤트와 새로운 이벤트 번호가 추가되었습니다.</v>
      </c>
      <c r="G82" s="45" t="str">
        <f>IFERROR(__xludf.DUMMYFUNCTION("GOOGLETRANSLATE(A82,""zh-tw"",""RU"")"),"Добавлены некоторые события и новые номера событий на 15.10.2024.")</f>
        <v>Добавлены некоторые события и новые номера событий на 15.10.2024.</v>
      </c>
      <c r="H82" s="45" t="str">
        <f>IFERROR(__xludf.DUMMYFUNCTION("GOOGLETRANSLATE(A82,""zh-tw"",""DE"")"),"Am 15.10.2024 wurden einige Veranstaltungen und neue Veranstaltungsnummern hinzugefügt.")</f>
        <v>Am 15.10.2024 wurden einige Veranstaltungen und neue Veranstaltungsnummern hinzugefügt.</v>
      </c>
      <c r="I82" s="49" t="s">
        <v>187</v>
      </c>
      <c r="J82" s="46"/>
      <c r="K82" s="46"/>
      <c r="L82" s="46"/>
      <c r="M82" s="46"/>
      <c r="N82" s="46"/>
      <c r="O82" s="46"/>
      <c r="P82" s="46"/>
      <c r="Q82" s="46"/>
      <c r="R82" s="46"/>
      <c r="S82" s="46"/>
      <c r="T82" s="46"/>
      <c r="U82" s="46"/>
      <c r="V82" s="46"/>
      <c r="W82" s="46"/>
    </row>
    <row r="83">
      <c r="A83" s="43" t="s">
        <v>188</v>
      </c>
      <c r="B83" s="43" t="str">
        <f>IFERROR(__xludf.DUMMYFUNCTION("GOOGLETRANSLATE(A83,""zh-tw"",""ja"")"),"2024/10/14 書式を一部調整しました")</f>
        <v>2024/10/14 書式を一部調整しました</v>
      </c>
      <c r="C83" s="44" t="str">
        <f>IFERROR(__xludf.DUMMYFUNCTION("GOOGLETRANSLATE(A83,""zh-tw"",""en"")"),"2024/10/14 Adjusted some formatting")</f>
        <v>2024/10/14 Adjusted some formatting</v>
      </c>
      <c r="D83" s="43" t="str">
        <f>IFERROR(__xludf.DUMMYFUNCTION("GOOGLETRANSLATE(A83,""zh-tw"",""zh"")"),"2024/10/14 调整部分格式")</f>
        <v>2024/10/14 调整部分格式</v>
      </c>
      <c r="E83" s="45" t="str">
        <f>IFERROR(__xludf.DUMMYFUNCTION("GOOGLETRANSLATE(A83,""zh-tw"",""es-MX"")"),"14/10/2024 Se ajustó el formato")</f>
        <v>14/10/2024 Se ajustó el formato</v>
      </c>
      <c r="F83" s="45" t="str">
        <f>IFERROR(__xludf.DUMMYFUNCTION("GOOGLETRANSLATE(A83,""zh-tw"",""KO"")"),"2024/10/14 일부 서식을 조정했습니다.")</f>
        <v>2024/10/14 일부 서식을 조정했습니다.</v>
      </c>
      <c r="G83" s="45" t="str">
        <f>IFERROR(__xludf.DUMMYFUNCTION("GOOGLETRANSLATE(A83,""zh-tw"",""RU"")"),"2024/10/14 Исправлено форматирование.")</f>
        <v>2024/10/14 Исправлено форматирование.</v>
      </c>
      <c r="H83" s="45" t="str">
        <f>IFERROR(__xludf.DUMMYFUNCTION("GOOGLETRANSLATE(A83,""zh-tw"",""DE"")"),"14.10.2024: Formatierung angepasst")</f>
        <v>14.10.2024: Formatierung angepasst</v>
      </c>
      <c r="I83" s="49" t="s">
        <v>189</v>
      </c>
      <c r="J83" s="46"/>
      <c r="K83" s="46"/>
      <c r="L83" s="46"/>
      <c r="M83" s="46"/>
      <c r="N83" s="46"/>
      <c r="O83" s="46"/>
      <c r="P83" s="46"/>
      <c r="Q83" s="46"/>
      <c r="R83" s="46"/>
      <c r="S83" s="46"/>
      <c r="T83" s="46"/>
      <c r="U83" s="46"/>
      <c r="V83" s="46"/>
      <c r="W83" s="46"/>
    </row>
    <row r="84">
      <c r="A84" s="43" t="s">
        <v>190</v>
      </c>
      <c r="B84" s="43" t="str">
        <f>IFERROR(__xludf.DUMMYFUNCTION("GOOGLETRANSLATE(A84,""zh-tw"",""ja"")"),"2024/10/13 簡体字中国語翻訳を追加")</f>
        <v>2024/10/13 簡体字中国語翻訳を追加</v>
      </c>
      <c r="C84" s="44" t="str">
        <f>IFERROR(__xludf.DUMMYFUNCTION("GOOGLETRANSLATE(A84,""zh-tw"",""en"")"),"2024/10/13 Added simplified Chinese translation")</f>
        <v>2024/10/13 Added simplified Chinese translation</v>
      </c>
      <c r="D84" s="43" t="str">
        <f>IFERROR(__xludf.DUMMYFUNCTION("GOOGLETRANSLATE(A84,""zh-tw"",""zh"")"),"2024/10/13新增简体中文翻译")</f>
        <v>2024/10/13新增简体中文翻译</v>
      </c>
      <c r="E84" s="45" t="str">
        <f>IFERROR(__xludf.DUMMYFUNCTION("GOOGLETRANSLATE(A84,""zh-tw"",""es-MX"")"),"13/10/2024 Se añadió la traducción al chino simplificado")</f>
        <v>13/10/2024 Se añadió la traducción al chino simplificado</v>
      </c>
      <c r="F84" s="45" t="str">
        <f>IFERROR(__xludf.DUMMYFUNCTION("GOOGLETRANSLATE(A84,""zh-tw"",""KO"")"),"2024/10/13 간체 중국어 번역 추가")</f>
        <v>2024/10/13 간체 중국어 번역 추가</v>
      </c>
      <c r="G84" s="45" t="str">
        <f>IFERROR(__xludf.DUMMYFUNCTION("GOOGLETRANSLATE(A84,""zh-tw"",""RU"")"),"2024/10/13 Добавлен упрощенный китайский перевод.")</f>
        <v>2024/10/13 Добавлен упрощенный китайский перевод.</v>
      </c>
      <c r="H84" s="45" t="str">
        <f>IFERROR(__xludf.DUMMYFUNCTION("GOOGLETRANSLATE(A84,""zh-tw"",""DE"")"),"13.10.2024 Vereinfachte chinesische Übersetzung hinzugefügt")</f>
        <v>13.10.2024 Vereinfachte chinesische Übersetzung hinzugefügt</v>
      </c>
      <c r="I84" s="49" t="s">
        <v>191</v>
      </c>
      <c r="J84" s="46"/>
      <c r="K84" s="46"/>
      <c r="L84" s="46"/>
      <c r="M84" s="46"/>
      <c r="N84" s="46"/>
      <c r="O84" s="46"/>
      <c r="P84" s="46"/>
      <c r="Q84" s="46"/>
      <c r="R84" s="46"/>
      <c r="S84" s="46"/>
      <c r="T84" s="46"/>
      <c r="U84" s="46"/>
      <c r="V84" s="46"/>
      <c r="W84" s="46"/>
    </row>
    <row r="85">
      <c r="A85" s="43" t="s">
        <v>192</v>
      </c>
      <c r="B85" s="43" t="str">
        <f>IFERROR(__xludf.DUMMYFUNCTION("GOOGLETRANSLATE(A85,""zh-tw"",""ja"")"),"2024年10月12日：お知らせフォームと編集ログを追加、タロットカードを改訂しました。")</f>
        <v>2024年10月12日：お知らせフォームと編集ログを追加、タロットカードを改訂しました。</v>
      </c>
      <c r="C85" s="44" t="str">
        <f>IFERROR(__xludf.DUMMYFUNCTION("GOOGLETRANSLATE(A85,""zh-tw"",""en"")"),"October 12, 2024: Added announcement form and edit log; revised tarot cards.")</f>
        <v>October 12, 2024: Added announcement form and edit log; revised tarot cards.</v>
      </c>
      <c r="D85" s="43" t="str">
        <f>IFERROR(__xludf.DUMMYFUNCTION("GOOGLETRANSLATE(A85,""zh-tw"",""zh"")"),"2024/10/12新增公告表与编辑日志、修正塔罗牌")</f>
        <v>2024/10/12新增公告表与编辑日志、修正塔罗牌</v>
      </c>
      <c r="E85" s="45" t="str">
        <f>IFERROR(__xludf.DUMMYFUNCTION("GOOGLETRANSLATE(A85,""zh-tw"",""es-MX"")"),"12 de octubre de 2024: Se agregó el formulario de anuncios y el registro de ediciones; se revisaron las cartas del tarot.")</f>
        <v>12 de octubre de 2024: Se agregó el formulario de anuncios y el registro de ediciones; se revisaron las cartas del tarot.</v>
      </c>
      <c r="F85" s="45" t="str">
        <f>IFERROR(__xludf.DUMMYFUNCTION("GOOGLETRANSLATE(A85,""zh-tw"",""KO"")"),"2024년 10월 12일: 공지 양식과 편집 로그를 추가하고, 타로 카드를 수정했습니다.")</f>
        <v>2024년 10월 12일: 공지 양식과 편집 로그를 추가하고, 타로 카드를 수정했습니다.</v>
      </c>
      <c r="G85" s="45" t="str">
        <f>IFERROR(__xludf.DUMMYFUNCTION("GOOGLETRANSLATE(A85,""zh-tw"",""RU"")"),"12 октября 2024 г.: добавлены форма объявления и журнал редактирования; пересмотрены карты Таро.")</f>
        <v>12 октября 2024 г.: добавлены форма объявления и журнал редактирования; пересмотрены карты Таро.</v>
      </c>
      <c r="H85" s="45" t="str">
        <f>IFERROR(__xludf.DUMMYFUNCTION("GOOGLETRANSLATE(A85,""zh-tw"",""DE"")"),"12. Oktober 2024: Ankündigungsformular und Bearbeitungsprotokoll hinzugefügt; Tarotkarten überarbeitet.")</f>
        <v>12. Oktober 2024: Ankündigungsformular und Bearbeitungsprotokoll hinzugefügt; Tarotkarten überarbeitet.</v>
      </c>
      <c r="I85" s="49" t="s">
        <v>193</v>
      </c>
      <c r="J85" s="46"/>
      <c r="K85" s="46"/>
      <c r="L85" s="46"/>
      <c r="M85" s="46"/>
      <c r="N85" s="46"/>
      <c r="O85" s="46"/>
      <c r="P85" s="46"/>
      <c r="Q85" s="46"/>
      <c r="R85" s="46"/>
      <c r="S85" s="46"/>
      <c r="T85" s="46"/>
      <c r="U85" s="46"/>
      <c r="V85" s="46"/>
      <c r="W85" s="46"/>
    </row>
    <row r="86">
      <c r="A86" s="43" t="s">
        <v>194</v>
      </c>
      <c r="B86" s="43" t="str">
        <f>IFERROR(__xludf.DUMMYFUNCTION("GOOGLETRANSLATE(A86,""zh-tw"",""ja"")"),"2024/10/10 新しいイベントとプロンプトを追加しました")</f>
        <v>2024/10/10 新しいイベントとプロンプトを追加しました</v>
      </c>
      <c r="C86" s="44" t="str">
        <f>IFERROR(__xludf.DUMMYFUNCTION("GOOGLETRANSLATE(A86,""zh-tw"",""en"")"),"2024/10/10 Added new events and prompts")</f>
        <v>2024/10/10 Added new events and prompts</v>
      </c>
      <c r="D86" s="43" t="str">
        <f>IFERROR(__xludf.DUMMYFUNCTION("GOOGLETRANSLATE(A86,""zh-tw"",""zh"")"),"2024/10/10 新增事件、提示表内容")</f>
        <v>2024/10/10 新增事件、提示表内容</v>
      </c>
      <c r="E86" s="45" t="str">
        <f>IFERROR(__xludf.DUMMYFUNCTION("GOOGLETRANSLATE(A86,""zh-tw"",""es-MX"")"),"10/10/2024 Se agregaron nuevos eventos y avisos.")</f>
        <v>10/10/2024 Se agregaron nuevos eventos y avisos.</v>
      </c>
      <c r="F86" s="45" t="str">
        <f>IFERROR(__xludf.DUMMYFUNCTION("GOOGLETRANSLATE(A86,""zh-tw"",""KO"")"),"2024/10/10 새로운 이벤트 및 프롬프트 추가")</f>
        <v>2024/10/10 새로운 이벤트 및 프롬프트 추가</v>
      </c>
      <c r="G86" s="45" t="str">
        <f>IFERROR(__xludf.DUMMYFUNCTION("GOOGLETRANSLATE(A86,""zh-tw"",""RU"")"),"2024/10/10 Добавлены новые события и подсказки")</f>
        <v>2024/10/10 Добавлены новые события и подсказки</v>
      </c>
      <c r="H86" s="45" t="str">
        <f>IFERROR(__xludf.DUMMYFUNCTION("GOOGLETRANSLATE(A86,""zh-tw"",""DE"")"),"10.10.2024 Neue Ereignisse und Eingabeaufforderungen hinzugefügt")</f>
        <v>10.10.2024 Neue Ereignisse und Eingabeaufforderungen hinzugefügt</v>
      </c>
      <c r="I86" s="49" t="s">
        <v>195</v>
      </c>
      <c r="J86" s="46"/>
      <c r="K86" s="46"/>
      <c r="L86" s="46"/>
      <c r="M86" s="46"/>
      <c r="N86" s="46"/>
      <c r="O86" s="46"/>
      <c r="P86" s="46"/>
      <c r="Q86" s="46"/>
      <c r="R86" s="46"/>
      <c r="S86" s="46"/>
      <c r="T86" s="46"/>
      <c r="U86" s="46"/>
      <c r="V86" s="46"/>
      <c r="W86" s="46"/>
    </row>
    <row r="87">
      <c r="A87" s="43" t="s">
        <v>196</v>
      </c>
      <c r="B87" s="43" t="str">
        <f>IFERROR(__xludf.DUMMYFUNCTION("GOOGLETRANSLATE(A87,""zh-tw"",""ja"")"),"2024/10/9にイベントとお知らせを追加しました")</f>
        <v>2024/10/9にイベントとお知らせを追加しました</v>
      </c>
      <c r="C87" s="44" t="str">
        <f>IFERROR(__xludf.DUMMYFUNCTION("GOOGLETRANSLATE(A87,""zh-tw"",""en"")"),"Added events and notifications on 2024/10/9")</f>
        <v>Added events and notifications on 2024/10/9</v>
      </c>
      <c r="D87" s="43" t="str">
        <f>IFERROR(__xludf.DUMMYFUNCTION("GOOGLETRANSLATE(A87,""zh-tw"",""zh"")"),"2024/10/9新增事件、提示表内容")</f>
        <v>2024/10/9新增事件、提示表内容</v>
      </c>
      <c r="E87" s="45" t="str">
        <f>IFERROR(__xludf.DUMMYFUNCTION("GOOGLETRANSLATE(A87,""zh-tw"",""es-MX"")"),"Se añadieron eventos y notificaciones el 9 de octubre de 2024.")</f>
        <v>Se añadieron eventos y notificaciones el 9 de octubre de 2024.</v>
      </c>
      <c r="F87" s="45" t="str">
        <f>IFERROR(__xludf.DUMMYFUNCTION("GOOGLETRANSLATE(A87,""zh-tw"",""KO"")"),"2024/10/9 이벤트 및 알림 추가")</f>
        <v>2024/10/9 이벤트 및 알림 추가</v>
      </c>
      <c r="G87" s="45" t="str">
        <f>IFERROR(__xludf.DUMMYFUNCTION("GOOGLETRANSLATE(A87,""zh-tw"",""RU"")"),"Добавлены события и уведомления на 09.10.2024")</f>
        <v>Добавлены события и уведомления на 09.10.2024</v>
      </c>
      <c r="H87" s="45" t="str">
        <f>IFERROR(__xludf.DUMMYFUNCTION("GOOGLETRANSLATE(A87,""zh-tw"",""DE"")"),"Ereignisse und Benachrichtigungen wurden am 9.10.2024 hinzugefügt.")</f>
        <v>Ereignisse und Benachrichtigungen wurden am 9.10.2024 hinzugefügt.</v>
      </c>
      <c r="I87" s="49" t="s">
        <v>197</v>
      </c>
      <c r="J87" s="46"/>
      <c r="K87" s="46"/>
      <c r="L87" s="46"/>
      <c r="M87" s="46"/>
      <c r="N87" s="46"/>
      <c r="O87" s="46"/>
      <c r="P87" s="46"/>
      <c r="Q87" s="46"/>
      <c r="R87" s="46"/>
      <c r="S87" s="46"/>
      <c r="T87" s="46"/>
      <c r="U87" s="46"/>
      <c r="V87" s="46"/>
      <c r="W87" s="46"/>
    </row>
    <row r="88">
      <c r="A88" s="43" t="s">
        <v>198</v>
      </c>
      <c r="B88" s="43" t="str">
        <f>IFERROR(__xludf.DUMMYFUNCTION("GOOGLETRANSLATE(A88,""zh-tw"",""ja"")"),"2024/10/8にイベントと通知表の内容を追加しました")</f>
        <v>2024/10/8にイベントと通知表の内容を追加しました</v>
      </c>
      <c r="C88" s="44" t="str">
        <f>IFERROR(__xludf.DUMMYFUNCTION("GOOGLETRANSLATE(A88,""zh-tw"",""en"")"),"Added event and notification table content on 2024/10/8")</f>
        <v>Added event and notification table content on 2024/10/8</v>
      </c>
      <c r="D88" s="43" t="str">
        <f>IFERROR(__xludf.DUMMYFUNCTION("GOOGLETRANSLATE(A88,""zh-tw"",""zh"")"),"2024/10/8新增事件、提示表内容")</f>
        <v>2024/10/8新增事件、提示表内容</v>
      </c>
      <c r="E88" s="45" t="str">
        <f>IFERROR(__xludf.DUMMYFUNCTION("GOOGLETRANSLATE(A88,""zh-tw"",""es-MX"")"),"Se agregó contenido a la tabla de eventos y notificaciones el 8 de octubre de 2024.")</f>
        <v>Se agregó contenido a la tabla de eventos y notificaciones el 8 de octubre de 2024.</v>
      </c>
      <c r="F88" s="45" t="str">
        <f>IFERROR(__xludf.DUMMYFUNCTION("GOOGLETRANSLATE(A88,""zh-tw"",""KO"")"),"2024/10/8에 이벤트 및 알림 테이블 내용이 추가되었습니다.")</f>
        <v>2024/10/8에 이벤트 및 알림 테이블 내용이 추가되었습니다.</v>
      </c>
      <c r="G88" s="45" t="str">
        <f>IFERROR(__xludf.DUMMYFUNCTION("GOOGLETRANSLATE(A88,""zh-tw"",""RU"")"),"Добавлено содержимое таблицы событий и уведомлений от 08.10.2024")</f>
        <v>Добавлено содержимое таблицы событий и уведомлений от 08.10.2024</v>
      </c>
      <c r="H88" s="45" t="str">
        <f>IFERROR(__xludf.DUMMYFUNCTION("GOOGLETRANSLATE(A88,""zh-tw"",""DE"")"),"Ereignis- und Benachrichtigungstabelleninhalte wurden am 8.10.2024 hinzugefügt.")</f>
        <v>Ereignis- und Benachrichtigungstabelleninhalte wurden am 8.10.2024 hinzugefügt.</v>
      </c>
      <c r="I88" s="49" t="s">
        <v>199</v>
      </c>
      <c r="J88" s="46"/>
      <c r="K88" s="46"/>
      <c r="L88" s="46"/>
      <c r="M88" s="46"/>
      <c r="N88" s="46"/>
      <c r="O88" s="46"/>
      <c r="P88" s="46"/>
      <c r="Q88" s="46"/>
      <c r="R88" s="46"/>
      <c r="S88" s="46"/>
      <c r="T88" s="46"/>
      <c r="U88" s="46"/>
      <c r="V88" s="46"/>
      <c r="W88" s="46"/>
    </row>
    <row r="89">
      <c r="A89" s="43" t="s">
        <v>200</v>
      </c>
      <c r="B89" s="43" t="str">
        <f>IFERROR(__xludf.DUMMYFUNCTION("GOOGLETRANSLATE(A89,""zh-tw"",""ja"")"),"2024/10/7に通知表を追加しました")</f>
        <v>2024/10/7に通知表を追加しました</v>
      </c>
      <c r="C89" s="44" t="str">
        <f>IFERROR(__xludf.DUMMYFUNCTION("GOOGLETRANSLATE(A89,""zh-tw"",""en"")"),"Added notification table on 2024/10/7")</f>
        <v>Added notification table on 2024/10/7</v>
      </c>
      <c r="D89" s="43" t="str">
        <f>IFERROR(__xludf.DUMMYFUNCTION("GOOGLETRANSLATE(A89,""zh-tw"",""zh"")"),"2024/10/7新增提示表")</f>
        <v>2024/10/7新增提示表</v>
      </c>
      <c r="E89" s="45" t="str">
        <f>IFERROR(__xludf.DUMMYFUNCTION("GOOGLETRANSLATE(A89,""zh-tw"",""es-MX"")"),"Se agregó la tabla de notificaciones el 7 de octubre de 2024.")</f>
        <v>Se agregó la tabla de notificaciones el 7 de octubre de 2024.</v>
      </c>
      <c r="F89" s="45" t="str">
        <f>IFERROR(__xludf.DUMMYFUNCTION("GOOGLETRANSLATE(A89,""zh-tw"",""KO"")"),"2024/10/7에 알림표 추가")</f>
        <v>2024/10/7에 알림표 추가</v>
      </c>
      <c r="G89" s="45" t="str">
        <f>IFERROR(__xludf.DUMMYFUNCTION("GOOGLETRANSLATE(A89,""zh-tw"",""RU"")"),"Добавлена ​​таблица уведомлений на 07.10.2024")</f>
        <v>Добавлена ​​таблица уведомлений на 07.10.2024</v>
      </c>
      <c r="H89" s="45" t="str">
        <f>IFERROR(__xludf.DUMMYFUNCTION("GOOGLETRANSLATE(A89,""zh-tw"",""DE"")"),"Benachrichtigungstabelle hinzugefügt am 07.10.2024.")</f>
        <v>Benachrichtigungstabelle hinzugefügt am 07.10.2024.</v>
      </c>
      <c r="I89" s="49" t="s">
        <v>201</v>
      </c>
      <c r="J89" s="46"/>
      <c r="K89" s="46"/>
      <c r="L89" s="46"/>
      <c r="M89" s="46"/>
      <c r="N89" s="46"/>
      <c r="O89" s="46"/>
      <c r="P89" s="46"/>
      <c r="Q89" s="46"/>
      <c r="R89" s="46"/>
      <c r="S89" s="46"/>
      <c r="T89" s="46"/>
      <c r="U89" s="46"/>
      <c r="V89" s="46"/>
      <c r="W89" s="46"/>
    </row>
    <row r="90">
      <c r="A90" s="50" t="s">
        <v>202</v>
      </c>
      <c r="B90" s="51" t="s">
        <v>203</v>
      </c>
      <c r="C90" s="44" t="str">
        <f>IFERROR(__xludf.DUMMYFUNCTION("GOOGLETRANSLATE(A90,""zh-tw"",""en"")"),"October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90" s="43" t="str">
        <f>IFERROR(__xludf.DUMMYFUNCTION("GOOGLETRANSLATE(A90,""zh-tw"",""zh"")"),"2024/10/6
授权Discord:mioakatukaze转载至bilibili
https://www.bilibili.com/opus/985591575966908440?spm_id_from=333.999.0.0 ")</f>
        <v>2024/10/6
授权Discord:mioakatukaze转载至bilibili
https://www.bilibili.com/opus/985591575966908440?spm_id_from=333.999.0.0 </v>
      </c>
      <c r="E90" s="45" t="str">
        <f>IFERROR(__xludf.DUMMYFUNCTION("GOOGLETRANSLATE(A90,""zh-tw"",""es-MX"")"),"6 de octubre de 2024
Autorizado para reproducir en Bilibili vía Discord: mioakatukaze
https://www.bilibili.com/opus/985591575966908440?spm_id_from=333.999.0.0")</f>
        <v>6 de octubre de 2024
Autorizado para reproducir en Bilibili vía Discord: mioakatukaze
https://www.bilibili.com/opus/985591575966908440?spm_id_from=333.999.0.0</v>
      </c>
      <c r="F90" s="45" t="str">
        <f>IFERROR(__xludf.DUMMYFUNCTION("GOOGLETRANSLATE(A90,""zh-tw"",""KO"")"),"2024년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90" s="45" t="str">
        <f>IFERROR(__xludf.DUMMYFUNCTION("GOOGLETRANSLATE(A90,""zh-tw"",""RU"")"),"6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90" s="45" t="str">
        <f>IFERROR(__xludf.DUMMYFUNCTION("GOOGLETRANSLATE(A90,""zh-tw"",""DE"")"),"6. Oktober 2024
Genehmigt zum Nachdruck auf Bilibili über Discord: mioakatukaze
https://www.bilibili.com/opus/985591575966908440?spm_id_from=333.999.0.0")</f>
        <v>6. Oktober 2024
Genehmigt zum Nachdruck auf Bilibili über Discord: mioakatukaze
https://www.bilibili.com/opus/985591575966908440?spm_id_from=333.999.0.0</v>
      </c>
      <c r="I90" s="49" t="s">
        <v>204</v>
      </c>
      <c r="J90" s="46"/>
      <c r="K90" s="46"/>
      <c r="L90" s="46"/>
      <c r="M90" s="46"/>
      <c r="N90" s="46"/>
      <c r="O90" s="46"/>
      <c r="P90" s="46"/>
      <c r="Q90" s="46"/>
      <c r="R90" s="46"/>
      <c r="S90" s="46"/>
      <c r="T90" s="46"/>
      <c r="U90" s="46"/>
      <c r="V90" s="46"/>
      <c r="W90" s="46"/>
    </row>
    <row r="91">
      <c r="A91" s="43" t="s">
        <v>205</v>
      </c>
      <c r="B91" s="43" t="str">
        <f>IFERROR(__xludf.DUMMYFUNCTION("GOOGLETRANSLATE(A91,""zh-tw"",""ja"")"),"2024年10月6日に全ページ編集・調整しました")</f>
        <v>2024年10月6日に全ページ編集・調整しました</v>
      </c>
      <c r="C91" s="44" t="str">
        <f>IFERROR(__xludf.DUMMYFUNCTION("GOOGLETRANSLATE(A91,""zh-tw"",""en"")"),"Full page edited and adjusted on 2024/10/6")</f>
        <v>Full page edited and adjusted on 2024/10/6</v>
      </c>
      <c r="D91" s="43" t="str">
        <f>IFERROR(__xludf.DUMMYFUNCTION("GOOGLETRANSLATE(A91,""zh-tw"",""zh"")"),"2024/10/6全页面修改调整")</f>
        <v>2024/10/6全页面修改调整</v>
      </c>
      <c r="E91" s="45" t="str">
        <f>IFERROR(__xludf.DUMMYFUNCTION("GOOGLETRANSLATE(A91,""zh-tw"",""es-MX"")"),"Página completa editada y ajustada el 6 de octubre de 2024.")</f>
        <v>Página completa editada y ajustada el 6 de octubre de 2024.</v>
      </c>
      <c r="F91" s="45" t="str">
        <f>IFERROR(__xludf.DUMMYFUNCTION("GOOGLETRANSLATE(A91,""zh-tw"",""KO"")"),"전체 페이지는 2024/10/6에 편집 및 조정되었습니다.")</f>
        <v>전체 페이지는 2024/10/6에 편집 및 조정되었습니다.</v>
      </c>
      <c r="G91" s="45" t="str">
        <f>IFERROR(__xludf.DUMMYFUNCTION("GOOGLETRANSLATE(A91,""zh-tw"",""RU"")"),"Полная страница отредактирована и скорректирована 06.10.2024")</f>
        <v>Полная страница отредактирована и скорректирована 06.10.2024</v>
      </c>
      <c r="H91" s="45" t="str">
        <f>IFERROR(__xludf.DUMMYFUNCTION("GOOGLETRANSLATE(A91,""zh-tw"",""DE"")"),"Die gesamte Seite wurde am 06.10.2024 bearbeitet und angepasst.")</f>
        <v>Die gesamte Seite wurde am 06.10.2024 bearbeitet und angepasst.</v>
      </c>
      <c r="I91" s="49" t="s">
        <v>206</v>
      </c>
      <c r="J91" s="46"/>
      <c r="K91" s="46"/>
      <c r="L91" s="46"/>
      <c r="M91" s="46"/>
      <c r="N91" s="46"/>
      <c r="O91" s="46"/>
      <c r="P91" s="46"/>
      <c r="Q91" s="46"/>
      <c r="R91" s="46"/>
      <c r="S91" s="46"/>
      <c r="T91" s="46"/>
      <c r="U91" s="46"/>
      <c r="V91" s="46"/>
      <c r="W91" s="46"/>
    </row>
    <row r="92">
      <c r="A92" s="43" t="s">
        <v>207</v>
      </c>
      <c r="B92" s="43" t="str">
        <f>IFERROR(__xludf.DUMMYFUNCTION("GOOGLETRANSLATE(A92,""zh-tw"",""ja"")"),"2024年10月5日公開")</f>
        <v>2024年10月5日公開</v>
      </c>
      <c r="C92" s="44" t="str">
        <f>IFERROR(__xludf.DUMMYFUNCTION("GOOGLETRANSLATE(A92,""zh-tw"",""en"")"),"Released to the public on October 5, 2024")</f>
        <v>Released to the public on October 5, 2024</v>
      </c>
      <c r="D92" s="43" t="str">
        <f>IFERROR(__xludf.DUMMYFUNCTION("GOOGLETRANSLATE(A92,""zh-tw"",""zh"")"),"2024/10/5对外发布")</f>
        <v>2024/10/5对外发布</v>
      </c>
      <c r="E92" s="45" t="str">
        <f>IFERROR(__xludf.DUMMYFUNCTION("GOOGLETRANSLATE(A92,""zh-tw"",""es-MX"")"),"Lanzado al público el 5 de octubre de 2024")</f>
        <v>Lanzado al público el 5 de octubre de 2024</v>
      </c>
      <c r="F92" s="45" t="str">
        <f>IFERROR(__xludf.DUMMYFUNCTION("GOOGLETRANSLATE(A92,""zh-tw"",""KO"")"),"2024년 10월 5일 대중에 공개")</f>
        <v>2024년 10월 5일 대중에 공개</v>
      </c>
      <c r="G92" s="45" t="str">
        <f>IFERROR(__xludf.DUMMYFUNCTION("GOOGLETRANSLATE(A92,""zh-tw"",""RU"")"),"Выпущено для публики 5 октября 2024 г.")</f>
        <v>Выпущено для публики 5 октября 2024 г.</v>
      </c>
      <c r="H92" s="45" t="str">
        <f>IFERROR(__xludf.DUMMYFUNCTION("GOOGLETRANSLATE(A92,""zh-tw"",""DE"")"),"Veröffentlicht der Öffentlichkeit am 5. Oktober 2024")</f>
        <v>Veröffentlicht der Öffentlichkeit am 5. Oktober 2024</v>
      </c>
      <c r="I92" s="49" t="s">
        <v>208</v>
      </c>
      <c r="J92" s="46"/>
      <c r="K92" s="46"/>
      <c r="L92" s="46"/>
      <c r="M92" s="46"/>
      <c r="N92" s="46"/>
      <c r="O92" s="46"/>
      <c r="P92" s="46"/>
      <c r="Q92" s="46"/>
      <c r="R92" s="46"/>
      <c r="S92" s="46"/>
      <c r="T92" s="46"/>
      <c r="U92" s="46"/>
      <c r="V92" s="46"/>
      <c r="W92" s="46"/>
    </row>
    <row r="93">
      <c r="A93" s="43" t="s">
        <v>209</v>
      </c>
      <c r="B93" s="43" t="str">
        <f>IFERROR(__xludf.DUMMYFUNCTION("GOOGLETRANSLATE(A93,""zh-tw"",""ja"")"),"初稿は2024年10月4日に完成")</f>
        <v>初稿は2024年10月4日に完成</v>
      </c>
      <c r="C93" s="44" t="str">
        <f>IFERROR(__xludf.DUMMYFUNCTION("GOOGLETRANSLATE(A93,""zh-tw"",""en"")"),"First draft completed on October 4, 2024")</f>
        <v>First draft completed on October 4, 2024</v>
      </c>
      <c r="D93" s="43" t="str">
        <f>IFERROR(__xludf.DUMMYFUNCTION("GOOGLETRANSLATE(A93,""zh-tw"",""zh"")"),"2024/10/4初版完成")</f>
        <v>2024/10/4初版完成</v>
      </c>
      <c r="E93" s="45" t="str">
        <f>IFERROR(__xludf.DUMMYFUNCTION("GOOGLETRANSLATE(A93,""zh-tw"",""es-MX"")"),"Primer borrador finalizado el 4 de octubre de 2024")</f>
        <v>Primer borrador finalizado el 4 de octubre de 2024</v>
      </c>
      <c r="F93" s="45" t="str">
        <f>IFERROR(__xludf.DUMMYFUNCTION("GOOGLETRANSLATE(A93,""zh-tw"",""KO"")"),"2024년 10월 4일 초안 완료")</f>
        <v>2024년 10월 4일 초안 완료</v>
      </c>
      <c r="G93" s="45" t="str">
        <f>IFERROR(__xludf.DUMMYFUNCTION("GOOGLETRANSLATE(A93,""zh-tw"",""RU"")"),"Первый черновик завершён 4 октября 2024 г.")</f>
        <v>Первый черновик завершён 4 октября 2024 г.</v>
      </c>
      <c r="H93" s="45" t="str">
        <f>IFERROR(__xludf.DUMMYFUNCTION("GOOGLETRANSLATE(A93,""zh-tw"",""DE"")"),"Erster Entwurf fertiggestellt am 4. Oktober 2024")</f>
        <v>Erster Entwurf fertiggestellt am 4. Oktober 2024</v>
      </c>
      <c r="I93" s="49" t="s">
        <v>210</v>
      </c>
      <c r="J93" s="46"/>
      <c r="K93" s="46"/>
      <c r="L93" s="46"/>
      <c r="M93" s="46"/>
      <c r="N93" s="46"/>
      <c r="O93" s="46"/>
      <c r="P93" s="46"/>
      <c r="Q93" s="46"/>
      <c r="R93" s="46"/>
      <c r="S93" s="46"/>
      <c r="T93" s="46"/>
      <c r="U93" s="46"/>
      <c r="V93" s="46"/>
      <c r="W93" s="46"/>
    </row>
    <row r="94">
      <c r="A94" s="43" t="s">
        <v>211</v>
      </c>
      <c r="B94" s="43" t="str">
        <f>IFERROR(__xludf.DUMMYFUNCTION("GOOGLETRANSLATE(A94,""zh-tw"",""ja"")"),"このフォームは2024年10月1日に作成されました。")</f>
        <v>このフォームは2024年10月1日に作成されました。</v>
      </c>
      <c r="C94" s="44" t="str">
        <f>IFERROR(__xludf.DUMMYFUNCTION("GOOGLETRANSLATE(A94,""zh-tw"",""en"")"),"This form was created on October 1, 2024.")</f>
        <v>This form was created on October 1, 2024.</v>
      </c>
      <c r="D94" s="43" t="str">
        <f>IFERROR(__xludf.DUMMYFUNCTION("GOOGLETRANSLATE(A94,""zh-tw"",""zh"")"),"2024/10/1 建立本表单")</f>
        <v>2024/10/1 建立本表单</v>
      </c>
      <c r="E94" s="45" t="str">
        <f>IFERROR(__xludf.DUMMYFUNCTION("GOOGLETRANSLATE(A94,""zh-tw"",""es-MX"")"),"Este formulario fue creado el 1 de octubre de 2024.")</f>
        <v>Este formulario fue creado el 1 de octubre de 2024.</v>
      </c>
      <c r="F94" s="45" t="str">
        <f>IFERROR(__xludf.DUMMYFUNCTION("GOOGLETRANSLATE(A94,""zh-tw"",""KO"")"),"이 양식은 2024년 10월 1일에 만들어졌습니다.")</f>
        <v>이 양식은 2024년 10월 1일에 만들어졌습니다.</v>
      </c>
      <c r="G94" s="45" t="str">
        <f>IFERROR(__xludf.DUMMYFUNCTION("GOOGLETRANSLATE(A94,""zh-tw"",""RU"")"),"Эта форма была создана 1 октября 2024 года.")</f>
        <v>Эта форма была создана 1 октября 2024 года.</v>
      </c>
      <c r="H94" s="45" t="str">
        <f>IFERROR(__xludf.DUMMYFUNCTION("GOOGLETRANSLATE(A94,""zh-tw"",""DE"")"),"Dieses Formular wurde am 1. Oktober 2024 erstellt.")</f>
        <v>Dieses Formular wurde am 1. Oktober 2024 erstellt.</v>
      </c>
      <c r="I94" s="49" t="s">
        <v>212</v>
      </c>
      <c r="J94" s="46"/>
      <c r="K94" s="46"/>
      <c r="L94" s="46"/>
      <c r="M94" s="46"/>
      <c r="N94" s="46"/>
      <c r="O94" s="46"/>
      <c r="P94" s="46"/>
      <c r="Q94" s="46"/>
      <c r="R94" s="46"/>
      <c r="S94" s="46"/>
      <c r="T94" s="46"/>
      <c r="U94" s="46"/>
      <c r="V94" s="46"/>
      <c r="W94" s="46"/>
    </row>
    <row r="95">
      <c r="A95" s="43"/>
      <c r="B95" s="43"/>
      <c r="C95" s="44"/>
      <c r="D95" s="44"/>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43"/>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54"/>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3"/>
      <c r="B121" s="43"/>
      <c r="C121" s="30"/>
      <c r="D121" s="30"/>
      <c r="E121" s="52"/>
      <c r="F121" s="52"/>
      <c r="G121" s="52"/>
      <c r="H121" s="52"/>
      <c r="I121" s="53"/>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56"/>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row r="1112">
      <c r="A1112" s="44"/>
      <c r="B1112" s="44"/>
      <c r="C1112" s="30"/>
      <c r="D1112" s="30"/>
      <c r="E1112" s="55"/>
      <c r="F1112" s="55"/>
      <c r="G1112" s="55"/>
      <c r="H1112" s="55"/>
      <c r="I1112" s="30"/>
      <c r="J1112" s="46"/>
      <c r="K1112" s="46"/>
      <c r="L1112" s="46"/>
      <c r="M1112" s="46"/>
      <c r="N1112" s="46"/>
      <c r="O1112" s="46"/>
      <c r="P1112" s="46"/>
      <c r="Q1112" s="46"/>
      <c r="R1112" s="46"/>
      <c r="S1112" s="46"/>
      <c r="T1112" s="46"/>
      <c r="U1112" s="46"/>
      <c r="V1112" s="46"/>
      <c r="W1112"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213</v>
      </c>
      <c r="E1" s="57" t="s">
        <v>213</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9" t="str">
        <f>IFERROR(__xludf.DUMMYFUNCTION("GOOGLETRANSLATE(M1,""zh-tw"",""KO"")"),"공식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60" t="s">
        <v>215</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61" t="s">
        <v>216</v>
      </c>
      <c r="AK1" s="57"/>
      <c r="AL1" s="57"/>
      <c r="AM1" s="57"/>
      <c r="AN1" s="57"/>
      <c r="AO1" s="57"/>
    </row>
    <row r="2" ht="34.5" customHeight="1">
      <c r="AK2" s="57"/>
      <c r="AL2" s="57"/>
      <c r="AM2" s="57"/>
      <c r="AN2" s="57"/>
      <c r="AO2" s="57"/>
    </row>
    <row r="3">
      <c r="A3" s="62" t="s">
        <v>217</v>
      </c>
      <c r="B3" s="63" t="s">
        <v>218</v>
      </c>
      <c r="C3" s="64" t="s">
        <v>219</v>
      </c>
      <c r="D3" s="65" t="s">
        <v>220</v>
      </c>
      <c r="E3" s="62" t="s">
        <v>217</v>
      </c>
      <c r="F3" s="63" t="str">
        <f>IFERROR(__xludf.DUMMYFUNCTION("GOOGLETRANSLATE(B3,""zh-tw"",""ja"")"),"SLG事件")</f>
        <v>SLG事件</v>
      </c>
      <c r="G3" s="64" t="str">
        <f>IFERROR(__xludf.DUMMYFUNCTION("GOOGLETRANSLATE(C3,""zh-tw"",""ja"")"),"説明する")</f>
        <v>説明する</v>
      </c>
      <c r="H3" s="65" t="str">
        <f>IFERROR(__xludf.DUMMYFUNCTION("GOOGLETRANSLATE(D3,""zh-tw"",""ja"")"),"結果")</f>
        <v>結果</v>
      </c>
      <c r="I3" s="62" t="s">
        <v>217</v>
      </c>
      <c r="J3" s="63" t="s">
        <v>221</v>
      </c>
      <c r="K3" s="64" t="s">
        <v>222</v>
      </c>
      <c r="L3" s="65" t="s">
        <v>223</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217</v>
      </c>
      <c r="R3" s="70" t="s">
        <v>224</v>
      </c>
      <c r="S3" s="71" t="s">
        <v>225</v>
      </c>
      <c r="T3" s="72" t="s">
        <v>226</v>
      </c>
      <c r="U3" s="66" t="s">
        <v>217</v>
      </c>
      <c r="V3" s="67" t="str">
        <f>IFERROR(__xludf.DUMMYFUNCTION("GOOGLETRANSLATE(B3,""zh-tw"",""KO"")"),"SLG 사건")</f>
        <v>SLG 사건</v>
      </c>
      <c r="W3" s="68" t="str">
        <f>IFERROR(__xludf.DUMMYFUNCTION("GOOGLETRANSLATE(C3,""zh-tw"",""KO"")"),"설명하다")</f>
        <v>설명하다</v>
      </c>
      <c r="X3" s="69" t="str">
        <f>IFERROR(__xludf.DUMMYFUNCTION("GOOGLETRANSLATE(D3,""zh-tw"",""KO"")"),"결과")</f>
        <v>결과</v>
      </c>
      <c r="Y3" s="62" t="s">
        <v>217</v>
      </c>
      <c r="Z3" s="63" t="s">
        <v>227</v>
      </c>
      <c r="AA3" s="64" t="s">
        <v>228</v>
      </c>
      <c r="AB3" s="65" t="s">
        <v>229</v>
      </c>
      <c r="AC3" s="62" t="s">
        <v>217</v>
      </c>
      <c r="AD3" s="70" t="s">
        <v>230</v>
      </c>
      <c r="AE3" s="64" t="s">
        <v>231</v>
      </c>
      <c r="AF3" s="72" t="s">
        <v>232</v>
      </c>
      <c r="AG3" s="73" t="s">
        <v>233</v>
      </c>
      <c r="AH3" s="74" t="s">
        <v>234</v>
      </c>
      <c r="AI3" s="75" t="s">
        <v>235</v>
      </c>
      <c r="AJ3" s="76" t="s">
        <v>236</v>
      </c>
      <c r="AK3" s="65"/>
      <c r="AL3" s="65"/>
      <c r="AM3" s="65"/>
      <c r="AN3" s="65"/>
      <c r="AO3" s="65"/>
    </row>
    <row r="4">
      <c r="A4" s="77"/>
      <c r="B4" s="78"/>
      <c r="C4" s="78"/>
      <c r="D4" s="78"/>
      <c r="E4" s="77"/>
      <c r="F4" s="78"/>
      <c r="G4" s="78"/>
      <c r="H4" s="78"/>
      <c r="I4" s="77"/>
      <c r="J4" s="78"/>
      <c r="K4" s="78"/>
      <c r="L4" s="78"/>
      <c r="M4" s="17"/>
      <c r="N4" s="46"/>
      <c r="O4" s="46"/>
      <c r="P4" s="78"/>
      <c r="Q4" s="46"/>
      <c r="R4" s="78"/>
      <c r="S4" s="46"/>
      <c r="T4" s="46"/>
      <c r="U4" s="46"/>
      <c r="V4" s="78"/>
      <c r="W4" s="78"/>
      <c r="X4" s="78"/>
      <c r="Y4" s="78"/>
      <c r="Z4" s="78"/>
      <c r="AA4" s="78"/>
      <c r="AB4" s="78"/>
      <c r="AC4" s="78"/>
      <c r="AD4" s="78"/>
      <c r="AE4" s="78"/>
      <c r="AF4" s="78"/>
      <c r="AG4" s="79"/>
      <c r="AH4" s="79"/>
      <c r="AI4" s="79"/>
      <c r="AJ4" s="79"/>
      <c r="AK4" s="78"/>
      <c r="AL4" s="78"/>
      <c r="AM4" s="78"/>
      <c r="AN4" s="78"/>
      <c r="AO4" s="78"/>
    </row>
    <row r="5">
      <c r="A5" s="80" t="s">
        <v>237</v>
      </c>
      <c r="B5" s="81" t="s">
        <v>238</v>
      </c>
      <c r="E5" s="80" t="s">
        <v>237</v>
      </c>
      <c r="F5" s="80" t="s">
        <v>239</v>
      </c>
      <c r="I5" s="80" t="s">
        <v>237</v>
      </c>
      <c r="J5" s="80" t="s">
        <v>240</v>
      </c>
      <c r="M5" s="80" t="s">
        <v>237</v>
      </c>
      <c r="N5" s="81" t="str">
        <f>IFERROR(__xludf.DUMMYFUNCTION("GOOGLETRANSLATE(B5,""zh-tw"",""zh"")"),"平时相关")</f>
        <v>平时相关</v>
      </c>
      <c r="Q5" s="80" t="s">
        <v>237</v>
      </c>
      <c r="R5" s="80" t="s">
        <v>241</v>
      </c>
      <c r="U5" s="80" t="s">
        <v>237</v>
      </c>
      <c r="V5" s="80" t="s">
        <v>242</v>
      </c>
      <c r="Y5" s="80" t="s">
        <v>237</v>
      </c>
      <c r="Z5" s="80" t="s">
        <v>243</v>
      </c>
      <c r="AC5" s="80" t="s">
        <v>237</v>
      </c>
      <c r="AD5" s="80" t="s">
        <v>244</v>
      </c>
      <c r="AG5" s="82" t="s">
        <v>237</v>
      </c>
      <c r="AH5" s="83" t="s">
        <v>245</v>
      </c>
      <c r="AK5" s="81"/>
      <c r="AL5" s="81"/>
      <c r="AM5" s="81"/>
      <c r="AN5" s="81"/>
      <c r="AO5" s="81"/>
    </row>
    <row r="6">
      <c r="A6" s="84">
        <v>1.0</v>
      </c>
      <c r="B6" s="85" t="s">
        <v>246</v>
      </c>
      <c r="C6" s="86" t="s">
        <v>247</v>
      </c>
      <c r="D6" s="87" t="s">
        <v>248</v>
      </c>
      <c r="E6" s="84">
        <v>1.0</v>
      </c>
      <c r="F6" s="85" t="s">
        <v>249</v>
      </c>
      <c r="G6" s="86" t="str">
        <f>IFERROR(__xludf.DUMMYFUNCTION("GOOGLETRANSLATE(C6,""zh-tw"",""ja"")"),"妹を抱きしめて")</f>
        <v>妹を抱きしめて</v>
      </c>
      <c r="H6" s="87" t="s">
        <v>250</v>
      </c>
      <c r="I6" s="84">
        <v>1.0</v>
      </c>
      <c r="J6" s="85" t="s">
        <v>251</v>
      </c>
      <c r="K6" s="86" t="s">
        <v>252</v>
      </c>
      <c r="L6" s="87" t="s">
        <v>253</v>
      </c>
      <c r="M6" s="84">
        <v>1.0</v>
      </c>
      <c r="N6" s="88" t="str">
        <f>IFERROR(__xludf.DUMMYFUNCTION("GOOGLETRANSLATE(B6,""zh-tw"",""zh"")"),"开局选项")</f>
        <v>开局选项</v>
      </c>
      <c r="O6" s="89" t="str">
        <f>IFERROR(__xludf.DUMMYFUNCTION("GOOGLETRANSLATE(C6,""zh-tw"",""zh"")"),"抱住妹妹")</f>
        <v>抱住妹妹</v>
      </c>
      <c r="P6" s="55" t="s">
        <v>254</v>
      </c>
      <c r="Q6" s="84">
        <v>1.0</v>
      </c>
      <c r="R6" s="85" t="s">
        <v>255</v>
      </c>
      <c r="S6" s="89" t="str">
        <f>IFERROR(__xludf.DUMMYFUNCTION("GOOGLETRANSLATE(C6,""zh-tw"",""es-MX"")"),"Abraza a mi hermana")</f>
        <v>Abraza a mi hermana</v>
      </c>
      <c r="T6" s="52" t="s">
        <v>256</v>
      </c>
      <c r="U6" s="84">
        <v>1.0</v>
      </c>
      <c r="V6" s="85" t="s">
        <v>257</v>
      </c>
      <c r="W6" s="86" t="s">
        <v>258</v>
      </c>
      <c r="X6" s="87" t="s">
        <v>259</v>
      </c>
      <c r="Y6" s="84">
        <v>1.0</v>
      </c>
      <c r="Z6" s="90" t="s">
        <v>260</v>
      </c>
      <c r="AA6" s="91" t="s">
        <v>261</v>
      </c>
      <c r="AB6" s="43" t="s">
        <v>262</v>
      </c>
      <c r="AC6" s="84">
        <v>1.0</v>
      </c>
      <c r="AD6" s="85" t="s">
        <v>263</v>
      </c>
      <c r="AE6" s="86" t="s">
        <v>264</v>
      </c>
      <c r="AF6" s="87" t="s">
        <v>265</v>
      </c>
      <c r="AG6" s="84">
        <v>1.0</v>
      </c>
      <c r="AH6" s="92" t="s">
        <v>266</v>
      </c>
      <c r="AI6" s="93" t="s">
        <v>267</v>
      </c>
      <c r="AJ6" s="94" t="s">
        <v>268</v>
      </c>
      <c r="AK6" s="87"/>
      <c r="AL6" s="87"/>
      <c r="AM6" s="87"/>
      <c r="AN6" s="87"/>
      <c r="AO6" s="87"/>
    </row>
    <row r="7">
      <c r="C7" s="86" t="s">
        <v>269</v>
      </c>
      <c r="D7" s="87" t="s">
        <v>270</v>
      </c>
      <c r="G7" s="86" t="s">
        <v>271</v>
      </c>
      <c r="H7" s="87" t="s">
        <v>272</v>
      </c>
      <c r="K7" s="86" t="s">
        <v>273</v>
      </c>
      <c r="L7" s="87" t="s">
        <v>274</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275</v>
      </c>
      <c r="W7" s="95" t="s">
        <v>276</v>
      </c>
      <c r="X7" s="52" t="s">
        <v>277</v>
      </c>
      <c r="AA7" s="91" t="s">
        <v>278</v>
      </c>
      <c r="AB7" s="43" t="s">
        <v>279</v>
      </c>
      <c r="AE7" s="86" t="s">
        <v>280</v>
      </c>
      <c r="AF7" s="87" t="s">
        <v>281</v>
      </c>
      <c r="AI7" s="93" t="s">
        <v>282</v>
      </c>
      <c r="AJ7" s="94" t="s">
        <v>283</v>
      </c>
      <c r="AK7" s="87"/>
      <c r="AL7" s="87"/>
      <c r="AM7" s="87"/>
      <c r="AN7" s="87"/>
      <c r="AO7" s="87"/>
    </row>
    <row r="8">
      <c r="C8" s="86" t="s">
        <v>284</v>
      </c>
      <c r="D8" s="87" t="s">
        <v>285</v>
      </c>
      <c r="G8" s="86" t="s">
        <v>286</v>
      </c>
      <c r="H8" s="87" t="s">
        <v>287</v>
      </c>
      <c r="K8" s="86" t="s">
        <v>288</v>
      </c>
      <c r="L8" s="87" t="s">
        <v>289</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IFERROR(__xludf.DUMMYFUNCTION("GOOGLETRANSLATE(C8,""zh-tw"",""es-MX"")"),"Nada -&gt; Comida con bistec")</f>
        <v>Nada -&gt; Comida con bistec</v>
      </c>
      <c r="T8" s="52" t="s">
        <v>290</v>
      </c>
      <c r="W8" s="95" t="s">
        <v>291</v>
      </c>
      <c r="X8" s="52" t="s">
        <v>292</v>
      </c>
      <c r="AA8" s="91" t="s">
        <v>293</v>
      </c>
      <c r="AB8" s="43" t="s">
        <v>294</v>
      </c>
      <c r="AE8" s="86" t="s">
        <v>295</v>
      </c>
      <c r="AF8" s="87" t="s">
        <v>296</v>
      </c>
      <c r="AI8" s="93" t="s">
        <v>297</v>
      </c>
      <c r="AJ8" s="94" t="s">
        <v>298</v>
      </c>
      <c r="AK8" s="87"/>
      <c r="AL8" s="87"/>
      <c r="AM8" s="87"/>
      <c r="AN8" s="87"/>
      <c r="AO8" s="87"/>
    </row>
    <row r="9">
      <c r="C9" s="86" t="s">
        <v>299</v>
      </c>
      <c r="D9" s="87" t="s">
        <v>300</v>
      </c>
      <c r="G9" s="86" t="s">
        <v>301</v>
      </c>
      <c r="H9" s="87" t="s">
        <v>302</v>
      </c>
      <c r="K9" s="86" t="s">
        <v>303</v>
      </c>
      <c r="L9" s="87" t="s">
        <v>304</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IFERROR(__xludf.DUMMYFUNCTION("GOOGLETRANSLATE(C9,""zh-tw"",""es-MX"")"),"Está bien -&gt; Lo olvidé todo")</f>
        <v>Está bien -&gt; Lo olvidé todo</v>
      </c>
      <c r="T9" s="96" t="s">
        <v>305</v>
      </c>
      <c r="W9" s="95" t="s">
        <v>306</v>
      </c>
      <c r="X9" s="52" t="s">
        <v>307</v>
      </c>
      <c r="AA9" s="91" t="s">
        <v>308</v>
      </c>
      <c r="AB9" s="97" t="s">
        <v>309</v>
      </c>
      <c r="AE9" s="86" t="s">
        <v>310</v>
      </c>
      <c r="AF9" s="87" t="s">
        <v>311</v>
      </c>
      <c r="AI9" s="93" t="s">
        <v>312</v>
      </c>
      <c r="AJ9" s="94" t="s">
        <v>313</v>
      </c>
      <c r="AK9" s="87"/>
      <c r="AL9" s="87"/>
      <c r="AM9" s="87"/>
      <c r="AN9" s="87"/>
      <c r="AO9" s="87"/>
    </row>
    <row r="10">
      <c r="A10" s="84">
        <v>2.0</v>
      </c>
      <c r="B10" s="85" t="s">
        <v>314</v>
      </c>
      <c r="C10" s="86" t="s">
        <v>315</v>
      </c>
      <c r="D10" s="87" t="s">
        <v>316</v>
      </c>
      <c r="E10" s="84">
        <v>2.0</v>
      </c>
      <c r="F10" s="85" t="s">
        <v>317</v>
      </c>
      <c r="G10" s="86" t="s">
        <v>318</v>
      </c>
      <c r="H10" s="87" t="s">
        <v>319</v>
      </c>
      <c r="I10" s="84">
        <v>2.0</v>
      </c>
      <c r="J10" s="85" t="s">
        <v>320</v>
      </c>
      <c r="K10" s="86" t="s">
        <v>321</v>
      </c>
      <c r="L10" s="87" t="s">
        <v>322</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IFERROR(__xludf.DUMMYFUNCTION("GOOGLETRANSLATE(C10,""zh-tw"",""es-MX"")"),"La hermana menor tendrá un diálogo especial cuando la aventura comience por primera vez.")</f>
        <v>La hermana menor tendrá un diálogo especial cuando la aventura comience por primera vez.</v>
      </c>
      <c r="T10" s="52" t="s">
        <v>323</v>
      </c>
      <c r="U10" s="84">
        <v>2.0</v>
      </c>
      <c r="V10" s="88" t="s">
        <v>324</v>
      </c>
      <c r="W10" s="95" t="s">
        <v>325</v>
      </c>
      <c r="X10" s="52" t="s">
        <v>326</v>
      </c>
      <c r="Y10" s="84">
        <v>2.0</v>
      </c>
      <c r="Z10" s="90" t="s">
        <v>327</v>
      </c>
      <c r="AA10" s="91" t="s">
        <v>328</v>
      </c>
      <c r="AB10" s="97" t="s">
        <v>329</v>
      </c>
      <c r="AC10" s="84">
        <v>2.0</v>
      </c>
      <c r="AD10" s="85" t="s">
        <v>330</v>
      </c>
      <c r="AE10" s="86" t="s">
        <v>331</v>
      </c>
      <c r="AF10" s="87" t="s">
        <v>332</v>
      </c>
      <c r="AG10" s="84">
        <v>2.0</v>
      </c>
      <c r="AH10" s="92" t="s">
        <v>333</v>
      </c>
      <c r="AI10" s="93" t="s">
        <v>334</v>
      </c>
      <c r="AJ10" s="94" t="s">
        <v>335</v>
      </c>
      <c r="AK10" s="87"/>
      <c r="AL10" s="87"/>
      <c r="AM10" s="87"/>
      <c r="AN10" s="87"/>
      <c r="AO10" s="87"/>
    </row>
    <row r="11">
      <c r="A11" s="84">
        <v>3.0</v>
      </c>
      <c r="B11" s="85" t="s">
        <v>285</v>
      </c>
      <c r="C11" s="86" t="s">
        <v>336</v>
      </c>
      <c r="D11" s="87" t="s">
        <v>337</v>
      </c>
      <c r="E11" s="84">
        <v>3.0</v>
      </c>
      <c r="F11" s="85" t="s">
        <v>338</v>
      </c>
      <c r="G11" s="86" t="s">
        <v>339</v>
      </c>
      <c r="H11" s="87" t="s">
        <v>340</v>
      </c>
      <c r="I11" s="84">
        <v>3.0</v>
      </c>
      <c r="J11" s="85" t="s">
        <v>341</v>
      </c>
      <c r="K11" s="86" t="s">
        <v>342</v>
      </c>
      <c r="L11" s="87" t="s">
        <v>343</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IFERROR(__xludf.DUMMYFUNCTION("GOOGLETRANSLATE(B11,""zh-tw"",""es-MX"")"),"Acuerdo: Platos de carne")</f>
        <v>Acuerdo: Platos de carne</v>
      </c>
      <c r="S11" s="89" t="str">
        <f>IFERROR(__xludf.DUMMYFUNCTION("GOOGLETRANSLATE(C11,""zh-tw"",""es-MX"")"),"Preparar platos de carne")</f>
        <v>Preparar platos de carne</v>
      </c>
      <c r="T11" s="52" t="s">
        <v>344</v>
      </c>
      <c r="U11" s="84">
        <v>3.0</v>
      </c>
      <c r="V11" s="98" t="s">
        <v>345</v>
      </c>
      <c r="W11" s="95" t="s">
        <v>346</v>
      </c>
      <c r="X11" s="87" t="s">
        <v>347</v>
      </c>
      <c r="Y11" s="84">
        <v>3.0</v>
      </c>
      <c r="Z11" s="99" t="s">
        <v>348</v>
      </c>
      <c r="AA11" s="91" t="s">
        <v>349</v>
      </c>
      <c r="AB11" s="43" t="s">
        <v>350</v>
      </c>
      <c r="AC11" s="84">
        <v>3.0</v>
      </c>
      <c r="AD11" s="85" t="s">
        <v>351</v>
      </c>
      <c r="AE11" s="86" t="s">
        <v>352</v>
      </c>
      <c r="AF11" s="87" t="s">
        <v>353</v>
      </c>
      <c r="AG11" s="84">
        <v>3.0</v>
      </c>
      <c r="AH11" s="92" t="s">
        <v>354</v>
      </c>
      <c r="AI11" s="93" t="s">
        <v>355</v>
      </c>
      <c r="AJ11" s="94" t="s">
        <v>356</v>
      </c>
      <c r="AK11" s="87"/>
      <c r="AL11" s="87"/>
      <c r="AM11" s="87"/>
      <c r="AN11" s="87"/>
      <c r="AO11" s="87"/>
    </row>
    <row r="12">
      <c r="A12" s="84">
        <v>4.0</v>
      </c>
      <c r="B12" s="85" t="s">
        <v>357</v>
      </c>
      <c r="C12" s="86" t="s">
        <v>358</v>
      </c>
      <c r="D12" s="87" t="s">
        <v>359</v>
      </c>
      <c r="E12" s="84">
        <v>4.0</v>
      </c>
      <c r="F12" s="85" t="s">
        <v>360</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361</v>
      </c>
      <c r="I12" s="84">
        <v>4.0</v>
      </c>
      <c r="J12" s="85" t="s">
        <v>362</v>
      </c>
      <c r="K12" s="86" t="s">
        <v>363</v>
      </c>
      <c r="L12" s="87" t="s">
        <v>364</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IFERROR(__xludf.DUMMYFUNCTION("GOOGLETRANSLATE(B12,""zh-tw"",""es-MX"")"),"Acuerdo: No te lastimes")</f>
        <v>Acuerdo: No te lastimes</v>
      </c>
      <c r="S12" s="89" t="s">
        <v>365</v>
      </c>
      <c r="T12" s="52" t="s">
        <v>366</v>
      </c>
      <c r="U12" s="84">
        <v>4.0</v>
      </c>
      <c r="V12" s="85" t="str">
        <f>IFERROR(__xludf.DUMMYFUNCTION("GOOGLETRANSLATE(B12,""zh-tw"",""KO"")"),"동의: 다치지 마세요")</f>
        <v>동의: 다치지 마세요</v>
      </c>
      <c r="W12" s="86" t="s">
        <v>367</v>
      </c>
      <c r="X12" s="87" t="s">
        <v>368</v>
      </c>
      <c r="Y12" s="84">
        <v>4.0</v>
      </c>
      <c r="Z12" s="90" t="s">
        <v>369</v>
      </c>
      <c r="AA12" s="91" t="s">
        <v>370</v>
      </c>
      <c r="AB12" s="43" t="s">
        <v>371</v>
      </c>
      <c r="AC12" s="84">
        <v>4.0</v>
      </c>
      <c r="AD12" s="85" t="s">
        <v>372</v>
      </c>
      <c r="AE12" s="86" t="s">
        <v>373</v>
      </c>
      <c r="AF12" s="87" t="s">
        <v>374</v>
      </c>
      <c r="AG12" s="84">
        <v>4.0</v>
      </c>
      <c r="AH12" s="92" t="s">
        <v>375</v>
      </c>
      <c r="AI12" s="93" t="s">
        <v>376</v>
      </c>
      <c r="AJ12" s="94" t="s">
        <v>377</v>
      </c>
      <c r="AK12" s="87"/>
      <c r="AL12" s="87"/>
      <c r="AM12" s="87"/>
      <c r="AN12" s="87"/>
      <c r="AO12" s="87"/>
    </row>
    <row r="13">
      <c r="A13" s="84">
        <v>5.0</v>
      </c>
      <c r="B13" s="85" t="s">
        <v>378</v>
      </c>
      <c r="C13" s="86" t="s">
        <v>379</v>
      </c>
      <c r="D13" s="87" t="s">
        <v>380</v>
      </c>
      <c r="E13" s="84">
        <v>5.0</v>
      </c>
      <c r="F13" s="85" t="s">
        <v>381</v>
      </c>
      <c r="G13" s="86" t="s">
        <v>382</v>
      </c>
      <c r="H13" s="87" t="s">
        <v>383</v>
      </c>
      <c r="I13" s="84">
        <v>5.0</v>
      </c>
      <c r="J13" s="85" t="s">
        <v>384</v>
      </c>
      <c r="K13" s="95" t="s">
        <v>385</v>
      </c>
      <c r="L13" s="52" t="s">
        <v>386</v>
      </c>
      <c r="M13" s="84">
        <v>5.0</v>
      </c>
      <c r="N13" s="85" t="str">
        <f>IFERROR(__xludf.DUMMYFUNCTION("GOOGLETRANSLATE(B13,""zh-tw"",""zh"")"),"约定:草莓牛奶")</f>
        <v>约定:草莓牛奶</v>
      </c>
      <c r="O13" s="89"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87" t="str">
        <f>IFERROR(__xludf.DUMMYFUNCTION("GOOGLETRANSLATE(D13,""zh-tw"",""zh"")"),"需要在一日之内达成约定的承诺，否则妹妹的❤️ 会转为🖤
(未实装)")</f>
        <v>需要在一日之内达成约定的承诺，否则妹妹的❤️ 会转为🖤
(未实装)</v>
      </c>
      <c r="Q13" s="84">
        <v>5.0</v>
      </c>
      <c r="R13" s="85" t="s">
        <v>387</v>
      </c>
      <c r="S13" s="100" t="s">
        <v>388</v>
      </c>
      <c r="T13" s="101" t="s">
        <v>389</v>
      </c>
      <c r="U13" s="84">
        <v>5.0</v>
      </c>
      <c r="V13" s="88" t="str">
        <f>IFERROR(__xludf.DUMMYFUNCTION("GOOGLETRANSLATE(B13,""zh-tw"",""KO"")"),"계약: 딸기우유")</f>
        <v>계약: 딸기우유</v>
      </c>
      <c r="W13" s="89" t="str">
        <f>IFERROR(__xludf.DUMMYFUNCTION("GOOGLETRANSLATE(C13,""zh-tw"",""KO"")"),"언니가 하기 싫어하는 일을 해주고 싶을 때, 딸기우유 1병, 10병, 100병으로 뇌물을 줄 수 있습니다. 금액이 높을수록 언니가 동의할 가능성이 높아집니다 (이 방식은 ""무엇이든 가능"" 쿠폰과 유사합니다).")</f>
        <v>언니가 하기 싫어하는 일을 해주고 싶을 때, 딸기우유 1병, 10병, 100병으로 뇌물을 줄 수 있습니다. 금액이 높을수록 언니가 동의할 가능성이 높아집니다 (이 방식은 "무엇이든 가능" 쿠폰과 유사합니다).</v>
      </c>
      <c r="X13" s="55" t="str">
        <f>IFERROR(__xludf.DUMMYFUNCTION("GOOGLETRANSLATE(D13,""zh-tw"",""KO"")"),"약속한 것은 하루 안에 이루어져야 합니다. 그렇지 않으면 자매의 마음이 하트로 변할 것입니다.
(아직 구현되지 않음)")</f>
        <v>약속한 것은 하루 안에 이루어져야 합니다. 그렇지 않으면 자매의 마음이 하트로 변할 것입니다.
(아직 구현되지 않음)</v>
      </c>
      <c r="Y13" s="84">
        <v>5.0</v>
      </c>
      <c r="Z13" s="99" t="s">
        <v>390</v>
      </c>
      <c r="AA13" s="91" t="s">
        <v>391</v>
      </c>
      <c r="AB13" s="43" t="s">
        <v>392</v>
      </c>
      <c r="AC13" s="84">
        <v>5.0</v>
      </c>
      <c r="AD13" s="85" t="s">
        <v>393</v>
      </c>
      <c r="AE13" s="86" t="s">
        <v>394</v>
      </c>
      <c r="AF13" s="87" t="s">
        <v>395</v>
      </c>
      <c r="AG13" s="84">
        <v>5.0</v>
      </c>
      <c r="AH13" s="92" t="s">
        <v>396</v>
      </c>
      <c r="AI13" s="93" t="s">
        <v>397</v>
      </c>
      <c r="AJ13" s="94" t="s">
        <v>398</v>
      </c>
      <c r="AK13" s="87"/>
      <c r="AL13" s="87"/>
      <c r="AM13" s="87"/>
      <c r="AN13" s="87"/>
      <c r="AO13" s="87"/>
    </row>
    <row r="14" ht="69.0" customHeight="1">
      <c r="A14" s="84">
        <v>6.0</v>
      </c>
      <c r="B14" s="85" t="s">
        <v>399</v>
      </c>
      <c r="C14" s="86" t="s">
        <v>400</v>
      </c>
      <c r="D14" s="87" t="s">
        <v>401</v>
      </c>
      <c r="E14" s="84">
        <v>6.0</v>
      </c>
      <c r="F14" s="85" t="s">
        <v>402</v>
      </c>
      <c r="G14" s="86" t="s">
        <v>403</v>
      </c>
      <c r="H14" s="87" t="s">
        <v>404</v>
      </c>
      <c r="I14" s="84">
        <v>6.0</v>
      </c>
      <c r="J14" s="85" t="s">
        <v>405</v>
      </c>
      <c r="K14" s="86" t="s">
        <v>406</v>
      </c>
      <c r="L14" s="87" t="s">
        <v>407</v>
      </c>
      <c r="M14" s="84">
        <v>6.0</v>
      </c>
      <c r="N14" s="85" t="str">
        <f>IFERROR(__xludf.DUMMYFUNCTION("GOOGLETRANSLATE(B14,""zh-tw"",""zh"")"),"第一次带饮料")</f>
        <v>第一次带饮料</v>
      </c>
      <c r="O14" s="89" t="s">
        <v>408</v>
      </c>
      <c r="P14" s="55" t="str">
        <f>IFERROR(__xludf.DUMMYFUNCTION("GOOGLETRANSLATE(D14,""zh-tw"",""zh"")"),"解锁""喝点什么""选项")</f>
        <v>解锁"喝点什么"选项</v>
      </c>
      <c r="Q14" s="84">
        <v>6.0</v>
      </c>
      <c r="R14" s="88" t="str">
        <f>IFERROR(__xludf.DUMMYFUNCTION("GOOGLETRANSLATE(B14,""zh-tw"",""es-MX"")"),"Primera vez que traigo bebidas")</f>
        <v>Primera vez que traigo bebidas</v>
      </c>
      <c r="S14" s="89" t="str">
        <f>IFERROR(__xludf.DUMMYFUNCTION("GOOGLETRANSLATE(C14,""zh-tw"",""es-MX"")"),"Hay un diálogo especial cuando llevas una bebida a casa por primera vez. Hay otro diálogo si rompes accidentalmente la máquina expendedora.")</f>
        <v>Hay un diálogo especial cuando llevas una bebida a casa por primera vez. Hay otro diálogo si rompes accidentalmente la máquina expendedora.</v>
      </c>
      <c r="T14" s="52" t="s">
        <v>409</v>
      </c>
      <c r="U14" s="84">
        <v>6.0</v>
      </c>
      <c r="V14" s="85" t="s">
        <v>410</v>
      </c>
      <c r="W14" s="95" t="s">
        <v>411</v>
      </c>
      <c r="X14" s="87" t="s">
        <v>412</v>
      </c>
      <c r="Y14" s="84">
        <v>6.0</v>
      </c>
      <c r="Z14" s="99" t="s">
        <v>413</v>
      </c>
      <c r="AA14" s="102" t="s">
        <v>414</v>
      </c>
      <c r="AB14" s="44" t="s">
        <v>415</v>
      </c>
      <c r="AC14" s="84">
        <v>6.0</v>
      </c>
      <c r="AD14" s="85" t="s">
        <v>416</v>
      </c>
      <c r="AE14" s="86" t="s">
        <v>417</v>
      </c>
      <c r="AF14" s="87" t="s">
        <v>418</v>
      </c>
      <c r="AG14" s="84">
        <v>6.0</v>
      </c>
      <c r="AH14" s="92" t="s">
        <v>419</v>
      </c>
      <c r="AI14" s="93" t="s">
        <v>420</v>
      </c>
      <c r="AJ14" s="94" t="s">
        <v>421</v>
      </c>
      <c r="AK14" s="87"/>
      <c r="AL14" s="87"/>
      <c r="AM14" s="87"/>
      <c r="AN14" s="87"/>
      <c r="AO14" s="87"/>
    </row>
    <row r="15">
      <c r="A15" s="84">
        <v>7.0</v>
      </c>
      <c r="B15" s="85" t="s">
        <v>422</v>
      </c>
      <c r="C15" s="86" t="s">
        <v>423</v>
      </c>
      <c r="D15" s="87" t="s">
        <v>424</v>
      </c>
      <c r="E15" s="84">
        <v>7.0</v>
      </c>
      <c r="F15" s="85" t="s">
        <v>425</v>
      </c>
      <c r="G15" s="86" t="s">
        <v>426</v>
      </c>
      <c r="H15" s="87" t="s">
        <v>427</v>
      </c>
      <c r="I15" s="84">
        <v>7.0</v>
      </c>
      <c r="J15" s="85" t="s">
        <v>428</v>
      </c>
      <c r="K15" s="86" t="s">
        <v>429</v>
      </c>
      <c r="L15" s="87" t="s">
        <v>430</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431</v>
      </c>
      <c r="Q15" s="84">
        <v>7.0</v>
      </c>
      <c r="R15" s="88" t="s">
        <v>432</v>
      </c>
      <c r="S15" s="89" t="str">
        <f>IFERROR(__xludf.DUMMYFUNCTION("GOOGLETRANSLATE(C15,""zh-tw"",""es-MX"")"),"Tras morir por primera vez, comí la comida de mi hermana.")</f>
        <v>Tras morir por primera vez, comí la comida de mi hermana.</v>
      </c>
      <c r="T15" s="55" t="str">
        <f>IFERROR(__xludf.DUMMYFUNCTION("GOOGLETRANSLATE(D15,""zh-tw"",""es-MX"")"),"*Evento único* Una secuencia onírica especial que te da la opción de pedirle a tu hermana que cocine para ti.")</f>
        <v>*Evento único* Una secuencia onírica especial que te da la opción de pedirle a tu hermana que cocine para ti.</v>
      </c>
      <c r="U15" s="84">
        <v>7.0</v>
      </c>
      <c r="V15" s="88" t="s">
        <v>433</v>
      </c>
      <c r="W15" s="95" t="s">
        <v>434</v>
      </c>
      <c r="X15" s="52" t="s">
        <v>435</v>
      </c>
      <c r="Y15" s="84">
        <v>7.0</v>
      </c>
      <c r="Z15" s="90" t="s">
        <v>436</v>
      </c>
      <c r="AA15" s="102" t="s">
        <v>437</v>
      </c>
      <c r="AB15" s="97" t="s">
        <v>438</v>
      </c>
      <c r="AC15" s="84">
        <v>7.0</v>
      </c>
      <c r="AD15" s="85" t="s">
        <v>439</v>
      </c>
      <c r="AE15" s="86" t="s">
        <v>440</v>
      </c>
      <c r="AF15" s="87" t="s">
        <v>441</v>
      </c>
      <c r="AG15" s="84">
        <v>7.0</v>
      </c>
      <c r="AH15" s="92" t="s">
        <v>442</v>
      </c>
      <c r="AI15" s="93" t="s">
        <v>443</v>
      </c>
      <c r="AJ15" s="94" t="s">
        <v>444</v>
      </c>
      <c r="AK15" s="87"/>
      <c r="AL15" s="87"/>
      <c r="AM15" s="87"/>
      <c r="AN15" s="87"/>
      <c r="AO15" s="87"/>
    </row>
    <row r="16">
      <c r="A16" s="84">
        <v>8.0</v>
      </c>
      <c r="B16" s="85" t="s">
        <v>445</v>
      </c>
      <c r="C16" s="86" t="s">
        <v>446</v>
      </c>
      <c r="D16" s="87" t="s">
        <v>447</v>
      </c>
      <c r="E16" s="84">
        <v>8.0</v>
      </c>
      <c r="F16" s="85" t="s">
        <v>448</v>
      </c>
      <c r="G16" s="86" t="s">
        <v>449</v>
      </c>
      <c r="H16" s="87" t="s">
        <v>450</v>
      </c>
      <c r="I16" s="84">
        <v>8.0</v>
      </c>
      <c r="J16" s="85" t="s">
        <v>451</v>
      </c>
      <c r="K16" s="86" t="s">
        <v>452</v>
      </c>
      <c r="L16" s="52" t="s">
        <v>453</v>
      </c>
      <c r="M16" s="84">
        <v>8.0</v>
      </c>
      <c r="N16" s="85" t="str">
        <f>IFERROR(__xludf.DUMMYFUNCTION("GOOGLETRANSLATE(B16,""zh-tw"",""zh"")"),"妹妹的料理")</f>
        <v>妹妹的料理</v>
      </c>
      <c r="O16" s="89"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87" t="str">
        <f>IFERROR(__xludf.DUMMYFUNCTION("GOOGLETRANSLATE(D16,""zh-tw"",""zh"")"),"产生料理
P.S.想要吃掉你的选项，未实装")</f>
        <v>产生料理
P.S.想要吃掉你的选项，未实装</v>
      </c>
      <c r="Q16" s="84">
        <v>8.0</v>
      </c>
      <c r="R16" s="88" t="str">
        <f>IFERROR(__xludf.DUMMYFUNCTION("GOOGLETRANSLATE(B16,""zh-tw"",""es-MX"")"),"La cocina de mi hermana")</f>
        <v>La cocina de mi hermana</v>
      </c>
      <c r="S16" s="89" t="str">
        <f>IFERROR(__xludf.DUMMYFUNCTION("GOOGLETRANSLATE(C16,""zh-tw"",""es-MX"")"),"La elección del plato que cocinará tu hermana depende de las opciones disponibles.
Además, existen algunas reglas:
1. Selección aleatoria de los ingredientes restantes.
2. Tu hermana no elegirá chiles ni comida chatarra.
3. La carne suele tener priori"&amp;"dad.
4. El plato se preparará según las recetas habituales.
5. Existe la posibilidad de que ocurra un ""Gran Milagro"": incluso si la cocción falla, el plato puede resultar exitoso.
6. La suerte de tu hermano aumenta la probabilidad de que tu hermana o"&amp;"curra un ""Gran Milagro"".
7. Tu hermana no cocinará si está de mal humor.
8. Cuando tenga muchos corazones morados, tu hermana añadirá ingredientes en secreto (función aún no implementada).")</f>
        <v>La elección del plato que cocinará tu hermana depende de las opciones disponibles.
Además, existen algunas reglas:
1. Selección aleatoria de los ingredientes restantes.
2. Tu hermana no elegirá chiles ni comida chatarra.
3. La carne suele tener prioridad.
4. El plato se preparará según las recetas habituales.
5. Existe la posibilidad de que ocurra un "Gran Milagro": incluso si la cocción falla, el plato puede resultar exitoso.
6. La suerte de tu hermano aumenta la probabilidad de que tu hermana ocurra un "Gran Milagro".
7. Tu hermana no cocinará si está de mal humor.
8. Cuando tenga muchos corazones morados, tu hermana añadirá ingredientes en secreto (función aún no implementada).</v>
      </c>
      <c r="T16" s="55" t="str">
        <f>IFERROR(__xludf.DUMMYFUNCTION("GOOGLETRANSLATE(D16,""zh-tw"",""es-MX"")"),"Se generará comida.
P. D.: La opción de ""querer comerte"" aún no está implementada.")</f>
        <v>Se generará comida.
P. D.: La opción de "querer comerte" aún no está implementada.</v>
      </c>
      <c r="U16" s="84">
        <v>8.0</v>
      </c>
      <c r="V16" s="88" t="str">
        <f>IFERROR(__xludf.DUMMYFUNCTION("GOOGLETRANSLATE(B16,""zh-tw"",""KO"")"),"언니가 요리해요")</f>
        <v>언니가 요리해요</v>
      </c>
      <c r="W16" s="89" t="str">
        <f>IFERROR(__xludf.DUMMYFUNCTION("GOOGLETRANSLATE(C16,""zh-tw"",""KO"")"),"여동생이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""대기적""을"&amp;" 발동할 확률을 높입니다.
7. 여동생은 기분이 좋지 않을 때는 요리하지 않습니다.
8. 여동생의 퍼플 하트가 높으면 여동생이 몰래 재료를 추가합니다(아직 구현되지 않음).")</f>
        <v>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 발동할 확률을 높입니다.
7. 여동생은 기분이 좋지 않을 때는 요리하지 않습니다.
8. 여동생의 퍼플 하트가 높으면 여동생이 몰래 재료를 추가합니다(아직 구현되지 않음).</v>
      </c>
      <c r="X16" s="55" t="str">
        <f>IFERROR(__xludf.DUMMYFUNCTION("GOOGLETRANSLATE(D16,""zh-tw"",""KO"")"),"음식이 생성됩니다.
추신: ""당신을 먹고 싶어"" 옵션은 아직 구현되지 않았습니다.")</f>
        <v>음식이 생성됩니다.
추신: "당신을 먹고 싶어" 옵션은 아직 구현되지 않았습니다.</v>
      </c>
      <c r="Y16" s="84">
        <v>8.0</v>
      </c>
      <c r="Z16" s="103" t="str">
        <f>IFERROR(__xludf.DUMMYFUNCTION("IF(J16="""", """", GOOGLETRANSLATE(
J16,""en"",""ru""))"),"Кулинария Имото")</f>
        <v>Кулинария Имото</v>
      </c>
      <c r="AA16" s="104"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4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454</v>
      </c>
      <c r="AE16" s="86" t="s">
        <v>455</v>
      </c>
      <c r="AF16" s="87" t="s">
        <v>456</v>
      </c>
      <c r="AG16" s="84">
        <v>8.0</v>
      </c>
      <c r="AH16" s="92" t="s">
        <v>457</v>
      </c>
      <c r="AI16" s="93" t="s">
        <v>458</v>
      </c>
      <c r="AJ16" s="101" t="s">
        <v>459</v>
      </c>
      <c r="AK16" s="87"/>
      <c r="AL16" s="87"/>
      <c r="AM16" s="87"/>
      <c r="AN16" s="87"/>
      <c r="AO16" s="87"/>
    </row>
    <row r="17">
      <c r="A17" s="84">
        <v>9.0</v>
      </c>
      <c r="B17" s="85" t="s">
        <v>460</v>
      </c>
      <c r="C17" s="86" t="s">
        <v>461</v>
      </c>
      <c r="D17" s="87" t="s">
        <v>462</v>
      </c>
      <c r="E17" s="84">
        <v>9.0</v>
      </c>
      <c r="F17" s="85" t="s">
        <v>463</v>
      </c>
      <c r="G17" s="86" t="s">
        <v>464</v>
      </c>
      <c r="H17" s="87" t="s">
        <v>465</v>
      </c>
      <c r="I17" s="84">
        <v>9.0</v>
      </c>
      <c r="J17" s="85" t="s">
        <v>466</v>
      </c>
      <c r="K17" s="86" t="s">
        <v>467</v>
      </c>
      <c r="L17" s="87" t="s">
        <v>468</v>
      </c>
      <c r="M17" s="84">
        <v>9.0</v>
      </c>
      <c r="N17" s="85" t="str">
        <f>IFERROR(__xludf.DUMMYFUNCTION("GOOGLETRANSLATE(B17,""zh-tw"",""zh"")"),"制作辣料理")</f>
        <v>制作辣料理</v>
      </c>
      <c r="O17" s="89" t="str">
        <f>IFERROR(__xludf.DUMMYFUNCTION("GOOGLETRANSLATE(C17,""zh-tw"",""zh"")"),"妹妹被辣哭")</f>
        <v>妹妹被辣哭</v>
      </c>
      <c r="P17" s="87" t="str">
        <f>IFERROR(__xludf.DUMMYFUNCTION("GOOGLETRANSLATE(D17,""zh-tw"",""zh"")"),"触发被辣哭的剧情")</f>
        <v>触发被辣哭的剧情</v>
      </c>
      <c r="Q17" s="84">
        <v>9.0</v>
      </c>
      <c r="R17" s="85" t="s">
        <v>469</v>
      </c>
      <c r="S17" s="86" t="s">
        <v>470</v>
      </c>
      <c r="T17" s="55" t="s">
        <v>471</v>
      </c>
      <c r="U17" s="84">
        <v>9.0</v>
      </c>
      <c r="V17" s="88" t="str">
        <f>IFERROR(__xludf.DUMMYFUNCTION("GOOGLETRANSLATE(B17,""zh-tw"",""KO"")"),"매콤한 요리 만들기")</f>
        <v>매콤한 요리 만들기</v>
      </c>
      <c r="W17" s="89" t="str">
        <f>IFERROR(__xludf.DUMMYFUNCTION("GOOGLETRANSLATE(C17,""zh-tw"",""KO"")"),"언니는 매운맛 때문에 울었어요.")</f>
        <v>언니는 매운맛 때문에 울었어요.</v>
      </c>
      <c r="X17" s="55" t="str">
        <f>IFERROR(__xludf.DUMMYFUNCTION("GOOGLETRANSLATE(D17,""zh-tw"",""KO"")"),"매운 음식을 먹고 울음을 터뜨리는 줄거리")</f>
        <v>매운 음식을 먹고 울음을 터뜨리는 줄거리</v>
      </c>
      <c r="Y17" s="84">
        <v>9.0</v>
      </c>
      <c r="Z17" s="99" t="s">
        <v>472</v>
      </c>
      <c r="AA17" s="91" t="s">
        <v>473</v>
      </c>
      <c r="AB17" s="43" t="s">
        <v>474</v>
      </c>
      <c r="AC17" s="84">
        <v>9.0</v>
      </c>
      <c r="AD17" s="85" t="s">
        <v>475</v>
      </c>
      <c r="AE17" s="86" t="s">
        <v>476</v>
      </c>
      <c r="AF17" s="87" t="s">
        <v>477</v>
      </c>
      <c r="AG17" s="84">
        <v>9.0</v>
      </c>
      <c r="AH17" s="92" t="s">
        <v>478</v>
      </c>
      <c r="AI17" s="93" t="s">
        <v>479</v>
      </c>
      <c r="AJ17" s="94" t="s">
        <v>480</v>
      </c>
      <c r="AK17" s="87"/>
      <c r="AL17" s="87"/>
      <c r="AM17" s="87"/>
      <c r="AN17" s="87"/>
      <c r="AO17" s="87"/>
    </row>
    <row r="18">
      <c r="A18" s="84">
        <v>10.0</v>
      </c>
      <c r="B18" s="85" t="s">
        <v>481</v>
      </c>
      <c r="C18" s="95" t="s">
        <v>482</v>
      </c>
      <c r="D18" s="87" t="s">
        <v>483</v>
      </c>
      <c r="E18" s="84">
        <v>10.0</v>
      </c>
      <c r="F18" s="85" t="s">
        <v>484</v>
      </c>
      <c r="G18" s="86" t="s">
        <v>485</v>
      </c>
      <c r="H18" s="87" t="s">
        <v>486</v>
      </c>
      <c r="I18" s="84">
        <v>10.0</v>
      </c>
      <c r="J18" s="85" t="s">
        <v>487</v>
      </c>
      <c r="K18" s="86" t="s">
        <v>488</v>
      </c>
      <c r="L18" s="87" t="s">
        <v>489</v>
      </c>
      <c r="M18" s="84">
        <v>10.0</v>
      </c>
      <c r="N18" s="85" t="str">
        <f>IFERROR(__xludf.DUMMYFUNCTION("GOOGLETRANSLATE(B18,""zh-tw"",""zh"")"),"解除辣味危机")</f>
        <v>解除辣味危机</v>
      </c>
      <c r="O18" s="89" t="str">
        <f>IFERROR(__xludf.DUMMYFUNCTION("GOOGLETRANSLATE(C18,""zh-tw"",""zh"")"),"妹妹会被辣到趴在床上，需要解除辣味")</f>
        <v>妹妹会被辣到趴在床上，需要解除辣味</v>
      </c>
      <c r="P18" s="87" t="str">
        <f>IFERROR(__xludf.DUMMYFUNCTION("GOOGLETRANSLATE(D18,""zh-tw"",""zh"")"),"触发解除辣味的选项")</f>
        <v>触发解除辣味的选项</v>
      </c>
      <c r="Q18" s="84">
        <v>10.0</v>
      </c>
      <c r="R18" s="85" t="s">
        <v>490</v>
      </c>
      <c r="S18" s="86" t="s">
        <v>491</v>
      </c>
      <c r="T18" s="55" t="s">
        <v>492</v>
      </c>
      <c r="U18" s="84">
        <v>10.0</v>
      </c>
      <c r="V18" s="88" t="str">
        <f>IFERROR(__xludf.DUMMYFUNCTION("GOOGLETRANSLATE(B18,""zh-tw"",""KO"")"),"매운맛 위기를 없애다")</f>
        <v>매운맛 위기를 없애다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활성화합니다.")</f>
        <v>매운맛을 제거하는 옵션을 활성화합니다.</v>
      </c>
      <c r="Y18" s="84">
        <v>10.0</v>
      </c>
      <c r="Z18" s="99" t="s">
        <v>493</v>
      </c>
      <c r="AA18" s="91" t="s">
        <v>494</v>
      </c>
      <c r="AB18" s="43" t="s">
        <v>495</v>
      </c>
      <c r="AC18" s="84">
        <v>10.0</v>
      </c>
      <c r="AD18" s="85" t="s">
        <v>496</v>
      </c>
      <c r="AE18" s="86" t="s">
        <v>497</v>
      </c>
      <c r="AF18" s="87" t="s">
        <v>498</v>
      </c>
      <c r="AG18" s="84">
        <v>10.0</v>
      </c>
      <c r="AH18" s="92" t="s">
        <v>499</v>
      </c>
      <c r="AI18" s="93" t="s">
        <v>500</v>
      </c>
      <c r="AJ18" s="94" t="s">
        <v>501</v>
      </c>
      <c r="AK18" s="87"/>
      <c r="AL18" s="87"/>
      <c r="AM18" s="87"/>
      <c r="AN18" s="87"/>
      <c r="AO18" s="87"/>
    </row>
    <row r="19">
      <c r="A19" s="84">
        <v>11.0</v>
      </c>
      <c r="B19" s="85" t="s">
        <v>502</v>
      </c>
      <c r="C19" s="86" t="s">
        <v>503</v>
      </c>
      <c r="D19" s="87" t="s">
        <v>504</v>
      </c>
      <c r="E19" s="84">
        <v>11.0</v>
      </c>
      <c r="F19" s="85" t="s">
        <v>505</v>
      </c>
      <c r="G19" s="86" t="s">
        <v>506</v>
      </c>
      <c r="H19" s="87" t="s">
        <v>507</v>
      </c>
      <c r="I19" s="84">
        <v>11.0</v>
      </c>
      <c r="J19" s="85" t="s">
        <v>508</v>
      </c>
      <c r="K19" s="86" t="s">
        <v>509</v>
      </c>
      <c r="L19" s="87" t="s">
        <v>510</v>
      </c>
      <c r="M19" s="84">
        <v>11.0</v>
      </c>
      <c r="N19" s="85" t="str">
        <f>IFERROR(__xludf.DUMMYFUNCTION("GOOGLETRANSLATE(B19,""zh-tw"",""zh"")"),"红肿的小嘴-1")</f>
        <v>红肿的小嘴-1</v>
      </c>
      <c r="O19" s="89" t="str">
        <f>IFERROR(__xludf.DUMMYFUNCTION("GOOGLETRANSLATE(C19,""zh-tw"",""zh"")"),"解除了妹妹辣哭了状态后，可以进一步提出口腔检查请求，妹妹紫心低于3时会拒绝")</f>
        <v>解除了妹妹辣哭了状态后，可以进一步提出口腔检查请求，妹妹紫心低于3时会拒绝</v>
      </c>
      <c r="P19" s="87" t="str">
        <f>IFERROR(__xludf.DUMMYFUNCTION("GOOGLETRANSLATE(D19,""zh-tw"",""zh"")"),"触发被拒绝检查口腔的剧情")</f>
        <v>触发被拒绝检查口腔的剧情</v>
      </c>
      <c r="Q19" s="84">
        <v>11.0</v>
      </c>
      <c r="R19" s="85" t="s">
        <v>511</v>
      </c>
      <c r="S19" s="86" t="s">
        <v>512</v>
      </c>
      <c r="T19" s="55" t="s">
        <v>513</v>
      </c>
      <c r="U19" s="84">
        <v>11.0</v>
      </c>
      <c r="V19" s="88" t="str">
        <f>IFERROR(__xludf.DUMMYFUNCTION("GOOGLETRANSLATE(B19,""zh-tw"",""KO"")"),"부어오른 작은 입 - 1")</f>
        <v>부어오른 작은 입 - 1</v>
      </c>
      <c r="W19" s="89" t="str">
        <f>IFERROR(__xludf.DUMMYFUNCTION("GOOGLETRANSLATE(C19,""zh-tw"",""KO"")"),"언니가 매운맛 때문에 울음을 그치게 한 후, 구강 검진을 요청하실 수 있습니다. 단, 언니의 심박수가 3회 미만이면 검진 요청이 거부됩니다.")</f>
        <v>언니가 매운맛 때문에 울음을 그치게 한 후, 구강 검진을 요청하실 수 있습니다. 단, 언니의 심박수가 3회 미만이면 검진 요청이 거부됩니다.</v>
      </c>
      <c r="X19" s="55" t="str">
        <f>IFERROR(__xludf.DUMMYFUNCTION("GOOGLETRANSLATE(D19,""zh-tw"",""KO"")"),"구두심문 거부 음모 촉발")</f>
        <v>구두심문 거부 음모 촉발</v>
      </c>
      <c r="Y19" s="84">
        <v>11.0</v>
      </c>
      <c r="Z19" s="99" t="s">
        <v>514</v>
      </c>
      <c r="AA19" s="91" t="s">
        <v>515</v>
      </c>
      <c r="AB19" s="43" t="s">
        <v>516</v>
      </c>
      <c r="AC19" s="84">
        <v>11.0</v>
      </c>
      <c r="AD19" s="85" t="s">
        <v>517</v>
      </c>
      <c r="AE19" s="86" t="s">
        <v>518</v>
      </c>
      <c r="AF19" s="87" t="s">
        <v>519</v>
      </c>
      <c r="AG19" s="84">
        <v>11.0</v>
      </c>
      <c r="AH19" s="92" t="s">
        <v>520</v>
      </c>
      <c r="AI19" s="93" t="s">
        <v>521</v>
      </c>
      <c r="AJ19" s="94" t="s">
        <v>522</v>
      </c>
      <c r="AK19" s="87"/>
      <c r="AL19" s="87"/>
      <c r="AM19" s="87"/>
      <c r="AN19" s="87"/>
      <c r="AO19" s="87"/>
    </row>
    <row r="20">
      <c r="A20" s="84">
        <v>12.0</v>
      </c>
      <c r="B20" s="85" t="s">
        <v>523</v>
      </c>
      <c r="C20" s="86" t="s">
        <v>524</v>
      </c>
      <c r="D20" s="87" t="s">
        <v>525</v>
      </c>
      <c r="E20" s="84">
        <v>12.0</v>
      </c>
      <c r="F20" s="85" t="s">
        <v>526</v>
      </c>
      <c r="G20" s="86" t="s">
        <v>527</v>
      </c>
      <c r="H20" s="87" t="s">
        <v>528</v>
      </c>
      <c r="I20" s="84">
        <v>12.0</v>
      </c>
      <c r="J20" s="85" t="s">
        <v>529</v>
      </c>
      <c r="K20" s="86" t="s">
        <v>530</v>
      </c>
      <c r="L20" s="52" t="s">
        <v>531</v>
      </c>
      <c r="M20" s="84">
        <v>12.0</v>
      </c>
      <c r="N20" s="85" t="str">
        <f>IFERROR(__xludf.DUMMYFUNCTION("GOOGLETRANSLATE(B20,""zh-tw"",""zh"")"),"红肿的小嘴-2")</f>
        <v>红肿的小嘴-2</v>
      </c>
      <c r="O20" s="89" t="str">
        <f>IFERROR(__xludf.DUMMYFUNCTION("GOOGLETRANSLATE(C20,""zh-tw"",""zh"")"),"同上，妹妹紫心高于3时，可以触发口腔检查的后续剧情")</f>
        <v>同上，妹妹紫心高于3时，可以触发口腔检查的后续剧情</v>
      </c>
      <c r="P20" s="87" t="str">
        <f>IFERROR(__xludf.DUMMYFUNCTION("GOOGLETRANSLATE(D20,""zh-tw"",""zh"")"),"触发检查口腔的剧情")</f>
        <v>触发检查口腔的剧情</v>
      </c>
      <c r="Q20" s="84">
        <v>12.0</v>
      </c>
      <c r="R20" s="85" t="s">
        <v>532</v>
      </c>
      <c r="S20" s="86" t="s">
        <v>533</v>
      </c>
      <c r="T20" s="55" t="s">
        <v>534</v>
      </c>
      <c r="U20" s="84">
        <v>12.0</v>
      </c>
      <c r="V20" s="88" t="str">
        <f>IFERROR(__xludf.DUMMYFUNCTION("GOOGLETRANSLATE(B20,""zh-tw"",""KO"")"),"부어오른 작은 입 - 2")</f>
        <v>부어오른 작은 입 - 2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IFERROR(__xludf.DUMMYFUNCTION("GOOGLETRANSLATE(D20,""zh-tw"",""KO"")"),"구강 검사 플롯을 트리거합니다.")</f>
        <v>구강 검사 플롯을 트리거합니다.</v>
      </c>
      <c r="Y20" s="84">
        <v>12.0</v>
      </c>
      <c r="Z20" s="99" t="s">
        <v>535</v>
      </c>
      <c r="AA20" s="91" t="s">
        <v>536</v>
      </c>
      <c r="AB20" s="43" t="s">
        <v>537</v>
      </c>
      <c r="AC20" s="84">
        <v>12.0</v>
      </c>
      <c r="AD20" s="85" t="s">
        <v>538</v>
      </c>
      <c r="AE20" s="86" t="s">
        <v>539</v>
      </c>
      <c r="AF20" s="87" t="s">
        <v>540</v>
      </c>
      <c r="AG20" s="84">
        <v>12.0</v>
      </c>
      <c r="AH20" s="92" t="s">
        <v>541</v>
      </c>
      <c r="AI20" s="93" t="s">
        <v>542</v>
      </c>
      <c r="AJ20" s="94" t="s">
        <v>543</v>
      </c>
      <c r="AK20" s="87"/>
      <c r="AL20" s="87"/>
      <c r="AM20" s="87"/>
      <c r="AN20" s="87"/>
      <c r="AO20" s="87"/>
    </row>
    <row r="21">
      <c r="A21" s="84">
        <v>13.0</v>
      </c>
      <c r="B21" s="85" t="s">
        <v>544</v>
      </c>
      <c r="C21" s="95" t="s">
        <v>545</v>
      </c>
      <c r="D21" s="87" t="s">
        <v>546</v>
      </c>
      <c r="E21" s="84">
        <v>13.0</v>
      </c>
      <c r="F21" s="85" t="s">
        <v>547</v>
      </c>
      <c r="G21" s="86" t="s">
        <v>548</v>
      </c>
      <c r="H21" s="87" t="s">
        <v>549</v>
      </c>
      <c r="I21" s="84">
        <v>13.0</v>
      </c>
      <c r="J21" s="85" t="s">
        <v>550</v>
      </c>
      <c r="K21" s="95" t="s">
        <v>551</v>
      </c>
      <c r="L21" s="87" t="s">
        <v>552</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553</v>
      </c>
      <c r="Q21" s="84">
        <v>13.0</v>
      </c>
      <c r="R21" s="88" t="s">
        <v>550</v>
      </c>
      <c r="S21" s="89" t="s">
        <v>554</v>
      </c>
      <c r="T21" s="52" t="s">
        <v>555</v>
      </c>
      <c r="U21" s="84">
        <v>13.0</v>
      </c>
      <c r="V21" s="85" t="s">
        <v>556</v>
      </c>
      <c r="W21" s="95" t="s">
        <v>557</v>
      </c>
      <c r="X21" s="52" t="s">
        <v>558</v>
      </c>
      <c r="Y21" s="84">
        <v>13.0</v>
      </c>
      <c r="Z21" s="90" t="s">
        <v>559</v>
      </c>
      <c r="AA21" s="91" t="s">
        <v>560</v>
      </c>
      <c r="AB21" s="43" t="s">
        <v>561</v>
      </c>
      <c r="AC21" s="84">
        <v>13.0</v>
      </c>
      <c r="AD21" s="85" t="s">
        <v>562</v>
      </c>
      <c r="AE21" s="86" t="s">
        <v>563</v>
      </c>
      <c r="AF21" s="87" t="s">
        <v>564</v>
      </c>
      <c r="AG21" s="84">
        <v>13.0</v>
      </c>
      <c r="AH21" s="92" t="s">
        <v>550</v>
      </c>
      <c r="AI21" s="93" t="s">
        <v>565</v>
      </c>
      <c r="AJ21" s="94" t="s">
        <v>566</v>
      </c>
      <c r="AK21" s="87"/>
      <c r="AL21" s="87"/>
      <c r="AM21" s="87"/>
      <c r="AN21" s="87"/>
      <c r="AO21" s="87"/>
    </row>
    <row r="22">
      <c r="A22" s="84">
        <v>14.0</v>
      </c>
      <c r="B22" s="85" t="s">
        <v>567</v>
      </c>
      <c r="C22" s="86" t="s">
        <v>568</v>
      </c>
      <c r="D22" s="87" t="s">
        <v>569</v>
      </c>
      <c r="E22" s="84">
        <v>14.0</v>
      </c>
      <c r="F22" s="85" t="s">
        <v>570</v>
      </c>
      <c r="G22" s="86" t="s">
        <v>571</v>
      </c>
      <c r="H22" s="87" t="s">
        <v>572</v>
      </c>
      <c r="I22" s="84">
        <v>14.0</v>
      </c>
      <c r="J22" s="85" t="s">
        <v>573</v>
      </c>
      <c r="K22" s="86" t="s">
        <v>574</v>
      </c>
      <c r="L22" s="87" t="s">
        <v>575</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576</v>
      </c>
      <c r="S22" s="89" t="str">
        <f>IFERROR(__xludf.DUMMYFUNCTION("GOOGLETRANSLATE(C22,""zh-tw"",""es-MX"")"),"Equipado con ""Espina de pescado apestosa"", que puede activarse al regresar a casa")</f>
        <v>Equipado con "Espina de pescado apestosa", que puede activarse al regresar a casa</v>
      </c>
      <c r="T22" s="55" t="str">
        <f>IFERROR(__xludf.DUMMYFUNCTION("GOOGLETRANSLATE(D22,""zh-tw"",""es-MX"")"),"Desencadena el evento ""El hermano apesta""")</f>
        <v>Desencadena el evento "El hermano apesta"</v>
      </c>
      <c r="U22" s="84">
        <v>14.0</v>
      </c>
      <c r="V22" s="98" t="s">
        <v>577</v>
      </c>
      <c r="W22" s="95" t="s">
        <v>578</v>
      </c>
      <c r="X22" s="52" t="s">
        <v>579</v>
      </c>
      <c r="Y22" s="84">
        <v>14.0</v>
      </c>
      <c r="Z22" s="90" t="s">
        <v>580</v>
      </c>
      <c r="AA22" s="91" t="s">
        <v>581</v>
      </c>
      <c r="AB22" s="43" t="s">
        <v>582</v>
      </c>
      <c r="AC22" s="84">
        <v>14.0</v>
      </c>
      <c r="AD22" s="85" t="s">
        <v>583</v>
      </c>
      <c r="AE22" s="86" t="s">
        <v>584</v>
      </c>
      <c r="AF22" s="87" t="s">
        <v>585</v>
      </c>
      <c r="AG22" s="84">
        <v>14.0</v>
      </c>
      <c r="AH22" s="92" t="s">
        <v>586</v>
      </c>
      <c r="AI22" s="93" t="s">
        <v>587</v>
      </c>
      <c r="AJ22" s="94" t="s">
        <v>588</v>
      </c>
      <c r="AK22" s="87"/>
      <c r="AL22" s="87"/>
      <c r="AM22" s="87"/>
      <c r="AN22" s="87"/>
      <c r="AO22" s="87"/>
    </row>
    <row r="23">
      <c r="A23" s="84">
        <v>15.0</v>
      </c>
      <c r="B23" s="85" t="s">
        <v>589</v>
      </c>
      <c r="C23" s="86" t="s">
        <v>590</v>
      </c>
      <c r="D23" s="87" t="s">
        <v>591</v>
      </c>
      <c r="E23" s="84">
        <v>15.0</v>
      </c>
      <c r="F23" s="85" t="s">
        <v>592</v>
      </c>
      <c r="G23" s="86" t="s">
        <v>593</v>
      </c>
      <c r="H23" s="87" t="s">
        <v>594</v>
      </c>
      <c r="I23" s="84">
        <v>15.0</v>
      </c>
      <c r="J23" s="85" t="s">
        <v>595</v>
      </c>
      <c r="K23" s="86" t="s">
        <v>596</v>
      </c>
      <c r="L23" s="87" t="s">
        <v>597</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598</v>
      </c>
      <c r="S23" s="95" t="s">
        <v>599</v>
      </c>
      <c r="T23" s="52" t="s">
        <v>600</v>
      </c>
      <c r="U23" s="84">
        <v>15.0</v>
      </c>
      <c r="V23" s="98" t="s">
        <v>601</v>
      </c>
      <c r="W23" s="95" t="s">
        <v>602</v>
      </c>
      <c r="X23" s="105" t="s">
        <v>603</v>
      </c>
      <c r="Y23" s="84">
        <v>15.0</v>
      </c>
      <c r="Z23" s="90" t="s">
        <v>604</v>
      </c>
      <c r="AA23" s="102" t="s">
        <v>605</v>
      </c>
      <c r="AB23" s="43" t="s">
        <v>606</v>
      </c>
      <c r="AC23" s="84">
        <v>15.0</v>
      </c>
      <c r="AD23" s="85" t="s">
        <v>607</v>
      </c>
      <c r="AE23" s="86" t="s">
        <v>608</v>
      </c>
      <c r="AF23" s="87" t="s">
        <v>609</v>
      </c>
      <c r="AG23" s="84">
        <v>15.0</v>
      </c>
      <c r="AH23" s="92" t="s">
        <v>610</v>
      </c>
      <c r="AI23" s="93" t="s">
        <v>611</v>
      </c>
      <c r="AJ23" s="94" t="s">
        <v>612</v>
      </c>
      <c r="AK23" s="87"/>
      <c r="AL23" s="87"/>
      <c r="AM23" s="87"/>
      <c r="AN23" s="87"/>
      <c r="AO23" s="87"/>
    </row>
    <row r="24">
      <c r="A24" s="84">
        <v>16.0</v>
      </c>
      <c r="B24" s="85" t="s">
        <v>613</v>
      </c>
      <c r="C24" s="86" t="s">
        <v>614</v>
      </c>
      <c r="D24" s="87" t="s">
        <v>615</v>
      </c>
      <c r="E24" s="84">
        <v>16.0</v>
      </c>
      <c r="F24" s="85" t="s">
        <v>616</v>
      </c>
      <c r="G24" s="86" t="s">
        <v>617</v>
      </c>
      <c r="H24" s="87" t="s">
        <v>618</v>
      </c>
      <c r="I24" s="84">
        <v>16.0</v>
      </c>
      <c r="J24" s="85" t="s">
        <v>619</v>
      </c>
      <c r="K24" s="86" t="s">
        <v>620</v>
      </c>
      <c r="L24" s="87" t="s">
        <v>621</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98" t="s">
        <v>622</v>
      </c>
      <c r="S24" s="89" t="s">
        <v>623</v>
      </c>
      <c r="T24" s="52" t="s">
        <v>624</v>
      </c>
      <c r="U24" s="84">
        <v>16.0</v>
      </c>
      <c r="V24" s="98" t="s">
        <v>625</v>
      </c>
      <c r="W24" s="95" t="s">
        <v>626</v>
      </c>
      <c r="X24" s="52" t="s">
        <v>627</v>
      </c>
      <c r="Y24" s="84">
        <v>16.0</v>
      </c>
      <c r="Z24" s="90" t="s">
        <v>628</v>
      </c>
      <c r="AA24" s="91" t="s">
        <v>629</v>
      </c>
      <c r="AB24" s="43" t="s">
        <v>630</v>
      </c>
      <c r="AC24" s="84">
        <v>16.0</v>
      </c>
      <c r="AD24" s="85" t="s">
        <v>631</v>
      </c>
      <c r="AE24" s="86" t="s">
        <v>632</v>
      </c>
      <c r="AF24" s="87" t="s">
        <v>633</v>
      </c>
      <c r="AG24" s="84">
        <v>16.0</v>
      </c>
      <c r="AH24" s="92" t="s">
        <v>634</v>
      </c>
      <c r="AI24" s="93" t="s">
        <v>635</v>
      </c>
      <c r="AJ24" s="94" t="s">
        <v>636</v>
      </c>
      <c r="AK24" s="87"/>
      <c r="AL24" s="87"/>
      <c r="AM24" s="87"/>
      <c r="AN24" s="87"/>
      <c r="AO24" s="87"/>
    </row>
    <row r="25">
      <c r="A25" s="84">
        <v>17.0</v>
      </c>
      <c r="B25" s="85" t="s">
        <v>637</v>
      </c>
      <c r="C25" s="86" t="s">
        <v>638</v>
      </c>
      <c r="D25" s="87" t="s">
        <v>639</v>
      </c>
      <c r="E25" s="84">
        <v>17.0</v>
      </c>
      <c r="F25" s="85" t="s">
        <v>640</v>
      </c>
      <c r="G25" s="86" t="s">
        <v>641</v>
      </c>
      <c r="H25" s="87" t="s">
        <v>642</v>
      </c>
      <c r="I25" s="84">
        <v>17.0</v>
      </c>
      <c r="J25" s="85" t="s">
        <v>643</v>
      </c>
      <c r="K25" s="86" t="s">
        <v>644</v>
      </c>
      <c r="L25" s="87" t="s">
        <v>645</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646</v>
      </c>
      <c r="S25" s="95" t="s">
        <v>647</v>
      </c>
      <c r="T25" s="52" t="s">
        <v>648</v>
      </c>
      <c r="U25" s="84">
        <v>17.0</v>
      </c>
      <c r="V25" s="106" t="s">
        <v>649</v>
      </c>
      <c r="W25" s="95" t="s">
        <v>650</v>
      </c>
      <c r="X25" s="52" t="s">
        <v>651</v>
      </c>
      <c r="Y25" s="84">
        <v>17.0</v>
      </c>
      <c r="Z25" s="90" t="s">
        <v>652</v>
      </c>
      <c r="AA25" s="102" t="s">
        <v>653</v>
      </c>
      <c r="AB25" s="43" t="s">
        <v>654</v>
      </c>
      <c r="AC25" s="84">
        <v>17.0</v>
      </c>
      <c r="AD25" s="85" t="s">
        <v>655</v>
      </c>
      <c r="AE25" s="86" t="s">
        <v>656</v>
      </c>
      <c r="AF25" s="87" t="s">
        <v>657</v>
      </c>
      <c r="AG25" s="84">
        <v>17.0</v>
      </c>
      <c r="AH25" s="92" t="s">
        <v>658</v>
      </c>
      <c r="AI25" s="93" t="s">
        <v>659</v>
      </c>
      <c r="AJ25" s="94" t="s">
        <v>660</v>
      </c>
      <c r="AK25" s="87"/>
      <c r="AL25" s="87"/>
      <c r="AM25" s="87"/>
      <c r="AN25" s="87"/>
      <c r="AO25" s="87"/>
    </row>
    <row r="26">
      <c r="A26" s="84">
        <v>18.0</v>
      </c>
      <c r="B26" s="85" t="s">
        <v>661</v>
      </c>
      <c r="C26" s="86" t="s">
        <v>662</v>
      </c>
      <c r="D26" s="87" t="s">
        <v>663</v>
      </c>
      <c r="E26" s="84">
        <v>18.0</v>
      </c>
      <c r="F26" s="85" t="s">
        <v>664</v>
      </c>
      <c r="G26" s="86" t="s">
        <v>665</v>
      </c>
      <c r="H26" s="87" t="s">
        <v>666</v>
      </c>
      <c r="I26" s="84">
        <v>18.0</v>
      </c>
      <c r="J26" s="85" t="s">
        <v>667</v>
      </c>
      <c r="K26" s="86" t="s">
        <v>668</v>
      </c>
      <c r="L26" s="52" t="s">
        <v>669</v>
      </c>
      <c r="M26" s="84">
        <v>18.0</v>
      </c>
      <c r="N26" s="85" t="str">
        <f>IFERROR(__xludf.DUMMYFUNCTION("GOOGLETRANSLATE(B26,""zh-tw"",""zh"")"),"哥困了")</f>
        <v>哥困了</v>
      </c>
      <c r="O26" s="89" t="str">
        <f>IFERROR(__xludf.DUMMYFUNCTION("GOOGLETRANSLATE(C26,""zh-tw"",""zh"")"),"提前睡觉")</f>
        <v>提前睡觉</v>
      </c>
      <c r="P26" s="55" t="s">
        <v>670</v>
      </c>
      <c r="Q26" s="84">
        <v>18.0</v>
      </c>
      <c r="R26" s="98" t="s">
        <v>671</v>
      </c>
      <c r="S26" s="95" t="s">
        <v>672</v>
      </c>
      <c r="T26" s="52" t="s">
        <v>673</v>
      </c>
      <c r="U26" s="84">
        <v>18.0</v>
      </c>
      <c r="V26" s="106" t="s">
        <v>674</v>
      </c>
      <c r="W26" s="95" t="s">
        <v>675</v>
      </c>
      <c r="X26" s="52" t="s">
        <v>676</v>
      </c>
      <c r="Y26" s="84">
        <v>18.0</v>
      </c>
      <c r="Z26" s="99" t="s">
        <v>677</v>
      </c>
      <c r="AA26" s="102" t="s">
        <v>678</v>
      </c>
      <c r="AB26" s="43" t="s">
        <v>679</v>
      </c>
      <c r="AC26" s="84">
        <v>18.0</v>
      </c>
      <c r="AD26" s="85" t="s">
        <v>680</v>
      </c>
      <c r="AE26" s="86" t="s">
        <v>681</v>
      </c>
      <c r="AF26" s="87" t="s">
        <v>682</v>
      </c>
      <c r="AG26" s="84">
        <v>18.0</v>
      </c>
      <c r="AH26" s="92" t="s">
        <v>683</v>
      </c>
      <c r="AI26" s="93" t="s">
        <v>684</v>
      </c>
      <c r="AJ26" s="94" t="s">
        <v>685</v>
      </c>
      <c r="AK26" s="87"/>
      <c r="AL26" s="87"/>
      <c r="AM26" s="87"/>
      <c r="AN26" s="87"/>
      <c r="AO26" s="87"/>
    </row>
    <row r="27">
      <c r="A27" s="84">
        <v>19.0</v>
      </c>
      <c r="B27" s="85" t="s">
        <v>686</v>
      </c>
      <c r="C27" s="86" t="s">
        <v>687</v>
      </c>
      <c r="D27" s="87" t="s">
        <v>688</v>
      </c>
      <c r="E27" s="84">
        <v>19.0</v>
      </c>
      <c r="F27" s="85" t="s">
        <v>689</v>
      </c>
      <c r="G27" s="86" t="s">
        <v>690</v>
      </c>
      <c r="H27" s="87" t="s">
        <v>691</v>
      </c>
      <c r="I27" s="84">
        <v>19.0</v>
      </c>
      <c r="J27" s="85" t="s">
        <v>692</v>
      </c>
      <c r="K27" s="86" t="s">
        <v>693</v>
      </c>
      <c r="L27" s="87" t="s">
        <v>694</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98" t="s">
        <v>695</v>
      </c>
      <c r="S27" s="89" t="s">
        <v>696</v>
      </c>
      <c r="T27" s="96" t="s">
        <v>697</v>
      </c>
      <c r="U27" s="84">
        <v>19.0</v>
      </c>
      <c r="V27" s="88" t="str">
        <f>IFERROR(__xludf.DUMMYFUNCTION("GOOGLETRANSLATE(B27,""zh-tw"",""KO"")"),"일어날 시간이에요!")</f>
        <v>일어날 시간이에요!</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깨워진 여동생은 완전히 깨어나지 않고 다시 잠에 들게 됩니다.")</f>
        <v>"강제 깨우기" 애니메이션 잠금 해제 기회
강제로 깨워진 여동생은 완전히 깨어나지 않고 다시 잠에 들게 됩니다.</v>
      </c>
      <c r="Y27" s="84">
        <v>19.0</v>
      </c>
      <c r="Z27" s="90" t="s">
        <v>698</v>
      </c>
      <c r="AA27" s="91" t="s">
        <v>699</v>
      </c>
      <c r="AB27" s="43" t="s">
        <v>700</v>
      </c>
      <c r="AC27" s="84">
        <v>19.0</v>
      </c>
      <c r="AD27" s="85" t="s">
        <v>701</v>
      </c>
      <c r="AE27" s="86" t="s">
        <v>702</v>
      </c>
      <c r="AF27" s="87" t="s">
        <v>703</v>
      </c>
      <c r="AG27" s="84">
        <v>19.0</v>
      </c>
      <c r="AH27" s="92" t="s">
        <v>704</v>
      </c>
      <c r="AI27" s="93" t="s">
        <v>705</v>
      </c>
      <c r="AJ27" s="94" t="s">
        <v>706</v>
      </c>
      <c r="AK27" s="87"/>
      <c r="AL27" s="87"/>
      <c r="AM27" s="87"/>
      <c r="AN27" s="87"/>
      <c r="AO27" s="87"/>
    </row>
    <row r="28">
      <c r="A28" s="84">
        <v>20.0</v>
      </c>
      <c r="B28" s="85" t="s">
        <v>707</v>
      </c>
      <c r="C28" s="95" t="s">
        <v>708</v>
      </c>
      <c r="D28" s="87" t="s">
        <v>709</v>
      </c>
      <c r="E28" s="84">
        <v>20.0</v>
      </c>
      <c r="F28" s="85" t="str">
        <f>IFERROR(__xludf.DUMMYFUNCTION("GOOGLETRANSLATE(B28,""zh-tw"",""ja"")"),"最初の癒し")</f>
        <v>最初の癒し</v>
      </c>
      <c r="G28" s="95" t="s">
        <v>710</v>
      </c>
      <c r="H28" s="87" t="s">
        <v>711</v>
      </c>
      <c r="I28" s="84">
        <v>20.0</v>
      </c>
      <c r="J28" s="85" t="s">
        <v>712</v>
      </c>
      <c r="K28" s="95" t="s">
        <v>713</v>
      </c>
      <c r="L28" s="87" t="s">
        <v>714</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715</v>
      </c>
      <c r="S28" s="89" t="str">
        <f>IFERROR(__xludf.DUMMYFUNCTION("GOOGLETRANSLATE(C28,""zh-tw"",""es-MX"")"),"¿Qué te gustaría beber? Esto le permite a tu hermana beber el Elixir de Médula Roja para curarse.
P. D.: Esta herida solo se puede curar una vez; consulta los eventos del juego de rol.")</f>
        <v>¿Qué te gustaría beber? Esto le permite a tu hermana beber el Elixir de Médula Roja para curarse.
P. D.: Esta herida solo se puede curar una vez; consulta los eventos del juego de rol.</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치유")</f>
        <v>첫 번째 치유</v>
      </c>
      <c r="W28" s="89" t="str">
        <f>IFERROR(__xludf.DUMMYFUNCTION("GOOGLETRANSLATE(C28,""zh-tw"",""KO"")"),"""뭐 마실래?"" 이렇게 하면 여동생이 ""붉은 골수 비약""을 마셔서 체력을 회복할 수 있습니다.
추신: 이 효과는 한 번만 회복됩니다. RPG 이벤트를 참고하세요.")</f>
        <v>"뭐 마실래?" 이렇게 하면 여동생이 "붉은 골수 비약"을 마셔서 체력을 회복할 수 있습니다.
추신: 이 효과는 한 번만 회복됩니다. RPG 이벤트를 참고하세요.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716</v>
      </c>
      <c r="AB28" s="43" t="s">
        <v>717</v>
      </c>
      <c r="AC28" s="84">
        <v>20.0</v>
      </c>
      <c r="AD28" s="85" t="s">
        <v>718</v>
      </c>
      <c r="AE28" s="95" t="s">
        <v>719</v>
      </c>
      <c r="AF28" s="87" t="s">
        <v>720</v>
      </c>
      <c r="AG28" s="84">
        <v>20.0</v>
      </c>
      <c r="AH28" s="92" t="s">
        <v>721</v>
      </c>
      <c r="AI28" s="100" t="s">
        <v>722</v>
      </c>
      <c r="AJ28" s="94" t="s">
        <v>723</v>
      </c>
      <c r="AK28" s="87"/>
      <c r="AL28" s="87"/>
      <c r="AM28" s="87"/>
      <c r="AN28" s="87"/>
      <c r="AO28" s="87"/>
    </row>
    <row r="29">
      <c r="A29" s="84">
        <v>21.0</v>
      </c>
      <c r="B29" s="98" t="s">
        <v>724</v>
      </c>
      <c r="C29" s="86" t="s">
        <v>725</v>
      </c>
      <c r="D29" s="87" t="s">
        <v>591</v>
      </c>
      <c r="E29" s="84">
        <v>21.0</v>
      </c>
      <c r="F29" s="98" t="s">
        <v>724</v>
      </c>
      <c r="G29" s="86" t="s">
        <v>726</v>
      </c>
      <c r="H29" s="87" t="s">
        <v>594</v>
      </c>
      <c r="I29" s="84">
        <v>21.0</v>
      </c>
      <c r="J29" s="98" t="s">
        <v>724</v>
      </c>
      <c r="K29" s="86" t="s">
        <v>727</v>
      </c>
      <c r="L29" s="52" t="s">
        <v>728</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98" t="s">
        <v>724</v>
      </c>
      <c r="S29" s="89" t="str">
        <f>IFERROR(__xludf.DUMMYFUNCTION("GOOGLETRANSLATE(C29,""zh-tw"",""es-MX"")"),"Después de darle de comer a tu hermana menor un ""konpeito azul"" y un ""konpeito rosa"" con la opción ""¿Qué hay para beber?"", ella entrará en un estado ??.")</f>
        <v>Después de darle de comer a tu hermana menor un "konpeito azul" y un "konpeito rosa" con la opción "¿Qué hay para beber?", ella entrará en un estado ??.</v>
      </c>
      <c r="T29" s="55" t="str">
        <f>IFERROR(__xludf.DUMMYFUNCTION("GOOGLETRANSLATE(D29,""zh-tw"",""es-MX"")"),"No implementado")</f>
        <v>No implementado</v>
      </c>
      <c r="U29" s="84">
        <v>21.0</v>
      </c>
      <c r="V29" s="88" t="str">
        <f>IFERROR(__xludf.DUMMYFUNCTION("GOOGLETRANSLATE(B29,""zh-tw"",""KO"")"),"-")</f>
        <v>-</v>
      </c>
      <c r="W29" s="89" t="str">
        <f>IFERROR(__xludf.DUMMYFUNCTION("GOOGLETRANSLATE(C29,""zh-tw"",""KO"")"),"여동생에게 ""파란색 콘페이토""와 ""분홍색 콘페이토""를 먹이고 ""음료는 뭐 마실래?"" 옵션을 선택하면 여동생은 ?? 상태에 들어갑니다.")</f>
        <v>여동생에게 "파란색 콘페이토"와 "분홍색 콘페이토"를 먹이고 "음료는 뭐 마실래?" 옵션을 선택하면 여동생은 ?? 상태에 들어갑니다.</v>
      </c>
      <c r="X29" s="55" t="str">
        <f>IFERROR(__xludf.DUMMYFUNCTION("GOOGLETRANSLATE(D29,""zh-tw"",""KO"")"),"구현되지 않음")</f>
        <v>구현되지 않음</v>
      </c>
      <c r="Y29" s="84">
        <v>21.0</v>
      </c>
      <c r="Z29" s="99" t="s">
        <v>724</v>
      </c>
      <c r="AA29" s="102" t="s">
        <v>729</v>
      </c>
      <c r="AB29" s="43" t="s">
        <v>730</v>
      </c>
      <c r="AC29" s="84">
        <v>21.0</v>
      </c>
      <c r="AD29" s="98" t="s">
        <v>724</v>
      </c>
      <c r="AE29" s="86" t="s">
        <v>731</v>
      </c>
      <c r="AF29" s="87" t="s">
        <v>609</v>
      </c>
      <c r="AG29" s="84">
        <v>21.0</v>
      </c>
      <c r="AH29" s="92" t="s">
        <v>724</v>
      </c>
      <c r="AI29" s="93" t="s">
        <v>732</v>
      </c>
      <c r="AJ29" s="94" t="s">
        <v>733</v>
      </c>
      <c r="AK29" s="87"/>
      <c r="AL29" s="87"/>
      <c r="AM29" s="87"/>
      <c r="AN29" s="87"/>
      <c r="AO29" s="87"/>
    </row>
    <row r="30">
      <c r="A30" s="84">
        <v>22.0</v>
      </c>
      <c r="B30" s="85" t="s">
        <v>734</v>
      </c>
      <c r="C30" s="86" t="s">
        <v>735</v>
      </c>
      <c r="D30" s="87" t="s">
        <v>736</v>
      </c>
      <c r="E30" s="84">
        <v>22.0</v>
      </c>
      <c r="F30" s="85" t="s">
        <v>737</v>
      </c>
      <c r="G30" s="95" t="s">
        <v>738</v>
      </c>
      <c r="H30" s="87" t="s">
        <v>739</v>
      </c>
      <c r="I30" s="84">
        <v>22.0</v>
      </c>
      <c r="J30" s="85" t="s">
        <v>740</v>
      </c>
      <c r="K30" s="95" t="s">
        <v>741</v>
      </c>
      <c r="L30" s="87" t="s">
        <v>742</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743</v>
      </c>
      <c r="S30" s="95" t="s">
        <v>744</v>
      </c>
      <c r="T30" s="55" t="s">
        <v>745</v>
      </c>
      <c r="U30" s="84">
        <v>22.0</v>
      </c>
      <c r="V30" s="98" t="s">
        <v>746</v>
      </c>
      <c r="W30" s="95" t="s">
        <v>747</v>
      </c>
      <c r="X30" s="52" t="s">
        <v>748</v>
      </c>
      <c r="Y30" s="84">
        <v>22.0</v>
      </c>
      <c r="Z30" s="99" t="s">
        <v>749</v>
      </c>
      <c r="AA30" s="91" t="s">
        <v>750</v>
      </c>
      <c r="AB30" s="43" t="s">
        <v>751</v>
      </c>
      <c r="AC30" s="84">
        <v>22.0</v>
      </c>
      <c r="AD30" s="85" t="s">
        <v>752</v>
      </c>
      <c r="AE30" s="95" t="s">
        <v>753</v>
      </c>
      <c r="AF30" s="52" t="s">
        <v>754</v>
      </c>
      <c r="AG30" s="84">
        <v>22.0</v>
      </c>
      <c r="AH30" s="92" t="s">
        <v>755</v>
      </c>
      <c r="AI30" s="93" t="s">
        <v>756</v>
      </c>
      <c r="AJ30" s="94" t="s">
        <v>757</v>
      </c>
      <c r="AK30" s="87"/>
      <c r="AL30" s="87"/>
      <c r="AM30" s="87"/>
      <c r="AN30" s="87"/>
      <c r="AO30" s="87"/>
    </row>
    <row r="31">
      <c r="A31" s="107">
        <v>23.0</v>
      </c>
      <c r="B31" s="98" t="s">
        <v>758</v>
      </c>
      <c r="C31" s="95" t="s">
        <v>759</v>
      </c>
      <c r="D31" s="52" t="s">
        <v>760</v>
      </c>
      <c r="E31" s="107">
        <v>23.0</v>
      </c>
      <c r="F31" s="85"/>
      <c r="G31" s="95"/>
      <c r="H31" s="87"/>
      <c r="I31" s="107">
        <v>23.0</v>
      </c>
      <c r="J31" s="98" t="s">
        <v>761</v>
      </c>
      <c r="K31" s="95" t="s">
        <v>762</v>
      </c>
      <c r="L31" s="52" t="s">
        <v>763</v>
      </c>
      <c r="M31" s="107">
        <v>23.0</v>
      </c>
      <c r="N31" s="85" t="str">
        <f>IFERROR(__xludf.DUMMYFUNCTION("GOOGLETRANSLATE(B31,""zh-tw"",""zh"")"),"和妹妹看电视")</f>
        <v>和妹妹看电视</v>
      </c>
      <c r="O31" s="89" t="str">
        <f>IFERROR(__xludf.DUMMYFUNCTION("GOOGLETRANSLATE(C31,""zh-tw"",""zh"")"),"关于客厅，必须游玩超过第5日后才会触发，每个档案都有一个随机值判定是礼拜几触发。
例如：存档的随机值是""每周六""，游戏内就是第6、13、20、27日可以触发。设定上大约于晚上8点期间可能触发")</f>
        <v>关于客厅，必须游玩超过第5日后才会触发，每个档案都有一个随机值判定是礼拜几触发。
例如：存档的随机值是"每周六"，游戏内就是第6、13、20、27日可以触发。设定上大约于晚上8点期间可能触发</v>
      </c>
      <c r="P31" s="55" t="str">
        <f>IFERROR(__xludf.DUMMYFUNCTION("GOOGLETRANSLATE(D31,""zh-tw"",""zh"")"),"观看电视
*大部分功能未实装")</f>
        <v>观看电视
*大部分功能未实装</v>
      </c>
      <c r="Q31" s="107">
        <v>23.0</v>
      </c>
      <c r="R31" s="88" t="str">
        <f>IFERROR(__xludf.DUMMYFUNCTION("GOOGLETRANSLATE(B31,""zh-tw"",""es-MX"")"),"Viendo la tele con mi hermana")</f>
        <v>Viendo la tele con mi hermana</v>
      </c>
      <c r="S31" s="89" t="str">
        <f>IFERROR(__xludf.DUMMYFUNCTION("GOOGLETRANSLATE(C31,""zh-tw"",""es-MX"")"),"En cuanto al salón, solo se activará tras jugar durante más de 5 días. Cada partida guardada tiene un valor aleatorio que determina qué día de la semana se activará.
Por ejemplo, si el valor aleatorio de la partida guardada es «todos los sábados», en el "&amp;"juego se activará los días 6, 13, 20 y 27. Está programado para activarse alrededor de las 20:00.")</f>
        <v>En cuanto al salón, solo se activará tras jugar durante más de 5 días. Cada partida guardada tiene un valor aleatorio que determina qué día de la semana se activará.
Por ejemplo, si el valor aleatorio de la partida guardada es «todos los sábados», en el juego se activará los días 6, 13, 20 y 27. Está programado para activarse alrededor de las 20:00.</v>
      </c>
      <c r="T31" s="55" t="str">
        <f>IFERROR(__xludf.DUMMYFUNCTION("GOOGLETRANSLATE(D31,""zh-tw"",""es-MX"")"),"Ver la televisión
*La mayoría de las funciones aún no están implementadas.")</f>
        <v>Ver la televisión
*La mayoría de las funciones aún no están implementadas.</v>
      </c>
      <c r="U31" s="107">
        <v>23.0</v>
      </c>
      <c r="V31" s="88" t="str">
        <f>IFERROR(__xludf.DUMMYFUNCTION("GOOGLETRANSLATE(B31,""zh-tw"",""KO"")"),"언니랑 같이 티비보며")</f>
        <v>언니랑 같이 티비보며</v>
      </c>
      <c r="W31" s="89" t="str">
        <f>IFERROR(__xludf.DUMMYFUNCTION("GOOGLETRANSLATE(C31,""zh-tw"",""KO"")"),"거실의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f>
        <v>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v>
      </c>
      <c r="X31" s="55" t="str">
        <f>IFERROR(__xludf.DUMMYFUNCTION("GOOGLETRANSLATE(D31,""zh-tw"",""KO"")"),"TV 시청
*대부분의 기능은 아직 구현되지 않았습니다.")</f>
        <v>TV 시청
*대부분의 기능은 아직 구현되지 않았습니다.</v>
      </c>
      <c r="Y31" s="107">
        <v>23.0</v>
      </c>
      <c r="Z31" s="103" t="str">
        <f>IFERROR(__xludf.DUMMYFUNCTION("IF(J31="""", """", GOOGLETRANSLATE(
J31,""en"",""ru""))"),"Смотря телевизор")</f>
        <v>Смотря телевизор</v>
      </c>
      <c r="AA31" s="104" t="str">
        <f>IFERROR(__xludf.DUMMYFUNCTION("IF(K31="""", """", GOOGLETRANSLATE(K31,""en"",""RU""))"),"Событие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"&amp;"значит, что оно сработает на 6-й, 13-й, 20-й и т.д. день, и это событие чаще всего срабатывает около 20:00.")</f>
        <v>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значит, что оно сработает на 6-й, 13-й, 20-й и т.д. день, и это событие чаще всего срабатывает около 20:00.</v>
      </c>
      <c r="AB31" s="44" t="str">
        <f>IFERROR(__xludf.DUMMYFUNCTION("IF(L31="""", """", GOOGLETRANSLATE(L31, ""en"", ""ru""))
"),"Смотрит телевизор с помощью imouto
*Большинство функций пока не реализованы")</f>
        <v>Смотрит телевизор с помощью imouto
*Большинство функций пока не реализованы</v>
      </c>
      <c r="AC31" s="107">
        <v>23.0</v>
      </c>
      <c r="AD31" s="98" t="s">
        <v>764</v>
      </c>
      <c r="AE31" s="108" t="s">
        <v>765</v>
      </c>
      <c r="AF31" s="52" t="s">
        <v>766</v>
      </c>
      <c r="AG31" s="107">
        <v>23.0</v>
      </c>
      <c r="AH31" s="92"/>
      <c r="AI31" s="109" t="s">
        <v>767</v>
      </c>
      <c r="AJ31" s="101" t="s">
        <v>768</v>
      </c>
      <c r="AK31" s="87"/>
      <c r="AL31" s="87"/>
      <c r="AM31" s="87"/>
      <c r="AN31" s="87"/>
      <c r="AO31" s="87"/>
    </row>
    <row r="32">
      <c r="A32" s="110">
        <v>24.0</v>
      </c>
      <c r="B32" s="111" t="s">
        <v>769</v>
      </c>
      <c r="C32" s="111" t="s">
        <v>770</v>
      </c>
      <c r="D32" s="111" t="s">
        <v>771</v>
      </c>
      <c r="E32" s="110">
        <v>24.0</v>
      </c>
      <c r="F32" s="111" t="s">
        <v>772</v>
      </c>
      <c r="G32" s="111" t="s">
        <v>773</v>
      </c>
      <c r="H32" s="111" t="s">
        <v>774</v>
      </c>
      <c r="I32" s="110">
        <v>24.0</v>
      </c>
      <c r="J32" s="111" t="s">
        <v>775</v>
      </c>
      <c r="K32" s="111" t="s">
        <v>776</v>
      </c>
      <c r="L32" s="111" t="s">
        <v>777</v>
      </c>
      <c r="M32" s="110">
        <v>24.0</v>
      </c>
      <c r="N32" s="111" t="str">
        <f>IFERROR(__xludf.DUMMYFUNCTION("GOOGLETRANSLATE(B32,""zh-tw"",""zh"")"),"和妹妹撒娇")</f>
        <v>和妹妹撒娇</v>
      </c>
      <c r="O32" s="112" t="str">
        <f>IFERROR(__xludf.DUMMYFUNCTION("GOOGLETRANSLATE(C32,""zh-tw"",""zh"")"),"拥有""什么都行券""，平时要和""妹妹做点什么""时，会新增一个选项")</f>
        <v>拥有"什么都行券"，平时要和"妹妹做点什么"时，会新增一个选项</v>
      </c>
      <c r="P32" s="112" t="str">
        <f>IFERROR(__xludf.DUMMYFUNCTION("GOOGLETRANSLATE(D32,""zh-tw"",""zh"")"),"新增选项：向妹妹撒娇吧！
*目前尚无后续")</f>
        <v>新增选项：向妹妹撒娇吧！
*目前尚无后续</v>
      </c>
      <c r="Q32" s="110">
        <v>24.0</v>
      </c>
      <c r="R32" s="112" t="str">
        <f>IFERROR(__xludf.DUMMYFUNCTION("GOOGLETRANSLATE(B32,""zh-tw"",""es-MX"")"),"Haciéndome la tierna con mi hermana menor")</f>
        <v>Haciéndome la tierna con mi hermana menor</v>
      </c>
      <c r="S32" s="112" t="str">
        <f>IFERROR(__xludf.DUMMYFUNCTION("GOOGLETRANSLATE(C32,""zh-tw"",""es-MX"")"),"Tener el cupón ""Todo Vale"" añade una nueva opción cuando quieres ""hacer algo con tu hermana"".")</f>
        <v>Tener el cupón "Todo Vale" añade una nueva opción cuando quieres "hacer algo con tu hermana".</v>
      </c>
      <c r="T32" s="112" t="str">
        <f>IFERROR(__xludf.DUMMYFUNCTION("GOOGLETRANSLATE(D32,""zh-tw"",""es-MX"")"),"Nueva opción: ¡Demuestra cariño a tu hermana!
*Aún no hay más actualizaciones.")</f>
        <v>Nueva opción: ¡Demuestra cariño a tu hermana!
*Aún no hay más actualizaciones.</v>
      </c>
      <c r="U32" s="110">
        <v>24.0</v>
      </c>
      <c r="V32" s="112" t="str">
        <f>IFERROR(__xludf.DUMMYFUNCTION("GOOGLETRANSLATE(B32,""zh-tw"",""KO"")"),"여동생에게 귀엽게 행동하다")</f>
        <v>여동생에게 귀엽게 행동하다</v>
      </c>
      <c r="W32" s="112" t="str">
        <f>IFERROR(__xludf.DUMMYFUNCTION("GOOGLETRANSLATE(C32,""zh-tw"",""KO"")"),"""무엇이든 가능"" 쿠폰이 있으면 ""여동생과 함께 무언가를 하고 싶을 때"" 새로운 옵션이 추가됩니다.")</f>
        <v>"무엇이든 가능" 쿠폰이 있으면 "여동생과 함께 무언가를 하고 싶을 때" 새로운 옵션이 추가됩니다.</v>
      </c>
      <c r="X32" s="112" t="str">
        <f>IFERROR(__xludf.DUMMYFUNCTION("GOOGLETRANSLATE(D32,""zh-tw"",""KO"")"),"새로운 옵션: 여동생에게 애정을 표현하세요!
*아직 업데이트가 없습니다.")</f>
        <v>새로운 옵션: 여동생에게 애정을 표현하세요!
*아직 업데이트가 없습니다.</v>
      </c>
      <c r="Y32" s="110">
        <v>24.0</v>
      </c>
      <c r="Z32" s="113" t="str">
        <f>IFERROR(__xludf.DUMMYFUNCTION("IF(J32="""", """", GOOGLETRANSLATE(
J32,""en"",""ru""))"),"Побалуйте меня!")</f>
        <v>Побалуйте меня!</v>
      </c>
      <c r="AA32" s="113" t="str">
        <f>IFERROR(__xludf.DUMMYFUNCTION("IF(K32="""", """", GOOGLETRANSLATE(K32,""en"",""RU""))"),"Если у вас есть «Билет бесплатного прохода», вы можете использовать его при выборе пункта «Сделать что-нибудь» во время разговора с Имото в ее комнате.")</f>
        <v>Если у вас есть «Билет бесплатного прохода», вы можете использовать его при выборе пункта «Сделать что-нибудь» во время разговора с Имото в ее комнате.</v>
      </c>
      <c r="AB32" s="113" t="str">
        <f>IFERROR(__xludf.DUMMYFUNCTION("IF(L32="""", """", GOOGLETRANSLATE(L32, ""en"", ""ru""))
"),"Новая опция: Побалуйте меня!
Пока нет продолжения")</f>
        <v>Новая опция: Побалуйте меня!
Пока нет продолжения</v>
      </c>
      <c r="AC32" s="110">
        <v>24.0</v>
      </c>
      <c r="AD32" s="111" t="s">
        <v>778</v>
      </c>
      <c r="AE32" s="111" t="s">
        <v>779</v>
      </c>
      <c r="AF32" s="111" t="s">
        <v>780</v>
      </c>
      <c r="AG32" s="110">
        <v>24.0</v>
      </c>
      <c r="AH32" s="111" t="s">
        <v>781</v>
      </c>
      <c r="AI32" s="112" t="s">
        <v>782</v>
      </c>
      <c r="AJ32" s="111" t="s">
        <v>783</v>
      </c>
      <c r="AK32" s="111"/>
      <c r="AL32" s="111"/>
      <c r="AM32" s="111"/>
      <c r="AN32" s="111"/>
      <c r="AO32" s="111"/>
    </row>
    <row r="33">
      <c r="A33" s="77"/>
      <c r="B33" s="78"/>
      <c r="C33" s="78"/>
      <c r="D33" s="78"/>
      <c r="E33" s="77"/>
      <c r="F33" s="78"/>
      <c r="G33" s="78"/>
      <c r="H33" s="78"/>
      <c r="I33" s="77"/>
      <c r="J33" s="78"/>
      <c r="K33" s="78"/>
      <c r="L33" s="78"/>
      <c r="M33" s="77"/>
      <c r="N33" s="78"/>
      <c r="O33" s="46"/>
      <c r="P33" s="46"/>
      <c r="Q33" s="77"/>
      <c r="R33" s="46"/>
      <c r="S33" s="78"/>
      <c r="T33" s="46"/>
      <c r="U33" s="77"/>
      <c r="V33" s="46"/>
      <c r="W33" s="46"/>
      <c r="X33" s="46"/>
      <c r="Y33" s="77"/>
      <c r="Z33" s="78"/>
      <c r="AA33" s="78"/>
      <c r="AB33" s="78"/>
      <c r="AC33" s="77"/>
      <c r="AD33" s="78"/>
      <c r="AE33" s="78"/>
      <c r="AF33" s="78"/>
      <c r="AG33" s="77"/>
      <c r="AH33" s="79"/>
      <c r="AI33" s="79"/>
      <c r="AJ33" s="79"/>
      <c r="AK33" s="78"/>
      <c r="AL33" s="78"/>
      <c r="AM33" s="78"/>
      <c r="AN33" s="78"/>
      <c r="AO33" s="78"/>
    </row>
    <row r="34">
      <c r="A34" s="80" t="s">
        <v>784</v>
      </c>
      <c r="B34" s="81" t="s">
        <v>785</v>
      </c>
      <c r="E34" s="80" t="s">
        <v>784</v>
      </c>
      <c r="F34" s="80" t="s">
        <v>786</v>
      </c>
      <c r="I34" s="80" t="s">
        <v>784</v>
      </c>
      <c r="J34" s="80" t="s">
        <v>787</v>
      </c>
      <c r="M34" s="80" t="s">
        <v>784</v>
      </c>
      <c r="N34" s="81" t="str">
        <f>IFERROR(__xludf.DUMMYFUNCTION("GOOGLETRANSLATE(B34,""zh-tw"",""zh"")"),"厕所相关")</f>
        <v>厕所相关</v>
      </c>
      <c r="Q34" s="80" t="s">
        <v>784</v>
      </c>
      <c r="R34" s="80" t="s">
        <v>788</v>
      </c>
      <c r="U34" s="80" t="s">
        <v>784</v>
      </c>
      <c r="V34" s="80" t="s">
        <v>789</v>
      </c>
      <c r="Y34" s="80" t="s">
        <v>784</v>
      </c>
      <c r="Z34" s="80" t="s">
        <v>790</v>
      </c>
      <c r="AC34" s="80" t="s">
        <v>784</v>
      </c>
      <c r="AD34" s="80" t="s">
        <v>791</v>
      </c>
      <c r="AG34" s="80" t="s">
        <v>784</v>
      </c>
      <c r="AH34" s="83" t="s">
        <v>792</v>
      </c>
      <c r="AK34" s="81"/>
      <c r="AL34" s="81"/>
      <c r="AM34" s="81"/>
      <c r="AN34" s="81"/>
      <c r="AO34" s="81"/>
    </row>
    <row r="35">
      <c r="A35" s="84">
        <v>1.0</v>
      </c>
      <c r="B35" s="85" t="s">
        <v>793</v>
      </c>
      <c r="C35" s="86" t="s">
        <v>794</v>
      </c>
      <c r="D35" s="87" t="s">
        <v>795</v>
      </c>
      <c r="E35" s="84">
        <v>1.0</v>
      </c>
      <c r="F35" s="85" t="s">
        <v>796</v>
      </c>
      <c r="G35" s="86" t="s">
        <v>797</v>
      </c>
      <c r="H35" s="87" t="s">
        <v>798</v>
      </c>
      <c r="I35" s="84">
        <v>1.0</v>
      </c>
      <c r="J35" s="85" t="s">
        <v>799</v>
      </c>
      <c r="K35" s="86" t="s">
        <v>800</v>
      </c>
      <c r="L35" s="87" t="s">
        <v>801</v>
      </c>
      <c r="M35" s="84">
        <v>1.0</v>
      </c>
      <c r="N35" s="85" t="str">
        <f>IFERROR(__xludf.DUMMYFUNCTION("GOOGLETRANSLATE(B35,""zh-tw"",""zh"")"),"哥要加油")</f>
        <v>哥要加油</v>
      </c>
      <c r="O35" s="89" t="str">
        <f>IFERROR(__xludf.DUMMYFUNCTION("GOOGLETRANSLATE(C35,""zh-tw"",""zh"")"),"于厕所待的时间过长，并持续N天")</f>
        <v>于厕所待的时间过长，并持续N天</v>
      </c>
      <c r="P35" s="55" t="s">
        <v>802</v>
      </c>
      <c r="Q35" s="84">
        <v>1.0</v>
      </c>
      <c r="R35" s="85" t="s">
        <v>803</v>
      </c>
      <c r="S35" s="95" t="s">
        <v>804</v>
      </c>
      <c r="T35" s="55" t="str">
        <f>IFERROR(__xludf.DUMMYFUNCTION("GOOGLETRANSLATE(D35,""zh-tw"",""es-MX"")"),"Hacia el cuarto día, la hermana menor malinterpretará la situación y pensará que su hermano está enfermo. (No hay más detalles disponibles sobre la mecánica del juego).")</f>
        <v>Hacia el cuarto día, la hermana menor malinterpretará la situación y pensará que su hermano está enfermo. (No hay más detalles disponibles sobre la mecánica del juego).</v>
      </c>
      <c r="U35" s="84">
        <v>1.0</v>
      </c>
      <c r="V35" s="88" t="s">
        <v>805</v>
      </c>
      <c r="W35" s="89" t="s">
        <v>806</v>
      </c>
      <c r="X35" s="55" t="s">
        <v>807</v>
      </c>
      <c r="Y35" s="84">
        <v>1.0</v>
      </c>
      <c r="Z35" s="99" t="s">
        <v>808</v>
      </c>
      <c r="AA35" s="102" t="s">
        <v>809</v>
      </c>
      <c r="AB35" s="43" t="s">
        <v>810</v>
      </c>
      <c r="AC35" s="84">
        <v>1.0</v>
      </c>
      <c r="AD35" s="85" t="s">
        <v>811</v>
      </c>
      <c r="AE35" s="86" t="s">
        <v>812</v>
      </c>
      <c r="AF35" s="87" t="s">
        <v>813</v>
      </c>
      <c r="AG35" s="84">
        <v>1.0</v>
      </c>
      <c r="AH35" s="92" t="s">
        <v>814</v>
      </c>
      <c r="AI35" s="93" t="s">
        <v>815</v>
      </c>
      <c r="AJ35" s="94" t="s">
        <v>816</v>
      </c>
      <c r="AK35" s="87"/>
      <c r="AL35" s="87"/>
      <c r="AM35" s="87"/>
      <c r="AN35" s="87"/>
      <c r="AO35" s="87"/>
    </row>
    <row r="36">
      <c r="A36" s="107">
        <v>2.0</v>
      </c>
      <c r="B36" s="85" t="s">
        <v>817</v>
      </c>
      <c r="C36" s="86" t="s">
        <v>818</v>
      </c>
      <c r="D36" s="87" t="s">
        <v>819</v>
      </c>
      <c r="E36" s="107">
        <v>2.0</v>
      </c>
      <c r="F36" s="85" t="s">
        <v>820</v>
      </c>
      <c r="G36" s="86" t="s">
        <v>821</v>
      </c>
      <c r="H36" s="87" t="s">
        <v>822</v>
      </c>
      <c r="I36" s="107">
        <v>2.0</v>
      </c>
      <c r="J36" s="85" t="s">
        <v>823</v>
      </c>
      <c r="K36" s="86" t="s">
        <v>824</v>
      </c>
      <c r="L36" s="87" t="s">
        <v>825</v>
      </c>
      <c r="M36" s="107">
        <v>2.0</v>
      </c>
      <c r="N36" s="85" t="str">
        <f>IFERROR(__xludf.DUMMYFUNCTION("GOOGLETRANSLATE(B36,""zh-tw"",""zh"")"),"发情的妹妹-1")</f>
        <v>发情的妹妹-1</v>
      </c>
      <c r="O36" s="89" t="str">
        <f>IFERROR(__xludf.DUMMYFUNCTION("GOOGLETRANSLATE(C36,""zh-tw"",""zh"")"),"「喝点什么」给妹妹喂「粉色金平糖」后，第一次必定触发，然后请点选空白处回到召唤妹妹的画面，会触发剧情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6" s="55" t="str">
        <f>IFERROR(__xludf.DUMMYFUNCTION("GOOGLETRANSLATE(D36,""zh-tw"",""zh"")"),"触发妹妹在厕所解决需求的剧情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6" s="107">
        <v>2.0</v>
      </c>
      <c r="R36" s="85" t="s">
        <v>826</v>
      </c>
      <c r="S36" s="89" t="s">
        <v>827</v>
      </c>
      <c r="T36" s="55" t="s">
        <v>828</v>
      </c>
      <c r="U36" s="107">
        <v>2.0</v>
      </c>
      <c r="V36" s="98" t="s">
        <v>829</v>
      </c>
      <c r="W36" s="95" t="s">
        <v>830</v>
      </c>
      <c r="X36" s="52" t="s">
        <v>831</v>
      </c>
      <c r="Y36" s="107">
        <v>2.0</v>
      </c>
      <c r="Z36" s="99" t="s">
        <v>832</v>
      </c>
      <c r="AA36" s="91" t="s">
        <v>833</v>
      </c>
      <c r="AB36" s="43" t="s">
        <v>834</v>
      </c>
      <c r="AC36" s="107">
        <v>2.0</v>
      </c>
      <c r="AD36" s="98" t="s">
        <v>835</v>
      </c>
      <c r="AE36" s="86" t="s">
        <v>836</v>
      </c>
      <c r="AF36" s="87" t="s">
        <v>837</v>
      </c>
      <c r="AG36" s="107">
        <v>2.0</v>
      </c>
      <c r="AH36" s="92" t="s">
        <v>838</v>
      </c>
      <c r="AI36" s="93" t="s">
        <v>839</v>
      </c>
      <c r="AJ36" s="94" t="s">
        <v>840</v>
      </c>
      <c r="AK36" s="87"/>
      <c r="AL36" s="87"/>
      <c r="AM36" s="87"/>
      <c r="AN36" s="87"/>
      <c r="AO36" s="87"/>
    </row>
    <row r="37">
      <c r="A37" s="84">
        <v>3.0</v>
      </c>
      <c r="B37" s="85" t="s">
        <v>841</v>
      </c>
      <c r="C37" s="86" t="s">
        <v>842</v>
      </c>
      <c r="D37" s="87" t="s">
        <v>843</v>
      </c>
      <c r="E37" s="84">
        <v>3.0</v>
      </c>
      <c r="F37" s="85" t="s">
        <v>844</v>
      </c>
      <c r="G37" s="86" t="s">
        <v>845</v>
      </c>
      <c r="H37" s="87" t="s">
        <v>846</v>
      </c>
      <c r="I37" s="84">
        <v>3.0</v>
      </c>
      <c r="J37" s="85" t="s">
        <v>847</v>
      </c>
      <c r="K37" s="86" t="s">
        <v>848</v>
      </c>
      <c r="L37" s="87" t="s">
        <v>849</v>
      </c>
      <c r="M37" s="84">
        <v>3.0</v>
      </c>
      <c r="N37" s="85" t="str">
        <f>IFERROR(__xludf.DUMMYFUNCTION("GOOGLETRANSLATE(B37,""zh-tw"",""zh"")"),"发情的妹妹-2")</f>
        <v>发情的妹妹-2</v>
      </c>
      <c r="O37" s="89" t="str">
        <f>IFERROR(__xludf.DUMMYFUNCTION("GOOGLETRANSLATE(C37,""zh-tw"",""zh"")"),"承上，当紫心达到一定程度后，哥哥能进入并且让妹妹服务。")</f>
        <v>承上，当紫心达到一定程度后，哥哥能进入并且让妹妹服务。</v>
      </c>
      <c r="P37" s="55" t="str">
        <f>IFERROR(__xludf.DUMMYFUNCTION("GOOGLETRANSLATE(D37,""zh-tw"",""zh"")"),"使用手部进行特殊剧情")</f>
        <v>使用手部进行特殊剧情</v>
      </c>
      <c r="Q37" s="84">
        <v>3.0</v>
      </c>
      <c r="R37" s="88" t="s">
        <v>850</v>
      </c>
      <c r="S37" s="86" t="s">
        <v>851</v>
      </c>
      <c r="T37" s="55" t="s">
        <v>852</v>
      </c>
      <c r="U37" s="84">
        <v>3.0</v>
      </c>
      <c r="V37" s="98" t="s">
        <v>853</v>
      </c>
      <c r="W37" s="95" t="s">
        <v>854</v>
      </c>
      <c r="X37" s="52" t="s">
        <v>855</v>
      </c>
      <c r="Y37" s="84">
        <v>3.0</v>
      </c>
      <c r="Z37" s="99" t="s">
        <v>856</v>
      </c>
      <c r="AA37" s="102" t="str">
        <f>IFERROR(__xludf.DUMMYFUNCTION("IF(K37="""", """", GOOGLETRANSLATE(K37,""en"",""RU""))"),"То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7" s="97" t="str">
        <f>IFERROR(__xludf.DUMMYFUNCTION("IF(L37="""", """", GOOGLETRANSLATE(L37, ""en"", ""ru""))
"),"Руки будут использоваться для запуска специальных сцен.")</f>
        <v>Руки будут использоваться для запуска специальных сцен.</v>
      </c>
      <c r="AC37" s="84">
        <v>3.0</v>
      </c>
      <c r="AD37" s="98" t="s">
        <v>857</v>
      </c>
      <c r="AE37" s="86" t="s">
        <v>858</v>
      </c>
      <c r="AF37" s="87" t="s">
        <v>859</v>
      </c>
      <c r="AG37" s="84">
        <v>3.0</v>
      </c>
      <c r="AH37" s="92" t="s">
        <v>860</v>
      </c>
      <c r="AI37" s="93" t="s">
        <v>861</v>
      </c>
      <c r="AJ37" s="94" t="s">
        <v>862</v>
      </c>
      <c r="AK37" s="87"/>
      <c r="AL37" s="87"/>
      <c r="AM37" s="87"/>
      <c r="AN37" s="87"/>
      <c r="AO37" s="87"/>
    </row>
    <row r="38">
      <c r="A38" s="107">
        <v>4.0</v>
      </c>
      <c r="B38" s="85" t="s">
        <v>863</v>
      </c>
      <c r="C38" s="86" t="s">
        <v>864</v>
      </c>
      <c r="D38" s="52" t="s">
        <v>865</v>
      </c>
      <c r="E38" s="107">
        <v>4.0</v>
      </c>
      <c r="F38" s="85" t="s">
        <v>866</v>
      </c>
      <c r="G38" s="86" t="s">
        <v>867</v>
      </c>
      <c r="H38" s="87" t="s">
        <v>868</v>
      </c>
      <c r="I38" s="107">
        <v>4.0</v>
      </c>
      <c r="J38" s="85" t="s">
        <v>869</v>
      </c>
      <c r="K38" s="86" t="s">
        <v>870</v>
      </c>
      <c r="L38" s="52" t="s">
        <v>871</v>
      </c>
      <c r="M38" s="107">
        <v>4.0</v>
      </c>
      <c r="N38" s="85" t="str">
        <f>IFERROR(__xludf.DUMMYFUNCTION("GOOGLETRANSLATE(B38,""zh-tw"",""zh"")"),"发情的妹妹-3")</f>
        <v>发情的妹妹-3</v>
      </c>
      <c r="O38" s="89" t="str">
        <f>IFERROR(__xludf.DUMMYFUNCTION("GOOGLETRANSLATE(C38,""zh-tw"",""zh"")"),"承第1点，若此时遇到蟑螂的突击，触发一种分歧")</f>
        <v>承第1点，若此时遇到蟑螂的突击，触发一种分歧</v>
      </c>
      <c r="P38" s="55" t="str">
        <f>IFERROR(__xludf.DUMMYFUNCTION("GOOGLETRANSLATE(D38,""zh-tw"",""zh"")"),"触发打蟑螂剧情
备注：无须发现Z的前置操作
(未实装)")</f>
        <v>触发打蟑螂剧情
备注：无须发现Z的前置操作
(未实装)</v>
      </c>
      <c r="Q38" s="107">
        <v>4.0</v>
      </c>
      <c r="R38" s="88" t="s">
        <v>872</v>
      </c>
      <c r="S38" s="86" t="s">
        <v>873</v>
      </c>
      <c r="T38" s="55" t="s">
        <v>874</v>
      </c>
      <c r="U38" s="107">
        <v>4.0</v>
      </c>
      <c r="V38" s="98" t="s">
        <v>875</v>
      </c>
      <c r="W38" s="95" t="s">
        <v>876</v>
      </c>
      <c r="X38" s="52" t="s">
        <v>877</v>
      </c>
      <c r="Y38" s="107">
        <v>4.0</v>
      </c>
      <c r="Z38" s="99" t="s">
        <v>878</v>
      </c>
      <c r="AA38" s="102" t="str">
        <f>IFERROR(__xludf.DUMMYFUNCTION("IF(K38="""", """", GOOGLETRANSLATE(K38,""en"",""RU""))"),"Основываясь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8" s="97" t="str">
        <f>IFERROR(__xludf.DUMMYFUNCTION("IF(L38="""", """", GOOGLETRANSLATE(L38,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8" s="107">
        <v>4.0</v>
      </c>
      <c r="AD38" s="98" t="s">
        <v>879</v>
      </c>
      <c r="AE38" s="86" t="s">
        <v>880</v>
      </c>
      <c r="AF38" s="87" t="s">
        <v>881</v>
      </c>
      <c r="AG38" s="107">
        <v>4.0</v>
      </c>
      <c r="AH38" s="92" t="s">
        <v>882</v>
      </c>
      <c r="AI38" s="93" t="s">
        <v>883</v>
      </c>
      <c r="AJ38" s="94" t="s">
        <v>884</v>
      </c>
      <c r="AK38" s="52"/>
      <c r="AL38" s="52"/>
      <c r="AM38" s="52"/>
      <c r="AN38" s="52"/>
      <c r="AO38" s="52"/>
    </row>
    <row r="39">
      <c r="A39" s="84">
        <v>5.0</v>
      </c>
      <c r="B39" s="85" t="s">
        <v>885</v>
      </c>
      <c r="C39" s="86" t="s">
        <v>886</v>
      </c>
      <c r="D39" s="87" t="s">
        <v>887</v>
      </c>
      <c r="E39" s="84">
        <v>5.0</v>
      </c>
      <c r="F39" s="85" t="s">
        <v>888</v>
      </c>
      <c r="G39" s="86" t="s">
        <v>889</v>
      </c>
      <c r="H39" s="87" t="s">
        <v>890</v>
      </c>
      <c r="I39" s="84">
        <v>5.0</v>
      </c>
      <c r="J39" s="85" t="s">
        <v>891</v>
      </c>
      <c r="K39" s="86" t="s">
        <v>892</v>
      </c>
      <c r="L39" s="87" t="s">
        <v>893</v>
      </c>
      <c r="M39" s="84">
        <v>5.0</v>
      </c>
      <c r="N39" s="85" t="str">
        <f>IFERROR(__xludf.DUMMYFUNCTION("GOOGLETRANSLATE(B39,""zh-tw"",""zh"")"),"憋不住了-1")</f>
        <v>憋不住了-1</v>
      </c>
      <c r="O39" s="89" t="str">
        <f>IFERROR(__xludf.DUMMYFUNCTION("GOOGLETRANSLATE(C39,""zh-tw"",""zh"")"),"部分食材，(例如：垃圾、紫丁香蘑菇、月夜茸)，做成料理后，都有相当的概率让哥哥进入食物中毒状态")</f>
        <v>部分食材，(例如：垃圾、紫丁香蘑菇、月夜茸)，做成料理后，都有相当的概率让哥哥进入食物中毒状态</v>
      </c>
      <c r="P39" s="55" t="str">
        <f>IFERROR(__xludf.DUMMYFUNCTION("GOOGLETRANSLATE(D39,""zh-tw"",""zh"")"),"一段时间后强制触发腹泻事件，大量损失体力并减少夜晚的自由活动时间。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9" s="84">
        <v>5.0</v>
      </c>
      <c r="R39" s="85" t="s">
        <v>894</v>
      </c>
      <c r="S39" s="89" t="str">
        <f>IFERROR(__xludf.DUMMYFUNCTION("GOOGLETRANSLATE(C39,""zh-tw"",""es-MX"")"),"Algunos ingredientes (como la basura, las setas lila y las setas de luna) tienen una probabilidad significativa de causar intoxicación alimentaria a mi hermano cuando se cocinan.")</f>
        <v>Algunos ingredientes (como la basura, las setas lila y las setas de luna) tienen una probabilidad significativa de causar intoxicación alimentaria a mi hermano cuando se cocinan.</v>
      </c>
      <c r="T39" s="55" t="str">
        <f>IFERROR(__xludf.DUMMYFUNCTION("GOOGLETRANSLATE(D39,""zh-tw"",""es-MX"")"),"Tras un tiempo, se desencadenará un episodio de diarrea, lo que provocará una pérdida de energía significativa y una reducción del tiempo libre por la noche.
También existe la posibilidad de que la hermana menor sufra retención urinaria.")</f>
        <v>Tras un tiempo, se desencadenará un episodio de diarrea, lo que provocará una pérdida de energía significativa y una reducción del tiempo libre por la noche.
También existe la posibilidad de que la hermana menor sufra retención urinaria.</v>
      </c>
      <c r="U39" s="84">
        <v>5.0</v>
      </c>
      <c r="V39" s="88" t="str">
        <f>IFERROR(__xludf.DUMMYFUNCTION("GOOGLETRANSLATE(B39,""zh-tw"",""KO"")"),"더 이상 참을 수 없어 -1")</f>
        <v>더 이상 참을 수 없어 -1</v>
      </c>
      <c r="W39" s="95" t="s">
        <v>895</v>
      </c>
      <c r="X39" s="52" t="s">
        <v>896</v>
      </c>
      <c r="Y39" s="84">
        <v>5.0</v>
      </c>
      <c r="Z39" s="90" t="str">
        <f>IFERROR(__xludf.DUMMYFUNCTION("IF(J39="""", """", GOOGLETRANSLATE(
J39,""en"",""ru""))"),"Я больше не могу... - 1")</f>
        <v>Я больше не могу... - 1</v>
      </c>
      <c r="AA39" s="102" t="str">
        <f>IFERROR(__xludf.DUMMYFUNCTION("IF(K39="""", """", GOOGLETRANSLATE(K39,""en"",""RU""))"),"Некоторые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9" s="97" t="str">
        <f>IFERROR(__xludf.DUMMYFUNCTION("IF(L39="""", """", GOOGLETRANSLATE(L39,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9" s="84">
        <v>5.0</v>
      </c>
      <c r="AD39" s="85" t="s">
        <v>897</v>
      </c>
      <c r="AE39" s="86" t="s">
        <v>898</v>
      </c>
      <c r="AF39" s="87" t="s">
        <v>899</v>
      </c>
      <c r="AG39" s="84">
        <v>5.0</v>
      </c>
      <c r="AH39" s="92" t="s">
        <v>900</v>
      </c>
      <c r="AI39" s="93" t="s">
        <v>901</v>
      </c>
      <c r="AJ39" s="94" t="s">
        <v>902</v>
      </c>
      <c r="AK39" s="87"/>
      <c r="AL39" s="87"/>
      <c r="AM39" s="87"/>
      <c r="AN39" s="87"/>
      <c r="AO39" s="87"/>
    </row>
    <row r="40">
      <c r="A40" s="107">
        <v>6.0</v>
      </c>
      <c r="B40" s="85" t="s">
        <v>903</v>
      </c>
      <c r="C40" s="86" t="s">
        <v>904</v>
      </c>
      <c r="D40" s="87" t="s">
        <v>905</v>
      </c>
      <c r="E40" s="107">
        <v>6.0</v>
      </c>
      <c r="F40" s="85" t="s">
        <v>906</v>
      </c>
      <c r="G40" s="86" t="s">
        <v>907</v>
      </c>
      <c r="H40" s="87" t="s">
        <v>908</v>
      </c>
      <c r="I40" s="107">
        <v>6.0</v>
      </c>
      <c r="J40" s="85" t="s">
        <v>909</v>
      </c>
      <c r="K40" s="86" t="s">
        <v>910</v>
      </c>
      <c r="L40" s="87" t="s">
        <v>911</v>
      </c>
      <c r="M40" s="107">
        <v>6.0</v>
      </c>
      <c r="N40" s="85" t="str">
        <f>IFERROR(__xludf.DUMMYFUNCTION("GOOGLETRANSLATE(B40,""zh-tw"",""zh"")"),"憋不住了-2")</f>
        <v>憋不住了-2</v>
      </c>
      <c r="O40" s="89" t="str">
        <f>IFERROR(__xludf.DUMMYFUNCTION("GOOGLETRANSLATE(C40,""zh-tw"",""zh"")"),"如果食材还混入了辣椒，会进一步强化腹泻的副作用")</f>
        <v>如果食材还混入了辣椒，会进一步强化腹泻的副作用</v>
      </c>
      <c r="P40" s="55" t="str">
        <f>IFERROR(__xludf.DUMMYFUNCTION("GOOGLETRANSLATE(D40,""zh-tw"",""zh"")"),"隔天冒险时，哥哥会因为屁股痛无法奔跑。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40" s="107">
        <v>6.0</v>
      </c>
      <c r="R40" s="85" t="s">
        <v>912</v>
      </c>
      <c r="S40" s="89" t="str">
        <f>IFERROR(__xludf.DUMMYFUNCTION("GOOGLETRANSLATE(C40,""zh-tw"",""es-MX"")"),"Si se añaden chiles a la comida, los efectos secundarios de la diarrea se verán aún más potenciados.")</f>
        <v>Si se añaden chiles a la comida, los efectos secundarios de la diarrea se verán aún más potenciados.</v>
      </c>
      <c r="T40" s="55" t="str">
        <f>IFERROR(__xludf.DUMMYFUNCTION("GOOGLETRANSLATE(D40,""zh-tw"",""es-MX"")"),"Al día siguiente, durante la aventura, el hermano mayor no podrá correr debido a un fuerte dolor en el trasero.
※Este es un estado anormal que se puede solucionar con cartas del tarot y leche de zanahoria.
※En la versión actual, este estado persistirá; "&amp;"más adelante se cambiará para que desaparezca con el tiempo.")</f>
        <v>Al día siguiente, durante la aventura, el hermano mayor no podrá correr debido a un fuerte dolor en el trasero.
※Este es un estado anormal que se puede solucionar con cartas del tarot y leche de zanahoria.
※En la versión actual, este estado persistirá; más adelante se cambiará para que desaparezca con el tiempo.</v>
      </c>
      <c r="U40" s="107">
        <v>6.0</v>
      </c>
      <c r="V40" s="88" t="str">
        <f>IFERROR(__xludf.DUMMYFUNCTION("GOOGLETRANSLATE(B40,""zh-tw"",""KO"")"),"더 이상 참을 수 없어 -2")</f>
        <v>더 이상 참을 수 없어 -2</v>
      </c>
      <c r="W40" s="95" t="s">
        <v>913</v>
      </c>
      <c r="X40" s="52" t="s">
        <v>914</v>
      </c>
      <c r="Y40" s="107">
        <v>6.0</v>
      </c>
      <c r="Z40" s="90" t="str">
        <f>IFERROR(__xludf.DUMMYFUNCTION("IF(J40="""", """", GOOGLETRANSLATE(
J40,""en"",""ru""))"),"Я больше не могу... - 2")</f>
        <v>Я больше не могу... - 2</v>
      </c>
      <c r="AA40" s="102" t="str">
        <f>IFERROR(__xludf.DUMMYFUNCTION("IF(K40="""", """", GOOGLETRANSLATE(K40,""en"",""RU""))"),"Помимо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40" s="97" t="str">
        <f>IFERROR(__xludf.DUMMYFUNCTION("IF(L40="""", """", GOOGLETRANSLATE(L40,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40" s="107">
        <v>6.0</v>
      </c>
      <c r="AD40" s="85" t="s">
        <v>915</v>
      </c>
      <c r="AE40" s="86" t="s">
        <v>916</v>
      </c>
      <c r="AF40" s="87" t="s">
        <v>917</v>
      </c>
      <c r="AG40" s="107">
        <v>6.0</v>
      </c>
      <c r="AH40" s="92" t="s">
        <v>918</v>
      </c>
      <c r="AI40" s="93" t="s">
        <v>919</v>
      </c>
      <c r="AJ40" s="94" t="s">
        <v>920</v>
      </c>
      <c r="AK40" s="87"/>
      <c r="AL40" s="87"/>
      <c r="AM40" s="87"/>
      <c r="AN40" s="87"/>
      <c r="AO40" s="87"/>
    </row>
    <row r="41">
      <c r="A41" s="84">
        <v>7.0</v>
      </c>
      <c r="B41" s="85" t="s">
        <v>921</v>
      </c>
      <c r="C41" s="86" t="s">
        <v>922</v>
      </c>
      <c r="D41" s="87" t="s">
        <v>591</v>
      </c>
      <c r="E41" s="84">
        <v>7.0</v>
      </c>
      <c r="F41" s="85" t="s">
        <v>923</v>
      </c>
      <c r="G41" s="86" t="s">
        <v>924</v>
      </c>
      <c r="H41" s="87" t="s">
        <v>594</v>
      </c>
      <c r="I41" s="84">
        <v>7.0</v>
      </c>
      <c r="J41" s="85" t="s">
        <v>925</v>
      </c>
      <c r="K41" s="86" t="s">
        <v>926</v>
      </c>
      <c r="L41" s="87" t="s">
        <v>927</v>
      </c>
      <c r="M41" s="84">
        <v>7.0</v>
      </c>
      <c r="N41" s="85" t="str">
        <f>IFERROR(__xludf.DUMMYFUNCTION("GOOGLETRANSLATE(B41,""zh-tw"",""zh"")"),"气息消除-4")</f>
        <v>气息消除-4</v>
      </c>
      <c r="O41" s="89" t="str">
        <f>IFERROR(__xludf.DUMMYFUNCTION("GOOGLETRANSLATE(C41,""zh-tw"",""zh"")"),"厕所门改造")</f>
        <v>厕所门改造</v>
      </c>
      <c r="P41" s="55" t="str">
        <f>IFERROR(__xludf.DUMMYFUNCTION("GOOGLETRANSLATE(D41,""zh-tw"",""zh"")"),"未实装")</f>
        <v>未实装</v>
      </c>
      <c r="Q41" s="84">
        <v>7.0</v>
      </c>
      <c r="R41" s="85" t="str">
        <f>IFERROR(__xludf.DUMMYFUNCTION("GOOGLETRANSLATE(B41,""zh-tw"",""es-MX"")"),"Eliminación de olores -4")</f>
        <v>Eliminación de olores -4</v>
      </c>
      <c r="S41" s="89" t="str">
        <f>IFERROR(__xludf.DUMMYFUNCTION("GOOGLETRANSLATE(C41,""zh-tw"",""es-MX"")"),"Renovación de la puerta del baño")</f>
        <v>Renovación de la puerta del baño</v>
      </c>
      <c r="T41" s="55" t="str">
        <f>IFERROR(__xludf.DUMMYFUNCTION("GOOGLETRANSLATE(D41,""zh-tw"",""es-MX"")"),"No implementado")</f>
        <v>No implementado</v>
      </c>
      <c r="U41" s="84">
        <v>7.0</v>
      </c>
      <c r="V41" s="98" t="s">
        <v>928</v>
      </c>
      <c r="W41" s="95" t="s">
        <v>929</v>
      </c>
      <c r="X41" s="52" t="s">
        <v>603</v>
      </c>
      <c r="Y41" s="84">
        <v>7.0</v>
      </c>
      <c r="Z41" s="90" t="str">
        <f>IFERROR(__xludf.DUMMYFUNCTION("IF(J41="""", """", GOOGLETRANSLATE(J41,""en"",""RU""))"),"Сокрытие дыхания - 4")</f>
        <v>Сокрытие дыхания - 4</v>
      </c>
      <c r="AA41" s="102" t="str">
        <f>IFERROR(__xludf.DUMMYFUNCTION("IF(K41="""", """", GOOGLETRANSLATE(K41,""en"",""RU""))"),"Онии-тян также может превратить дверь туалета в еще одну дверь ниндзя.")</f>
        <v>Онии-тян также может превратить дверь туалета в еще одну дверь ниндзя.</v>
      </c>
      <c r="AB41" s="97" t="str">
        <f>IFERROR(__xludf.DUMMYFUNCTION("IF(L41="""", """", GOOGLETRANSLATE(L41, ""en"", ""ru""))
"),"*Еще не реализовано.")</f>
        <v>*Еще не реализовано.</v>
      </c>
      <c r="AC41" s="84">
        <v>7.0</v>
      </c>
      <c r="AD41" s="85" t="s">
        <v>930</v>
      </c>
      <c r="AE41" s="86" t="s">
        <v>931</v>
      </c>
      <c r="AF41" s="87" t="s">
        <v>932</v>
      </c>
      <c r="AG41" s="84">
        <v>7.0</v>
      </c>
      <c r="AH41" s="92" t="s">
        <v>933</v>
      </c>
      <c r="AI41" s="93" t="s">
        <v>934</v>
      </c>
      <c r="AJ41" s="94" t="s">
        <v>935</v>
      </c>
      <c r="AK41" s="87"/>
      <c r="AL41" s="87"/>
      <c r="AM41" s="87"/>
      <c r="AN41" s="87"/>
      <c r="AO41" s="87"/>
    </row>
    <row r="42">
      <c r="A42" s="107">
        <v>8.0</v>
      </c>
      <c r="B42" s="85" t="s">
        <v>936</v>
      </c>
      <c r="C42" s="86" t="s">
        <v>937</v>
      </c>
      <c r="D42" s="52" t="s">
        <v>938</v>
      </c>
      <c r="E42" s="107">
        <v>8.0</v>
      </c>
      <c r="F42" s="85" t="s">
        <v>939</v>
      </c>
      <c r="G42" s="86" t="s">
        <v>940</v>
      </c>
      <c r="H42" s="52" t="s">
        <v>941</v>
      </c>
      <c r="I42" s="107">
        <v>8.0</v>
      </c>
      <c r="J42" s="85" t="s">
        <v>942</v>
      </c>
      <c r="K42" s="86" t="s">
        <v>943</v>
      </c>
      <c r="L42" s="52" t="s">
        <v>944</v>
      </c>
      <c r="M42" s="107">
        <v>8.0</v>
      </c>
      <c r="N42" s="85" t="str">
        <f>IFERROR(__xludf.DUMMYFUNCTION("GOOGLETRANSLATE(B42,""zh-tw"",""zh"")"),"想上厕所...1")</f>
        <v>想上厕所...1</v>
      </c>
      <c r="O42" s="89" t="str">
        <f>IFERROR(__xludf.DUMMYFUNCTION("GOOGLETRANSLATE(C42,""zh-tw"",""zh"")"),"冒险回家后前往厕所-&gt;翻找-&gt;找到类似蟑螂的生物(Z)。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2" s="55" t="str">
        <f>IFERROR(__xludf.DUMMYFUNCTION("GOOGLETRANSLATE(D42,""zh-tw"",""zh"")"),"妹妹在不同紫心时，触发后会有不同演出
※只能触发一次※")</f>
        <v>妹妹在不同紫心时，触发后会有不同演出
※只能触发一次※</v>
      </c>
      <c r="Q42" s="107">
        <v>8.0</v>
      </c>
      <c r="R42" s="88" t="s">
        <v>945</v>
      </c>
      <c r="S42" s="89" t="s">
        <v>946</v>
      </c>
      <c r="T42" s="55" t="s">
        <v>947</v>
      </c>
      <c r="U42" s="107">
        <v>8.0</v>
      </c>
      <c r="V42" s="98" t="s">
        <v>948</v>
      </c>
      <c r="W42" s="95" t="s">
        <v>949</v>
      </c>
      <c r="X42" s="52" t="s">
        <v>950</v>
      </c>
      <c r="Y42" s="107">
        <v>8.0</v>
      </c>
      <c r="Z42" s="90" t="str">
        <f>IFERROR(__xludf.DUMMYFUNCTION("IF(J42="""", """", GOOGLETRANSLATE(J42,""en"",""RU""))"),"Мне нужно в туалет... - 1")</f>
        <v>Мне нужно в туалет... - 1</v>
      </c>
      <c r="AA42" s="102" t="str">
        <f>IFERROR(__xludf.DUMMYFUNCTION("IF(K42="""", """", GOOGLETRANSLATE(K42,""en"",""RU""))"),"Вернувшись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2" s="97" t="str">
        <f>IFERROR(__xludf.DUMMYFUNCTION("IF(L42="""", """", GOOGLETRANSLATE(L42,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2" s="107">
        <v>8.0</v>
      </c>
      <c r="AD42" s="85" t="s">
        <v>951</v>
      </c>
      <c r="AE42" s="86" t="s">
        <v>952</v>
      </c>
      <c r="AF42" s="52" t="s">
        <v>953</v>
      </c>
      <c r="AG42" s="107">
        <v>8.0</v>
      </c>
      <c r="AH42" s="92" t="s">
        <v>954</v>
      </c>
      <c r="AI42" s="93" t="s">
        <v>955</v>
      </c>
      <c r="AJ42" s="94" t="s">
        <v>956</v>
      </c>
      <c r="AK42" s="52"/>
      <c r="AL42" s="52"/>
      <c r="AM42" s="52"/>
      <c r="AN42" s="52"/>
      <c r="AO42" s="52"/>
    </row>
    <row r="43">
      <c r="A43" s="84">
        <v>9.0</v>
      </c>
      <c r="B43" s="85" t="s">
        <v>957</v>
      </c>
      <c r="C43" s="86" t="s">
        <v>958</v>
      </c>
      <c r="D43" s="52" t="s">
        <v>959</v>
      </c>
      <c r="E43" s="84">
        <v>9.0</v>
      </c>
      <c r="F43" s="85" t="s">
        <v>960</v>
      </c>
      <c r="G43" s="86" t="s">
        <v>961</v>
      </c>
      <c r="H43" s="52" t="s">
        <v>962</v>
      </c>
      <c r="I43" s="84">
        <v>9.0</v>
      </c>
      <c r="J43" s="85" t="s">
        <v>963</v>
      </c>
      <c r="K43" s="86" t="s">
        <v>964</v>
      </c>
      <c r="L43" s="52" t="s">
        <v>965</v>
      </c>
      <c r="M43" s="84">
        <v>9.0</v>
      </c>
      <c r="N43" s="85" t="str">
        <f>IFERROR(__xludf.DUMMYFUNCTION("GOOGLETRANSLATE(B43,""zh-tw"",""zh"")"),"想上厕所...2")</f>
        <v>想上厕所...2</v>
      </c>
      <c r="O43" s="89" t="str">
        <f>IFERROR(__xludf.DUMMYFUNCTION("GOOGLETRANSLATE(C43,""zh-tw"",""zh"")"),"妹妹平常时，有小概率触发上厕所的事件，喝饮料的话会增加概率。")</f>
        <v>妹妹平常时，有小概率触发上厕所的事件，喝饮料的话会增加概率。</v>
      </c>
      <c r="P43" s="55" t="str">
        <f>IFERROR(__xludf.DUMMYFUNCTION("GOOGLETRANSLATE(D43,""zh-tw"",""zh"")"),"触发是否前往厕所偷看的选项
※未实装")</f>
        <v>触发是否前往厕所偷看的选项
※未实装</v>
      </c>
      <c r="Q43" s="84">
        <v>9.0</v>
      </c>
      <c r="R43" s="88" t="s">
        <v>966</v>
      </c>
      <c r="S43" s="89" t="s">
        <v>967</v>
      </c>
      <c r="T43" s="52" t="s">
        <v>968</v>
      </c>
      <c r="U43" s="84">
        <v>9.0</v>
      </c>
      <c r="V43" s="98" t="s">
        <v>969</v>
      </c>
      <c r="W43" s="95" t="s">
        <v>970</v>
      </c>
      <c r="X43" s="52" t="s">
        <v>971</v>
      </c>
      <c r="Y43" s="84">
        <v>9.0</v>
      </c>
      <c r="Z43" s="90" t="str">
        <f>IFERROR(__xludf.DUMMYFUNCTION("IF(J43="""", """", GOOGLETRANSLATE(J43,""en"",""RU""))"),"Мне нужно в туалет... - 2")</f>
        <v>Мне нужно в туалет... - 2</v>
      </c>
      <c r="AA43" s="102" t="str">
        <f>IFERROR(__xludf.DUMMYFUNCTION("IF(K43="""", """", GOOGLETRANSLATE(K43,""en"",""RU""))"),"Обычно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3" s="97" t="str">
        <f>IFERROR(__xludf.DUMMYFUNCTION("IF(L43="""", """", GOOGLETRANSLATE(L43, ""en"", ""ru""))
"),"Позволяет активировать опцию «заглянуть в туалет».
*Пока не реализовано.
")</f>
        <v>Позволяет активировать опцию «заглянуть в туалет».
*Пока не реализовано.
</v>
      </c>
      <c r="AC43" s="84">
        <v>9.0</v>
      </c>
      <c r="AD43" s="85" t="s">
        <v>972</v>
      </c>
      <c r="AE43" s="86" t="s">
        <v>973</v>
      </c>
      <c r="AF43" s="87" t="s">
        <v>974</v>
      </c>
      <c r="AG43" s="84">
        <v>9.0</v>
      </c>
      <c r="AH43" s="92" t="s">
        <v>975</v>
      </c>
      <c r="AI43" s="93" t="s">
        <v>976</v>
      </c>
      <c r="AJ43" s="94" t="s">
        <v>977</v>
      </c>
      <c r="AK43" s="52"/>
      <c r="AL43" s="52"/>
      <c r="AM43" s="52"/>
      <c r="AN43" s="52"/>
      <c r="AO43" s="52"/>
    </row>
    <row r="44">
      <c r="A44" s="107">
        <v>10.0</v>
      </c>
      <c r="B44" s="85" t="s">
        <v>978</v>
      </c>
      <c r="C44" s="95" t="s">
        <v>979</v>
      </c>
      <c r="D44" s="52" t="s">
        <v>980</v>
      </c>
      <c r="E44" s="107">
        <v>10.0</v>
      </c>
      <c r="F44" s="85" t="s">
        <v>981</v>
      </c>
      <c r="G44" s="86" t="s">
        <v>982</v>
      </c>
      <c r="H44" s="52" t="s">
        <v>983</v>
      </c>
      <c r="I44" s="107">
        <v>10.0</v>
      </c>
      <c r="J44" s="85" t="s">
        <v>984</v>
      </c>
      <c r="K44" s="86" t="s">
        <v>985</v>
      </c>
      <c r="L44" s="52" t="s">
        <v>986</v>
      </c>
      <c r="M44" s="107">
        <v>10.0</v>
      </c>
      <c r="N44" s="85" t="str">
        <f>IFERROR(__xludf.DUMMYFUNCTION("GOOGLETRANSLATE(B44,""zh-tw"",""zh"")"),"厕所Plpy-1")</f>
        <v>厕所Plpy-1</v>
      </c>
      <c r="O44" s="95" t="s">
        <v>987</v>
      </c>
      <c r="P44" s="55" t="str">
        <f>IFERROR(__xludf.DUMMYFUNCTION("GOOGLETRANSLATE(D44,""zh-tw"",""zh"")"),"触发剧情
※目前尚未实装被发现的相关剧情")</f>
        <v>触发剧情
※目前尚未实装被发现的相关剧情</v>
      </c>
      <c r="Q44" s="107">
        <v>10.0</v>
      </c>
      <c r="R44" s="88" t="s">
        <v>988</v>
      </c>
      <c r="S44" s="89" t="s">
        <v>989</v>
      </c>
      <c r="T44" s="55" t="s">
        <v>990</v>
      </c>
      <c r="U44" s="107">
        <v>10.0</v>
      </c>
      <c r="V44" s="98" t="s">
        <v>991</v>
      </c>
      <c r="W44" s="95" t="s">
        <v>992</v>
      </c>
      <c r="X44" s="52" t="s">
        <v>993</v>
      </c>
      <c r="Y44" s="107">
        <v>10.0</v>
      </c>
      <c r="Z44" s="90" t="str">
        <f>IFERROR(__xludf.DUMMYFUNCTION("IF(J44="""", """", GOOGLETRANSLATE(J44,""en"",""RU""))"),"Сестра-дрочила - 1")</f>
        <v>Сестра-дрочила - 1</v>
      </c>
      <c r="AA44" s="102" t="str">
        <f>IFERROR(__xludf.DUMMYFUNCTION("IF(K44="""", """", GOOGLETRANSLATE(K44,""en"",""RU""))"),"Сработает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4" s="97" t="str">
        <f>IFERROR(__xludf.DUMMYFUNCTION("IF(L44="""", """", GOOGLETRANSLATE(L44, ""en"", ""ru""))
"),"Запускает событие «заглядывание в туалет».")</f>
        <v>Запускает событие «заглядывание в туалет».</v>
      </c>
      <c r="AC44" s="107">
        <v>10.0</v>
      </c>
      <c r="AD44" s="98" t="s">
        <v>994</v>
      </c>
      <c r="AE44" s="86" t="s">
        <v>995</v>
      </c>
      <c r="AF44" s="87" t="s">
        <v>996</v>
      </c>
      <c r="AG44" s="107">
        <v>10.0</v>
      </c>
      <c r="AH44" s="92" t="s">
        <v>997</v>
      </c>
      <c r="AI44" s="93" t="s">
        <v>998</v>
      </c>
      <c r="AJ44" s="94" t="s">
        <v>999</v>
      </c>
      <c r="AK44" s="52"/>
      <c r="AL44" s="52"/>
      <c r="AM44" s="52"/>
      <c r="AN44" s="52"/>
      <c r="AO44" s="52"/>
    </row>
    <row r="45">
      <c r="A45" s="84">
        <v>11.0</v>
      </c>
      <c r="B45" s="98" t="s">
        <v>1000</v>
      </c>
      <c r="C45" s="95" t="s">
        <v>1001</v>
      </c>
      <c r="D45" s="52" t="s">
        <v>1002</v>
      </c>
      <c r="E45" s="84">
        <v>11.0</v>
      </c>
      <c r="F45" s="98" t="s">
        <v>1003</v>
      </c>
      <c r="G45" s="95" t="s">
        <v>1004</v>
      </c>
      <c r="H45" s="52" t="s">
        <v>1005</v>
      </c>
      <c r="I45" s="84">
        <v>11.0</v>
      </c>
      <c r="J45" s="98" t="s">
        <v>1006</v>
      </c>
      <c r="K45" s="95" t="s">
        <v>1007</v>
      </c>
      <c r="L45" s="52" t="s">
        <v>1008</v>
      </c>
      <c r="M45" s="84">
        <v>11.0</v>
      </c>
      <c r="N45" s="85" t="str">
        <f>IFERROR(__xludf.DUMMYFUNCTION("GOOGLETRANSLATE(B45,""zh-tw"",""zh"")"),"厕所Plpy-2")</f>
        <v>厕所Plpy-2</v>
      </c>
      <c r="O45" s="89" t="str">
        <f>IFERROR(__xludf.DUMMYFUNCTION("GOOGLETRANSLATE(C45,""zh-tw"",""zh"")"),"同上
若哥哥打手枪时被发现，且妹妹处于低紫心的状态，触发一种分歧")</f>
        <v>同上
若哥哥打手枪时被发现，且妹妹处于低紫心的状态，触发一种分歧</v>
      </c>
      <c r="P45" s="55" t="str">
        <f>IFERROR(__xludf.DUMMYFUNCTION("GOOGLETRANSLATE(D45,""zh-tw"",""zh"")"),"触发相关剧情
※目前尚未实装被发现的相关剧情")</f>
        <v>触发相关剧情
※目前尚未实装被发现的相关剧情</v>
      </c>
      <c r="Q45" s="84">
        <v>11.0</v>
      </c>
      <c r="R45" s="98" t="s">
        <v>1009</v>
      </c>
      <c r="S45" s="89" t="s">
        <v>1010</v>
      </c>
      <c r="T45" s="55" t="s">
        <v>1011</v>
      </c>
      <c r="U45" s="84">
        <v>11.0</v>
      </c>
      <c r="V45" s="98" t="s">
        <v>1012</v>
      </c>
      <c r="W45" s="95" t="s">
        <v>1013</v>
      </c>
      <c r="X45" s="52" t="s">
        <v>1014</v>
      </c>
      <c r="Y45" s="84">
        <v>11.0</v>
      </c>
      <c r="Z45" s="90" t="str">
        <f>IFERROR(__xludf.DUMMYFUNCTION("IF(J45="""", """", GOOGLETRANSLATE(J45,""en"",""RU""))"),"Сестра-дрочила - 2")</f>
        <v>Сестра-дрочила - 2</v>
      </c>
      <c r="AA45" s="102" t="str">
        <f>IFERROR(__xludf.DUMMYFUNCTION("IF(K45="""", """", GOOGLETRANSLATE(K45,""en"",""RU""))"),"Ответвление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5" s="97" t="str">
        <f>IFERROR(__xludf.DUMMYFUNCTION("IF(L45="""", """", GOOGLETRANSLATE(L45,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5" s="84">
        <v>11.0</v>
      </c>
      <c r="AD45" s="98" t="s">
        <v>1015</v>
      </c>
      <c r="AE45" s="86" t="s">
        <v>1016</v>
      </c>
      <c r="AF45" s="87" t="s">
        <v>1017</v>
      </c>
      <c r="AG45" s="84">
        <v>11.0</v>
      </c>
      <c r="AH45" s="92" t="s">
        <v>1018</v>
      </c>
      <c r="AI45" s="93" t="s">
        <v>1019</v>
      </c>
      <c r="AJ45" s="94" t="s">
        <v>1020</v>
      </c>
      <c r="AK45" s="52"/>
      <c r="AL45" s="52"/>
      <c r="AM45" s="52"/>
      <c r="AN45" s="52"/>
      <c r="AO45" s="52"/>
    </row>
    <row r="46">
      <c r="A46" s="107">
        <v>12.0</v>
      </c>
      <c r="B46" s="98" t="s">
        <v>1021</v>
      </c>
      <c r="C46" s="95" t="s">
        <v>1022</v>
      </c>
      <c r="D46" s="52" t="s">
        <v>1023</v>
      </c>
      <c r="E46" s="107">
        <v>12.0</v>
      </c>
      <c r="F46" s="98" t="s">
        <v>1024</v>
      </c>
      <c r="G46" s="86" t="s">
        <v>1025</v>
      </c>
      <c r="H46" s="52" t="s">
        <v>1026</v>
      </c>
      <c r="I46" s="107">
        <v>12.0</v>
      </c>
      <c r="J46" s="98" t="s">
        <v>1027</v>
      </c>
      <c r="K46" s="95" t="s">
        <v>1028</v>
      </c>
      <c r="L46" s="52" t="s">
        <v>1029</v>
      </c>
      <c r="M46" s="107">
        <v>12.0</v>
      </c>
      <c r="N46" s="85" t="str">
        <f>IFERROR(__xludf.DUMMYFUNCTION("GOOGLETRANSLATE(B46,""zh-tw"",""zh"")"),"厕所Plpy-3")</f>
        <v>厕所Plpy-3</v>
      </c>
      <c r="O46" s="89" t="str">
        <f>IFERROR(__xludf.DUMMYFUNCTION("GOOGLETRANSLATE(C46,""zh-tw"",""zh"")"),"同-1
若此时遇到Z的突击，触发一种分歧")</f>
        <v>同-1
若此时遇到Z的突击，触发一种分歧</v>
      </c>
      <c r="P46" s="55" t="str">
        <f>IFERROR(__xludf.DUMMYFUNCTION("GOOGLETRANSLATE(D46,""zh-tw"",""zh"")"),"50%机率，出现打死Z剧情
备注：无须发现Z的前置操作")</f>
        <v>50%机率，出现打死Z剧情
备注：无须发现Z的前置操作</v>
      </c>
      <c r="Q46" s="107">
        <v>12.0</v>
      </c>
      <c r="R46" s="98" t="s">
        <v>1030</v>
      </c>
      <c r="S46" s="89" t="s">
        <v>1031</v>
      </c>
      <c r="T46" s="55" t="s">
        <v>874</v>
      </c>
      <c r="U46" s="107">
        <v>12.0</v>
      </c>
      <c r="V46" s="98" t="s">
        <v>1032</v>
      </c>
      <c r="W46" s="95" t="s">
        <v>1033</v>
      </c>
      <c r="X46" s="52" t="s">
        <v>1034</v>
      </c>
      <c r="Y46" s="107">
        <v>12.0</v>
      </c>
      <c r="Z46" s="90" t="str">
        <f>IFERROR(__xludf.DUMMYFUNCTION("IF(J46="""", """", GOOGLETRANSLATE(J46,""en"",""RU""))"),"Сестра-дрочила - 3")</f>
        <v>Сестра-дрочила - 3</v>
      </c>
      <c r="AA46" s="102" t="str">
        <f>IFERROR(__xludf.DUMMYFUNCTION("IF(K46="""", """", GOOGLETRANSLATE(K46,""en"",""RU""))"),"Продолжая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6" s="97" t="str">
        <f>IFERROR(__xludf.DUMMYFUNCTION("IF(L46="""", """", GOOGLETRANSLATE(L46,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6" s="107">
        <v>12.0</v>
      </c>
      <c r="AD46" s="98" t="s">
        <v>1035</v>
      </c>
      <c r="AE46" s="86" t="s">
        <v>1036</v>
      </c>
      <c r="AF46" s="87" t="s">
        <v>859</v>
      </c>
      <c r="AG46" s="107">
        <v>12.0</v>
      </c>
      <c r="AH46" s="92" t="s">
        <v>1037</v>
      </c>
      <c r="AI46" s="93" t="s">
        <v>1038</v>
      </c>
      <c r="AJ46" s="94" t="s">
        <v>1039</v>
      </c>
      <c r="AK46" s="52"/>
      <c r="AL46" s="52"/>
      <c r="AM46" s="52"/>
      <c r="AN46" s="52"/>
      <c r="AO46" s="52"/>
    </row>
    <row r="47">
      <c r="A47" s="84">
        <v>13.0</v>
      </c>
      <c r="B47" s="85" t="s">
        <v>1040</v>
      </c>
      <c r="C47" s="95" t="s">
        <v>1041</v>
      </c>
      <c r="D47" s="52" t="s">
        <v>1042</v>
      </c>
      <c r="E47" s="84">
        <v>13.0</v>
      </c>
      <c r="F47" s="85" t="s">
        <v>1043</v>
      </c>
      <c r="G47" s="95" t="s">
        <v>1044</v>
      </c>
      <c r="H47" s="87" t="s">
        <v>1045</v>
      </c>
      <c r="I47" s="84">
        <v>13.0</v>
      </c>
      <c r="J47" s="85" t="s">
        <v>1046</v>
      </c>
      <c r="K47" s="95" t="s">
        <v>1047</v>
      </c>
      <c r="L47" s="87" t="s">
        <v>1048</v>
      </c>
      <c r="M47" s="84">
        <v>13.0</v>
      </c>
      <c r="N47" s="85" t="str">
        <f>IFERROR(__xludf.DUMMYFUNCTION("GOOGLETRANSLATE(B47,""zh-tw"",""zh"")"),"厕所Plpy-4")</f>
        <v>厕所Plpy-4</v>
      </c>
      <c r="O47" s="89" t="str">
        <f>IFERROR(__xludf.DUMMYFUNCTION("GOOGLETRANSLATE(C47,""zh-tw"",""zh"")"),"同上
若妹妹处于高紫心的状态，且哥哥已经触发过Z突击的剧情，选择闯入厕所，触发另一种分歧")</f>
        <v>同上
若妹妹处于高紫心的状态，且哥哥已经触发过Z突击的剧情，选择闯入厕所，触发另一种分歧</v>
      </c>
      <c r="P47" s="55" t="str">
        <f>IFERROR(__xludf.DUMMYFUNCTION("GOOGLETRANSLATE(D47,""zh-tw"",""zh"")"),"触发使用嘴巴服务的相关剧情
*三种差分，分为蹲式、躺式，坐式待更新")</f>
        <v>触发使用嘴巴服务的相关剧情
*三种差分，分为蹲式、躺式，坐式待更新</v>
      </c>
      <c r="Q47" s="84">
        <v>13.0</v>
      </c>
      <c r="R47" s="88" t="s">
        <v>1049</v>
      </c>
      <c r="S47" s="89" t="s">
        <v>1050</v>
      </c>
      <c r="T47" s="55" t="s">
        <v>1051</v>
      </c>
      <c r="U47" s="84">
        <v>13.0</v>
      </c>
      <c r="V47" s="98" t="s">
        <v>1052</v>
      </c>
      <c r="W47" s="95" t="s">
        <v>1053</v>
      </c>
      <c r="X47" s="52" t="s">
        <v>1054</v>
      </c>
      <c r="Y47" s="84">
        <v>13.0</v>
      </c>
      <c r="Z47" s="90" t="str">
        <f>IFERROR(__xludf.DUMMYFUNCTION("IF(J47="""", """", GOOGLETRANSLATE(J47,""en"",""RU""))"),"Сестра-дрочила - 4")</f>
        <v>Сестра-дрочила - 4</v>
      </c>
      <c r="AA47" s="102" t="str">
        <f>IFERROR(__xludf.DUMMYFUNCTION("IF(K47="""", """", GOOGLETRANSLATE(K47,""en"",""RU""))"),"Продолжая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7" s="97" t="str">
        <f>IFERROR(__xludf.DUMMYFUNCTION("IF(L47="""", """", GOOGLETRANSLATE(L47,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7" s="84">
        <v>13.0</v>
      </c>
      <c r="AD47" s="98" t="s">
        <v>1055</v>
      </c>
      <c r="AE47" s="86" t="s">
        <v>1056</v>
      </c>
      <c r="AF47" s="87" t="s">
        <v>1057</v>
      </c>
      <c r="AG47" s="84">
        <v>13.0</v>
      </c>
      <c r="AH47" s="92" t="s">
        <v>1058</v>
      </c>
      <c r="AI47" s="93" t="s">
        <v>1059</v>
      </c>
      <c r="AJ47" s="94" t="s">
        <v>1060</v>
      </c>
      <c r="AK47" s="52"/>
      <c r="AL47" s="52"/>
      <c r="AM47" s="52"/>
      <c r="AN47" s="52"/>
      <c r="AO47" s="52"/>
    </row>
    <row r="48">
      <c r="A48" s="77"/>
      <c r="B48" s="78"/>
      <c r="C48" s="78"/>
      <c r="D48" s="78"/>
      <c r="E48" s="77"/>
      <c r="F48" s="78"/>
      <c r="G48" s="78"/>
      <c r="H48" s="78"/>
      <c r="I48" s="77"/>
      <c r="J48" s="78"/>
      <c r="K48" s="78"/>
      <c r="L48" s="78"/>
      <c r="M48" s="77"/>
      <c r="N48" s="78"/>
      <c r="O48" s="46"/>
      <c r="P48" s="78"/>
      <c r="Q48" s="77"/>
      <c r="R48" s="46"/>
      <c r="S48" s="46"/>
      <c r="T48" s="46"/>
      <c r="U48" s="77"/>
      <c r="V48" s="46"/>
      <c r="W48" s="46"/>
      <c r="X48" s="46"/>
      <c r="Y48" s="77"/>
      <c r="Z48" s="78"/>
      <c r="AA48" s="78"/>
      <c r="AB48" s="78"/>
      <c r="AC48" s="77"/>
      <c r="AD48" s="78"/>
      <c r="AE48" s="78"/>
      <c r="AF48" s="78"/>
      <c r="AG48" s="77"/>
      <c r="AH48" s="79"/>
      <c r="AI48" s="79"/>
      <c r="AJ48" s="79"/>
      <c r="AK48" s="78"/>
      <c r="AL48" s="78"/>
      <c r="AM48" s="78"/>
      <c r="AN48" s="78"/>
      <c r="AO48" s="78"/>
    </row>
    <row r="49" ht="23.25" customHeight="1">
      <c r="A49" s="80" t="s">
        <v>1061</v>
      </c>
      <c r="B49" s="80" t="s">
        <v>1062</v>
      </c>
      <c r="E49" s="80" t="s">
        <v>1061</v>
      </c>
      <c r="F49" s="80" t="s">
        <v>1063</v>
      </c>
      <c r="I49" s="80" t="s">
        <v>1061</v>
      </c>
      <c r="J49" s="80" t="s">
        <v>1064</v>
      </c>
      <c r="M49" s="80" t="s">
        <v>1061</v>
      </c>
      <c r="N49" s="81" t="str">
        <f>IFERROR(__xludf.DUMMYFUNCTION("GOOGLETRANSLATE(B49,""zh-tw"",""zh"")"),"浴室相关")</f>
        <v>浴室相关</v>
      </c>
      <c r="Q49" s="80" t="s">
        <v>1061</v>
      </c>
      <c r="R49" s="80" t="s">
        <v>1065</v>
      </c>
      <c r="U49" s="80" t="s">
        <v>1061</v>
      </c>
      <c r="V49" s="80" t="s">
        <v>1066</v>
      </c>
      <c r="Y49" s="80" t="s">
        <v>1061</v>
      </c>
      <c r="Z49" s="80" t="s">
        <v>1067</v>
      </c>
      <c r="AC49" s="80" t="s">
        <v>1061</v>
      </c>
      <c r="AD49" s="80" t="s">
        <v>1068</v>
      </c>
      <c r="AG49" s="80" t="s">
        <v>1061</v>
      </c>
      <c r="AH49" s="114" t="s">
        <v>1069</v>
      </c>
      <c r="AK49" s="80"/>
      <c r="AL49" s="80"/>
      <c r="AM49" s="80"/>
      <c r="AN49" s="80"/>
      <c r="AO49" s="80"/>
    </row>
    <row r="50">
      <c r="A50" s="84">
        <v>1.0</v>
      </c>
      <c r="B50" s="85" t="s">
        <v>1070</v>
      </c>
      <c r="C50" s="86" t="s">
        <v>1071</v>
      </c>
      <c r="D50" s="87" t="s">
        <v>1072</v>
      </c>
      <c r="E50" s="84">
        <v>1.0</v>
      </c>
      <c r="F50" s="85" t="str">
        <f>IFERROR(__xludf.DUMMYFUNCTION("GOOGLETRANSLATE(B50,""zh-tw"",""ja"")"),"シャンプー")</f>
        <v>シャンプー</v>
      </c>
      <c r="G50" s="86" t="s">
        <v>1073</v>
      </c>
      <c r="H50" s="87" t="s">
        <v>1074</v>
      </c>
      <c r="I50" s="84">
        <v>1.0</v>
      </c>
      <c r="J50" s="85" t="str">
        <f>IFERROR(__xludf.DUMMYFUNCTION("GOOGLETRANSLATE(B50,""zh-tw"",""en"")"),"Shampoo")</f>
        <v>Shampoo</v>
      </c>
      <c r="K50" s="86" t="s">
        <v>1075</v>
      </c>
      <c r="L50" s="87" t="s">
        <v>1076</v>
      </c>
      <c r="M50" s="84">
        <v>1.0</v>
      </c>
      <c r="N50" s="85" t="str">
        <f>IFERROR(__xludf.DUMMYFUNCTION("GOOGLETRANSLATE(B50,""zh-tw"",""zh"")"),"洗发乳")</f>
        <v>洗发乳</v>
      </c>
      <c r="O50" s="89" t="str">
        <f>IFERROR(__xludf.DUMMYFUNCTION("GOOGLETRANSLATE(C50,""zh-tw"",""zh"")"),"洗澡大约7天会消耗光，并在不偷窥的情况下机率性触发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50" s="55" t="str">
        <f>IFERROR(__xludf.DUMMYFUNCTION("GOOGLETRANSLATE(D50,""zh-tw"",""zh"")"),"机率触发浴室摔倒事件")</f>
        <v>机率触发浴室摔倒事件</v>
      </c>
      <c r="Q50" s="84">
        <v>1.0</v>
      </c>
      <c r="R50" s="85" t="str">
        <f>IFERROR(__xludf.DUMMYFUNCTION("GOOGLETRANSLATE(B50,""zh-tw"",""es-MX"")"),"Champú")</f>
        <v>Champú</v>
      </c>
      <c r="S50" s="89" t="str">
        <f>IFERROR(__xludf.DUMMYFUNCTION("GOOGLETRANSLATE(C50,""zh-tw"",""es-MX"")"),"La habilidad de bañarse consumirá toda la habilidad en aproximadamente 7 días, y existe la posibilidad de que se active si no espías.
Puede agotarse antes si tu hermano se baña solo.
O bien, existe la posibilidad de que se active al robar ropa interior.")</f>
        <v>La habilidad de bañarse consumirá toda la habilidad en aproximadamente 7 días, y existe la posibilidad de que se active si no espías.
Puede agotarse antes si tu hermano se baña solo.
O bien, existe la posibilidad de que se active al robar ropa interior.</v>
      </c>
      <c r="T50" s="55" t="str">
        <f>IFERROR(__xludf.DUMMYFUNCTION("GOOGLETRANSLATE(D50,""zh-tw"",""es-MX"")"),"Posibilidad de desencadenar un evento de caída en el baño")</f>
        <v>Posibilidad de desencadenar un evento de caída en el baño</v>
      </c>
      <c r="U50" s="84">
        <v>1.0</v>
      </c>
      <c r="V50" s="88" t="str">
        <f>IFERROR(__xludf.DUMMYFUNCTION("GOOGLETRANSLATE(B50,""zh-tw"",""KO"")"),"샴푸")</f>
        <v>샴푸</v>
      </c>
      <c r="W50" s="89" t="str">
        <f>IFERROR(__xludf.DUMMYFUNCTION("GOOGLETRANSLATE(C50,""zh-tw"",""KO"")"),"목욕 능력은 약 7일 후에 모든 능력을 소모하며, 엿보지 않으면 발동될 확률이 있습니다.
형제가 혼자 목욕을 하면 더 일찍 소모될 수도 있습니다.
아니면 속옷을 훔칠 때 발동될 확률이 있습니다.")</f>
        <v>목욕 능력은 약 7일 후에 모든 능력을 소모하며, 엿보지 않으면 발동될 확률이 있습니다.
형제가 혼자 목욕을 하면 더 일찍 소모될 수도 있습니다.
아니면 속옷을 훔칠 때 발동될 확률이 있습니다.</v>
      </c>
      <c r="X50" s="55" t="str">
        <f>IFERROR(__xludf.DUMMYFUNCTION("GOOGLETRANSLATE(D50,""zh-tw"",""KO"")"),"욕실 낙하 이벤트 발생 가능성")</f>
        <v>욕실 낙하 이벤트 발생 가능성</v>
      </c>
      <c r="Y50" s="84">
        <v>1.0</v>
      </c>
      <c r="Z50" s="90" t="str">
        <f>IFERROR(__xludf.DUMMYFUNCTION("GOOGLETRANSLATE(B50,""zh-tw"",""ru"")"),"Шампунь")</f>
        <v>Шампунь</v>
      </c>
      <c r="AA50" s="102" t="s">
        <v>1077</v>
      </c>
      <c r="AB50" s="97" t="s">
        <v>1078</v>
      </c>
      <c r="AC50" s="84">
        <v>1.0</v>
      </c>
      <c r="AD50" s="85" t="s">
        <v>1079</v>
      </c>
      <c r="AE50" s="86" t="s">
        <v>1080</v>
      </c>
      <c r="AF50" s="87" t="s">
        <v>1081</v>
      </c>
      <c r="AG50" s="84">
        <v>1.0</v>
      </c>
      <c r="AH50" s="92" t="s">
        <v>1082</v>
      </c>
      <c r="AI50" s="93" t="s">
        <v>1083</v>
      </c>
      <c r="AJ50" s="94" t="s">
        <v>1084</v>
      </c>
      <c r="AK50" s="87"/>
      <c r="AL50" s="87"/>
      <c r="AM50" s="87"/>
      <c r="AN50" s="87"/>
      <c r="AO50" s="87"/>
    </row>
    <row r="51">
      <c r="A51" s="107">
        <v>2.0</v>
      </c>
      <c r="B51" s="85" t="s">
        <v>1085</v>
      </c>
      <c r="C51" s="86" t="s">
        <v>1086</v>
      </c>
      <c r="D51" s="87" t="s">
        <v>1087</v>
      </c>
      <c r="E51" s="107">
        <v>2.0</v>
      </c>
      <c r="F51" s="85" t="s">
        <v>1088</v>
      </c>
      <c r="G51" s="86" t="s">
        <v>1089</v>
      </c>
      <c r="H51" s="87" t="s">
        <v>1090</v>
      </c>
      <c r="I51" s="107">
        <v>2.0</v>
      </c>
      <c r="J51" s="85" t="s">
        <v>1091</v>
      </c>
      <c r="K51" s="86" t="s">
        <v>1092</v>
      </c>
      <c r="L51" s="87" t="s">
        <v>1093</v>
      </c>
      <c r="M51" s="107">
        <v>2.0</v>
      </c>
      <c r="N51" s="85" t="str">
        <f>IFERROR(__xludf.DUMMYFUNCTION("GOOGLETRANSLATE(B51,""zh-tw"",""zh"")"),"要等妹妹洗澡吗")</f>
        <v>要等妹妹洗澡吗</v>
      </c>
      <c r="O51" s="89" t="str">
        <f>IFERROR(__xludf.DUMMYFUNCTION("GOOGLETRANSLATE(C51,""zh-tw"",""zh"")"),"当哥哥性欲足够时，独自洗澡后可以前往潜入洗面所")</f>
        <v>当哥哥性欲足够时，独自洗澡后可以前往潜入洗面所</v>
      </c>
      <c r="P51" s="55" t="str">
        <f>IFERROR(__xludf.DUMMYFUNCTION("GOOGLETRANSLATE(D51,""zh-tw"",""zh"")"),"出现前往的选项
1.现在就去
2.再等会
3.算了吧")</f>
        <v>出现前往的选项
1.现在就去
2.再等会
3.算了吧</v>
      </c>
      <c r="Q51" s="107">
        <v>2.0</v>
      </c>
      <c r="R51" s="85" t="s">
        <v>1094</v>
      </c>
      <c r="S51" s="89" t="s">
        <v>1095</v>
      </c>
      <c r="T51" s="55" t="s">
        <v>1096</v>
      </c>
      <c r="U51" s="107">
        <v>2.0</v>
      </c>
      <c r="V51" s="88" t="str">
        <f>IFERROR(__xludf.DUMMYFUNCTION("GOOGLETRANSLATE(B51,""zh-tw"",""KO"")"),"언니가 목욕할 때까지 기다려야 하나요?")</f>
        <v>언니가 목욕할 때까지 기다려야 하나요?</v>
      </c>
      <c r="W51" s="89" t="str">
        <f>IFERROR(__xludf.DUMMYFUNCTION("GOOGLETRANSLATE(C51,""zh-tw"",""KO"")"),"형의 성욕이 충분하면, 혼자 목욕을 한 뒤 목욕탕에 갈 수도 있다.")</f>
        <v>형의 성욕이 충분하면, 혼자 목욕을 한 뒤 목욕탕에 갈 수도 있다.</v>
      </c>
      <c r="X51" s="55" t="str">
        <f>IFERROR(__xludf.DUMMYFUNCTION("GOOGLETRANSLATE(D51,""zh-tw"",""KO"")"),"다음 옵션이 나타납니다.
1. 지금 시작
2. 잠시 기다리기
3. 잊어버리기")</f>
        <v>다음 옵션이 나타납니다.
1. 지금 시작
2. 잠시 기다리기
3. 잊어버리기</v>
      </c>
      <c r="Y51" s="107">
        <v>2.0</v>
      </c>
      <c r="Z51" s="103" t="str">
        <f>IFERROR(__xludf.DUMMYFUNCTION("IF(J51="""", """", GOOGLETRANSLATE(
J51,""en"",""ru""))"),"Подождать, пока Имото закончит купаться?")</f>
        <v>Подождать, пока Имото закончит купаться?</v>
      </c>
      <c r="AA51" s="104"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4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107">
        <v>2.0</v>
      </c>
      <c r="AD51" s="85" t="s">
        <v>1097</v>
      </c>
      <c r="AE51" s="86" t="s">
        <v>1098</v>
      </c>
      <c r="AF51" s="87" t="s">
        <v>1099</v>
      </c>
      <c r="AG51" s="107">
        <v>2.0</v>
      </c>
      <c r="AH51" s="92" t="s">
        <v>1100</v>
      </c>
      <c r="AI51" s="93" t="s">
        <v>1101</v>
      </c>
      <c r="AJ51" s="94" t="s">
        <v>1102</v>
      </c>
      <c r="AK51" s="87"/>
      <c r="AL51" s="87"/>
      <c r="AM51" s="87"/>
      <c r="AN51" s="87"/>
      <c r="AO51" s="87"/>
    </row>
    <row r="52">
      <c r="A52" s="84">
        <v>3.0</v>
      </c>
      <c r="B52" s="85" t="s">
        <v>1103</v>
      </c>
      <c r="C52" s="86" t="s">
        <v>1104</v>
      </c>
      <c r="D52" s="87" t="s">
        <v>1105</v>
      </c>
      <c r="E52" s="84">
        <v>3.0</v>
      </c>
      <c r="F52" s="85" t="s">
        <v>1106</v>
      </c>
      <c r="G52" s="86" t="s">
        <v>1107</v>
      </c>
      <c r="H52" s="87" t="s">
        <v>1108</v>
      </c>
      <c r="I52" s="84">
        <v>3.0</v>
      </c>
      <c r="J52" s="85" t="s">
        <v>1109</v>
      </c>
      <c r="K52" s="86" t="s">
        <v>1110</v>
      </c>
      <c r="L52" s="87" t="s">
        <v>1111</v>
      </c>
      <c r="M52" s="84">
        <v>3.0</v>
      </c>
      <c r="N52" s="85" t="str">
        <f>IFERROR(__xludf.DUMMYFUNCTION("GOOGLETRANSLATE(B52,""zh-tw"",""zh"")"),"现在就去-1")</f>
        <v>现在就去-1</v>
      </c>
      <c r="O52" s="89" t="str">
        <f>IFERROR(__xludf.DUMMYFUNCTION("GOOGLETRANSLATE(C52,""zh-tw"",""zh"")"),"触发偷窥换衣事件，拉门越大越容易被发现")</f>
        <v>触发偷窥换衣事件，拉门越大越容易被发现</v>
      </c>
      <c r="P52" s="55" t="str">
        <f>IFERROR(__xludf.DUMMYFUNCTION("GOOGLETRANSLATE(D52,""zh-tw"",""zh"")"),"1.安全潜入洗面所
2.被妹妹发现")</f>
        <v>1.安全潜入洗面所
2.被妹妹发现</v>
      </c>
      <c r="Q52" s="84">
        <v>3.0</v>
      </c>
      <c r="R52" s="85" t="s">
        <v>1112</v>
      </c>
      <c r="S52" s="89" t="s">
        <v>1113</v>
      </c>
      <c r="T52" s="55" t="s">
        <v>1114</v>
      </c>
      <c r="U52" s="84">
        <v>3.0</v>
      </c>
      <c r="V52" s="88" t="str">
        <f>IFERROR(__xludf.DUMMYFUNCTION("GOOGLETRANSLATE(B52,""zh-tw"",""KO"")"),"지금 -1로 이동")</f>
        <v>지금 -1로 이동</v>
      </c>
      <c r="W52" s="89" t="str">
        <f>IFERROR(__xludf.DUMMYFUNCTION("GOOGLETRANSLATE(C52,""zh-tw"",""KO"")"),"슬라이딩 도어가 클수록 누군가 옷을 갈아입을 때 엿볼 때 발견되기 쉽습니다.")</f>
        <v>슬라이딩 도어가 클수록 누군가 옷을 갈아입을 때 엿볼 때 발견되기 쉽습니다.</v>
      </c>
      <c r="X52" s="55" t="str">
        <f>IFERROR(__xludf.DUMMYFUNCTION("GOOGLETRANSLATE(D52,""zh-tw"",""KO"")"),"1. 얼굴 치료 센터에 성공적으로 침투했습니다.
2. 언니에게 발각되었습니다.")</f>
        <v>1. 얼굴 치료 센터에 성공적으로 침투했습니다.
2. 언니에게 발각되었습니다.</v>
      </c>
      <c r="Y52" s="84">
        <v>3.0</v>
      </c>
      <c r="Z52" s="103" t="str">
        <f>IFERROR(__xludf.DUMMYFUNCTION("IF(J52="""", """", GOOGLETRANSLATE(
J52,""en"",""ru""))"),"Иди сейчас! - 1")</f>
        <v>Иди сейчас! - 1</v>
      </c>
      <c r="AA52" s="104"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4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3.0</v>
      </c>
      <c r="AD52" s="85" t="s">
        <v>1115</v>
      </c>
      <c r="AE52" s="86" t="s">
        <v>1116</v>
      </c>
      <c r="AF52" s="87" t="s">
        <v>1117</v>
      </c>
      <c r="AG52" s="84">
        <v>3.0</v>
      </c>
      <c r="AH52" s="92" t="s">
        <v>1118</v>
      </c>
      <c r="AI52" s="93" t="s">
        <v>1119</v>
      </c>
      <c r="AJ52" s="94" t="s">
        <v>1120</v>
      </c>
      <c r="AK52" s="87"/>
      <c r="AL52" s="87"/>
      <c r="AM52" s="87"/>
      <c r="AN52" s="87"/>
      <c r="AO52" s="87"/>
    </row>
    <row r="53">
      <c r="A53" s="84">
        <v>4.0</v>
      </c>
      <c r="B53" s="85" t="s">
        <v>1121</v>
      </c>
      <c r="C53" s="86" t="s">
        <v>1122</v>
      </c>
      <c r="D53" s="87" t="s">
        <v>1123</v>
      </c>
      <c r="E53" s="84">
        <v>4.0</v>
      </c>
      <c r="F53" s="85" t="s">
        <v>1124</v>
      </c>
      <c r="G53" s="86" t="s">
        <v>1125</v>
      </c>
      <c r="H53" s="87" t="s">
        <v>1126</v>
      </c>
      <c r="I53" s="84">
        <v>4.0</v>
      </c>
      <c r="J53" s="85" t="s">
        <v>1127</v>
      </c>
      <c r="K53" s="86" t="s">
        <v>1128</v>
      </c>
      <c r="L53" s="87" t="s">
        <v>1129</v>
      </c>
      <c r="M53" s="84">
        <v>4.0</v>
      </c>
      <c r="N53" s="85" t="str">
        <f>IFERROR(__xludf.DUMMYFUNCTION("GOOGLETRANSLATE(B53,""zh-tw"",""zh"")"),"现在就去-2")</f>
        <v>现在就去-2</v>
      </c>
      <c r="O53" s="89" t="str">
        <f>IFERROR(__xludf.DUMMYFUNCTION("GOOGLETRANSLATE(C53,""zh-tw"",""zh"")"),"触发偷窥换衣事件，当好感度高于2时，拉门未完全开启，可触发被发现的选项")</f>
        <v>触发偷窥换衣事件，当好感度高于2时，拉门未完全开启，可触发被发现的选项</v>
      </c>
      <c r="P53" s="55" t="str">
        <f>IFERROR(__xludf.DUMMYFUNCTION("GOOGLETRANSLATE(D53,""zh-tw"",""zh"")"),"出现三个选项(包含-让我看看)")</f>
        <v>出现三个选项(包含-让我看看)</v>
      </c>
      <c r="Q53" s="84">
        <v>4.0</v>
      </c>
      <c r="R53" s="85" t="s">
        <v>1130</v>
      </c>
      <c r="S53" s="89" t="s">
        <v>1131</v>
      </c>
      <c r="T53" s="55" t="s">
        <v>1132</v>
      </c>
      <c r="U53" s="84">
        <v>4.0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4.0</v>
      </c>
      <c r="Z53" s="103" t="str">
        <f>IFERROR(__xludf.DUMMYFUNCTION("IF(J53="""", """", GOOGLETRANSLATE(
J53,""en"",""ru""))"),"Иди сейчас! - 2")</f>
        <v>Иди сейчас! - 2</v>
      </c>
      <c r="AA53" s="104"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4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4.0</v>
      </c>
      <c r="AD53" s="85" t="s">
        <v>1133</v>
      </c>
      <c r="AE53" s="86" t="s">
        <v>1134</v>
      </c>
      <c r="AF53" s="87" t="s">
        <v>1135</v>
      </c>
      <c r="AG53" s="84">
        <v>4.0</v>
      </c>
      <c r="AH53" s="92" t="s">
        <v>1136</v>
      </c>
      <c r="AI53" s="93" t="s">
        <v>1137</v>
      </c>
      <c r="AJ53" s="94" t="s">
        <v>1138</v>
      </c>
      <c r="AK53" s="87"/>
      <c r="AL53" s="87"/>
      <c r="AM53" s="87"/>
      <c r="AN53" s="87"/>
      <c r="AO53" s="87"/>
    </row>
    <row r="54">
      <c r="A54" s="107">
        <v>5.0</v>
      </c>
      <c r="B54" s="85" t="s">
        <v>1139</v>
      </c>
      <c r="C54" s="86" t="s">
        <v>1140</v>
      </c>
      <c r="D54" s="87" t="s">
        <v>1141</v>
      </c>
      <c r="E54" s="107">
        <v>5.0</v>
      </c>
      <c r="F54" s="85" t="s">
        <v>1142</v>
      </c>
      <c r="G54" s="86" t="s">
        <v>1143</v>
      </c>
      <c r="H54" s="87" t="s">
        <v>1144</v>
      </c>
      <c r="I54" s="107">
        <v>5.0</v>
      </c>
      <c r="J54" s="85" t="s">
        <v>1145</v>
      </c>
      <c r="K54" s="86" t="s">
        <v>1146</v>
      </c>
      <c r="L54" s="87" t="s">
        <v>1147</v>
      </c>
      <c r="M54" s="107">
        <v>5.0</v>
      </c>
      <c r="N54" s="85" t="str">
        <f>IFERROR(__xludf.DUMMYFUNCTION("GOOGLETRANSLATE(B54,""zh-tw"",""zh"")"),"现在就去-3")</f>
        <v>现在就去-3</v>
      </c>
      <c r="O54" s="89"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55" t="str">
        <f>IFERROR(__xludf.DUMMYFUNCTION("GOOGLETRANSLATE(D54,""zh-tw"",""zh"")"),"出现特殊选项")</f>
        <v>出现特殊选项</v>
      </c>
      <c r="Q54" s="107">
        <v>5.0</v>
      </c>
      <c r="R54" s="85" t="s">
        <v>1148</v>
      </c>
      <c r="S54" s="89" t="s">
        <v>1149</v>
      </c>
      <c r="T54" s="55" t="s">
        <v>1150</v>
      </c>
      <c r="U54" s="107">
        <v>5.0</v>
      </c>
      <c r="V54" s="88" t="str">
        <f>IFERROR(__xludf.DUMMYFUNCTION("GOOGLETRANSLATE(B54,""zh-tw"",""KO"")"),"지금 -3으로 가세요")</f>
        <v>지금 -3으로 가세요</v>
      </c>
      <c r="W54" s="89" t="str">
        <f>IFERROR(__xludf.DUMMYFUNCTION("GOOGLETRANSLATE(C54,""zh-tw"",""KO"")"),"옷을 갈아입을 때 엿보는 이벤트가 발생하고, 호감도가 2 이상이고, 슬라이딩 도어가 완전히 열리지 않은 경우(세 가지 옵션 중 하나도 선택되지 않은 경우), 마우스 오른쪽 버튼을 클릭하면 특별 옵션이 표시됩니다.")</f>
        <v>옷을 갈아입을 때 엿보는 이벤트가 발생하고, 호감도가 2 이상이고, 슬라이딩 도어가 완전히 열리지 않은 경우(세 가지 옵션 중 하나도 선택되지 않은 경우), 마우스 오른쪽 버튼을 클릭하면 특별 옵션이 표시됩니다.</v>
      </c>
      <c r="X54" s="55" t="str">
        <f>IFERROR(__xludf.DUMMYFUNCTION("GOOGLETRANSLATE(D54,""zh-tw"",""KO"")"),"특별 옵션이 나타납니다")</f>
        <v>특별 옵션이 나타납니다</v>
      </c>
      <c r="Y54" s="107">
        <v>5.0</v>
      </c>
      <c r="Z54" s="103" t="str">
        <f>IFERROR(__xludf.DUMMYFUNCTION("IF(J54="""", """", GOOGLETRANSLATE(
J54,""en"",""ru""))"),"Иди сейчас! - 3")</f>
        <v>Иди сейчас! - 3</v>
      </c>
      <c r="AA54" s="104"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44" t="str">
        <f>IFERROR(__xludf.DUMMYFUNCTION("IF(L54="""", """", GOOGLETRANSLATE(L54, ""en"", ""ru""))
"),"Появляется скрытый вариант:
Крайний вариант")</f>
        <v>Появляется скрытый вариант:
Крайний вариант</v>
      </c>
      <c r="AC54" s="107">
        <v>5.0</v>
      </c>
      <c r="AD54" s="85" t="s">
        <v>1151</v>
      </c>
      <c r="AE54" s="86" t="s">
        <v>1152</v>
      </c>
      <c r="AF54" s="87" t="s">
        <v>1153</v>
      </c>
      <c r="AG54" s="107">
        <v>5.0</v>
      </c>
      <c r="AH54" s="92" t="s">
        <v>1154</v>
      </c>
      <c r="AI54" s="93" t="s">
        <v>1155</v>
      </c>
      <c r="AJ54" s="94" t="s">
        <v>1156</v>
      </c>
      <c r="AK54" s="87"/>
      <c r="AL54" s="87"/>
      <c r="AM54" s="87"/>
      <c r="AN54" s="87"/>
      <c r="AO54" s="87"/>
    </row>
    <row r="55">
      <c r="A55" s="84">
        <v>6.0</v>
      </c>
      <c r="B55" s="85" t="s">
        <v>1157</v>
      </c>
      <c r="C55" s="86" t="s">
        <v>1158</v>
      </c>
      <c r="D55" s="87" t="s">
        <v>1159</v>
      </c>
      <c r="E55" s="84">
        <v>6.0</v>
      </c>
      <c r="F55" s="85" t="s">
        <v>1160</v>
      </c>
      <c r="G55" s="86" t="s">
        <v>1161</v>
      </c>
      <c r="H55" s="87" t="s">
        <v>1162</v>
      </c>
      <c r="I55" s="84">
        <v>6.0</v>
      </c>
      <c r="J55" s="85" t="s">
        <v>1163</v>
      </c>
      <c r="K55" s="86" t="s">
        <v>1164</v>
      </c>
      <c r="L55" s="87" t="s">
        <v>1165</v>
      </c>
      <c r="M55" s="84">
        <v>6.0</v>
      </c>
      <c r="N55" s="85" t="str">
        <f>IFERROR(__xludf.DUMMYFUNCTION("GOOGLETRANSLATE(B55,""zh-tw"",""zh"")"),"现在就去-4")</f>
        <v>现在就去-4</v>
      </c>
      <c r="O55" s="89" t="str">
        <f>IFERROR(__xludf.DUMMYFUNCTION("GOOGLETRANSLATE(C55,""zh-tw"",""zh"")"),"触发偷窥换衣事件，拉门完全开启，触发唯一选项")</f>
        <v>触发偷窥换衣事件，拉门完全开启，触发唯一选项</v>
      </c>
      <c r="P55" s="55" t="str">
        <f>IFERROR(__xludf.DUMMYFUNCTION("GOOGLETRANSLATE(D55,""zh-tw"",""zh"")"),"触发黑色选项(让我看看)")</f>
        <v>触发黑色选项(让我看看)</v>
      </c>
      <c r="Q55" s="84">
        <v>6.0</v>
      </c>
      <c r="R55" s="85" t="s">
        <v>1166</v>
      </c>
      <c r="S55" s="89" t="s">
        <v>1167</v>
      </c>
      <c r="T55" s="55" t="s">
        <v>1168</v>
      </c>
      <c r="U55" s="84">
        <v>6.0</v>
      </c>
      <c r="V55" s="88" t="str">
        <f>IFERROR(__xludf.DUMMYFUNCTION("GOOGLETRANSLATE(B55,""zh-tw"",""KO"")"),"지금 가세요 -4")</f>
        <v>지금 가세요 -4</v>
      </c>
      <c r="W55" s="89" t="str">
        <f>IFERROR(__xludf.DUMMYFUNCTION("GOOGLETRANSLATE(C55,""zh-tw"",""KO"")"),"옷을 갈아입는 동안 엿보는 이벤트가 트리거되고, 슬라이딩 도어가 완전히 열리고, 유일한 옵션이 트리거됩니다.")</f>
        <v>옷을 갈아입는 동안 엿보는 이벤트가 트리거되고, 슬라이딩 도어가 완전히 열리고, 유일한 옵션이 트리거됩니다.</v>
      </c>
      <c r="X55" s="55" t="str">
        <f>IFERROR(__xludf.DUMMYFUNCTION("GOOGLETRANSLATE(D55,""zh-tw"",""KO"")"),"검은색 옵션을 선택합니다(확인해 보겠습니다).")</f>
        <v>검은색 옵션을 선택합니다(확인해 보겠습니다).</v>
      </c>
      <c r="Y55" s="84">
        <v>6.0</v>
      </c>
      <c r="Z55" s="103" t="str">
        <f>IFERROR(__xludf.DUMMYFUNCTION("IF(J55="""", """", GOOGLETRANSLATE(
J55,""en"",""ru""))"),"Иди сейчас! - 4")</f>
        <v>Иди сейчас! - 4</v>
      </c>
      <c r="AA55" s="104"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44" t="str">
        <f>IFERROR(__xludf.DUMMYFUNCTION("IF(L55="""", """", GOOGLETRANSLATE(L55, ""en"", ""ru""))
"),"Появится только один вариант:
Дай посмотреть!")</f>
        <v>Появится только один вариант:
Дай посмотреть!</v>
      </c>
      <c r="AC55" s="84">
        <v>6.0</v>
      </c>
      <c r="AD55" s="85" t="s">
        <v>1169</v>
      </c>
      <c r="AE55" s="86" t="s">
        <v>1170</v>
      </c>
      <c r="AF55" s="87" t="s">
        <v>1171</v>
      </c>
      <c r="AG55" s="84">
        <v>6.0</v>
      </c>
      <c r="AH55" s="92" t="s">
        <v>1172</v>
      </c>
      <c r="AI55" s="93" t="s">
        <v>1173</v>
      </c>
      <c r="AJ55" s="94" t="s">
        <v>1174</v>
      </c>
      <c r="AK55" s="87"/>
      <c r="AL55" s="87"/>
      <c r="AM55" s="87"/>
      <c r="AN55" s="87"/>
      <c r="AO55" s="87"/>
    </row>
    <row r="56">
      <c r="A56" s="84">
        <v>7.0</v>
      </c>
      <c r="B56" s="85" t="s">
        <v>1175</v>
      </c>
      <c r="C56" s="95" t="s">
        <v>1176</v>
      </c>
      <c r="D56" s="52" t="s">
        <v>1177</v>
      </c>
      <c r="E56" s="84">
        <v>7.0</v>
      </c>
      <c r="F56" s="98" t="s">
        <v>1178</v>
      </c>
      <c r="G56" s="95" t="s">
        <v>1179</v>
      </c>
      <c r="H56" s="52" t="s">
        <v>1180</v>
      </c>
      <c r="I56" s="84">
        <v>7.0</v>
      </c>
      <c r="J56" s="98" t="s">
        <v>1181</v>
      </c>
      <c r="K56" s="95" t="s">
        <v>1182</v>
      </c>
      <c r="L56" s="52" t="s">
        <v>1183</v>
      </c>
      <c r="M56" s="84">
        <v>7.0</v>
      </c>
      <c r="N56" s="85" t="str">
        <f>IFERROR(__xludf.DUMMYFUNCTION("GOOGLETRANSLATE(B56,""zh-tw"",""zh"")"),"现在就去-5")</f>
        <v>现在就去-5</v>
      </c>
      <c r="O56" s="89" t="str">
        <f>IFERROR(__xludf.DUMMYFUNCTION("GOOGLETRANSLATE(C56,""zh-tw"",""zh"")"),"同上，拉门完全开启后，马上将门再次关闭")</f>
        <v>同上，拉门完全开启后，马上将门再次关闭</v>
      </c>
      <c r="P56" s="55" t="str">
        <f>IFERROR(__xludf.DUMMYFUNCTION("GOOGLETRANSLATE(D56,""zh-tw"",""zh"")"),"触发不同的对话
出现三个选项(包含-让我看看)")</f>
        <v>触发不同的对话
出现三个选项(包含-让我看看)</v>
      </c>
      <c r="Q56" s="84">
        <v>7.0</v>
      </c>
      <c r="R56" s="85"/>
      <c r="S56" s="89"/>
      <c r="T56" s="55"/>
      <c r="U56" s="84">
        <v>7.0</v>
      </c>
      <c r="V56" s="88" t="str">
        <f>IFERROR(__xludf.DUMMYFUNCTION("GOOGLETRANSLATE(B56,""zh-tw"",""KO"")"),"지금 -5로 가세요")</f>
        <v>지금 -5로 가세요</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다양한 대화가 시작되고 세 가지 옵션(""한번 살펴보겠습니다"")이 제시됩니다.")</f>
        <v>이렇게 하면 다양한 대화가 시작되고 세 가지 옵션("한번 살펴보겠습니다")이 제시됩니다.</v>
      </c>
      <c r="Y56" s="84">
        <v>7.0</v>
      </c>
      <c r="Z56" s="103" t="str">
        <f>IFERROR(__xludf.DUMMYFUNCTION("IF(J56="""", """", GOOGLETRANSLATE(
J56,""en"",""ru""))"),"Иди сейчас! - 5")</f>
        <v>Иди сейчас! - 5</v>
      </c>
      <c r="AA56" s="104"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44" t="str">
        <f>IFERROR(__xludf.DUMMYFUNCTION("IF(L56="""", """", GOOGLETRANSLATE(L56, ""en"", ""ru""))
"),"Открывает другой диалог. Появятся три варианта.")</f>
        <v>Открывает другой диалог. Появятся три варианта.</v>
      </c>
      <c r="AC56" s="84">
        <v>7.0</v>
      </c>
      <c r="AD56" s="98" t="s">
        <v>1184</v>
      </c>
      <c r="AE56" s="95" t="s">
        <v>1185</v>
      </c>
      <c r="AF56" s="52" t="s">
        <v>1186</v>
      </c>
      <c r="AG56" s="84">
        <v>7.0</v>
      </c>
      <c r="AH56" s="92" t="s">
        <v>1187</v>
      </c>
      <c r="AI56" s="93" t="s">
        <v>1188</v>
      </c>
      <c r="AJ56" s="94" t="s">
        <v>1189</v>
      </c>
      <c r="AK56" s="52"/>
      <c r="AL56" s="52"/>
      <c r="AM56" s="52"/>
      <c r="AN56" s="52"/>
      <c r="AO56" s="52"/>
    </row>
    <row r="57">
      <c r="A57" s="107">
        <v>8.0</v>
      </c>
      <c r="B57" s="85" t="s">
        <v>1190</v>
      </c>
      <c r="C57" s="95" t="s">
        <v>1191</v>
      </c>
      <c r="D57" s="87" t="s">
        <v>1192</v>
      </c>
      <c r="E57" s="107">
        <v>8.0</v>
      </c>
      <c r="F57" s="85" t="s">
        <v>1193</v>
      </c>
      <c r="G57" s="86" t="s">
        <v>1194</v>
      </c>
      <c r="H57" s="87" t="s">
        <v>1195</v>
      </c>
      <c r="I57" s="107">
        <v>8.0</v>
      </c>
      <c r="J57" s="85" t="s">
        <v>1196</v>
      </c>
      <c r="K57" s="86" t="s">
        <v>1197</v>
      </c>
      <c r="L57" s="87" t="s">
        <v>1198</v>
      </c>
      <c r="M57" s="107">
        <v>8.0</v>
      </c>
      <c r="N57" s="85" t="str">
        <f>IFERROR(__xludf.DUMMYFUNCTION("GOOGLETRANSLATE(B57,""zh-tw"",""zh"")"),"让我看看...-1")</f>
        <v>让我看看...-1</v>
      </c>
      <c r="O57" s="89" t="str">
        <f>IFERROR(__xludf.DUMMYFUNCTION("GOOGLETRANSLATE(C57,""zh-tw"",""zh"")"),"被妹妹拒绝")</f>
        <v>被妹妹拒绝</v>
      </c>
      <c r="P57" s="55" t="str">
        <f>IFERROR(__xludf.DUMMYFUNCTION("GOOGLETRANSLATE(D57,""zh-tw"",""zh"")"),"哥哥是笨蛋！")</f>
        <v>哥哥是笨蛋！</v>
      </c>
      <c r="Q57" s="107">
        <v>8.0</v>
      </c>
      <c r="R57" s="85" t="s">
        <v>1199</v>
      </c>
      <c r="S57" s="89" t="s">
        <v>1200</v>
      </c>
      <c r="T57" s="55" t="s">
        <v>1201</v>
      </c>
      <c r="U57" s="107">
        <v>8.0</v>
      </c>
      <c r="V57" s="88" t="str">
        <f>IFERROR(__xludf.DUMMYFUNCTION("GOOGLETRANSLATE(B57,""zh-tw"",""KO"")"),"한번 보자...-1")</f>
        <v>한번 보자...-1</v>
      </c>
      <c r="W57" s="89" t="str">
        <f>IFERROR(__xludf.DUMMYFUNCTION("GOOGLETRANSLATE(C57,""zh-tw"",""KO"")"),"언니에게 거절당함")</f>
        <v>언니에게 거절당함</v>
      </c>
      <c r="X57" s="55" t="str">
        <f>IFERROR(__xludf.DUMMYFUNCTION("GOOGLETRANSLATE(D57,""zh-tw"",""KO"")"),"내 동생은 바보야!")</f>
        <v>내 동생은 바보야!</v>
      </c>
      <c r="Y57" s="107">
        <v>8.0</v>
      </c>
      <c r="Z57" s="103" t="str">
        <f>IFERROR(__xludf.DUMMYFUNCTION("IF(J57="""", """", GOOGLETRANSLATE(
J57,""en"",""ru""))"),"Дай-ка подумать... - 1")</f>
        <v>Дай-ка подумать... - 1</v>
      </c>
      <c r="AA57" s="104" t="str">
        <f>IFERROR(__xludf.DUMMYFUNCTION("IF(K57="""", """", GOOGLETRANSLATE(K57,""en"",""RU""))"),"Если ваша благосклонность ниже 2, вам будет отказано.")</f>
        <v>Если ваша благосклонность ниже 2, вам будет отказано.</v>
      </c>
      <c r="AB57" s="44" t="str">
        <f>IFERROR(__xludf.DUMMYFUNCTION("IF(L57="""", """", GOOGLETRANSLATE(L57, ""en"", ""ru""))
"),"Братик, ты бака!! (бака = идиот/дурак)")</f>
        <v>Братик, ты бака!! (бака = идиот/дурак)</v>
      </c>
      <c r="AC57" s="107">
        <v>8.0</v>
      </c>
      <c r="AD57" s="85" t="s">
        <v>1202</v>
      </c>
      <c r="AE57" s="86" t="s">
        <v>1203</v>
      </c>
      <c r="AF57" s="87" t="s">
        <v>1204</v>
      </c>
      <c r="AG57" s="107">
        <v>8.0</v>
      </c>
      <c r="AH57" s="92" t="s">
        <v>1205</v>
      </c>
      <c r="AI57" s="93" t="s">
        <v>1206</v>
      </c>
      <c r="AJ57" s="94" t="s">
        <v>1207</v>
      </c>
      <c r="AK57" s="87"/>
      <c r="AL57" s="87"/>
      <c r="AM57" s="87"/>
      <c r="AN57" s="87"/>
      <c r="AO57" s="87"/>
    </row>
    <row r="58">
      <c r="A58" s="84">
        <v>9.0</v>
      </c>
      <c r="B58" s="98" t="s">
        <v>1208</v>
      </c>
      <c r="C58" s="95" t="s">
        <v>1209</v>
      </c>
      <c r="D58" s="52" t="s">
        <v>1210</v>
      </c>
      <c r="E58" s="84">
        <v>9.0</v>
      </c>
      <c r="F58" s="85" t="s">
        <v>1211</v>
      </c>
      <c r="G58" s="86" t="s">
        <v>1212</v>
      </c>
      <c r="H58" s="87" t="s">
        <v>1213</v>
      </c>
      <c r="I58" s="84">
        <v>9.0</v>
      </c>
      <c r="J58" s="85" t="s">
        <v>1214</v>
      </c>
      <c r="K58" s="86" t="s">
        <v>1215</v>
      </c>
      <c r="L58" s="52" t="s">
        <v>1216</v>
      </c>
      <c r="M58" s="84">
        <v>9.0</v>
      </c>
      <c r="N58" s="85" t="str">
        <f>IFERROR(__xludf.DUMMYFUNCTION("GOOGLETRANSLATE(B58,""zh-tw"",""zh"")"),"让我看看...-2
""想要色色""")</f>
        <v>让我看看...-2
"想要色色"</v>
      </c>
      <c r="O58" s="89"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55" t="str">
        <f>IFERROR(__xludf.DUMMYFUNCTION("GOOGLETRANSLATE(D58,""zh-tw"",""zh"")"),"执行""想要色色""选项
后续依照贿络结果，触发后续剧情(贿络未实装)")</f>
        <v>执行"想要色色"选项
后续依照贿络结果，触发后续剧情(贿络未实装)</v>
      </c>
      <c r="Q58" s="84">
        <v>9.0</v>
      </c>
      <c r="R58" s="88" t="s">
        <v>1217</v>
      </c>
      <c r="S58" s="100" t="s">
        <v>1218</v>
      </c>
      <c r="T58" s="101" t="s">
        <v>1219</v>
      </c>
      <c r="U58" s="84">
        <v>9.0</v>
      </c>
      <c r="V58" s="88" t="str">
        <f>IFERROR(__xludf.DUMMYFUNCTION("GOOGLETRANSLATE(B58,""zh-tw"",""KO"")"),"어디 보자... -2
""섹스하고 싶어""")</f>
        <v>어디 보자... -2
"섹스하고 싶어"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9.0</v>
      </c>
      <c r="Z58" s="103" t="str">
        <f>IFERROR(__xludf.DUMMYFUNCTION("IF(J58="""", """", GOOGLETRANSLATE(
J58,""en"",""ru""))"),"Дай-ка подумать... - 2")</f>
        <v>Дай-ка подумать... - 2</v>
      </c>
      <c r="AA58" s="104"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4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9.0</v>
      </c>
      <c r="AD58" s="85" t="s">
        <v>1220</v>
      </c>
      <c r="AE58" s="86" t="s">
        <v>1221</v>
      </c>
      <c r="AF58" s="87" t="s">
        <v>1222</v>
      </c>
      <c r="AG58" s="84">
        <v>9.0</v>
      </c>
      <c r="AH58" s="92" t="s">
        <v>1223</v>
      </c>
      <c r="AI58" s="93" t="s">
        <v>1224</v>
      </c>
      <c r="AJ58" s="94" t="s">
        <v>1225</v>
      </c>
      <c r="AK58" s="52"/>
      <c r="AL58" s="52"/>
      <c r="AM58" s="52"/>
      <c r="AN58" s="52"/>
      <c r="AO58" s="52"/>
    </row>
    <row r="59">
      <c r="A59" s="84">
        <v>10.0</v>
      </c>
      <c r="B59" s="98" t="s">
        <v>1226</v>
      </c>
      <c r="C59" s="86" t="s">
        <v>1227</v>
      </c>
      <c r="D59" s="52" t="s">
        <v>1228</v>
      </c>
      <c r="E59" s="84">
        <v>10.0</v>
      </c>
      <c r="F59" s="85" t="s">
        <v>1229</v>
      </c>
      <c r="G59" s="86" t="s">
        <v>1230</v>
      </c>
      <c r="H59" s="87" t="s">
        <v>1231</v>
      </c>
      <c r="I59" s="84">
        <v>10.0</v>
      </c>
      <c r="J59" s="85" t="s">
        <v>1232</v>
      </c>
      <c r="K59" s="86" t="s">
        <v>1233</v>
      </c>
      <c r="L59" s="87" t="s">
        <v>1234</v>
      </c>
      <c r="M59" s="84">
        <v>10.0</v>
      </c>
      <c r="N59" s="85" t="str">
        <f>IFERROR(__xludf.DUMMYFUNCTION("GOOGLETRANSLATE(B59,""zh-tw"",""zh"")"),"让我看看...-3
""想要色色""")</f>
        <v>让我看看...-3
"想要色色"</v>
      </c>
      <c r="O59" s="89" t="str">
        <f>IFERROR(__xludf.DUMMYFUNCTION("GOOGLETRANSLATE(C59,""zh-tw"",""zh"")"),"同上，被拒绝时，使用""什么都行券""")</f>
        <v>同上，被拒绝时，使用"什么都行券"</v>
      </c>
      <c r="P59" s="55" t="str">
        <f>IFERROR(__xludf.DUMMYFUNCTION("GOOGLETRANSLATE(D59,""zh-tw"",""zh"")"),"执行""想要色色""选项
后续使用""什么都行券""必定可以触发后续剧情(未实装)")</f>
        <v>执行"想要色色"选项
后续使用"什么都行券"必定可以触发后续剧情(未实装)</v>
      </c>
      <c r="Q59" s="84">
        <v>10.0</v>
      </c>
      <c r="R59" s="88" t="s">
        <v>1235</v>
      </c>
      <c r="S59" s="100" t="s">
        <v>1236</v>
      </c>
      <c r="T59" s="101" t="s">
        <v>1237</v>
      </c>
      <c r="U59" s="84">
        <v>10.0</v>
      </c>
      <c r="V59" s="88" t="str">
        <f>IFERROR(__xludf.DUMMYFUNCTION("GOOGLETRANSLATE(B59,""zh-tw"",""KO"")"),"어디 보자... -3
""섹시해지고 싶어""")</f>
        <v>어디 보자... -3
"섹시해지고 싶어"</v>
      </c>
      <c r="W59" s="89" t="str">
        <f>IFERROR(__xludf.DUMMYFUNCTION("GOOGLETRANSLATE(C59,""zh-tw"",""KO"")"),"마찬가지로, 거부된 경우 ""무엇이든 허용"" 쿠폰을 사용하세요.")</f>
        <v>마찬가지로, 거부된 경우 "무엇이든 허용" 쿠폰을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10.0</v>
      </c>
      <c r="Z59" s="103" t="str">
        <f>IFERROR(__xludf.DUMMYFUNCTION("IF(J59="""", """", GOOGLETRANSLATE(
J59,""en"",""ru""))"),"Дай-ка подумать... - 3")</f>
        <v>Дай-ка подумать... - 3</v>
      </c>
      <c r="AA59" s="104"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44" t="str">
        <f>IFERROR(__xludf.DUMMYFUNCTION("IF(L59="""", """", GOOGLETRANSLATE(L59, ""en"", ""ru""))
"),"Запускает связанные события. (Пока не реализовано)")</f>
        <v>Запускает связанные события. (Пока не реализовано)</v>
      </c>
      <c r="AC59" s="84">
        <v>10.0</v>
      </c>
      <c r="AD59" s="85" t="s">
        <v>1238</v>
      </c>
      <c r="AE59" s="86" t="s">
        <v>1239</v>
      </c>
      <c r="AF59" s="87" t="s">
        <v>1240</v>
      </c>
      <c r="AG59" s="84">
        <v>10.0</v>
      </c>
      <c r="AH59" s="92" t="s">
        <v>1241</v>
      </c>
      <c r="AI59" s="93" t="s">
        <v>1242</v>
      </c>
      <c r="AJ59" s="94" t="s">
        <v>1243</v>
      </c>
      <c r="AK59" s="52"/>
      <c r="AL59" s="52"/>
      <c r="AM59" s="52"/>
      <c r="AN59" s="52"/>
      <c r="AO59" s="52"/>
    </row>
    <row r="60">
      <c r="A60" s="107">
        <v>11.0</v>
      </c>
      <c r="B60" s="98" t="s">
        <v>1244</v>
      </c>
      <c r="C60" s="95" t="s">
        <v>1245</v>
      </c>
      <c r="D60" s="52" t="s">
        <v>1246</v>
      </c>
      <c r="E60" s="107">
        <v>11.0</v>
      </c>
      <c r="F60" s="85" t="s">
        <v>1247</v>
      </c>
      <c r="G60" s="86" t="s">
        <v>1248</v>
      </c>
      <c r="H60" s="52" t="s">
        <v>1249</v>
      </c>
      <c r="I60" s="107">
        <v>11.0</v>
      </c>
      <c r="J60" s="98" t="s">
        <v>1250</v>
      </c>
      <c r="K60" s="95" t="s">
        <v>1251</v>
      </c>
      <c r="L60" s="52" t="s">
        <v>1252</v>
      </c>
      <c r="M60" s="107">
        <v>11.0</v>
      </c>
      <c r="N60" s="85" t="str">
        <f>IFERROR(__xludf.DUMMYFUNCTION("GOOGLETRANSLATE(B60,""zh-tw"",""zh"")"),"让我看看...-4
""想要色色""")</f>
        <v>让我看看...-4
"想要色色"</v>
      </c>
      <c r="O60" s="89" t="str">
        <f>IFERROR(__xludf.DUMMYFUNCTION("GOOGLETRANSLATE(C60,""zh-tw"",""zh"")"),"同上，当紫心1以上、红心2以上，可以触发剧情")</f>
        <v>同上，当紫心1以上、红心2以上，可以触发剧情</v>
      </c>
      <c r="P60" s="55" t="str">
        <f>IFERROR(__xludf.DUMMYFUNCTION("GOOGLETRANSLATE(D60,""zh-tw"",""zh"")"),"执行""想要色色""选项
触发用手服务的剧情")</f>
        <v>执行"想要色色"选项
触发用手服务的剧情</v>
      </c>
      <c r="Q60" s="107">
        <v>11.0</v>
      </c>
      <c r="R60" s="88" t="s">
        <v>1253</v>
      </c>
      <c r="S60" s="100" t="s">
        <v>1254</v>
      </c>
      <c r="T60" s="101" t="s">
        <v>1255</v>
      </c>
      <c r="U60" s="107">
        <v>11.0</v>
      </c>
      <c r="V60" s="88" t="str">
        <f>IFERROR(__xludf.DUMMYFUNCTION("GOOGLETRANSLATE(B60,""zh-tw"",""KO"")"),"어디 보자... -4
""섹스하고 싶어""")</f>
        <v>어디 보자... -4
"섹스하고 싶어"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IFERROR(__xludf.DUMMYFUNCTION("GOOGLETRANSLATE(D60,""zh-tw"",""KO"")"),"""에로티시즘을 원해"" 옵션을 실행하세요.
손을 사용하여 성관계를 하는 장면이 트리거됩니다.")</f>
        <v>"에로티시즘을 원해" 옵션을 실행하세요.
손을 사용하여 성관계를 하는 장면이 트리거됩니다.</v>
      </c>
      <c r="Y60" s="107">
        <v>11.0</v>
      </c>
      <c r="Z60" s="103" t="str">
        <f>IFERROR(__xludf.DUMMYFUNCTION("IF(J60="""", """", GOOGLETRANSLATE(
J60,""en"",""ru""))"),"Хочу похотливого")</f>
        <v>Хочу похотливого</v>
      </c>
      <c r="AA60" s="104"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4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107">
        <v>11.0</v>
      </c>
      <c r="AD60" s="85" t="s">
        <v>1256</v>
      </c>
      <c r="AE60" s="86" t="s">
        <v>1257</v>
      </c>
      <c r="AF60" s="87" t="s">
        <v>1258</v>
      </c>
      <c r="AG60" s="107">
        <v>11.0</v>
      </c>
      <c r="AH60" s="92" t="s">
        <v>1259</v>
      </c>
      <c r="AI60" s="100" t="s">
        <v>1260</v>
      </c>
      <c r="AJ60" s="94" t="s">
        <v>1261</v>
      </c>
      <c r="AK60" s="52"/>
      <c r="AL60" s="52"/>
      <c r="AM60" s="52"/>
      <c r="AN60" s="52"/>
      <c r="AO60" s="52"/>
    </row>
    <row r="61">
      <c r="A61" s="84">
        <v>12.0</v>
      </c>
      <c r="B61" s="85" t="s">
        <v>1262</v>
      </c>
      <c r="C61" s="86" t="s">
        <v>1263</v>
      </c>
      <c r="D61" s="87" t="s">
        <v>1264</v>
      </c>
      <c r="E61" s="84">
        <v>12.0</v>
      </c>
      <c r="F61" s="85" t="s">
        <v>1265</v>
      </c>
      <c r="G61" s="86" t="s">
        <v>1266</v>
      </c>
      <c r="H61" s="87" t="s">
        <v>1267</v>
      </c>
      <c r="I61" s="84">
        <v>12.0</v>
      </c>
      <c r="J61" s="98" t="s">
        <v>1268</v>
      </c>
      <c r="K61" s="95" t="s">
        <v>1269</v>
      </c>
      <c r="L61" s="52" t="s">
        <v>1270</v>
      </c>
      <c r="M61" s="84">
        <v>12.0</v>
      </c>
      <c r="N61" s="85" t="str">
        <f>IFERROR(__xludf.DUMMYFUNCTION("GOOGLETRANSLATE(B61,""zh-tw"",""zh"")"),"再等会")</f>
        <v>再等会</v>
      </c>
      <c r="O61" s="89" t="str">
        <f>IFERROR(__xludf.DUMMYFUNCTION("GOOGLETRANSLATE(C61,""zh-tw"",""zh"")"),"跳过偷窥换衣事件，保证安全潜入洗面所")</f>
        <v>跳过偷窥换衣事件，保证安全潜入洗面所</v>
      </c>
      <c r="P61" s="55" t="str">
        <f>IFERROR(__xludf.DUMMYFUNCTION("GOOGLETRANSLATE(D61,""zh-tw"",""zh"")"),"安全潜入洗面所")</f>
        <v>安全潜入洗面所</v>
      </c>
      <c r="Q61" s="84">
        <v>12.0</v>
      </c>
      <c r="R61" s="115" t="s">
        <v>1271</v>
      </c>
      <c r="S61" s="100" t="s">
        <v>1272</v>
      </c>
      <c r="T61" s="101" t="s">
        <v>1273</v>
      </c>
      <c r="U61" s="84">
        <v>12.0</v>
      </c>
      <c r="V61" s="88" t="str">
        <f>IFERROR(__xludf.DUMMYFUNCTION("GOOGLETRANSLATE(B61,""zh-tw"",""KO"")"),"잠깐만 기다려요")</f>
        <v>잠깐만 기다려요</v>
      </c>
      <c r="W61" s="89" t="str">
        <f>IFERROR(__xludf.DUMMYFUNCTION("GOOGLETRANSLATE(C61,""zh-tw"",""KO"")"),"옷을 갈아입을 때 엿보는 일이 없도록 하면 목욕탕에 안전하게 들어갈 수 있습니다.")</f>
        <v>옷을 갈아입을 때 엿보는 일이 없도록 하면 목욕탕에 안전하게 들어갈 수 있습니다.</v>
      </c>
      <c r="X61" s="55" t="str">
        <f>IFERROR(__xludf.DUMMYFUNCTION("GOOGLETRANSLATE(D61,""zh-tw"",""KO"")"),"세안제에 안전하게 침투")</f>
        <v>세안제에 안전하게 침투</v>
      </c>
      <c r="Y61" s="84">
        <v>12.0</v>
      </c>
      <c r="Z61" s="103" t="str">
        <f>IFERROR(__xludf.DUMMYFUNCTION("IF(J61="""", """", GOOGLETRANSLATE(
J61,""en"",""ru""))"),"Подожди немного")</f>
        <v>Подожди немного</v>
      </c>
      <c r="AA61" s="104"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44" t="str">
        <f>IFERROR(__xludf.DUMMYFUNCTION("IF(L61="""", """", GOOGLETRANSLATE(L61, ""en"", ""ru""))
"),"Безопасно пробраться в туалет")</f>
        <v>Безопасно пробраться в туалет</v>
      </c>
      <c r="AC61" s="84">
        <v>12.0</v>
      </c>
      <c r="AD61" s="85" t="s">
        <v>1274</v>
      </c>
      <c r="AE61" s="86" t="s">
        <v>1275</v>
      </c>
      <c r="AF61" s="87" t="s">
        <v>1276</v>
      </c>
      <c r="AG61" s="84">
        <v>12.0</v>
      </c>
      <c r="AH61" s="92" t="s">
        <v>1277</v>
      </c>
      <c r="AI61" s="93" t="s">
        <v>1278</v>
      </c>
      <c r="AJ61" s="94" t="s">
        <v>1279</v>
      </c>
      <c r="AK61" s="87"/>
      <c r="AL61" s="87"/>
      <c r="AM61" s="87"/>
      <c r="AN61" s="87"/>
      <c r="AO61" s="87"/>
    </row>
    <row r="62">
      <c r="A62" s="84">
        <v>13.0</v>
      </c>
      <c r="B62" s="85" t="s">
        <v>1280</v>
      </c>
      <c r="C62" s="86" t="s">
        <v>1281</v>
      </c>
      <c r="D62" s="87" t="s">
        <v>1282</v>
      </c>
      <c r="E62" s="84">
        <v>13.0</v>
      </c>
      <c r="F62" s="85" t="str">
        <f>IFERROR(__xludf.DUMMYFUNCTION("GOOGLETRANSLATE(B62,""zh-tw"",""ja"")"),"最初のダイビング")</f>
        <v>最初のダイビング</v>
      </c>
      <c r="G62" s="86" t="s">
        <v>1283</v>
      </c>
      <c r="H62" s="87" t="s">
        <v>1284</v>
      </c>
      <c r="I62" s="84">
        <v>13.0</v>
      </c>
      <c r="J62" s="85" t="s">
        <v>1285</v>
      </c>
      <c r="K62" s="86" t="s">
        <v>1286</v>
      </c>
      <c r="L62" s="87" t="s">
        <v>1287</v>
      </c>
      <c r="M62" s="84">
        <v>13.0</v>
      </c>
      <c r="N62" s="85" t="str">
        <f>IFERROR(__xludf.DUMMYFUNCTION("GOOGLETRANSLATE(B62,""zh-tw"",""zh"")"),"第一次潜入")</f>
        <v>第一次潜入</v>
      </c>
      <c r="O62" s="89" t="str">
        <f>IFERROR(__xludf.DUMMYFUNCTION("GOOGLETRANSLATE(C62,""zh-tw"",""zh"")"),"第一次于洗面所潜入，属于特殊剧情")</f>
        <v>第一次于洗面所潜入，属于特殊剧情</v>
      </c>
      <c r="P62" s="55" t="str">
        <f>IFERROR(__xludf.DUMMYFUNCTION("GOOGLETRANSLATE(D62,""zh-tw"",""zh"")"),"※一次性事件
只能探索一下就必须离开")</f>
        <v>※一次性事件
只能探索一下就必须离开</v>
      </c>
      <c r="Q62" s="84">
        <v>13.0</v>
      </c>
      <c r="R62" s="88" t="s">
        <v>1288</v>
      </c>
      <c r="S62" s="89" t="str">
        <f>IFERROR(__xludf.DUMMYFUNCTION("GOOGLETRANSLATE(C62,""zh-tw"",""es-MX"")"),"La primera infiltración en el baño forma parte de una trama especial.")</f>
        <v>La primera infiltración en el baño forma parte de una trama especial.</v>
      </c>
      <c r="T62" s="55" t="s">
        <v>1289</v>
      </c>
      <c r="U62" s="84">
        <v>13.0</v>
      </c>
      <c r="V62" s="88" t="str">
        <f>IFERROR(__xludf.DUMMYFUNCTION("GOOGLETRANSLATE(B62,""zh-tw"",""KO"")"),"첫 번째 다이빙")</f>
        <v>첫 번째 다이빙</v>
      </c>
      <c r="W62" s="89" t="s">
        <v>1290</v>
      </c>
      <c r="X62" s="55" t="s">
        <v>1291</v>
      </c>
      <c r="Y62" s="84">
        <v>13.0</v>
      </c>
      <c r="Z62" s="103" t="s">
        <v>1292</v>
      </c>
      <c r="AA62" s="104" t="s">
        <v>1293</v>
      </c>
      <c r="AB62" s="44" t="s">
        <v>1294</v>
      </c>
      <c r="AC62" s="84">
        <v>13.0</v>
      </c>
      <c r="AD62" s="85" t="s">
        <v>1295</v>
      </c>
      <c r="AE62" s="86" t="s">
        <v>1296</v>
      </c>
      <c r="AF62" s="87" t="s">
        <v>1297</v>
      </c>
      <c r="AG62" s="84">
        <v>13.0</v>
      </c>
      <c r="AH62" s="92" t="s">
        <v>1298</v>
      </c>
      <c r="AI62" s="93" t="s">
        <v>1299</v>
      </c>
      <c r="AJ62" s="94" t="s">
        <v>1300</v>
      </c>
      <c r="AK62" s="87"/>
      <c r="AL62" s="87"/>
      <c r="AM62" s="87"/>
      <c r="AN62" s="87"/>
      <c r="AO62" s="87"/>
    </row>
    <row r="63">
      <c r="A63" s="107">
        <v>14.0</v>
      </c>
      <c r="B63" s="85" t="s">
        <v>1301</v>
      </c>
      <c r="C63" s="86" t="s">
        <v>1302</v>
      </c>
      <c r="D63" s="87" t="s">
        <v>1303</v>
      </c>
      <c r="E63" s="107">
        <v>14.0</v>
      </c>
      <c r="F63" s="85" t="s">
        <v>1304</v>
      </c>
      <c r="G63" s="86" t="s">
        <v>1305</v>
      </c>
      <c r="H63" s="87" t="s">
        <v>1306</v>
      </c>
      <c r="I63" s="107">
        <v>14.0</v>
      </c>
      <c r="J63" s="85" t="s">
        <v>1307</v>
      </c>
      <c r="K63" s="86" t="s">
        <v>1308</v>
      </c>
      <c r="L63" s="87" t="s">
        <v>1309</v>
      </c>
      <c r="M63" s="107">
        <v>14.0</v>
      </c>
      <c r="N63" s="85" t="str">
        <f>IFERROR(__xludf.DUMMYFUNCTION("GOOGLETRANSLATE(B63,""zh-tw"",""zh"")"),"胖次！")</f>
        <v>胖次！</v>
      </c>
      <c r="O63" s="89" t="str">
        <f>IFERROR(__xludf.DUMMYFUNCTION("GOOGLETRANSLATE(C63,""zh-tw"",""zh"")"),"潜入时，偷拿内裤，并被发现")</f>
        <v>潜入时，偷拿内裤，并被发现</v>
      </c>
      <c r="P63" s="55" t="str">
        <f>IFERROR(__xludf.DUMMYFUNCTION("GOOGLETRANSLATE(D63,""zh-tw"",""zh"")"),"特殊剧情
获得道具:妹妹脱下的内裤")</f>
        <v>特殊剧情
获得道具:妹妹脱下的内裤</v>
      </c>
      <c r="Q63" s="107">
        <v>14.0</v>
      </c>
      <c r="R63" s="88" t="s">
        <v>1310</v>
      </c>
      <c r="S63" s="89" t="s">
        <v>1311</v>
      </c>
      <c r="T63" s="55" t="s">
        <v>1312</v>
      </c>
      <c r="U63" s="107">
        <v>14.0</v>
      </c>
      <c r="V63" s="88" t="str">
        <f>IFERROR(__xludf.DUMMYFUNCTION("GOOGLETRANSLATE(B63,""zh-tw"",""KO"")"),"팬티!")</f>
        <v>팬티!</v>
      </c>
      <c r="W63" s="89" t="str">
        <f>IFERROR(__xludf.DUMMYFUNCTION("GOOGLETRANSLATE(C63,""zh-tw"",""KO"")"),"그는 집에 침입하여 속옷을 훔쳤고 발각되었습니다.")</f>
        <v>그는 집에 침입하여 속옷을 훔쳤고 발각되었습니다.</v>
      </c>
      <c r="X63" s="55" t="str">
        <f>IFERROR(__xludf.DUMMYFUNCTION("GOOGLETRANSLATE(D63,""zh-tw"",""KO"")"),"특별 이벤트
획득 아이템: 언니의 속옷")</f>
        <v>특별 이벤트
획득 아이템: 언니의 속옷</v>
      </c>
      <c r="Y63" s="107">
        <v>14.0</v>
      </c>
      <c r="Z63" s="103" t="str">
        <f>IFERROR(__xludf.DUMMYFUNCTION("IF(J63="""", """", GOOGLETRANSLATE(
J63,""en"",""ru""))"),"Трусики!")</f>
        <v>Трусики!</v>
      </c>
      <c r="AA63" s="104"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4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107">
        <v>14.0</v>
      </c>
      <c r="AD63" s="85" t="s">
        <v>1313</v>
      </c>
      <c r="AE63" s="86" t="s">
        <v>1314</v>
      </c>
      <c r="AF63" s="87" t="s">
        <v>1315</v>
      </c>
      <c r="AG63" s="107">
        <v>14.0</v>
      </c>
      <c r="AH63" s="92" t="s">
        <v>1316</v>
      </c>
      <c r="AI63" s="93" t="s">
        <v>1317</v>
      </c>
      <c r="AJ63" s="94" t="s">
        <v>1318</v>
      </c>
      <c r="AK63" s="87"/>
      <c r="AL63" s="87"/>
      <c r="AM63" s="87"/>
      <c r="AN63" s="87"/>
      <c r="AO63" s="87"/>
    </row>
    <row r="64">
      <c r="A64" s="84">
        <v>15.0</v>
      </c>
      <c r="B64" s="85" t="s">
        <v>1319</v>
      </c>
      <c r="C64" s="86" t="s">
        <v>1320</v>
      </c>
      <c r="D64" s="87" t="s">
        <v>1321</v>
      </c>
      <c r="E64" s="84">
        <v>15.0</v>
      </c>
      <c r="F64" s="85" t="s">
        <v>1322</v>
      </c>
      <c r="G64" s="86" t="s">
        <v>1323</v>
      </c>
      <c r="H64" s="87" t="s">
        <v>1324</v>
      </c>
      <c r="I64" s="84">
        <v>15.0</v>
      </c>
      <c r="J64" s="85" t="s">
        <v>1325</v>
      </c>
      <c r="K64" s="95" t="s">
        <v>1326</v>
      </c>
      <c r="L64" s="87" t="s">
        <v>1327</v>
      </c>
      <c r="M64" s="84">
        <v>15.0</v>
      </c>
      <c r="N64" s="85" t="str">
        <f>IFERROR(__xludf.DUMMYFUNCTION("GOOGLETRANSLATE(B64,""zh-tw"",""zh"")"),"手的温度-1")</f>
        <v>手的温度-1</v>
      </c>
      <c r="O64" s="89" t="str">
        <f>IFERROR(__xludf.DUMMYFUNCTION("GOOGLETRANSLATE(C64,""zh-tw"",""zh"")"),"第二次偷内衣时被发现，并且当爱心达到6，即可触发。")</f>
        <v>第二次偷内衣时被发现，并且当爱心达到6，即可触发。</v>
      </c>
      <c r="P64" s="55" t="str">
        <f>IFERROR(__xludf.DUMMYFUNCTION("GOOGLETRANSLATE(D64,""zh-tw"",""zh"")"),"妹妹用手来服务的特殊剧情
*目前实装3种内裤")</f>
        <v>妹妹用手来服务的特殊剧情
*目前实装3种内裤</v>
      </c>
      <c r="Q64" s="84">
        <v>15.0</v>
      </c>
      <c r="R64" s="88" t="s">
        <v>1328</v>
      </c>
      <c r="S64" s="89" t="s">
        <v>1329</v>
      </c>
      <c r="T64" s="55" t="str">
        <f>IFERROR(__xludf.DUMMYFUNCTION("GOOGLETRANSLATE(D64,""zh-tw"",""es-MX"")"),"Historia especial en la que la hermana menor usa sus manos.
*Actualmente, hay 3 tipos de ropa interior disponibles.")</f>
        <v>Historia especial en la que la hermana menor usa sus manos.
*Actualmente, hay 3 tipos de ropa interior disponibles.</v>
      </c>
      <c r="U64" s="84">
        <v>15.0</v>
      </c>
      <c r="V64" s="88" t="str">
        <f>IFERROR(__xludf.DUMMYFUNCTION("GOOGLETRANSLATE(B64,""zh-tw"",""KO"")"),"손 온도 -1")</f>
        <v>손 온도 -1</v>
      </c>
      <c r="W64" s="89" t="str">
        <f>IFERROR(__xludf.DUMMYFUNCTION("GOOGLETRANSLATE(C64,""zh-tw"",""KO"")"),"두 번째로 속옷을 훔친 것이 적발되고 하트 수가 6에 도달하면 이벤트가 발생합니다.")</f>
        <v>두 번째로 속옷을 훔친 것이 적발되고 하트 수가 6에 도달하면 이벤트가 발생합니다.</v>
      </c>
      <c r="X64" s="55" t="str">
        <f>IFERROR(__xludf.DUMMYFUNCTION("GOOGLETRANSLATE(D64,""zh-tw"",""KO"")"),"여동생이 손을 사용하는 특별한 스토리
*현재 3가지 종류의 속옷이 구현되어 있습니다.")</f>
        <v>여동생이 손을 사용하는 특별한 스토리
*현재 3가지 종류의 속옷이 구현되어 있습니다.</v>
      </c>
      <c r="Y64" s="84">
        <v>15.0</v>
      </c>
      <c r="Z64" s="103" t="s">
        <v>1330</v>
      </c>
      <c r="AA64" s="104" t="s">
        <v>1331</v>
      </c>
      <c r="AB64" s="44" t="s">
        <v>1332</v>
      </c>
      <c r="AC64" s="84">
        <v>15.0</v>
      </c>
      <c r="AD64" s="85" t="s">
        <v>1333</v>
      </c>
      <c r="AE64" s="86" t="s">
        <v>1334</v>
      </c>
      <c r="AF64" s="87" t="s">
        <v>1335</v>
      </c>
      <c r="AG64" s="84">
        <v>15.0</v>
      </c>
      <c r="AH64" s="92" t="s">
        <v>1336</v>
      </c>
      <c r="AI64" s="93" t="s">
        <v>1337</v>
      </c>
      <c r="AJ64" s="94" t="s">
        <v>1338</v>
      </c>
      <c r="AK64" s="87"/>
      <c r="AL64" s="87"/>
      <c r="AM64" s="87"/>
      <c r="AN64" s="87"/>
      <c r="AO64" s="87"/>
    </row>
    <row r="65">
      <c r="A65" s="84">
        <v>16.0</v>
      </c>
      <c r="B65" s="85" t="s">
        <v>1339</v>
      </c>
      <c r="C65" s="86" t="s">
        <v>1340</v>
      </c>
      <c r="D65" s="87" t="s">
        <v>1341</v>
      </c>
      <c r="E65" s="84">
        <v>16.0</v>
      </c>
      <c r="F65" s="85" t="s">
        <v>1342</v>
      </c>
      <c r="G65" s="86" t="s">
        <v>1343</v>
      </c>
      <c r="H65" s="87" t="s">
        <v>1344</v>
      </c>
      <c r="I65" s="84">
        <v>16.0</v>
      </c>
      <c r="J65" s="85" t="s">
        <v>1345</v>
      </c>
      <c r="K65" s="86" t="s">
        <v>1346</v>
      </c>
      <c r="L65" s="87" t="s">
        <v>1347</v>
      </c>
      <c r="M65" s="84">
        <v>16.0</v>
      </c>
      <c r="N65" s="85" t="str">
        <f>IFERROR(__xludf.DUMMYFUNCTION("GOOGLETRANSLATE(B65,""zh-tw"",""zh"")"),"手的温度-2")</f>
        <v>手的温度-2</v>
      </c>
      <c r="O65" s="89" t="str">
        <f>IFERROR(__xludf.DUMMYFUNCTION("GOOGLETRANSLATE(C65,""zh-tw"",""zh"")"),"承上，紫心达到3，可以不用隔着衣物")</f>
        <v>承上，紫心达到3，可以不用隔着衣物</v>
      </c>
      <c r="P65" s="55" t="str">
        <f>IFERROR(__xludf.DUMMYFUNCTION("GOOGLETRANSLATE(D65,""zh-tw"",""zh"")"),"妹妹用手来服务的特殊剧情")</f>
        <v>妹妹用手来服务的特殊剧情</v>
      </c>
      <c r="Q65" s="84">
        <v>16.0</v>
      </c>
      <c r="R65" s="88" t="s">
        <v>1348</v>
      </c>
      <c r="S65" s="89" t="str">
        <f>IFERROR(__xludf.DUMMYFUNCTION("GOOGLETRANSLATE(C65,""zh-tw"",""es-MX"")"),"Continuando desde lo anterior, una vez que alcances un nivel de corazón púrpura de 3, podrás jugar sin usar ropa.")</f>
        <v>Continuando desde lo anterior, una vez que alcances un nivel de corazón púrpura de 3, podrás jugar sin usar ropa.</v>
      </c>
      <c r="T65" s="55" t="str">
        <f>IFERROR(__xludf.DUMMYFUNCTION("GOOGLETRANSLATE(D65,""zh-tw"",""es-MX"")"),"La trama especial de la hermana menor usando sus manos para servir.")</f>
        <v>La trama especial de la hermana menor usando sus manos para servir.</v>
      </c>
      <c r="U65" s="84">
        <v>16.0</v>
      </c>
      <c r="V65" s="88" t="str">
        <f>IFERROR(__xludf.DUMMYFUNCTION("GOOGLETRANSLATE(B65,""zh-tw"",""KO"")"),"손 온도 -2")</f>
        <v>손 온도 -2</v>
      </c>
      <c r="W65" s="89" t="str">
        <f>IFERROR(__xludf.DUMMYFUNCTION("GOOGLETRANSLATE(C65,""zh-tw"",""KO"")"),"위에서 언급한 대로, 퍼플 하트 레벨 3에 도달하면 옷을 입지 않고도 플레이할 수 있습니다.")</f>
        <v>위에서 언급한 대로, 퍼플 하트 레벨 3에 도달하면 옷을 입지 않고도 플레이할 수 있습니다.</v>
      </c>
      <c r="X65" s="55" t="str">
        <f>IFERROR(__xludf.DUMMYFUNCTION("GOOGLETRANSLATE(D65,""zh-tw"",""KO"")"),"여동생이 손을 이용해 봉사하는 특별한 줄거리.")</f>
        <v>여동생이 손을 이용해 봉사하는 특별한 줄거리.</v>
      </c>
      <c r="Y65" s="84">
        <v>16.0</v>
      </c>
      <c r="Z65" s="103" t="s">
        <v>1349</v>
      </c>
      <c r="AA65" s="104" t="s">
        <v>1350</v>
      </c>
      <c r="AB65" s="44" t="s">
        <v>1351</v>
      </c>
      <c r="AC65" s="84">
        <v>16.0</v>
      </c>
      <c r="AD65" s="85" t="s">
        <v>1352</v>
      </c>
      <c r="AE65" s="86" t="s">
        <v>1353</v>
      </c>
      <c r="AF65" s="87" t="s">
        <v>1354</v>
      </c>
      <c r="AG65" s="84">
        <v>16.0</v>
      </c>
      <c r="AH65" s="92" t="s">
        <v>1355</v>
      </c>
      <c r="AI65" s="93" t="s">
        <v>1356</v>
      </c>
      <c r="AJ65" s="94" t="s">
        <v>1357</v>
      </c>
      <c r="AK65" s="87"/>
      <c r="AL65" s="87"/>
      <c r="AM65" s="87"/>
      <c r="AN65" s="87"/>
      <c r="AO65" s="87"/>
    </row>
    <row r="66">
      <c r="A66" s="107">
        <v>17.0</v>
      </c>
      <c r="B66" s="85" t="s">
        <v>1358</v>
      </c>
      <c r="C66" s="86" t="s">
        <v>1359</v>
      </c>
      <c r="D66" s="87" t="s">
        <v>1360</v>
      </c>
      <c r="E66" s="107">
        <v>17.0</v>
      </c>
      <c r="F66" s="85" t="s">
        <v>1361</v>
      </c>
      <c r="G66" s="86" t="s">
        <v>1362</v>
      </c>
      <c r="H66" s="87" t="s">
        <v>1363</v>
      </c>
      <c r="I66" s="107">
        <v>17.0</v>
      </c>
      <c r="J66" s="85" t="s">
        <v>1364</v>
      </c>
      <c r="K66" s="86" t="s">
        <v>1365</v>
      </c>
      <c r="L66" s="87" t="s">
        <v>1366</v>
      </c>
      <c r="M66" s="107">
        <v>17.0</v>
      </c>
      <c r="N66" s="85" t="str">
        <f>IFERROR(__xludf.DUMMYFUNCTION("GOOGLETRANSLATE(B66,""zh-tw"",""zh"")"),"气息消除-1")</f>
        <v>气息消除-1</v>
      </c>
      <c r="O66" s="89" t="str">
        <f>IFERROR(__xludf.DUMMYFUNCTION("GOOGLETRANSLATE(C66,""zh-tw"",""zh"")"),"在习得""气息消除""后，于妹妹洗澡时潜入洗面所，可以使用忍者跳舞选项")</f>
        <v>在习得"气息消除"后，于妹妹洗澡时潜入洗面所，可以使用忍者跳舞选项</v>
      </c>
      <c r="P66" s="55" t="str">
        <f>IFERROR(__xludf.DUMMYFUNCTION("GOOGLETRANSLATE(D66,""zh-tw"",""zh"")"),"使用特殊选项")</f>
        <v>使用特殊选项</v>
      </c>
      <c r="Q66" s="107">
        <v>17.0</v>
      </c>
      <c r="R66" s="88" t="str">
        <f>IFERROR(__xludf.DUMMYFUNCTION("GOOGLETRANSLATE(B66,""zh-tw"",""es-MX"")"),"Eliminación de la respiración -1")</f>
        <v>Eliminación de la respiración -1</v>
      </c>
      <c r="S66" s="89" t="str">
        <f>IFERROR(__xludf.DUMMYFUNCTION("GOOGLETRANSLATE(C66,""zh-tw"",""es-MX"")"),"Después de aprender ""Eliminar Aura"", escabúllete al baño mientras tu hermana se está bañando para acceder a la opción de baile ninja.")</f>
        <v>Después de aprender "Eliminar Aura", escabúllete al baño mientras tu hermana se está bañando para acceder a la opción de baile ninja.</v>
      </c>
      <c r="T66" s="55" t="str">
        <f>IFERROR(__xludf.DUMMYFUNCTION("GOOGLETRANSLATE(D66,""zh-tw"",""es-MX"")"),"Utilice opciones especiales")</f>
        <v>Utilice opciones especiales</v>
      </c>
      <c r="U66" s="107">
        <v>17.0</v>
      </c>
      <c r="V66" s="88" t="str">
        <f>IFERROR(__xludf.DUMMYFUNCTION("GOOGLETRANSLATE(B66,""zh-tw"",""KO"")"),"호흡 제거 -1")</f>
        <v>호흡 제거 -1</v>
      </c>
      <c r="W66" s="89" t="str">
        <f>IFERROR(__xludf.DUMMYFUNCTION("GOOGLETRANSLATE(C66,""zh-tw"",""KO"")"),"""오라 제거""를 배운 후, 여동생이 목욕을 하는 동안 욕실에 몰래 들어가 닌자 댄스 옵션을 이용하세요.")</f>
        <v>"오라 제거"를 배운 후, 여동생이 목욕을 하는 동안 욕실에 몰래 들어가 닌자 댄스 옵션을 이용하세요.</v>
      </c>
      <c r="X66" s="55" t="str">
        <f>IFERROR(__xludf.DUMMYFUNCTION("GOOGLETRANSLATE(D66,""zh-tw"",""KO"")"),"특수 옵션 사용")</f>
        <v>특수 옵션 사용</v>
      </c>
      <c r="Y66" s="107">
        <v>17.0</v>
      </c>
      <c r="Z66" s="103" t="str">
        <f>IFERROR(__xludf.DUMMYFUNCTION("IF(J66="""", """", GOOGLETRANSLATE(
J66,""en"",""ru""))"),"Сокрытие дыхания-1")</f>
        <v>Сокрытие дыхания-1</v>
      </c>
      <c r="AA66" s="104"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44" t="str">
        <f>IFERROR(__xludf.DUMMYFUNCTION("IF(L66="""", """", GOOGLETRANSLATE(L66, ""en"", ""ru""))
"),"Позволяет использовать специальную опцию")</f>
        <v>Позволяет использовать специальную опцию</v>
      </c>
      <c r="AC66" s="107">
        <v>17.0</v>
      </c>
      <c r="AD66" s="85" t="s">
        <v>1367</v>
      </c>
      <c r="AE66" s="86" t="s">
        <v>1368</v>
      </c>
      <c r="AF66" s="87" t="s">
        <v>1369</v>
      </c>
      <c r="AG66" s="107">
        <v>17.0</v>
      </c>
      <c r="AH66" s="92" t="s">
        <v>1370</v>
      </c>
      <c r="AI66" s="93" t="s">
        <v>1371</v>
      </c>
      <c r="AJ66" s="94" t="s">
        <v>1372</v>
      </c>
      <c r="AK66" s="87"/>
      <c r="AL66" s="87"/>
      <c r="AM66" s="87"/>
      <c r="AN66" s="87"/>
      <c r="AO66" s="87"/>
    </row>
    <row r="67">
      <c r="A67" s="84">
        <v>18.0</v>
      </c>
      <c r="B67" s="85" t="s">
        <v>1373</v>
      </c>
      <c r="C67" s="86" t="s">
        <v>1374</v>
      </c>
      <c r="D67" s="87" t="s">
        <v>1375</v>
      </c>
      <c r="E67" s="84">
        <v>18.0</v>
      </c>
      <c r="F67" s="85" t="s">
        <v>1376</v>
      </c>
      <c r="G67" s="86" t="s">
        <v>1377</v>
      </c>
      <c r="H67" s="87" t="s">
        <v>1378</v>
      </c>
      <c r="I67" s="84">
        <v>18.0</v>
      </c>
      <c r="J67" s="85" t="s">
        <v>1379</v>
      </c>
      <c r="K67" s="86" t="s">
        <v>1380</v>
      </c>
      <c r="L67" s="87" t="s">
        <v>1381</v>
      </c>
      <c r="M67" s="84">
        <v>18.0</v>
      </c>
      <c r="N67" s="85" t="str">
        <f>IFERROR(__xludf.DUMMYFUNCTION("GOOGLETRANSLATE(B67,""zh-tw"",""zh"")"),"透明的门-1")</f>
        <v>透明的门-1</v>
      </c>
      <c r="O67" s="89" t="str">
        <f>IFERROR(__xludf.DUMMYFUNCTION("GOOGLETRANSLATE(C67,""zh-tw"",""zh"")"),"可以在妹妹独自洗澡时进行偷窥")</f>
        <v>可以在妹妹独自洗澡时进行偷窥</v>
      </c>
      <c r="P67" s="55" t="str">
        <f>IFERROR(__xludf.DUMMYFUNCTION("GOOGLETRANSLATE(D67,""zh-tw"",""zh"")"),"可以看到妹妹洗头、胸的场景
目前无偷窥失败、好感爱心的分歧，待制作。")</f>
        <v>可以看到妹妹洗头、胸的场景
目前无偷窥失败、好感爱心的分歧，待制作。</v>
      </c>
      <c r="Q67" s="84">
        <v>18.0</v>
      </c>
      <c r="R67" s="88" t="s">
        <v>1382</v>
      </c>
      <c r="S67" s="89" t="str">
        <f>IFERROR(__xludf.DUMMYFUNCTION("GOOGLETRANSLATE(C67,""zh-tw"",""es-MX"")"),"Es posible espiar a tu hermana mientras se baña sola.")</f>
        <v>Es posible espiar a tu hermana mientras se baña sola.</v>
      </c>
      <c r="T67" s="55" t="str">
        <f>IFERROR(__xludf.DUMMYFUNCTION("GOOGLETRANSLATE(D67,""zh-tw"",""es-MX"")"),"Se pueden ver escenas de la hermana menor lavándose el pelo y el pecho. Por el momento, no hay problemas relacionados con intentos fallidos de voyeurismo ni con sentimientos de afecto; esto aún está en desarrollo.")</f>
        <v>Se pueden ver escenas de la hermana menor lavándose el pelo y el pecho. Por el momento, no hay problemas relacionados con intentos fallidos de voyeurismo ni con sentimientos de afecto; esto aún está en desarrollo.</v>
      </c>
      <c r="U67" s="84">
        <v>18.0</v>
      </c>
      <c r="V67" s="88" t="str">
        <f>IFERROR(__xludf.DUMMYFUNCTION("GOOGLETRANSLATE(B67,""zh-tw"",""KO"")"),"투명문-1")</f>
        <v>투명문-1</v>
      </c>
      <c r="W67" s="89" t="str">
        <f>IFERROR(__xludf.DUMMYFUNCTION("GOOGLETRANSLATE(C67,""zh-tw"",""KO"")"),"여동생이 혼자 목욕하는 모습을 엿볼 수도 있다.")</f>
        <v>여동생이 혼자 목욕하는 모습을 엿볼 수도 있다.</v>
      </c>
      <c r="X67" s="55" t="str">
        <f>IFERROR(__xludf.DUMMYFUNCTION("GOOGLETRANSLATE(D67,""zh-tw"",""KO"")"),"여동생이 머리와 가슴을 감는 장면이 보입니다. 현재 엿보기 실패나 애정 표현에 대한 문제는 없으며, 이는 아직 개발 중입니다.")</f>
        <v>여동생이 머리와 가슴을 감는 장면이 보입니다. 현재 엿보기 실패나 애정 표현에 대한 문제는 없으며, 이는 아직 개발 중입니다.</v>
      </c>
      <c r="Y67" s="84">
        <v>18.0</v>
      </c>
      <c r="Z67" s="103" t="str">
        <f>IFERROR(__xludf.DUMMYFUNCTION("IF(J67="""", """", GOOGLETRANSLATE(
J67,""en"",""ru""))"),"Прозрачная дверь - 1")</f>
        <v>Прозрачная дверь - 1</v>
      </c>
      <c r="AA67" s="104" t="s">
        <v>1383</v>
      </c>
      <c r="AB67" s="44" t="s">
        <v>1384</v>
      </c>
      <c r="AC67" s="84">
        <v>18.0</v>
      </c>
      <c r="AD67" s="85" t="s">
        <v>1385</v>
      </c>
      <c r="AE67" s="86" t="s">
        <v>1386</v>
      </c>
      <c r="AF67" s="87" t="s">
        <v>1387</v>
      </c>
      <c r="AG67" s="84">
        <v>18.0</v>
      </c>
      <c r="AH67" s="92" t="s">
        <v>1388</v>
      </c>
      <c r="AI67" s="93" t="s">
        <v>1389</v>
      </c>
      <c r="AJ67" s="94" t="s">
        <v>1390</v>
      </c>
      <c r="AK67" s="87"/>
      <c r="AL67" s="87"/>
      <c r="AM67" s="87"/>
      <c r="AN67" s="87"/>
      <c r="AO67" s="87"/>
    </row>
    <row r="68">
      <c r="A68" s="84">
        <v>19.0</v>
      </c>
      <c r="B68" s="85" t="s">
        <v>1391</v>
      </c>
      <c r="C68" s="86" t="s">
        <v>1392</v>
      </c>
      <c r="D68" s="87" t="s">
        <v>1393</v>
      </c>
      <c r="E68" s="84">
        <v>19.0</v>
      </c>
      <c r="F68" s="85" t="s">
        <v>1394</v>
      </c>
      <c r="G68" s="86" t="s">
        <v>1395</v>
      </c>
      <c r="H68" s="87" t="s">
        <v>1396</v>
      </c>
      <c r="I68" s="84">
        <v>19.0</v>
      </c>
      <c r="J68" s="85" t="s">
        <v>1397</v>
      </c>
      <c r="K68" s="86" t="s">
        <v>1398</v>
      </c>
      <c r="L68" s="87" t="s">
        <v>1399</v>
      </c>
      <c r="M68" s="84">
        <v>19.0</v>
      </c>
      <c r="N68" s="85" t="str">
        <f>IFERROR(__xludf.DUMMYFUNCTION("GOOGLETRANSLATE(B68,""zh-tw"",""zh"")"),"透明的门-2")</f>
        <v>透明的门-2</v>
      </c>
      <c r="O68" s="89"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55"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19.0</v>
      </c>
      <c r="R68" s="88" t="s">
        <v>1400</v>
      </c>
      <c r="S68" s="89" t="s">
        <v>1401</v>
      </c>
      <c r="T68" s="55" t="str">
        <f>IFERROR(__xludf.DUMMYFUNCTION("GOOGLETRANSLATE(D68,""zh-tw"",""es-MX"")"),"Diferentes escenas con y sin el pato amarillo.
(Aún no se han creado escenas sin el pato, pero se actualizarán pronto). Actualmente, no hay escenas de espionaje fallidas.")</f>
        <v>Diferentes escenas con y sin el pato amarillo.
(Aún no se han creado escenas sin el pato, pero se actualizarán pronto). Actualmente, no hay escenas de espionaje fallidas.</v>
      </c>
      <c r="U68" s="84">
        <v>19.0</v>
      </c>
      <c r="V68" s="88" t="str">
        <f>IFERROR(__xludf.DUMMYFUNCTION("GOOGLETRANSLATE(B68,""zh-tw"",""KO"")"),"투명문-2")</f>
        <v>투명문-2</v>
      </c>
      <c r="W68" s="89" t="str">
        <f>IFERROR(__xludf.DUMMYFUNCTION("GOOGLETRANSLATE(C68,""zh-tw"",""KO"")"),"여동생이 혼자 목욕을 할 때, 욕실에서 더 이상 보이지 않을 때까지 기다리세요. 그런 다음, 욕실 안을 들여다보며 목욕하는 동안 무엇을 하는지 살펴보세요.")</f>
        <v>여동생이 혼자 목욕을 할 때, 욕실에서 더 이상 보이지 않을 때까지 기다리세요. 그런 다음, 욕실 안을 들여다보며 목욕하는 동안 무엇을 하는지 살펴보세요.</v>
      </c>
      <c r="X68" s="55"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19.0</v>
      </c>
      <c r="Z68" s="103" t="str">
        <f>IFERROR(__xludf.DUMMYFUNCTION("IF(J68="""", """", GOOGLETRANSLATE(
J68,""en"",""ru""))"),"Прозрачная дверь - 2")</f>
        <v>Прозрачная дверь - 2</v>
      </c>
      <c r="AA68" s="104" t="s">
        <v>1402</v>
      </c>
      <c r="AB68" s="44" t="s">
        <v>1403</v>
      </c>
      <c r="AC68" s="84">
        <v>19.0</v>
      </c>
      <c r="AD68" s="85" t="s">
        <v>1404</v>
      </c>
      <c r="AE68" s="86" t="s">
        <v>1405</v>
      </c>
      <c r="AF68" s="87" t="s">
        <v>1406</v>
      </c>
      <c r="AG68" s="84">
        <v>19.0</v>
      </c>
      <c r="AH68" s="92" t="s">
        <v>1407</v>
      </c>
      <c r="AI68" s="93" t="s">
        <v>1408</v>
      </c>
      <c r="AJ68" s="94" t="s">
        <v>1409</v>
      </c>
      <c r="AK68" s="87"/>
      <c r="AL68" s="87"/>
      <c r="AM68" s="87"/>
      <c r="AN68" s="87"/>
      <c r="AO68" s="87"/>
    </row>
    <row r="69">
      <c r="A69" s="107">
        <v>20.0</v>
      </c>
      <c r="B69" s="85" t="s">
        <v>1410</v>
      </c>
      <c r="C69" s="86" t="s">
        <v>1411</v>
      </c>
      <c r="D69" s="87" t="s">
        <v>1412</v>
      </c>
      <c r="E69" s="107">
        <v>20.0</v>
      </c>
      <c r="F69" s="85" t="s">
        <v>1413</v>
      </c>
      <c r="G69" s="86" t="s">
        <v>1414</v>
      </c>
      <c r="H69" s="87" t="s">
        <v>1415</v>
      </c>
      <c r="I69" s="107">
        <v>20.0</v>
      </c>
      <c r="J69" s="85" t="s">
        <v>1416</v>
      </c>
      <c r="K69" s="86" t="s">
        <v>1417</v>
      </c>
      <c r="L69" s="87" t="s">
        <v>1418</v>
      </c>
      <c r="M69" s="107">
        <v>20.0</v>
      </c>
      <c r="N69" s="85" t="str">
        <f>IFERROR(__xludf.DUMMYFUNCTION("GOOGLETRANSLATE(B69,""zh-tw"",""zh"")"),"透明的门-3")</f>
        <v>透明的门-3</v>
      </c>
      <c r="O69" s="89"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55" t="str">
        <f>IFERROR(__xludf.DUMMYFUNCTION("GOOGLETRANSLATE(D69,""zh-tw"",""zh"")"),"特殊视角观看演出")</f>
        <v>特殊视角观看演出</v>
      </c>
      <c r="Q69" s="107">
        <v>20.0</v>
      </c>
      <c r="R69" s="88" t="s">
        <v>1419</v>
      </c>
      <c r="S69" s="89" t="s">
        <v>1420</v>
      </c>
      <c r="T69" s="55" t="s">
        <v>1421</v>
      </c>
      <c r="U69" s="107">
        <v>20.0</v>
      </c>
      <c r="V69" s="88" t="str">
        <f>IFERROR(__xludf.DUMMYFUNCTION("GOOGLETRANSLATE(B69,""zh-tw"",""KO"")"),"투명문-3")</f>
        <v>투명문-3</v>
      </c>
      <c r="W69" s="89" t="str">
        <f>IFERROR(__xludf.DUMMYFUNCTION("GOOGLETRANSLATE(C69,""zh-tw"",""KO"")"),"""냄새 제거""를 배운 오빠는 혼자 샤워할 때 몰래 욕실 문을 개조하여 닌자 문으로 만들어 버립니다.
닌자 문 사용 옵션은 세 번째 스테이지에서 오빠가 샤워하는 여동생을 엿볼 때 활성화됩니다.")</f>
        <v>"냄새 제거"를 배운 오빠는 혼자 샤워할 때 몰래 욕실 문을 개조하여 닌자 문으로 만들어 버립니다.
닌자 문 사용 옵션은 세 번째 스테이지에서 오빠가 샤워하는 여동생을 엿볼 때 활성화됩니다.</v>
      </c>
      <c r="X69" s="55" t="str">
        <f>IFERROR(__xludf.DUMMYFUNCTION("GOOGLETRANSLATE(D69,""zh-tw"",""KO"")"),"특별한 관점에서 공연을 감상하세요")</f>
        <v>특별한 관점에서 공연을 감상하세요</v>
      </c>
      <c r="Y69" s="107">
        <v>20.0</v>
      </c>
      <c r="Z69" s="103" t="str">
        <f>IFERROR(__xludf.DUMMYFUNCTION("IF(J69="""", """", GOOGLETRANSLATE(
J69,""en"",""ru""))"),"Прозрачная дверь - 3")</f>
        <v>Прозрачная дверь - 3</v>
      </c>
      <c r="AA69" s="104"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4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107">
        <v>20.0</v>
      </c>
      <c r="AD69" s="85" t="s">
        <v>1422</v>
      </c>
      <c r="AE69" s="86" t="s">
        <v>1423</v>
      </c>
      <c r="AF69" s="87" t="s">
        <v>1424</v>
      </c>
      <c r="AG69" s="107">
        <v>20.0</v>
      </c>
      <c r="AH69" s="92" t="s">
        <v>1425</v>
      </c>
      <c r="AI69" s="93" t="s">
        <v>1426</v>
      </c>
      <c r="AJ69" s="94" t="s">
        <v>1427</v>
      </c>
      <c r="AK69" s="87"/>
      <c r="AL69" s="87"/>
      <c r="AM69" s="87"/>
      <c r="AN69" s="87"/>
      <c r="AO69" s="87"/>
    </row>
    <row r="70" ht="41.25" customHeight="1">
      <c r="A70" s="84">
        <v>21.0</v>
      </c>
      <c r="B70" s="85" t="s">
        <v>1428</v>
      </c>
      <c r="C70" s="86" t="s">
        <v>1429</v>
      </c>
      <c r="D70" s="87" t="s">
        <v>1430</v>
      </c>
      <c r="E70" s="84">
        <v>21.0</v>
      </c>
      <c r="F70" s="85" t="s">
        <v>1431</v>
      </c>
      <c r="G70" s="86" t="s">
        <v>1432</v>
      </c>
      <c r="H70" s="87" t="s">
        <v>1433</v>
      </c>
      <c r="I70" s="84">
        <v>21.0</v>
      </c>
      <c r="J70" s="85" t="s">
        <v>1434</v>
      </c>
      <c r="K70" s="86" t="s">
        <v>1435</v>
      </c>
      <c r="L70" s="87" t="s">
        <v>1436</v>
      </c>
      <c r="M70" s="84">
        <v>21.0</v>
      </c>
      <c r="N70" s="85" t="str">
        <f>IFERROR(__xludf.DUMMYFUNCTION("GOOGLETRANSLATE(B70,""zh-tw"",""zh"")"),"一起洗澡")</f>
        <v>一起洗澡</v>
      </c>
      <c r="O70" s="89" t="str">
        <f>IFERROR(__xludf.DUMMYFUNCTION("GOOGLETRANSLATE(C70,""zh-tw"",""zh"")"),"当好感度大于2时")</f>
        <v>当好感度大于2时</v>
      </c>
      <c r="P70" s="55" t="str">
        <f>IFERROR(__xludf.DUMMYFUNCTION("GOOGLETRANSLATE(D70,""zh-tw"",""zh"")"),"可以和妹妹一起洗澡")</f>
        <v>可以和妹妹一起洗澡</v>
      </c>
      <c r="Q70" s="84">
        <v>21.0</v>
      </c>
      <c r="R70" s="85" t="s">
        <v>1437</v>
      </c>
      <c r="S70" s="89" t="s">
        <v>1438</v>
      </c>
      <c r="T70" s="55" t="s">
        <v>1439</v>
      </c>
      <c r="U70" s="84">
        <v>21.0</v>
      </c>
      <c r="V70" s="88" t="str">
        <f>IFERROR(__xludf.DUMMYFUNCTION("GOOGLETRANSLATE(B70,""zh-tw"",""KO"")"),"같이 목욕해요")</f>
        <v>같이 목욕해요</v>
      </c>
      <c r="W70" s="89" t="str">
        <f>IFERROR(__xludf.DUMMYFUNCTION("GOOGLETRANSLATE(C70,""zh-tw"",""KO"")"),"호감도가 2보다 큰 경우")</f>
        <v>호감도가 2보다 큰 경우</v>
      </c>
      <c r="X70" s="55" t="str">
        <f>IFERROR(__xludf.DUMMYFUNCTION("GOOGLETRANSLATE(D70,""zh-tw"",""KO"")"),"여동생과 함께 목욕을 할 수 있어요.")</f>
        <v>여동생과 함께 목욕을 할 수 있어요.</v>
      </c>
      <c r="Y70" s="84">
        <v>21.0</v>
      </c>
      <c r="Z70" s="103" t="str">
        <f>IFERROR(__xludf.DUMMYFUNCTION("IF(J70="""", """", GOOGLETRANSLATE(
J70,""en"",""ru""))"),"Давайте купаться вместе")</f>
        <v>Давайте купаться вместе</v>
      </c>
      <c r="AA70" s="104" t="str">
        <f>IFERROR(__xludf.DUMMYFUNCTION("IF(K70="""", """", GOOGLETRANSLATE(K70,""en"",""RU""))"),"Открывается, когда благосклонность достигает уровня 2.")</f>
        <v>Открывается, когда благосклонность достигает уровня 2.</v>
      </c>
      <c r="AB70" s="44" t="str">
        <f>IFERROR(__xludf.DUMMYFUNCTION("IF(L70="""", """", GOOGLETRANSLATE(L70, ""en"", ""ru""))
"),"Позволяет купаться вместе с Имото")</f>
        <v>Позволяет купаться вместе с Имото</v>
      </c>
      <c r="AC70" s="84">
        <v>21.0</v>
      </c>
      <c r="AD70" s="85" t="s">
        <v>1440</v>
      </c>
      <c r="AE70" s="86" t="s">
        <v>1441</v>
      </c>
      <c r="AF70" s="87" t="s">
        <v>1442</v>
      </c>
      <c r="AG70" s="84">
        <v>21.0</v>
      </c>
      <c r="AH70" s="92" t="s">
        <v>1443</v>
      </c>
      <c r="AI70" s="93" t="s">
        <v>1444</v>
      </c>
      <c r="AJ70" s="94" t="s">
        <v>1445</v>
      </c>
      <c r="AK70" s="87"/>
      <c r="AL70" s="87"/>
      <c r="AM70" s="87"/>
      <c r="AN70" s="87"/>
      <c r="AO70" s="87"/>
    </row>
    <row r="71">
      <c r="A71" s="84">
        <v>22.0</v>
      </c>
      <c r="B71" s="85" t="s">
        <v>1446</v>
      </c>
      <c r="C71" s="86" t="s">
        <v>1447</v>
      </c>
      <c r="D71" s="87" t="s">
        <v>1448</v>
      </c>
      <c r="E71" s="84">
        <v>22.0</v>
      </c>
      <c r="F71" s="85" t="s">
        <v>1449</v>
      </c>
      <c r="G71" s="86" t="s">
        <v>1450</v>
      </c>
      <c r="H71" s="87" t="s">
        <v>1451</v>
      </c>
      <c r="I71" s="84">
        <v>22.0</v>
      </c>
      <c r="J71" s="85" t="s">
        <v>1452</v>
      </c>
      <c r="K71" s="86" t="s">
        <v>1453</v>
      </c>
      <c r="L71" s="87" t="s">
        <v>1454</v>
      </c>
      <c r="M71" s="84">
        <v>22.0</v>
      </c>
      <c r="N71" s="85" t="str">
        <f>IFERROR(__xludf.DUMMYFUNCTION("GOOGLETRANSLATE(B71,""zh-tw"",""zh"")"),"拜托一起洗")</f>
        <v>拜托一起洗</v>
      </c>
      <c r="O71" s="89" t="str">
        <f>IFERROR(__xludf.DUMMYFUNCTION("GOOGLETRANSLATE(C71,""zh-tw"",""zh"")"),"已经满足和妹妹一起洗澡的条件，但妹妹心情低落")</f>
        <v>已经满足和妹妹一起洗澡的条件，但妹妹心情低落</v>
      </c>
      <c r="P71" s="55" t="str">
        <f>IFERROR(__xludf.DUMMYFUNCTION("GOOGLETRANSLATE(D71,""zh-tw"",""zh"")"),"特殊选项")</f>
        <v>特殊选项</v>
      </c>
      <c r="Q71" s="84">
        <v>22.0</v>
      </c>
      <c r="R71" s="85" t="s">
        <v>1455</v>
      </c>
      <c r="S71" s="89" t="str">
        <f>IFERROR(__xludf.DUMMYFUNCTION("GOOGLETRANSLATE(C71,""zh-tw"",""es-MX"")"),"Se han dado las condiciones para bañarnos juntas, pero mi hermana está de mal humor.")</f>
        <v>Se han dado las condiciones para bañarnos juntas, pero mi hermana está de mal humor.</v>
      </c>
      <c r="T71" s="55" t="str">
        <f>IFERROR(__xludf.DUMMYFUNCTION("GOOGLETRANSLATE(D71,""zh-tw"",""es-MX"")"),"Opciones especiales")</f>
        <v>Opciones especiales</v>
      </c>
      <c r="U71" s="84">
        <v>22.0</v>
      </c>
      <c r="V71" s="88" t="str">
        <f>IFERROR(__xludf.DUMMYFUNCTION("GOOGLETRANSLATE(B71,""zh-tw"",""KO"")"),"함께 세탁해주세요")</f>
        <v>함께 세탁해주세요</v>
      </c>
      <c r="W71" s="89" t="str">
        <f>IFERROR(__xludf.DUMMYFUNCTION("GOOGLETRANSLATE(C71,""zh-tw"",""KO"")"),"함께 목욕할 조건은 충족되었지만, 언니는 기분이 좋지 않아요.")</f>
        <v>함께 목욕할 조건은 충족되었지만, 언니는 기분이 좋지 않아요.</v>
      </c>
      <c r="X71" s="55" t="str">
        <f>IFERROR(__xludf.DUMMYFUNCTION("GOOGLETRANSLATE(D71,""zh-tw"",""KO"")"),"특별 옵션")</f>
        <v>특별 옵션</v>
      </c>
      <c r="Y71" s="84">
        <v>22.0</v>
      </c>
      <c r="Z71" s="90" t="s">
        <v>1456</v>
      </c>
      <c r="AA71" s="102" t="s">
        <v>1457</v>
      </c>
      <c r="AB71" s="97" t="s">
        <v>1458</v>
      </c>
      <c r="AC71" s="84">
        <v>22.0</v>
      </c>
      <c r="AD71" s="85" t="s">
        <v>1459</v>
      </c>
      <c r="AE71" s="86" t="s">
        <v>1460</v>
      </c>
      <c r="AF71" s="87" t="s">
        <v>1461</v>
      </c>
      <c r="AG71" s="84">
        <v>22.0</v>
      </c>
      <c r="AH71" s="92" t="s">
        <v>1462</v>
      </c>
      <c r="AI71" s="93" t="s">
        <v>1463</v>
      </c>
      <c r="AJ71" s="94" t="s">
        <v>1464</v>
      </c>
      <c r="AK71" s="87"/>
      <c r="AL71" s="87"/>
      <c r="AM71" s="87"/>
      <c r="AN71" s="87"/>
      <c r="AO71" s="87"/>
    </row>
    <row r="72">
      <c r="A72" s="110">
        <v>23.0</v>
      </c>
      <c r="B72" s="111" t="s">
        <v>1465</v>
      </c>
      <c r="C72" s="111" t="s">
        <v>1466</v>
      </c>
      <c r="D72" s="111" t="s">
        <v>1467</v>
      </c>
      <c r="E72" s="110">
        <v>23.0</v>
      </c>
      <c r="F72" s="111" t="s">
        <v>1468</v>
      </c>
      <c r="G72" s="111" t="s">
        <v>1469</v>
      </c>
      <c r="H72" s="111" t="s">
        <v>1470</v>
      </c>
      <c r="I72" s="110">
        <v>23.0</v>
      </c>
      <c r="J72" s="111" t="s">
        <v>1471</v>
      </c>
      <c r="K72" s="111" t="s">
        <v>1472</v>
      </c>
      <c r="L72" s="111" t="s">
        <v>1473</v>
      </c>
      <c r="M72" s="110">
        <v>23.0</v>
      </c>
      <c r="N72" s="116" t="str">
        <f>IFERROR(__xludf.DUMMYFUNCTION("GOOGLETRANSLATE(B72,""zh-tw"",""zh"")"),"快要热晕了-1")</f>
        <v>快要热晕了-1</v>
      </c>
      <c r="O72" s="117" t="str">
        <f>IFERROR(__xludf.DUMMYFUNCTION("GOOGLETRANSLATE(C72,""zh-tw"",""zh"")"),"在没有紫心的情况下，与妹妹一起泡澡时，如果一直摸妹妹，妹妹会逃跑")</f>
        <v>在没有紫心的情况下，与妹妹一起泡澡时，如果一直摸妹妹，妹妹会逃跑</v>
      </c>
      <c r="P72" s="112" t="str">
        <f>IFERROR(__xludf.DUMMYFUNCTION("GOOGLETRANSLATE(D72,""zh-tw"",""zh"")"),"妹妹逃跑了")</f>
        <v>妹妹逃跑了</v>
      </c>
      <c r="Q72" s="110">
        <v>23.0</v>
      </c>
      <c r="R72" s="116" t="str">
        <f>IFERROR(__xludf.DUMMYFUNCTION("GOOGLETRANSLATE(B72,""zh-tw"",""es-MX"")"),"Estoy a punto de desmayarme por el calor -1")</f>
        <v>Estoy a punto de desmayarme por el calor -1</v>
      </c>
      <c r="S72" s="116" t="str">
        <f>IFERROR(__xludf.DUMMYFUNCTION("GOOGLETRANSLATE(C72,""zh-tw"",""es-MX"")"),"Si sigues tocando a tu hermana pequeña mientras te bañas con ella (sin un corazón púrpura), saldrá corriendo.")</f>
        <v>Si sigues tocando a tu hermana pequeña mientras te bañas con ella (sin un corazón púrpura), saldrá corriendo.</v>
      </c>
      <c r="T72" s="112" t="str">
        <f>IFERROR(__xludf.DUMMYFUNCTION("GOOGLETRANSLATE(D72,""zh-tw"",""es-MX"")"),"Mi hermana se escapó.")</f>
        <v>Mi hermana se escapó.</v>
      </c>
      <c r="U72" s="110">
        <v>23.0</v>
      </c>
      <c r="V72" s="112" t="str">
        <f>IFERROR(__xludf.DUMMYFUNCTION("GOOGLETRANSLATE(B72,""zh-tw"",""KO"")"),"더위에 기절할 것 같아요 -1")</f>
        <v>더위에 기절할 것 같아요 -1</v>
      </c>
      <c r="W72" s="112" t="str">
        <f>IFERROR(__xludf.DUMMYFUNCTION("GOOGLETRANSLATE(C72,""zh-tw"",""KO"")"),"여동생(보라색 하트가 없는)과 함께 목욕을 하면서 계속 만지면, 여동생은 도망갈 것입니다.")</f>
        <v>여동생(보라색 하트가 없는)과 함께 목욕을 하면서 계속 만지면, 여동생은 도망갈 것입니다.</v>
      </c>
      <c r="X72" s="112" t="str">
        <f>IFERROR(__xludf.DUMMYFUNCTION("GOOGLETRANSLATE(D72,""zh-tw"",""KO"")"),"내 여동생은 도망갔어요.")</f>
        <v>내 여동생은 도망갔어요.</v>
      </c>
      <c r="Y72" s="110">
        <v>23.0</v>
      </c>
      <c r="Z72" s="113" t="str">
        <f>IFERROR(__xludf.DUMMYFUNCTION("IF(J72="""", """", GOOGLETRANSLATE(
J72,""en"",""ru""))"),"Почти потерял сознание - 1")</f>
        <v>Почти потерял сознание - 1</v>
      </c>
      <c r="AA72" s="113" t="str">
        <f>IFERROR(__xludf.DUMMYFUNCTION("IF(K72="""", """", GOOGLETRANSLATE(K72,""en"",""RU""))"),"Если во время купания Имото без фиолетовых сердец вы постоянно будете ее трогать, она встанет из ванны и убежит.")</f>
        <v>Если во время купания Имото без фиолетовых сердец вы постоянно будете ее трогать, она встанет из ванны и убежит.</v>
      </c>
      <c r="AB72" s="113" t="str">
        <f>IFERROR(__xludf.DUMMYFUNCTION("IF(L72="""", """", GOOGLETRANSLATE(L72, ""en"", ""ru""))
"),"«Имуто сбежал»")</f>
        <v>«Имуто сбежал»</v>
      </c>
      <c r="AC72" s="110">
        <v>23.0</v>
      </c>
      <c r="AD72" s="111" t="s">
        <v>1474</v>
      </c>
      <c r="AE72" s="111" t="s">
        <v>1475</v>
      </c>
      <c r="AF72" s="111" t="s">
        <v>1476</v>
      </c>
      <c r="AG72" s="110">
        <v>23.0</v>
      </c>
      <c r="AH72" s="111" t="s">
        <v>1477</v>
      </c>
      <c r="AI72" s="111" t="s">
        <v>1478</v>
      </c>
      <c r="AJ72" s="111" t="s">
        <v>1479</v>
      </c>
      <c r="AK72" s="111"/>
      <c r="AL72" s="111"/>
      <c r="AM72" s="111"/>
      <c r="AN72" s="111"/>
      <c r="AO72" s="111"/>
    </row>
    <row r="73">
      <c r="A73" s="118">
        <v>24.0</v>
      </c>
      <c r="B73" s="111" t="s">
        <v>1480</v>
      </c>
      <c r="C73" s="111" t="s">
        <v>1481</v>
      </c>
      <c r="D73" s="111" t="s">
        <v>1482</v>
      </c>
      <c r="E73" s="118">
        <v>24.0</v>
      </c>
      <c r="F73" s="111" t="s">
        <v>1483</v>
      </c>
      <c r="G73" s="111" t="s">
        <v>1484</v>
      </c>
      <c r="H73" s="111" t="s">
        <v>1485</v>
      </c>
      <c r="I73" s="118">
        <v>24.0</v>
      </c>
      <c r="J73" s="111" t="s">
        <v>1471</v>
      </c>
      <c r="K73" s="111" t="s">
        <v>1486</v>
      </c>
      <c r="L73" s="111" t="s">
        <v>1487</v>
      </c>
      <c r="M73" s="118">
        <v>24.0</v>
      </c>
      <c r="N73" s="116" t="str">
        <f>IFERROR(__xludf.DUMMYFUNCTION("GOOGLETRANSLATE(B73,""zh-tw"",""zh"")"),"快要热晕了-2")</f>
        <v>快要热晕了-2</v>
      </c>
      <c r="O73" s="117" t="str">
        <f>IFERROR(__xludf.DUMMYFUNCTION("GOOGLETRANSLATE(C73,""zh-tw"",""zh"")"),"有至少一颗紫心时，一直摸妹妹，妹妹会热到晕倒")</f>
        <v>有至少一颗紫心时，一直摸妹妹，妹妹会热到晕倒</v>
      </c>
      <c r="P73" s="112" t="str">
        <f>IFERROR(__xludf.DUMMYFUNCTION("GOOGLETRANSLATE(D73,""zh-tw"",""zh"")"),"妹妹热晕了
*此为一次性事件")</f>
        <v>妹妹热晕了
*此为一次性事件</v>
      </c>
      <c r="Q73" s="118">
        <v>24.0</v>
      </c>
      <c r="R73" s="116" t="str">
        <f>IFERROR(__xludf.DUMMYFUNCTION("GOOGLETRANSLATE(B73,""zh-tw"",""es-MX"")"),"Estoy a punto de desmayarme por el calor -2")</f>
        <v>Estoy a punto de desmayarme por el calor -2</v>
      </c>
      <c r="S73" s="116" t="str">
        <f>IFERROR(__xludf.DUMMYFUNCTION("GOOGLETRANSLATE(C73,""zh-tw"",""es-MX"")"),"Si sigues tocando a tu hermana cuando tiene al menos un Corazón Púrpura, se acalorará tanto que se desmayará.")</f>
        <v>Si sigues tocando a tu hermana cuando tiene al menos un Corazón Púrpura, se acalorará tanto que se desmayará.</v>
      </c>
      <c r="T73" s="112" t="str">
        <f>IFERROR(__xludf.DUMMYFUNCTION("GOOGLETRANSLATE(D73,""zh-tw"",""es-MX"")"),"Mi hermana se desmayó por el calor.
*Esto es un hecho aislado.")</f>
        <v>Mi hermana se desmayó por el calor.
*Esto es un hecho aislado.</v>
      </c>
      <c r="U73" s="118">
        <v>24.0</v>
      </c>
      <c r="V73" s="112" t="str">
        <f>IFERROR(__xludf.DUMMYFUNCTION("GOOGLETRANSLATE(B73,""zh-tw"",""KO"")"),"더위로 기절할 것 같아요 -2")</f>
        <v>더위로 기절할 것 같아요 -2</v>
      </c>
      <c r="W73" s="112" t="str">
        <f>IFERROR(__xludf.DUMMYFUNCTION("GOOGLETRANSLATE(C73,""zh-tw"",""KO"")"),"여동생이 보라색 하트를 하나라도 가지고 있을 때 계속 만지면, 그녀는 너무 뜨거워져서 기절할 것입니다.")</f>
        <v>여동생이 보라색 하트를 하나라도 가지고 있을 때 계속 만지면, 그녀는 너무 뜨거워져서 기절할 것입니다.</v>
      </c>
      <c r="X73" s="112" t="str">
        <f>IFERROR(__xludf.DUMMYFUNCTION("GOOGLETRANSLATE(D73,""zh-tw"",""KO"")"),"언니가 더위 때문에 기절했어요.
*이건 일회성 사건이에요.")</f>
        <v>언니가 더위 때문에 기절했어요.
*이건 일회성 사건이에요.</v>
      </c>
      <c r="Y73" s="118">
        <v>24.0</v>
      </c>
      <c r="Z73" s="113" t="str">
        <f>IFERROR(__xludf.DUMMYFUNCTION("IF(J73="""", """", GOOGLETRANSLATE(
J73,""en"",""ru""))"),"Почти потерял сознание - 1")</f>
        <v>Почти потерял сознание - 1</v>
      </c>
      <c r="AA73" s="113" t="str">
        <f>IFERROR(__xludf.DUMMYFUNCTION("IF(K73="""", """", GOOGLETRANSLATE(K73,""en"",""RU""))"),"Подобно предыдущему, если у вас есть хотя бы одно фиолетовое сердце, она в конечном итоге упадет в обморок от жары.")</f>
        <v>Подобно предыдущему, если у вас есть хотя бы одно фиолетовое сердце, она в конечном итоге упадет в обморок от жары.</v>
      </c>
      <c r="AB73" s="113" t="str">
        <f>IFERROR(__xludf.DUMMYFUNCTION("IF(L73="""", """", GOOGLETRANSLATE(L73, ""en"", ""ru""))
"),"«Имуто потеряла сознание от жары»
*Разовое событие")</f>
        <v>«Имуто потеряла сознание от жары»
*Разовое событие</v>
      </c>
      <c r="AC73" s="118">
        <v>24.0</v>
      </c>
      <c r="AD73" s="111" t="s">
        <v>1488</v>
      </c>
      <c r="AE73" s="111" t="s">
        <v>1489</v>
      </c>
      <c r="AF73" s="111" t="s">
        <v>1490</v>
      </c>
      <c r="AG73" s="118">
        <v>24.0</v>
      </c>
      <c r="AH73" s="111" t="s">
        <v>1491</v>
      </c>
      <c r="AI73" s="111" t="s">
        <v>1492</v>
      </c>
      <c r="AJ73" s="111" t="s">
        <v>1493</v>
      </c>
      <c r="AK73" s="111"/>
      <c r="AL73" s="111"/>
      <c r="AM73" s="111"/>
      <c r="AN73" s="111"/>
      <c r="AO73" s="111"/>
    </row>
    <row r="74">
      <c r="A74" s="118">
        <v>25.0</v>
      </c>
      <c r="B74" s="111" t="s">
        <v>1494</v>
      </c>
      <c r="C74" s="111" t="s">
        <v>1495</v>
      </c>
      <c r="D74" s="111" t="s">
        <v>1496</v>
      </c>
      <c r="E74" s="118">
        <v>25.0</v>
      </c>
      <c r="F74" s="111" t="s">
        <v>1497</v>
      </c>
      <c r="G74" s="111" t="s">
        <v>1498</v>
      </c>
      <c r="H74" s="111" t="s">
        <v>1496</v>
      </c>
      <c r="I74" s="118">
        <v>25.0</v>
      </c>
      <c r="J74" s="111" t="s">
        <v>1471</v>
      </c>
      <c r="K74" s="111" t="s">
        <v>1499</v>
      </c>
      <c r="L74" s="111" t="s">
        <v>1500</v>
      </c>
      <c r="M74" s="118">
        <v>25.0</v>
      </c>
      <c r="N74" s="116" t="str">
        <f>IFERROR(__xludf.DUMMYFUNCTION("GOOGLETRANSLATE(B74,""zh-tw"",""zh"")"),"快要热晕了-3")</f>
        <v>快要热晕了-3</v>
      </c>
      <c r="O74" s="117" t="str">
        <f>IFERROR(__xludf.DUMMYFUNCTION("GOOGLETRANSLATE(C74,""zh-tw"",""zh"")"),"同上，第二次进入热晕环节前，会进入特殊画面")</f>
        <v>同上，第二次进入热晕环节前，会进入特殊画面</v>
      </c>
      <c r="P74" s="112" t="str">
        <f>IFERROR(__xludf.DUMMYFUNCTION("GOOGLETRANSLATE(D74,""zh-tw"",""zh"")"),"CG演出")</f>
        <v>CG演出</v>
      </c>
      <c r="Q74" s="118">
        <v>25.0</v>
      </c>
      <c r="R74" s="116" t="str">
        <f>IFERROR(__xludf.DUMMYFUNCTION("GOOGLETRANSLATE(B74,""zh-tw"",""es-MX"")"),"Estoy a punto de desmayarme por el calor -3")</f>
        <v>Estoy a punto de desmayarme por el calor -3</v>
      </c>
      <c r="S74" s="116" t="str">
        <f>IFERROR(__xludf.DUMMYFUNCTION("GOOGLETRANSLATE(C74,""zh-tw"",""es-MX"")"),"Como se indicó anteriormente, se reproducirá una escena especial antes de la segunda fase del golpe de calor.")</f>
        <v>Como se indicó anteriormente, se reproducirá una escena especial antes de la segunda fase del golpe de calor.</v>
      </c>
      <c r="T74" s="112" t="str">
        <f>IFERROR(__xludf.DUMMYFUNCTION("GOOGLETRANSLATE(D74,""zh-tw"",""es-MX"")"),"Rendimiento de CG")</f>
        <v>Rendimiento de CG</v>
      </c>
      <c r="U74" s="118">
        <v>25.0</v>
      </c>
      <c r="V74" s="112" t="str">
        <f>IFERROR(__xludf.DUMMYFUNCTION("GOOGLETRANSLATE(B74,""zh-tw"",""KO"")"),"더위로 기절할 것 같아요 -3")</f>
        <v>더위로 기절할 것 같아요 -3</v>
      </c>
      <c r="W74" s="112" t="str">
        <f>IFERROR(__xludf.DUMMYFUNCTION("GOOGLETRANSLATE(C74,""zh-tw"",""KO"")"),"위와 같이, 두 번째 열사병 단계 전에는 특별한 장면이 재생됩니다.")</f>
        <v>위와 같이, 두 번째 열사병 단계 전에는 특별한 장면이 재생됩니다.</v>
      </c>
      <c r="X74" s="112" t="str">
        <f>IFERROR(__xludf.DUMMYFUNCTION("GOOGLETRANSLATE(D74,""zh-tw"",""KO"")"),"CG 성능")</f>
        <v>CG 성능</v>
      </c>
      <c r="Y74" s="118">
        <v>25.0</v>
      </c>
      <c r="Z74" s="113" t="str">
        <f>IFERROR(__xludf.DUMMYFUNCTION("IF(J74="""", """", GOOGLETRANSLATE(
J74,""en"",""ru""))"),"Почти потерял сознание - 1")</f>
        <v>Почти потерял сознание - 1</v>
      </c>
      <c r="AA74" s="113" t="str">
        <f>IFERROR(__xludf.DUMMYFUNCTION("IF(K74="""", """", GOOGLETRANSLATE(K74,""en"",""RU""))"),"Подобно предыдущему, но прежде чем она потеряет сознание от жары, появится специальный экран.")</f>
        <v>Подобно предыдущему, но прежде чем она потеряет сознание от жары, появится специальный экран.</v>
      </c>
      <c r="AB74" s="113" t="str">
        <f>IFERROR(__xludf.DUMMYFUNCTION("IF(L74="""", """", GOOGLETRANSLATE(L74, ""en"", ""ru""))
"),"Появится специальная компьютерная графика")</f>
        <v>Появится специальная компьютерная графика</v>
      </c>
      <c r="AC74" s="118">
        <v>25.0</v>
      </c>
      <c r="AD74" s="111" t="s">
        <v>1501</v>
      </c>
      <c r="AE74" s="111" t="s">
        <v>1502</v>
      </c>
      <c r="AF74" s="111" t="s">
        <v>1503</v>
      </c>
      <c r="AG74" s="118">
        <v>25.0</v>
      </c>
      <c r="AH74" s="111" t="s">
        <v>1504</v>
      </c>
      <c r="AI74" s="111" t="s">
        <v>1505</v>
      </c>
      <c r="AJ74" s="111" t="s">
        <v>1506</v>
      </c>
      <c r="AK74" s="111"/>
      <c r="AL74" s="111"/>
      <c r="AM74" s="111"/>
      <c r="AN74" s="111"/>
      <c r="AO74" s="111"/>
    </row>
    <row r="75">
      <c r="A75" s="110">
        <v>26.0</v>
      </c>
      <c r="B75" s="111" t="s">
        <v>1507</v>
      </c>
      <c r="C75" s="111" t="s">
        <v>1508</v>
      </c>
      <c r="D75" s="111" t="s">
        <v>1509</v>
      </c>
      <c r="E75" s="110">
        <v>26.0</v>
      </c>
      <c r="F75" s="111" t="s">
        <v>1510</v>
      </c>
      <c r="G75" s="111" t="s">
        <v>1511</v>
      </c>
      <c r="H75" s="111" t="s">
        <v>1512</v>
      </c>
      <c r="I75" s="110">
        <v>26.0</v>
      </c>
      <c r="J75" s="111" t="s">
        <v>1513</v>
      </c>
      <c r="K75" s="111" t="s">
        <v>1514</v>
      </c>
      <c r="L75" s="111" t="s">
        <v>1515</v>
      </c>
      <c r="M75" s="110">
        <v>26.0</v>
      </c>
      <c r="N75" s="116" t="str">
        <f>IFERROR(__xludf.DUMMYFUNCTION("GOOGLETRANSLATE(B75,""zh-tw"",""zh"")"),"请妹妹帮忙洗-1")</f>
        <v>请妹妹帮忙洗-1</v>
      </c>
      <c r="O75" s="117" t="str">
        <f>IFERROR(__xludf.DUMMYFUNCTION("GOOGLETRANSLATE(C75,""zh-tw"",""zh"")"),"在和妹妹共浴时，请妹妹帮忙擦背")</f>
        <v>在和妹妹共浴时，请妹妹帮忙擦背</v>
      </c>
      <c r="P75" s="112" t="str">
        <f>IFERROR(__xludf.DUMMYFUNCTION("GOOGLETRANSLATE(D75,""zh-tw"",""zh"")"),"触发一段剧情
并于下一次时新增一个选项：清洗前方")</f>
        <v>触发一段剧情
并于下一次时新增一个选项：清洗前方</v>
      </c>
      <c r="Q75" s="110">
        <v>26.0</v>
      </c>
      <c r="R75" s="116" t="str">
        <f>IFERROR(__xludf.DUMMYFUNCTION("GOOGLETRANSLATE(B75,""zh-tw"",""es-MX"")"),"Por favor, pídele a mi hermana que me ayude a lavar -1")</f>
        <v>Por favor, pídele a mi hermana que me ayude a lavar -1</v>
      </c>
      <c r="S75" s="116" t="str">
        <f>IFERROR(__xludf.DUMMYFUNCTION("GOOGLETRANSLATE(C75,""zh-tw"",""es-MX"")"),"Cuando me bañaba con mi hermana pequeña, le pedí que me ayudara a frotarme la espalda.")</f>
        <v>Cuando me bañaba con mi hermana pequeña, le pedí que me ayudara a frotarme la espalda.</v>
      </c>
      <c r="T75" s="112" t="str">
        <f>IFERROR(__xludf.DUMMYFUNCTION("GOOGLETRANSLATE(D75,""zh-tw"",""es-MX"")"),"Esto activa una escena cinemática y añade una nueva opción para la próxima vez: Limpiar la zona que hay más adelante.")</f>
        <v>Esto activa una escena cinemática y añade una nueva opción para la próxima vez: Limpiar la zona que hay más adelante.</v>
      </c>
      <c r="U75" s="110">
        <v>26.0</v>
      </c>
      <c r="V75" s="112" t="str">
        <f>IFERROR(__xludf.DUMMYFUNCTION("GOOGLETRANSLATE(B75,""zh-tw"",""KO"")"),"언니한테 씻는거 도와달라고 부탁해 -1")</f>
        <v>언니한테 씻는거 도와달라고 부탁해 -1</v>
      </c>
      <c r="W75" s="112" t="str">
        <f>IFERROR(__xludf.DUMMYFUNCTION("GOOGLETRANSLATE(C75,""zh-tw"",""KO"")"),"여동생과 함께 목욕을 할 때, 등을 닦는 것을 도와달라고 부탁했습니다.")</f>
        <v>여동생과 함께 목욕을 할 때, 등을 닦는 것을 도와달라고 부탁했습니다.</v>
      </c>
      <c r="X75" s="112" t="str">
        <f>IFERROR(__xludf.DUMMYFUNCTION("GOOGLETRANSLATE(D75,""zh-tw"",""KO"")"),"이렇게 하면 컷신이 시작되고 다음 번에는 새로운 옵션이 추가됩니다: 앞의 구역을 정리하세요.")</f>
        <v>이렇게 하면 컷신이 시작되고 다음 번에는 새로운 옵션이 추가됩니다: 앞의 구역을 정리하세요.</v>
      </c>
      <c r="Y75" s="110">
        <v>26.0</v>
      </c>
      <c r="Z75" s="113" t="str">
        <f>IFERROR(__xludf.DUMMYFUNCTION("IF(J75="""", """", GOOGLETRANSLATE(
J75,""en"",""ru""))"),"Стирка Имото - 1")</f>
        <v>Стирка Имото - 1</v>
      </c>
      <c r="AA75" s="113" t="str">
        <f>IFERROR(__xludf.DUMMYFUNCTION("IF(K75="""", """", GOOGLETRANSLATE(K75,""en"",""RU""))"),"Когда вы купаетесь с Имото, попросите её помыть вам спину. Будет добавлена ​​новая опция, позволяющая попросить её помыть вам переднюю часть тела.")</f>
        <v>Когда вы купаетесь с Имото, попросите её помыть вам спину. Будет добавлена ​​новая опция, позволяющая попросить её помыть вам переднюю часть тела.</v>
      </c>
      <c r="AB75" s="113" t="str">
        <f>IFERROR(__xludf.DUMMYFUNCTION("IF(L75="""", """", GOOGLETRANSLATE(L75, ""en"", ""ru""))
"),"Запускается новая сцена.
Добавлена ​​новая опция: «Мойка фасада».")</f>
        <v>Запускается новая сцена.
Добавлена ​​новая опция: «Мойка фасада».</v>
      </c>
      <c r="AC75" s="110">
        <v>26.0</v>
      </c>
      <c r="AD75" s="111" t="s">
        <v>1516</v>
      </c>
      <c r="AE75" s="111" t="s">
        <v>1517</v>
      </c>
      <c r="AF75" s="111" t="s">
        <v>1518</v>
      </c>
      <c r="AG75" s="110">
        <v>26.0</v>
      </c>
      <c r="AH75" s="111" t="s">
        <v>1519</v>
      </c>
      <c r="AI75" s="111" t="s">
        <v>1520</v>
      </c>
      <c r="AJ75" s="111" t="s">
        <v>1521</v>
      </c>
      <c r="AK75" s="111"/>
      <c r="AL75" s="111"/>
      <c r="AM75" s="111"/>
      <c r="AN75" s="111"/>
      <c r="AO75" s="111"/>
    </row>
    <row r="76">
      <c r="A76" s="118">
        <v>27.0</v>
      </c>
      <c r="B76" s="111" t="s">
        <v>1522</v>
      </c>
      <c r="C76" s="111" t="s">
        <v>1523</v>
      </c>
      <c r="D76" s="111" t="s">
        <v>1524</v>
      </c>
      <c r="E76" s="118">
        <v>27.0</v>
      </c>
      <c r="F76" s="111" t="s">
        <v>1525</v>
      </c>
      <c r="G76" s="111" t="s">
        <v>1526</v>
      </c>
      <c r="H76" s="111" t="s">
        <v>1527</v>
      </c>
      <c r="I76" s="118">
        <v>27.0</v>
      </c>
      <c r="J76" s="111" t="s">
        <v>1528</v>
      </c>
      <c r="K76" s="111" t="s">
        <v>1529</v>
      </c>
      <c r="L76" s="111" t="s">
        <v>1530</v>
      </c>
      <c r="M76" s="118">
        <v>27.0</v>
      </c>
      <c r="N76" s="116" t="str">
        <f>IFERROR(__xludf.DUMMYFUNCTION("GOOGLETRANSLATE(B76,""zh-tw"",""zh"")"),"请妹妹帮忙洗-2")</f>
        <v>请妹妹帮忙洗-2</v>
      </c>
      <c r="O76" s="117" t="str">
        <f>IFERROR(__xludf.DUMMYFUNCTION("GOOGLETRANSLATE(C76,""zh-tw"",""zh"")"),"同上，第二次选择帮忙清洗前方，且未达4颗紫心时")</f>
        <v>同上，第二次选择帮忙清洗前方，且未达4颗紫心时</v>
      </c>
      <c r="P76" s="112" t="str">
        <f>IFERROR(__xludf.DUMMYFUNCTION("GOOGLETRANSLATE(D76,""zh-tw"",""zh"")"),"妹妹会拒绝帮忙")</f>
        <v>妹妹会拒绝帮忙</v>
      </c>
      <c r="Q76" s="118">
        <v>27.0</v>
      </c>
      <c r="R76" s="116" t="str">
        <f>IFERROR(__xludf.DUMMYFUNCTION("GOOGLETRANSLATE(B76,""zh-tw"",""es-MX"")"),"Por favor, pídele a mi hermana que me ayude a lavar -2")</f>
        <v>Por favor, pídele a mi hermana que me ayude a lavar -2</v>
      </c>
      <c r="S76" s="116" t="str">
        <f>IFERROR(__xludf.DUMMYFUNCTION("GOOGLETRANSLATE(C76,""zh-tw"",""es-MX"")"),"Como se indicó anteriormente, la segunda vez que elijas ayudar a limpiar el área que está enfrente, y antes de haber alcanzado 4 corazones morados.")</f>
        <v>Como se indicó anteriormente, la segunda vez que elijas ayudar a limpiar el área que está enfrente, y antes de haber alcanzado 4 corazones morados.</v>
      </c>
      <c r="T76" s="112" t="str">
        <f>IFERROR(__xludf.DUMMYFUNCTION("GOOGLETRANSLATE(D76,""zh-tw"",""es-MX"")"),"Mi hermana se negará a ayudar.")</f>
        <v>Mi hermana se negará a ayudar.</v>
      </c>
      <c r="U76" s="118">
        <v>27.0</v>
      </c>
      <c r="V76" s="112" t="str">
        <f>IFERROR(__xludf.DUMMYFUNCTION("GOOGLETRANSLATE(B76,""zh-tw"",""KO"")"),"언니한테 씻는거 도와달라고 부탁해 -2")</f>
        <v>언니한테 씻는거 도와달라고 부탁해 -2</v>
      </c>
      <c r="W76" s="112" t="str">
        <f>IFERROR(__xludf.DUMMYFUNCTION("GOOGLETRANSLATE(C76,""zh-tw"",""KO"")"),"위와 마찬가지로, 두 번째로 앞의 구역을 청소하는 것을 선택하고 보라색 하트가 4개 모이기 전에 청소를 돕습니다.")</f>
        <v>위와 마찬가지로, 두 번째로 앞의 구역을 청소하는 것을 선택하고 보라색 하트가 4개 모이기 전에 청소를 돕습니다.</v>
      </c>
      <c r="X76" s="112" t="str">
        <f>IFERROR(__xludf.DUMMYFUNCTION("GOOGLETRANSLATE(D76,""zh-tw"",""KO"")"),"내 여동생은 도와주기를 거부할 거야.")</f>
        <v>내 여동생은 도와주기를 거부할 거야.</v>
      </c>
      <c r="Y76" s="118">
        <v>27.0</v>
      </c>
      <c r="Z76" s="113" t="str">
        <f>IFERROR(__xludf.DUMMYFUNCTION("IF(J76="""", """", GOOGLETRANSLATE(
J76,""en"",""ru""))"),"Стирка Имото - 2")</f>
        <v>Стирка Имото - 2</v>
      </c>
      <c r="AA76" s="113" t="str">
        <f>IFERROR(__xludf.DUMMYFUNCTION("IF(K76="""", """", GOOGLETRANSLATE(K76,""en"",""RU""))"),"Аналогично предыдущему, если вы настаиваете на мытье передней части, в то время как уровень ваших фиолетовых сердец ниже 4, imouto откажется.")</f>
        <v>Аналогично предыдущему, если вы настаиваете на мытье передней части, в то время как уровень ваших фиолетовых сердец ниже 4, imouto откажется.</v>
      </c>
      <c r="AB76" s="113" t="str">
        <f>IFERROR(__xludf.DUMMYFUNCTION("IF(L76="""", """", GOOGLETRANSLATE(L76, ""en"", ""ru""))
"),"Имуту отклонит ваш запрос")</f>
        <v>Имуту отклонит ваш запрос</v>
      </c>
      <c r="AC76" s="118">
        <v>27.0</v>
      </c>
      <c r="AD76" s="111" t="s">
        <v>1531</v>
      </c>
      <c r="AE76" s="111" t="s">
        <v>1532</v>
      </c>
      <c r="AF76" s="111" t="s">
        <v>1533</v>
      </c>
      <c r="AG76" s="118">
        <v>27.0</v>
      </c>
      <c r="AH76" s="111" t="s">
        <v>1534</v>
      </c>
      <c r="AI76" s="111" t="s">
        <v>1535</v>
      </c>
      <c r="AJ76" s="111" t="s">
        <v>1536</v>
      </c>
      <c r="AK76" s="111"/>
      <c r="AL76" s="111"/>
      <c r="AM76" s="111"/>
      <c r="AN76" s="111"/>
      <c r="AO76" s="111"/>
    </row>
    <row r="77">
      <c r="A77" s="118">
        <v>28.0</v>
      </c>
      <c r="B77" s="111" t="s">
        <v>1537</v>
      </c>
      <c r="C77" s="111" t="s">
        <v>1538</v>
      </c>
      <c r="D77" s="111" t="s">
        <v>1539</v>
      </c>
      <c r="E77" s="118">
        <v>28.0</v>
      </c>
      <c r="F77" s="111" t="s">
        <v>1540</v>
      </c>
      <c r="G77" s="111" t="s">
        <v>1541</v>
      </c>
      <c r="H77" s="111" t="s">
        <v>1542</v>
      </c>
      <c r="I77" s="118">
        <v>28.0</v>
      </c>
      <c r="J77" s="111" t="s">
        <v>1543</v>
      </c>
      <c r="K77" s="111" t="s">
        <v>1544</v>
      </c>
      <c r="L77" s="111" t="s">
        <v>1545</v>
      </c>
      <c r="M77" s="118">
        <v>28.0</v>
      </c>
      <c r="N77" s="116" t="str">
        <f>IFERROR(__xludf.DUMMYFUNCTION("GOOGLETRANSLATE(B77,""zh-tw"",""zh"")"),"请妹妹帮忙洗-3")</f>
        <v>请妹妹帮忙洗-3</v>
      </c>
      <c r="O77" s="117" t="str">
        <f>IFERROR(__xludf.DUMMYFUNCTION("GOOGLETRANSLATE(C77,""zh-tw"",""zh"")"),"同上，若达到4颗紫心时")</f>
        <v>同上，若达到4颗紫心时</v>
      </c>
      <c r="P77" s="112" t="str">
        <f>IFERROR(__xludf.DUMMYFUNCTION("GOOGLETRANSLATE(D77,""zh-tw"",""zh"")"),"第一段素股画面演出")</f>
        <v>第一段素股画面演出</v>
      </c>
      <c r="Q77" s="118">
        <v>28.0</v>
      </c>
      <c r="R77" s="116" t="str">
        <f>IFERROR(__xludf.DUMMYFUNCTION("GOOGLETRANSLATE(B77,""zh-tw"",""es-MX"")"),"Por favor, pídele a mi hermana que me ayude a lavar - 3")</f>
        <v>Por favor, pídele a mi hermana que me ayude a lavar - 3</v>
      </c>
      <c r="S77" s="116" t="str">
        <f>IFERROR(__xludf.DUMMYFUNCTION("GOOGLETRANSLATE(C77,""zh-tw"",""es-MX"")"),"Del mismo modo, si consigues 4 corazones morados...")</f>
        <v>Del mismo modo, si consigues 4 corazones morados...</v>
      </c>
      <c r="T77" s="112" t="str">
        <f>IFERROR(__xludf.DUMMYFUNCTION("GOOGLETRANSLATE(D77,""zh-tw"",""es-MX"")"),"La primera parte de la representación de la escena de las medias lisas")</f>
        <v>La primera parte de la representación de la escena de las medias lisas</v>
      </c>
      <c r="U77" s="118">
        <v>28.0</v>
      </c>
      <c r="V77" s="112" t="str">
        <f>IFERROR(__xludf.DUMMYFUNCTION("GOOGLETRANSLATE(B77,""zh-tw"",""KO"")"),"언니한테 씻는 거 도와달라고 부탁해 - 3")</f>
        <v>언니한테 씻는 거 도와달라고 부탁해 - 3</v>
      </c>
      <c r="W77" s="112" t="str">
        <f>IFERROR(__xludf.DUMMYFUNCTION("GOOGLETRANSLATE(C77,""zh-tw"",""KO"")"),"마찬가지로, 보라색 하트가 4개 모이면...")</f>
        <v>마찬가지로, 보라색 하트가 4개 모이면...</v>
      </c>
      <c r="X77" s="112" t="str">
        <f>IFERROR(__xludf.DUMMYFUNCTION("GOOGLETRANSLATE(D77,""zh-tw"",""KO"")"),"플레인 스타킹 씬 퍼포먼스의 첫 번째 부분")</f>
        <v>플레인 스타킹 씬 퍼포먼스의 첫 번째 부분</v>
      </c>
      <c r="Y77" s="118">
        <v>28.0</v>
      </c>
      <c r="Z77" s="113" t="str">
        <f>IFERROR(__xludf.DUMMYFUNCTION("IF(J77="""", """", GOOGLETRANSLATE(
J77,""en"",""ru""))"),"Стирка Имото - 3")</f>
        <v>Стирка Имото - 3</v>
      </c>
      <c r="AA77" s="113" t="str">
        <f>IFERROR(__xludf.DUMMYFUNCTION("IF(K77="""", """", GOOGLETRANSLATE(K77,""en"",""RU""))"),"Аналогично предыдущему, но если у вас есть 4 фиолетовых сердца, активируется первая сцена сумата.")</f>
        <v>Аналогично предыдущему, но если у вас есть 4 фиолетовых сердца, активируется первая сцена сумата.</v>
      </c>
      <c r="AB77" s="113" t="str">
        <f>IFERROR(__xludf.DUMMYFUNCTION("IF(L77="""", """", GOOGLETRANSLATE(L77, ""en"", ""ru""))
"),"Первая сцена суматы")</f>
        <v>Первая сцена суматы</v>
      </c>
      <c r="AC77" s="118">
        <v>28.0</v>
      </c>
      <c r="AD77" s="111" t="s">
        <v>1546</v>
      </c>
      <c r="AE77" s="111" t="s">
        <v>1547</v>
      </c>
      <c r="AF77" s="111" t="s">
        <v>1548</v>
      </c>
      <c r="AG77" s="118">
        <v>28.0</v>
      </c>
      <c r="AH77" s="111" t="s">
        <v>1549</v>
      </c>
      <c r="AI77" s="111" t="s">
        <v>1550</v>
      </c>
      <c r="AJ77" s="111" t="s">
        <v>1551</v>
      </c>
      <c r="AK77" s="111"/>
      <c r="AL77" s="111"/>
      <c r="AM77" s="111"/>
      <c r="AN77" s="111"/>
      <c r="AO77" s="111"/>
    </row>
    <row r="78">
      <c r="A78" s="110">
        <v>29.0</v>
      </c>
      <c r="B78" s="111" t="s">
        <v>1552</v>
      </c>
      <c r="C78" s="111" t="s">
        <v>1553</v>
      </c>
      <c r="D78" s="111" t="s">
        <v>1554</v>
      </c>
      <c r="E78" s="110">
        <v>29.0</v>
      </c>
      <c r="F78" s="111" t="s">
        <v>1555</v>
      </c>
      <c r="G78" s="111" t="s">
        <v>1556</v>
      </c>
      <c r="H78" s="111" t="s">
        <v>1557</v>
      </c>
      <c r="I78" s="110">
        <v>29.0</v>
      </c>
      <c r="J78" s="111" t="s">
        <v>1558</v>
      </c>
      <c r="K78" s="111" t="s">
        <v>1559</v>
      </c>
      <c r="L78" s="111" t="s">
        <v>1560</v>
      </c>
      <c r="M78" s="110">
        <v>29.0</v>
      </c>
      <c r="N78" s="116" t="str">
        <f>IFERROR(__xludf.DUMMYFUNCTION("GOOGLETRANSLATE(B78,""zh-tw"",""zh"")"),"请妹妹帮忙洗-4")</f>
        <v>请妹妹帮忙洗-4</v>
      </c>
      <c r="O78" s="117" t="str">
        <f>IFERROR(__xludf.DUMMYFUNCTION("GOOGLETRANSLATE(C78,""zh-tw"",""zh"")"),"同上，若达到5颗紫心时")</f>
        <v>同上，若达到5颗紫心时</v>
      </c>
      <c r="P78" s="112" t="str">
        <f>IFERROR(__xludf.DUMMYFUNCTION("GOOGLETRANSLATE(D78,""zh-tw"",""zh"")"),"第二段素股画面演出")</f>
        <v>第二段素股画面演出</v>
      </c>
      <c r="Q78" s="110">
        <v>29.0</v>
      </c>
      <c r="R78" s="116" t="str">
        <f>IFERROR(__xludf.DUMMYFUNCTION("GOOGLETRANSLATE(B78,""zh-tw"",""es-MX"")"),"Por favor, pídele a mi hermana que me ayude a lavar -4")</f>
        <v>Por favor, pídele a mi hermana que me ayude a lavar -4</v>
      </c>
      <c r="S78" s="116" t="str">
        <f>IFERROR(__xludf.DUMMYFUNCTION("GOOGLETRANSLATE(C78,""zh-tw"",""es-MX"")"),"Del mismo modo, si consigues 5 corazones morados...")</f>
        <v>Del mismo modo, si consigues 5 corazones morados...</v>
      </c>
      <c r="T78" s="112" t="str">
        <f>IFERROR(__xludf.DUMMYFUNCTION("GOOGLETRANSLATE(D78,""zh-tw"",""es-MX"")"),"La segunda parte de la representación de la escena de las medias lisas")</f>
        <v>La segunda parte de la representación de la escena de las medias lisas</v>
      </c>
      <c r="U78" s="110">
        <v>29.0</v>
      </c>
      <c r="V78" s="112" t="str">
        <f>IFERROR(__xludf.DUMMYFUNCTION("GOOGLETRANSLATE(B78,""zh-tw"",""KO"")"),"언니한테 씻는거 도와달라고 부탁해 -4")</f>
        <v>언니한테 씻는거 도와달라고 부탁해 -4</v>
      </c>
      <c r="W78" s="112" t="str">
        <f>IFERROR(__xludf.DUMMYFUNCTION("GOOGLETRANSLATE(C78,""zh-tw"",""KO"")"),"마찬가지로, 보라색 하트가 5개 모이면...")</f>
        <v>마찬가지로, 보라색 하트가 5개 모이면...</v>
      </c>
      <c r="X78" s="112" t="str">
        <f>IFERROR(__xludf.DUMMYFUNCTION("GOOGLETRANSLATE(D78,""zh-tw"",""KO"")"),"플레인 스타킹 씬 퍼포먼스 2부")</f>
        <v>플레인 스타킹 씬 퍼포먼스 2부</v>
      </c>
      <c r="Y78" s="110">
        <v>29.0</v>
      </c>
      <c r="Z78" s="113" t="str">
        <f>IFERROR(__xludf.DUMMYFUNCTION("IF(J78="""", """", GOOGLETRANSLATE(
J78,""en"",""ru""))"),"Стирка Имото - 4")</f>
        <v>Стирка Имото - 4</v>
      </c>
      <c r="AA78" s="113" t="str">
        <f>IFERROR(__xludf.DUMMYFUNCTION("IF(K78="""", """", GOOGLETRANSLATE(K78,""en"",""RU""))"),"Аналогично предыдущему, но если у вас есть 5 фиолетовых сердец, активируется вторая сцена сумата.")</f>
        <v>Аналогично предыдущему, но если у вас есть 5 фиолетовых сердец, активируется вторая сцена сумата.</v>
      </c>
      <c r="AB78" s="113" t="str">
        <f>IFERROR(__xludf.DUMMYFUNCTION("IF(L78="""", """", GOOGLETRANSLATE(L78, ""en"", ""ru""))
"),"Вторая сцена суматы")</f>
        <v>Вторая сцена суматы</v>
      </c>
      <c r="AC78" s="110">
        <v>29.0</v>
      </c>
      <c r="AD78" s="111" t="s">
        <v>1561</v>
      </c>
      <c r="AE78" s="111" t="s">
        <v>1562</v>
      </c>
      <c r="AF78" s="111" t="s">
        <v>1563</v>
      </c>
      <c r="AG78" s="110">
        <v>29.0</v>
      </c>
      <c r="AH78" s="111" t="s">
        <v>1564</v>
      </c>
      <c r="AI78" s="111" t="s">
        <v>1565</v>
      </c>
      <c r="AJ78" s="111" t="s">
        <v>1566</v>
      </c>
      <c r="AK78" s="111"/>
      <c r="AL78" s="111"/>
      <c r="AM78" s="111"/>
      <c r="AN78" s="111"/>
      <c r="AO78" s="111"/>
    </row>
    <row r="79">
      <c r="A79" s="77"/>
      <c r="B79" s="78"/>
      <c r="C79" s="78"/>
      <c r="D79" s="78"/>
      <c r="E79" s="77"/>
      <c r="F79" s="78"/>
      <c r="G79" s="78"/>
      <c r="H79" s="78"/>
      <c r="I79" s="77"/>
      <c r="J79" s="78"/>
      <c r="K79" s="78"/>
      <c r="L79" s="78"/>
      <c r="M79" s="17"/>
      <c r="N79" s="78"/>
      <c r="O79" s="46"/>
      <c r="P79" s="46"/>
      <c r="Q79" s="46"/>
      <c r="R79" s="46"/>
      <c r="S79" s="46"/>
      <c r="T79" s="46"/>
      <c r="U79" s="46"/>
      <c r="V79" s="46"/>
      <c r="W79" s="46"/>
      <c r="X79" s="46"/>
      <c r="Y79" s="78"/>
      <c r="Z79" s="46"/>
      <c r="AA79" s="46"/>
      <c r="AB79" s="46"/>
      <c r="AC79" s="78"/>
      <c r="AD79" s="78"/>
      <c r="AE79" s="78"/>
      <c r="AF79" s="78"/>
      <c r="AG79" s="79"/>
      <c r="AH79" s="79"/>
      <c r="AI79" s="79"/>
      <c r="AJ79" s="79"/>
      <c r="AK79" s="78"/>
      <c r="AL79" s="78"/>
      <c r="AM79" s="78"/>
      <c r="AN79" s="78"/>
      <c r="AO79" s="78"/>
    </row>
    <row r="80">
      <c r="A80" s="80" t="s">
        <v>1567</v>
      </c>
      <c r="B80" s="81" t="s">
        <v>1568</v>
      </c>
      <c r="E80" s="80" t="s">
        <v>1567</v>
      </c>
      <c r="F80" s="80" t="s">
        <v>1569</v>
      </c>
      <c r="I80" s="80" t="s">
        <v>1567</v>
      </c>
      <c r="J80" s="80" t="s">
        <v>1570</v>
      </c>
      <c r="M80" s="80" t="s">
        <v>1567</v>
      </c>
      <c r="N80" s="81" t="str">
        <f>IFERROR(__xludf.DUMMYFUNCTION("GOOGLETRANSLATE(B80,""zh-tw"",""zh"")"),"游戏机相关剧情")</f>
        <v>游戏机相关剧情</v>
      </c>
      <c r="Q80" s="80" t="s">
        <v>1567</v>
      </c>
      <c r="R80" s="80" t="s">
        <v>1571</v>
      </c>
      <c r="U80" s="80" t="s">
        <v>1567</v>
      </c>
      <c r="V80" s="80" t="s">
        <v>1572</v>
      </c>
      <c r="Y80" s="80" t="s">
        <v>1567</v>
      </c>
      <c r="Z80" s="80" t="s">
        <v>1573</v>
      </c>
      <c r="AC80" s="80" t="s">
        <v>1567</v>
      </c>
      <c r="AD80" s="80" t="s">
        <v>1574</v>
      </c>
      <c r="AG80" s="82" t="s">
        <v>1567</v>
      </c>
      <c r="AH80" s="83" t="s">
        <v>1575</v>
      </c>
      <c r="AK80" s="81"/>
      <c r="AL80" s="81"/>
      <c r="AM80" s="81"/>
      <c r="AN80" s="81"/>
      <c r="AO80" s="81"/>
    </row>
    <row r="81">
      <c r="A81" s="84">
        <v>1.0</v>
      </c>
      <c r="B81" s="85" t="s">
        <v>1576</v>
      </c>
      <c r="C81" s="86" t="s">
        <v>1577</v>
      </c>
      <c r="D81" s="87" t="s">
        <v>1578</v>
      </c>
      <c r="E81" s="84">
        <v>1.0</v>
      </c>
      <c r="F81" s="85" t="s">
        <v>1579</v>
      </c>
      <c r="G81" s="86" t="s">
        <v>1580</v>
      </c>
      <c r="H81" s="87" t="s">
        <v>1581</v>
      </c>
      <c r="I81" s="84">
        <v>1.0</v>
      </c>
      <c r="J81" s="85" t="s">
        <v>1582</v>
      </c>
      <c r="K81" s="86" t="s">
        <v>1583</v>
      </c>
      <c r="L81" s="87" t="s">
        <v>1584</v>
      </c>
      <c r="M81" s="119">
        <v>1.0</v>
      </c>
      <c r="N81" s="85" t="str">
        <f>IFERROR(__xludf.DUMMYFUNCTION("GOOGLETRANSLATE(B81,""zh-tw"",""zh"")"),"第一次游戏中的恶作剧")</f>
        <v>第一次游戏中的恶作剧</v>
      </c>
      <c r="O81" s="89" t="str">
        <f>IFERROR(__xludf.DUMMYFUNCTION("GOOGLETRANSLATE(C81,""zh-tw"",""zh"")"),"在拥有游戏机后，第一次对正在独自一人玩游戏的妹妹，使用一起游玩的恶作剧")</f>
        <v>在拥有游戏机后，第一次对正在独自一人玩游戏的妹妹，使用一起游玩的恶作剧</v>
      </c>
      <c r="P81" s="55" t="str">
        <f>IFERROR(__xludf.DUMMYFUNCTION("GOOGLETRANSLATE(D81,""zh-tw"",""zh"")"),"有一段的特殊对话，并且之后可以对游戏中的妹妹恶作剧")</f>
        <v>有一段的特殊对话，并且之后可以对游戏中的妹妹恶作剧</v>
      </c>
      <c r="Q81" s="120">
        <v>1.0</v>
      </c>
      <c r="R81" s="98" t="s">
        <v>1585</v>
      </c>
      <c r="S81" s="95" t="s">
        <v>1586</v>
      </c>
      <c r="T81" s="52" t="s">
        <v>1587</v>
      </c>
      <c r="U81" s="120">
        <v>1.0</v>
      </c>
      <c r="V81" s="88" t="s">
        <v>1588</v>
      </c>
      <c r="W81" s="89" t="s">
        <v>1589</v>
      </c>
      <c r="X81" s="55" t="s">
        <v>1590</v>
      </c>
      <c r="Y81" s="121">
        <v>1.0</v>
      </c>
      <c r="Z81" s="103" t="s">
        <v>1591</v>
      </c>
      <c r="AA81" s="104" t="s">
        <v>1592</v>
      </c>
      <c r="AB81" s="44" t="s">
        <v>1593</v>
      </c>
      <c r="AC81" s="121">
        <v>1.0</v>
      </c>
      <c r="AD81" s="85" t="s">
        <v>1594</v>
      </c>
      <c r="AE81" s="86" t="s">
        <v>1595</v>
      </c>
      <c r="AF81" s="87" t="s">
        <v>1596</v>
      </c>
      <c r="AG81" s="122">
        <v>1.0</v>
      </c>
      <c r="AH81" s="92" t="s">
        <v>1597</v>
      </c>
      <c r="AI81" s="93" t="s">
        <v>1598</v>
      </c>
      <c r="AJ81" s="94" t="s">
        <v>1599</v>
      </c>
      <c r="AK81" s="87"/>
      <c r="AL81" s="87"/>
      <c r="AM81" s="87"/>
      <c r="AN81" s="87"/>
      <c r="AO81" s="87"/>
    </row>
    <row r="82">
      <c r="A82" s="84">
        <v>2.0</v>
      </c>
      <c r="B82" s="85" t="s">
        <v>1600</v>
      </c>
      <c r="C82" s="86" t="s">
        <v>1601</v>
      </c>
      <c r="D82" s="87" t="s">
        <v>1602</v>
      </c>
      <c r="E82" s="84">
        <v>2.0</v>
      </c>
      <c r="F82" s="85" t="s">
        <v>1603</v>
      </c>
      <c r="G82" s="86" t="s">
        <v>1604</v>
      </c>
      <c r="H82" s="87" t="s">
        <v>1605</v>
      </c>
      <c r="I82" s="84">
        <v>2.0</v>
      </c>
      <c r="J82" s="85" t="s">
        <v>1606</v>
      </c>
      <c r="K82" s="86" t="s">
        <v>1607</v>
      </c>
      <c r="L82" s="87" t="s">
        <v>1608</v>
      </c>
      <c r="M82" s="119">
        <v>2.0</v>
      </c>
      <c r="N82" s="85" t="str">
        <f>IFERROR(__xludf.DUMMYFUNCTION("GOOGLETRANSLATE(B82,""zh-tw"",""zh"")"),"夜晚的发现")</f>
        <v>夜晚的发现</v>
      </c>
      <c r="O82" s="89" t="str">
        <f>IFERROR(__xludf.DUMMYFUNCTION("GOOGLETRANSLATE(C82,""zh-tw"",""zh"")"),"在拥有游戏机后，第一次夜袭时，妹妹会因偷玩游戏被哥哥抓到")</f>
        <v>在拥有游戏机后，第一次夜袭时，妹妹会因偷玩游戏被哥哥抓到</v>
      </c>
      <c r="P82" s="55" t="s">
        <v>1609</v>
      </c>
      <c r="Q82" s="120">
        <v>2.0</v>
      </c>
      <c r="R82" s="98" t="s">
        <v>1610</v>
      </c>
      <c r="S82" s="95" t="s">
        <v>1611</v>
      </c>
      <c r="T82" s="52" t="s">
        <v>1612</v>
      </c>
      <c r="U82" s="120">
        <v>2.0</v>
      </c>
      <c r="V82" s="88" t="s">
        <v>1613</v>
      </c>
      <c r="W82" s="89" t="s">
        <v>1614</v>
      </c>
      <c r="X82" s="55" t="s">
        <v>1615</v>
      </c>
      <c r="Y82" s="121">
        <v>2.0</v>
      </c>
      <c r="Z82" s="103" t="s">
        <v>1616</v>
      </c>
      <c r="AA82" s="104" t="s">
        <v>1617</v>
      </c>
      <c r="AB82" s="44" t="s">
        <v>1618</v>
      </c>
      <c r="AC82" s="121">
        <v>2.0</v>
      </c>
      <c r="AD82" s="85" t="s">
        <v>1619</v>
      </c>
      <c r="AE82" s="86" t="s">
        <v>1620</v>
      </c>
      <c r="AF82" s="87" t="s">
        <v>1621</v>
      </c>
      <c r="AG82" s="122">
        <v>2.0</v>
      </c>
      <c r="AH82" s="92" t="s">
        <v>1622</v>
      </c>
      <c r="AI82" s="93" t="s">
        <v>1623</v>
      </c>
      <c r="AJ82" s="94" t="s">
        <v>1624</v>
      </c>
      <c r="AK82" s="87"/>
      <c r="AL82" s="87"/>
      <c r="AM82" s="87"/>
      <c r="AN82" s="87"/>
      <c r="AO82" s="87"/>
    </row>
    <row r="83">
      <c r="A83" s="119">
        <v>3.0</v>
      </c>
      <c r="B83" s="88" t="s">
        <v>1625</v>
      </c>
      <c r="C83" s="89" t="s">
        <v>1626</v>
      </c>
      <c r="D83" s="55" t="s">
        <v>1627</v>
      </c>
      <c r="E83" s="119">
        <v>3.0</v>
      </c>
      <c r="F83" s="88" t="s">
        <v>1628</v>
      </c>
      <c r="G83" s="89" t="s">
        <v>1629</v>
      </c>
      <c r="H83" s="55" t="s">
        <v>1630</v>
      </c>
      <c r="I83" s="119">
        <v>3.0</v>
      </c>
      <c r="J83" s="88" t="s">
        <v>1631</v>
      </c>
      <c r="K83" s="89" t="s">
        <v>1632</v>
      </c>
      <c r="L83" s="55" t="s">
        <v>1633</v>
      </c>
      <c r="M83" s="119">
        <v>3.0</v>
      </c>
      <c r="N83" s="88" t="str">
        <f>IFERROR(__xludf.DUMMYFUNCTION("GOOGLETRANSLATE(B83,""zh-tw"",""zh"")"),"游戏中的干扰")</f>
        <v>游戏中的干扰</v>
      </c>
      <c r="O83" s="89" t="str">
        <f>IFERROR(__xludf.DUMMYFUNCTION("GOOGLETRANSLATE(C83,""zh-tw"",""zh"")"),"在妹妹独自一人玩游戏时，若进行干扰，妹妹会生气")</f>
        <v>在妹妹独自一人玩游戏时，若进行干扰，妹妹会生气</v>
      </c>
      <c r="P83" s="55" t="str">
        <f>IFERROR(__xludf.DUMMYFUNCTION("GOOGLETRANSLATE(D83,""zh-tw"",""zh"")"),"生气之后安抚好，会获得随机的肉料理、别受伤的约定")</f>
        <v>生气之后安抚好，会获得随机的肉料理、别受伤的约定</v>
      </c>
      <c r="Q83" s="120">
        <v>3.0</v>
      </c>
      <c r="R83" s="88" t="s">
        <v>1634</v>
      </c>
      <c r="S83" s="95" t="s">
        <v>1635</v>
      </c>
      <c r="T83" s="52" t="s">
        <v>1636</v>
      </c>
      <c r="U83" s="120">
        <v>3.0</v>
      </c>
      <c r="V83" s="88" t="s">
        <v>1637</v>
      </c>
      <c r="W83" s="89" t="s">
        <v>1638</v>
      </c>
      <c r="X83" s="55" t="s">
        <v>1639</v>
      </c>
      <c r="Y83" s="120">
        <v>3.0</v>
      </c>
      <c r="Z83" s="103" t="s">
        <v>1640</v>
      </c>
      <c r="AA83" s="104" t="s">
        <v>1641</v>
      </c>
      <c r="AB83" s="44" t="s">
        <v>1642</v>
      </c>
      <c r="AC83" s="120">
        <v>3.0</v>
      </c>
      <c r="AD83" s="88" t="s">
        <v>1643</v>
      </c>
      <c r="AE83" s="89" t="s">
        <v>1644</v>
      </c>
      <c r="AF83" s="55" t="s">
        <v>1645</v>
      </c>
      <c r="AG83" s="123">
        <v>3.0</v>
      </c>
      <c r="AH83" s="124" t="s">
        <v>1646</v>
      </c>
      <c r="AI83" s="125" t="s">
        <v>1647</v>
      </c>
      <c r="AJ83" s="126" t="s">
        <v>1648</v>
      </c>
      <c r="AK83" s="55"/>
      <c r="AL83" s="55"/>
      <c r="AM83" s="55"/>
      <c r="AN83" s="55"/>
      <c r="AO83" s="55"/>
    </row>
    <row r="84">
      <c r="A84" s="119">
        <v>4.0</v>
      </c>
      <c r="B84" s="88" t="s">
        <v>1649</v>
      </c>
      <c r="C84" s="89" t="s">
        <v>1650</v>
      </c>
      <c r="D84" s="55" t="s">
        <v>1651</v>
      </c>
      <c r="E84" s="119">
        <v>4.0</v>
      </c>
      <c r="F84" s="88" t="s">
        <v>1652</v>
      </c>
      <c r="G84" s="89" t="s">
        <v>1653</v>
      </c>
      <c r="H84" s="55" t="s">
        <v>1654</v>
      </c>
      <c r="I84" s="119">
        <v>4.0</v>
      </c>
      <c r="J84" s="88" t="s">
        <v>1655</v>
      </c>
      <c r="K84" s="89" t="s">
        <v>1656</v>
      </c>
      <c r="L84" s="55" t="s">
        <v>1657</v>
      </c>
      <c r="M84" s="119">
        <v>4.0</v>
      </c>
      <c r="N84" s="88" t="str">
        <f>IFERROR(__xludf.DUMMYFUNCTION("GOOGLETRANSLATE(B84,""zh-tw"",""zh"")"),"游戏中的干扰-1")</f>
        <v>游戏中的干扰-1</v>
      </c>
      <c r="O84" s="89" t="str">
        <f>IFERROR(__xludf.DUMMYFUNCTION("GOOGLETRANSLATE(C84,""zh-tw"",""zh"")"),"同上，若拥有暗影之魂-DLC后，即可触发其他选项")</f>
        <v>同上，若拥有暗影之魂-DLC后，即可触发其他选项</v>
      </c>
      <c r="P84" s="55" t="str">
        <f>IFERROR(__xludf.DUMMYFUNCTION("GOOGLETRANSLATE(D84,""zh-tw"",""zh"")"),"新增其他选项")</f>
        <v>新增其他选项</v>
      </c>
      <c r="Q84" s="120">
        <v>4.0</v>
      </c>
      <c r="R84" s="98" t="s">
        <v>1658</v>
      </c>
      <c r="S84" s="95" t="s">
        <v>1659</v>
      </c>
      <c r="T84" s="55" t="str">
        <f>IFERROR(__xludf.DUMMYFUNCTION("GOOGLETRANSLATE(D84,""zh-tw"",""es-MX"")"),"Agregar otras opciones")</f>
        <v>Agregar otras opciones</v>
      </c>
      <c r="U84" s="120">
        <v>4.0</v>
      </c>
      <c r="V84" s="88" t="s">
        <v>1660</v>
      </c>
      <c r="W84" s="89" t="s">
        <v>1661</v>
      </c>
      <c r="X84" s="55" t="str">
        <f>IFERROR(__xludf.DUMMYFUNCTION("GOOGLETRANSLATE(D84,""zh-tw"",""KO"")"),"다른 옵션 추가")</f>
        <v>다른 옵션 추가</v>
      </c>
      <c r="Y84" s="120">
        <v>4.0</v>
      </c>
      <c r="Z84" s="103" t="s">
        <v>1662</v>
      </c>
      <c r="AA84" s="104" t="s">
        <v>1663</v>
      </c>
      <c r="AB84" s="44" t="s">
        <v>1664</v>
      </c>
      <c r="AC84" s="120">
        <v>4.0</v>
      </c>
      <c r="AD84" s="88" t="s">
        <v>1665</v>
      </c>
      <c r="AE84" s="89" t="s">
        <v>1666</v>
      </c>
      <c r="AF84" s="55" t="s">
        <v>1667</v>
      </c>
      <c r="AG84" s="123">
        <v>4.0</v>
      </c>
      <c r="AH84" s="124" t="s">
        <v>1668</v>
      </c>
      <c r="AI84" s="125" t="s">
        <v>1669</v>
      </c>
      <c r="AJ84" s="126" t="s">
        <v>1670</v>
      </c>
      <c r="AK84" s="55"/>
      <c r="AL84" s="55"/>
      <c r="AM84" s="55"/>
      <c r="AN84" s="55"/>
      <c r="AO84" s="55"/>
    </row>
    <row r="85">
      <c r="A85" s="119">
        <v>5.0</v>
      </c>
      <c r="B85" s="88" t="s">
        <v>1671</v>
      </c>
      <c r="C85" s="89" t="s">
        <v>1672</v>
      </c>
      <c r="D85" s="55" t="s">
        <v>1673</v>
      </c>
      <c r="E85" s="119">
        <v>5.0</v>
      </c>
      <c r="F85" s="88" t="s">
        <v>1674</v>
      </c>
      <c r="G85" s="89" t="s">
        <v>1675</v>
      </c>
      <c r="H85" s="55" t="s">
        <v>1676</v>
      </c>
      <c r="I85" s="119">
        <v>5.0</v>
      </c>
      <c r="J85" s="88" t="s">
        <v>1677</v>
      </c>
      <c r="K85" s="89" t="s">
        <v>1678</v>
      </c>
      <c r="L85" s="55" t="s">
        <v>1679</v>
      </c>
      <c r="M85" s="119">
        <v>5.0</v>
      </c>
      <c r="N85" s="88" t="str">
        <f>IFERROR(__xludf.DUMMYFUNCTION("GOOGLETRANSLATE(B85,""zh-tw"",""zh"")"),"Zzz -1")</f>
        <v>Zzz -1</v>
      </c>
      <c r="O85" s="89" t="str">
        <f>IFERROR(__xludf.DUMMYFUNCTION("GOOGLETRANSLATE(C85,""zh-tw"",""zh"")"),"「喝点什么」给妹妹喂一颗""蓝色金平糖""后，会处发妹妹想睡觉的放松状态")</f>
        <v>「喝点什么」给妹妹喂一颗"蓝色金平糖"后，会处发妹妹想睡觉的放松状态</v>
      </c>
      <c r="P85" s="55" t="str">
        <f>IFERROR(__xludf.DUMMYFUNCTION("GOOGLETRANSLATE(D85,""zh-tw"",""zh"")"),"放松戒心，偷窥不容易被发现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85" s="120">
        <v>5.0</v>
      </c>
      <c r="R85" s="88" t="s">
        <v>1680</v>
      </c>
      <c r="S85" s="95" t="s">
        <v>1681</v>
      </c>
      <c r="T85" s="52" t="s">
        <v>1682</v>
      </c>
      <c r="U85" s="120">
        <v>5.0</v>
      </c>
      <c r="V85" s="88" t="str">
        <f>IFERROR(__xludf.DUMMYFUNCTION("GOOGLETRANSLATE(B85,""zh-tw"",""KO"")"),"zz -1")</f>
        <v>zz -1</v>
      </c>
      <c r="W85" s="89" t="str">
        <f>IFERROR(__xludf.DUMMYFUNCTION("GOOGLETRANSLATE(C85,""zh-tw"",""KO"")"),"여동생에게 '파란색 콘페이토'(일본식 사탕의 일종)를 주고 '뭐 마실 것 좀 줘'라고 한 뒤, 잠을 자고 싶어하는 편안한 상태로 만들어 주었습니다.")</f>
        <v>여동생에게 '파란색 콘페이토'(일본식 사탕의 일종)를 주고 '뭐 마실 것 좀 줘'라고 한 뒤, 잠을 자고 싶어하는 편안한 상태로 만들어 주었습니다.</v>
      </c>
      <c r="X85" s="55" t="str">
        <f>IFERROR(__xludf.DUMMYFUNCTION("GOOGLETRANSLATE(D85,""zh-tw"",""KO"")"),"방심하면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f>
        <v>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v>
      </c>
      <c r="Y85" s="120">
        <v>5.0</v>
      </c>
      <c r="Z85" s="103" t="s">
        <v>1683</v>
      </c>
      <c r="AA85" s="104" t="s">
        <v>1684</v>
      </c>
      <c r="AB85" s="44" t="s">
        <v>1685</v>
      </c>
      <c r="AC85" s="120">
        <v>5.0</v>
      </c>
      <c r="AD85" s="88" t="s">
        <v>1686</v>
      </c>
      <c r="AE85" s="89" t="s">
        <v>1687</v>
      </c>
      <c r="AF85" s="55" t="s">
        <v>1688</v>
      </c>
      <c r="AG85" s="123">
        <v>5.0</v>
      </c>
      <c r="AH85" s="124" t="s">
        <v>1689</v>
      </c>
      <c r="AI85" s="125" t="s">
        <v>1690</v>
      </c>
      <c r="AJ85" s="126" t="s">
        <v>1691</v>
      </c>
      <c r="AK85" s="55"/>
      <c r="AL85" s="55"/>
      <c r="AM85" s="55"/>
      <c r="AN85" s="55"/>
      <c r="AO85" s="55"/>
    </row>
    <row r="86">
      <c r="A86" s="17"/>
      <c r="B86" s="46"/>
      <c r="C86" s="46"/>
      <c r="D86" s="46"/>
      <c r="E86" s="17"/>
      <c r="F86" s="46"/>
      <c r="G86" s="46"/>
      <c r="H86" s="46"/>
      <c r="I86" s="17"/>
      <c r="J86" s="46"/>
      <c r="K86" s="46"/>
      <c r="L86" s="46"/>
      <c r="M86" s="17"/>
      <c r="N86" s="46"/>
      <c r="O86" s="46"/>
      <c r="P86" s="46"/>
      <c r="Q86" s="46"/>
      <c r="R86" s="46"/>
      <c r="S86" s="46"/>
      <c r="T86" s="46"/>
      <c r="U86" s="46"/>
      <c r="V86" s="46"/>
      <c r="W86" s="46"/>
      <c r="X86" s="46"/>
      <c r="Y86" s="46"/>
      <c r="Z86" s="46"/>
      <c r="AA86" s="46"/>
      <c r="AB86" s="46"/>
      <c r="AC86" s="46"/>
      <c r="AD86" s="46"/>
      <c r="AE86" s="46"/>
      <c r="AF86" s="46"/>
      <c r="AG86" s="127"/>
      <c r="AH86" s="127"/>
      <c r="AI86" s="127"/>
      <c r="AJ86" s="127"/>
      <c r="AK86" s="46"/>
      <c r="AL86" s="46"/>
      <c r="AM86" s="46"/>
      <c r="AN86" s="46"/>
      <c r="AO86" s="46"/>
    </row>
    <row r="87">
      <c r="A87" s="80" t="s">
        <v>1692</v>
      </c>
      <c r="B87" s="128" t="s">
        <v>1693</v>
      </c>
      <c r="E87" s="80" t="s">
        <v>1692</v>
      </c>
      <c r="F87" s="80" t="s">
        <v>1694</v>
      </c>
      <c r="I87" s="80" t="s">
        <v>1692</v>
      </c>
      <c r="J87" s="80" t="s">
        <v>1695</v>
      </c>
      <c r="M87" s="80" t="s">
        <v>1692</v>
      </c>
      <c r="N87" s="81" t="str">
        <f>IFERROR(__xludf.DUMMYFUNCTION("GOOGLETRANSLATE(B87,""zh-tw"",""zh"")"),"特殊天气相关")</f>
        <v>特殊天气相关</v>
      </c>
      <c r="Q87" s="80" t="s">
        <v>1692</v>
      </c>
      <c r="R87" s="80" t="s">
        <v>1696</v>
      </c>
      <c r="U87" s="80" t="s">
        <v>1692</v>
      </c>
      <c r="V87" s="80" t="s">
        <v>1697</v>
      </c>
      <c r="Y87" s="80" t="s">
        <v>1692</v>
      </c>
      <c r="Z87" s="80" t="s">
        <v>1698</v>
      </c>
      <c r="AC87" s="80" t="s">
        <v>1692</v>
      </c>
      <c r="AD87" s="80" t="s">
        <v>1699</v>
      </c>
      <c r="AG87" s="82" t="s">
        <v>1692</v>
      </c>
      <c r="AH87" s="129" t="s">
        <v>1700</v>
      </c>
      <c r="AK87" s="128"/>
      <c r="AL87" s="128"/>
      <c r="AM87" s="128"/>
      <c r="AN87" s="128"/>
      <c r="AO87" s="128"/>
    </row>
    <row r="88">
      <c r="A88" s="119">
        <v>1.0</v>
      </c>
      <c r="B88" s="88" t="s">
        <v>1701</v>
      </c>
      <c r="C88" s="89" t="s">
        <v>1702</v>
      </c>
      <c r="D88" s="55" t="s">
        <v>1703</v>
      </c>
      <c r="E88" s="119">
        <v>1.0</v>
      </c>
      <c r="F88" s="88" t="s">
        <v>1704</v>
      </c>
      <c r="G88" s="89" t="s">
        <v>1705</v>
      </c>
      <c r="H88" s="55" t="s">
        <v>1706</v>
      </c>
      <c r="I88" s="119">
        <v>1.0</v>
      </c>
      <c r="J88" s="88" t="s">
        <v>1707</v>
      </c>
      <c r="K88" s="89" t="s">
        <v>1708</v>
      </c>
      <c r="L88" s="55" t="s">
        <v>1709</v>
      </c>
      <c r="M88" s="119">
        <v>1.0</v>
      </c>
      <c r="N88" s="88" t="str">
        <f>IFERROR(__xludf.DUMMYFUNCTION("GOOGLETRANSLATE(B88,""zh-tw"",""zh"")"),"炎热的消暑-1")</f>
        <v>炎热的消暑-1</v>
      </c>
      <c r="O88" s="89" t="str">
        <f>IFERROR(__xludf.DUMMYFUNCTION("GOOGLETRANSLATE(C88,""zh-tw"",""zh"")"),"于炎热天气时，递给妹妹喝逆流可乐")</f>
        <v>于炎热天气时，递给妹妹喝逆流可乐</v>
      </c>
      <c r="P88" s="55" t="str">
        <f>IFERROR(__xludf.DUMMYFUNCTION("GOOGLETRANSLATE(D88,""zh-tw"",""zh"")"),"特殊动画、妹妹的心情+10好感+20")</f>
        <v>特殊动画、妹妹的心情+10好感+20</v>
      </c>
      <c r="Q88" s="120">
        <v>1.0</v>
      </c>
      <c r="R88" s="88" t="s">
        <v>1710</v>
      </c>
      <c r="S88" s="95" t="s">
        <v>1711</v>
      </c>
      <c r="T88" s="55" t="str">
        <f>IFERROR(__xludf.DUMMYFUNCTION("GOOGLETRANSLATE(D88,""zh-tw"",""es-MX"")"),"Animación especial, estado de ánimo de la hermana +10, afecto +20")</f>
        <v>Animación especial, estado de ánimo de la hermana +10, afecto +20</v>
      </c>
      <c r="U88" s="120">
        <v>1.0</v>
      </c>
      <c r="V88" s="88" t="str">
        <f>IFERROR(__xludf.DUMMYFUNCTION("GOOGLETRANSLATE(B88,""zh-tw"",""KO"")"),"더운 날씨에 시원하게 식히기 - 1부")</f>
        <v>더운 날씨에 시원하게 식히기 - 1부</v>
      </c>
      <c r="W88" s="89" t="str">
        <f>IFERROR(__xludf.DUMMYFUNCTION("GOOGLETRANSLATE(C88,""zh-tw"",""KO"")"),"더운 어느 날, 나는 여동생에게 거꾸로 흘러내리는 콜라를 건넸다.")</f>
        <v>더운 어느 날, 나는 여동생에게 거꾸로 흘러내리는 콜라를 건넸다.</v>
      </c>
      <c r="X88" s="55" t="str">
        <f>IFERROR(__xludf.DUMMYFUNCTION("GOOGLETRANSLATE(D88,""zh-tw"",""KO"")"),"특수 애니메이션, 자매 기분 +10, 애정도 +20")</f>
        <v>특수 애니메이션, 자매 기분 +10, 애정도 +20</v>
      </c>
      <c r="Y88" s="120">
        <v>1.0</v>
      </c>
      <c r="Z88" s="103" t="s">
        <v>1712</v>
      </c>
      <c r="AA88" s="104" t="s">
        <v>1713</v>
      </c>
      <c r="AB88" s="44" t="s">
        <v>1714</v>
      </c>
      <c r="AC88" s="120">
        <v>1.0</v>
      </c>
      <c r="AD88" s="88" t="s">
        <v>1715</v>
      </c>
      <c r="AE88" s="89" t="s">
        <v>1716</v>
      </c>
      <c r="AF88" s="55" t="s">
        <v>1717</v>
      </c>
      <c r="AG88" s="123">
        <v>1.0</v>
      </c>
      <c r="AH88" s="124" t="s">
        <v>1718</v>
      </c>
      <c r="AI88" s="125" t="s">
        <v>1719</v>
      </c>
      <c r="AJ88" s="126" t="s">
        <v>1720</v>
      </c>
      <c r="AK88" s="55"/>
      <c r="AL88" s="55"/>
      <c r="AM88" s="55"/>
      <c r="AN88" s="55"/>
      <c r="AO88" s="55"/>
    </row>
    <row r="89">
      <c r="A89" s="119">
        <v>2.0</v>
      </c>
      <c r="B89" s="88" t="s">
        <v>1721</v>
      </c>
      <c r="C89" s="89" t="s">
        <v>1722</v>
      </c>
      <c r="D89" s="55" t="s">
        <v>1723</v>
      </c>
      <c r="E89" s="119">
        <v>2.0</v>
      </c>
      <c r="F89" s="88" t="s">
        <v>1724</v>
      </c>
      <c r="G89" s="89" t="s">
        <v>1725</v>
      </c>
      <c r="H89" s="55" t="s">
        <v>1726</v>
      </c>
      <c r="I89" s="119">
        <v>2.0</v>
      </c>
      <c r="J89" s="88" t="s">
        <v>1727</v>
      </c>
      <c r="K89" s="89" t="s">
        <v>1728</v>
      </c>
      <c r="L89" s="55" t="s">
        <v>1729</v>
      </c>
      <c r="M89" s="119">
        <v>2.0</v>
      </c>
      <c r="N89" s="88" t="str">
        <f>IFERROR(__xludf.DUMMYFUNCTION("GOOGLETRANSLATE(B89,""zh-tw"",""zh"")"),"炎热的消暑-2")</f>
        <v>炎热的消暑-2</v>
      </c>
      <c r="O89" s="89" t="str">
        <f>IFERROR(__xludf.DUMMYFUNCTION("GOOGLETRANSLATE(C89,""zh-tw"",""zh"")"),"于炎热天气时，摇一摇后给妹妹喝""逆流可乐""")</f>
        <v>于炎热天气时，摇一摇后给妹妹喝"逆流可乐"</v>
      </c>
      <c r="P89" s="55" t="str">
        <f>IFERROR(__xludf.DUMMYFUNCTION("GOOGLETRANSLATE(D89,""zh-tw"",""zh"")"),"特殊动画、妹妹的心情会固定剩20点")</f>
        <v>特殊动画、妹妹的心情会固定剩20点</v>
      </c>
      <c r="Q89" s="120">
        <v>2.0</v>
      </c>
      <c r="R89" s="88" t="s">
        <v>1730</v>
      </c>
      <c r="S89" s="95" t="s">
        <v>1731</v>
      </c>
      <c r="T89" s="55" t="str">
        <f>IFERROR(__xludf.DUMMYFUNCTION("GOOGLETRANSLATE(D89,""zh-tw"",""es-MX"")"),"Animaciones especiales; el estado de ánimo de la hermana menor siempre tendrá 20 puntos restantes.")</f>
        <v>Animaciones especiales; el estado de ánimo de la hermana menor siempre tendrá 20 puntos restantes.</v>
      </c>
      <c r="U89" s="120">
        <v>2.0</v>
      </c>
      <c r="V89" s="88" t="str">
        <f>IFERROR(__xludf.DUMMYFUNCTION("GOOGLETRANSLATE(B89,""zh-tw"",""KO"")"),"더운 날씨에 시원하게 식히기 - 2부")</f>
        <v>더운 날씨에 시원하게 식히기 - 2부</v>
      </c>
      <c r="W89" s="89" t="str">
        <f>IFERROR(__xludf.DUMMYFUNCTION("GOOGLETRANSLATE(C89,""zh-tw"",""KO"")"),"더운 날씨에는 흔들어서 여동생에게 ""역류콜라""를 마시게 하세요.")</f>
        <v>더운 날씨에는 흔들어서 여동생에게 "역류콜라"를 마시게 하세요.</v>
      </c>
      <c r="X89" s="55" t="str">
        <f>IFERROR(__xludf.DUMMYFUNCTION("GOOGLETRANSLATE(D89,""zh-tw"",""KO"")"),"특별 애니메이션; 여동생의 기분은 항상 20포인트 남습니다.")</f>
        <v>특별 애니메이션; 여동생의 기분은 항상 20포인트 남습니다.</v>
      </c>
      <c r="Y89" s="120">
        <v>2.0</v>
      </c>
      <c r="Z89" s="103" t="s">
        <v>1732</v>
      </c>
      <c r="AA89" s="104" t="s">
        <v>1733</v>
      </c>
      <c r="AB89" s="44" t="s">
        <v>1734</v>
      </c>
      <c r="AC89" s="120">
        <v>2.0</v>
      </c>
      <c r="AD89" s="88" t="s">
        <v>1735</v>
      </c>
      <c r="AE89" s="89" t="s">
        <v>1736</v>
      </c>
      <c r="AF89" s="55" t="s">
        <v>1737</v>
      </c>
      <c r="AG89" s="123">
        <v>2.0</v>
      </c>
      <c r="AH89" s="124" t="s">
        <v>1738</v>
      </c>
      <c r="AI89" s="125" t="s">
        <v>1739</v>
      </c>
      <c r="AJ89" s="126" t="s">
        <v>1740</v>
      </c>
      <c r="AK89" s="55"/>
      <c r="AL89" s="55"/>
      <c r="AM89" s="55"/>
      <c r="AN89" s="55"/>
      <c r="AO89" s="55"/>
    </row>
    <row r="90">
      <c r="A90" s="119">
        <v>3.0</v>
      </c>
      <c r="B90" s="88" t="s">
        <v>1741</v>
      </c>
      <c r="C90" s="89" t="s">
        <v>1742</v>
      </c>
      <c r="D90" s="55" t="s">
        <v>1723</v>
      </c>
      <c r="E90" s="119">
        <v>3.0</v>
      </c>
      <c r="F90" s="88" t="s">
        <v>1743</v>
      </c>
      <c r="G90" s="89" t="s">
        <v>1744</v>
      </c>
      <c r="H90" s="55" t="s">
        <v>1726</v>
      </c>
      <c r="I90" s="119">
        <v>3.0</v>
      </c>
      <c r="J90" s="88" t="s">
        <v>1745</v>
      </c>
      <c r="K90" s="89" t="s">
        <v>1746</v>
      </c>
      <c r="L90" s="55" t="s">
        <v>1729</v>
      </c>
      <c r="M90" s="119">
        <v>3.0</v>
      </c>
      <c r="N90" s="88" t="str">
        <f>IFERROR(__xludf.DUMMYFUNCTION("GOOGLETRANSLATE(B90,""zh-tw"",""zh"")"),"炎热的消暑-3")</f>
        <v>炎热的消暑-3</v>
      </c>
      <c r="O90" s="89" t="str">
        <f>IFERROR(__xludf.DUMMYFUNCTION("GOOGLETRANSLATE(C90,""zh-tw"",""zh"")"),"同上，第二次之后有70%概率触发另一段剧情")</f>
        <v>同上，第二次之后有70%概率触发另一段剧情</v>
      </c>
      <c r="P90" s="55" t="str">
        <f>IFERROR(__xludf.DUMMYFUNCTION("GOOGLETRANSLATE(D90,""zh-tw"",""zh"")"),"特殊动画、妹妹的心情会固定剩20点")</f>
        <v>特殊动画、妹妹的心情会固定剩20点</v>
      </c>
      <c r="Q90" s="120">
        <v>3.0</v>
      </c>
      <c r="R90" s="88" t="s">
        <v>1747</v>
      </c>
      <c r="S90" s="95" t="s">
        <v>1748</v>
      </c>
      <c r="T90" s="55" t="str">
        <f>IFERROR(__xludf.DUMMYFUNCTION("GOOGLETRANSLATE(D90,""zh-tw"",""es-MX"")"),"Animaciones especiales; el estado de ánimo de la hermana menor siempre tendrá 20 puntos restantes.")</f>
        <v>Animaciones especiales; el estado de ánimo de la hermana menor siempre tendrá 20 puntos restantes.</v>
      </c>
      <c r="U90" s="120">
        <v>3.0</v>
      </c>
      <c r="V90" s="88" t="str">
        <f>IFERROR(__xludf.DUMMYFUNCTION("GOOGLETRANSLATE(B90,""zh-tw"",""KO"")"),"더운 날씨에 시원하게 식히기 - 3")</f>
        <v>더운 날씨에 시원하게 식히기 - 3</v>
      </c>
      <c r="W90" s="89" t="str">
        <f>IFERROR(__xludf.DUMMYFUNCTION("GOOGLETRANSLATE(C90,""zh-tw"",""KO"")"),"위와 같이 두 번째 이후에 또 다른 플롯 세그먼트가 시작될 확률은 70%입니다.")</f>
        <v>위와 같이 두 번째 이후에 또 다른 플롯 세그먼트가 시작될 확률은 70%입니다.</v>
      </c>
      <c r="X90" s="55" t="str">
        <f>IFERROR(__xludf.DUMMYFUNCTION("GOOGLETRANSLATE(D90,""zh-tw"",""KO"")"),"특별 애니메이션; 여동생의 기분은 항상 20포인트 남습니다.")</f>
        <v>특별 애니메이션; 여동생의 기분은 항상 20포인트 남습니다.</v>
      </c>
      <c r="Y90" s="120">
        <v>3.0</v>
      </c>
      <c r="Z90" s="103" t="s">
        <v>1749</v>
      </c>
      <c r="AA90" s="104" t="s">
        <v>1750</v>
      </c>
      <c r="AB90" s="44" t="s">
        <v>1734</v>
      </c>
      <c r="AC90" s="120">
        <v>3.0</v>
      </c>
      <c r="AD90" s="88" t="s">
        <v>1751</v>
      </c>
      <c r="AE90" s="89" t="s">
        <v>1752</v>
      </c>
      <c r="AF90" s="55" t="s">
        <v>1737</v>
      </c>
      <c r="AG90" s="123">
        <v>3.0</v>
      </c>
      <c r="AH90" s="124" t="s">
        <v>1753</v>
      </c>
      <c r="AI90" s="125" t="s">
        <v>1754</v>
      </c>
      <c r="AJ90" s="126" t="s">
        <v>1740</v>
      </c>
      <c r="AK90" s="55"/>
      <c r="AL90" s="55"/>
      <c r="AM90" s="55"/>
      <c r="AN90" s="55"/>
      <c r="AO90" s="55"/>
    </row>
    <row r="91">
      <c r="A91" s="119">
        <v>4.0</v>
      </c>
      <c r="B91" s="88" t="s">
        <v>1755</v>
      </c>
      <c r="C91" s="89" t="s">
        <v>1756</v>
      </c>
      <c r="D91" s="55" t="s">
        <v>1757</v>
      </c>
      <c r="E91" s="119">
        <v>4.0</v>
      </c>
      <c r="F91" s="88" t="s">
        <v>1758</v>
      </c>
      <c r="G91" s="89" t="s">
        <v>1759</v>
      </c>
      <c r="H91" s="55" t="s">
        <v>1760</v>
      </c>
      <c r="I91" s="119">
        <v>4.0</v>
      </c>
      <c r="J91" s="88" t="s">
        <v>1761</v>
      </c>
      <c r="K91" s="89" t="s">
        <v>1762</v>
      </c>
      <c r="L91" s="55" t="s">
        <v>1763</v>
      </c>
      <c r="M91" s="119">
        <v>4.0</v>
      </c>
      <c r="N91" s="88" t="str">
        <f>IFERROR(__xludf.DUMMYFUNCTION("GOOGLETRANSLATE(B91,""zh-tw"",""zh"")"),"掀起来看看")</f>
        <v>掀起来看看</v>
      </c>
      <c r="O91" s="89" t="str">
        <f>IFERROR(__xludf.DUMMYFUNCTION("GOOGLETRANSLATE(C91,""zh-tw"",""zh"")"),"妹妹穿游戏衣服，进行亲密互动时，可以进行掀衣服等操作。")</f>
        <v>妹妹穿游戏衣服，进行亲密互动时，可以进行掀衣服等操作。</v>
      </c>
      <c r="P91" s="55" t="str">
        <f>IFERROR(__xludf.DUMMYFUNCTION("GOOGLETRANSLATE(D91,""zh-tw"",""zh"")"),"特殊互动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91" s="120">
        <v>4.0</v>
      </c>
      <c r="R91" s="88" t="s">
        <v>1764</v>
      </c>
      <c r="S91" s="95" t="s">
        <v>1765</v>
      </c>
      <c r="T91" s="52" t="s">
        <v>1766</v>
      </c>
      <c r="U91" s="120">
        <v>4.0</v>
      </c>
      <c r="V91" s="88" t="str">
        <f>IFERROR(__xludf.DUMMYFUNCTION("GOOGLETRANSLATE(B91,""zh-tw"",""KO"")"),"들어 올려서 살펴보세요.")</f>
        <v>들어 올려서 살펴보세요.</v>
      </c>
      <c r="W91" s="89" t="str">
        <f>IFERROR(__xludf.DUMMYFUNCTION("GOOGLETRANSLATE(C91,""zh-tw"",""KO"")"),"여동생이 게임복을 입고 친밀한 상호작용을 할 때, 그녀는 옷을 들어올리는 등의 행동을 할 수 있습니다.")</f>
        <v>여동생이 게임복을 입고 친밀한 상호작용을 할 때, 그녀는 옷을 들어올리는 등의 행동을 할 수 있습니다.</v>
      </c>
      <c r="X91" s="55" t="str">
        <f>IFERROR(__xludf.DUMMYFUNCTION("GOOGLETRANSLATE(D91,""zh-tw"",""KO"")"),"특별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f>
        <v>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v>
      </c>
      <c r="Y91" s="120">
        <v>4.0</v>
      </c>
      <c r="Z91" s="103" t="str">
        <f>IFERROR(__xludf.DUMMYFUNCTION("IF(J91="""", """", GOOGLETRANSLATE(
J91,""en"",""ru""))"),"Поднимаюсь и смотрю")</f>
        <v>Поднимаюсь и смотрю</v>
      </c>
      <c r="AA91" s="104" t="str">
        <f>IFERROR(__xludf.DUMMYFUNCTION("IF(K91="""", """", GOOGLETRANSLATE(K91,""en"",""RU""))"),"Когда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91" s="44" t="str">
        <f>IFERROR(__xludf.DUMMYFUNCTION("IF(L91="""", """", GOOGLETRANSLATE(L91,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91" s="120">
        <v>4.0</v>
      </c>
      <c r="AD91" s="88" t="s">
        <v>1767</v>
      </c>
      <c r="AE91" s="89" t="s">
        <v>1768</v>
      </c>
      <c r="AF91" s="55" t="s">
        <v>1769</v>
      </c>
      <c r="AG91" s="123">
        <v>4.0</v>
      </c>
      <c r="AH91" s="124" t="s">
        <v>1770</v>
      </c>
      <c r="AI91" s="125" t="s">
        <v>1771</v>
      </c>
      <c r="AJ91" s="126" t="s">
        <v>1772</v>
      </c>
      <c r="AK91" s="55"/>
      <c r="AL91" s="55"/>
      <c r="AM91" s="55"/>
      <c r="AN91" s="55"/>
      <c r="AO91" s="55"/>
    </row>
    <row r="92">
      <c r="A92" s="119">
        <v>5.0</v>
      </c>
      <c r="B92" s="98" t="s">
        <v>1773</v>
      </c>
      <c r="C92" s="95" t="s">
        <v>1774</v>
      </c>
      <c r="D92" s="52" t="s">
        <v>1775</v>
      </c>
      <c r="E92" s="119">
        <v>5.0</v>
      </c>
      <c r="F92" s="98" t="s">
        <v>1776</v>
      </c>
      <c r="G92" s="95" t="s">
        <v>1777</v>
      </c>
      <c r="H92" s="52" t="s">
        <v>1778</v>
      </c>
      <c r="I92" s="119">
        <v>5.0</v>
      </c>
      <c r="J92" s="98" t="s">
        <v>1779</v>
      </c>
      <c r="K92" s="95" t="s">
        <v>1780</v>
      </c>
      <c r="L92" s="52" t="s">
        <v>1781</v>
      </c>
      <c r="M92" s="119">
        <v>5.0</v>
      </c>
      <c r="N92" s="88" t="str">
        <f>IFERROR(__xludf.DUMMYFUNCTION("GOOGLETRANSLATE(B92,""zh-tw"",""zh"")"),"提前回家也是件好事-1")</f>
        <v>提前回家也是件好事-1</v>
      </c>
      <c r="O92" s="89" t="str">
        <f>IFERROR(__xludf.DUMMYFUNCTION("GOOGLETRANSLATE(C92,""zh-tw"",""zh"")"),"炎热天气并且拥有电风扇时，提前回家后选择去偷看妹妹")</f>
        <v>炎热天气并且拥有电风扇时，提前回家后选择去偷看妹妹</v>
      </c>
      <c r="P92" s="55" t="str">
        <f>IFERROR(__xludf.DUMMYFUNCTION("GOOGLETRANSLATE(D92,""zh-tw"",""zh"")"),"妹妹穿着服饰吹电风扇")</f>
        <v>妹妹穿着服饰吹电风扇</v>
      </c>
      <c r="Q92" s="120">
        <v>5.0</v>
      </c>
      <c r="R92" s="88" t="str">
        <f>IFERROR(__xludf.DUMMYFUNCTION("GOOGLETRANSLATE(B92,""zh-tw"",""es-mx"")"),"Irse temprano a casa también es algo bueno -1")</f>
        <v>Irse temprano a casa también es algo bueno -1</v>
      </c>
      <c r="S92" s="89" t="str">
        <f>IFERROR(__xludf.DUMMYFUNCTION("GOOGLETRANSLATE(C92,""zh-tw"",""es-mx"")"),"Cuando hace calor y hay un ventilador eléctrico, me voy a casa temprano y espío a mi hermana pequeña.")</f>
        <v>Cuando hace calor y hay un ventilador eléctrico, me voy a casa temprano y espío a mi hermana pequeña.</v>
      </c>
      <c r="T92" s="55" t="str">
        <f>IFERROR(__xludf.DUMMYFUNCTION("GOOGLETRANSLATE(D92,""zh-tw"",""es-mx"")"),"Mi hermana menor estaba vestida y usando un ventilador eléctrico.")</f>
        <v>Mi hermana menor estaba vestida y usando un ventilador eléctrico.</v>
      </c>
      <c r="U92" s="120">
        <v>5.0</v>
      </c>
      <c r="V92" s="88" t="str">
        <f>IFERROR(__xludf.DUMMYFUNCTION("GOOGLETRANSLATE(B92,""zh-tw"",""KO"")"),"일찍 집에 가는 것도 좋은 일이에요 -1")</f>
        <v>일찍 집에 가는 것도 좋은 일이에요 -1</v>
      </c>
      <c r="W92" s="89" t="str">
        <f>IFERROR(__xludf.DUMMYFUNCTION("GOOGLETRANSLATE(C92,""zh-tw"",""KO"")"),"날씨가 더워서 선풍기가 있으면 일찍 집에 가서 여동생을 몰래 엿보곤 했습니다.")</f>
        <v>날씨가 더워서 선풍기가 있으면 일찍 집에 가서 여동생을 몰래 엿보곤 했습니다.</v>
      </c>
      <c r="X92" s="55" t="str">
        <f>IFERROR(__xludf.DUMMYFUNCTION("GOOGLETRANSLATE(D92,""zh-tw"",""KO"")"),"내 여동생은 옷을 입고 선풍기를 불고 있었습니다.")</f>
        <v>내 여동생은 옷을 입고 선풍기를 불고 있었습니다.</v>
      </c>
      <c r="Y92" s="120">
        <v>5.0</v>
      </c>
      <c r="Z92" s="103" t="str">
        <f>IFERROR(__xludf.DUMMYFUNCTION("IF(J92="""", """", GOOGLETRANSLATE(
J92,""en"",""ru""))"),"Возвращаюсь домой пораньше - 1")</f>
        <v>Возвращаюсь домой пораньше - 1</v>
      </c>
      <c r="AA92" s="104" t="str">
        <f>IFERROR(__xludf.DUMMYFUNCTION("IF(K92="""", """", GOOGLETRANSLATE(K92,""en"",""RU""))"),"В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92" s="44" t="str">
        <f>IFERROR(__xludf.DUMMYFUNCTION("IF(L92="""", """", GOOGLETRANSLATE(L92, ""en"", ""ru""))
"),"Имото носит футболку и использует электрический вентилятор.")</f>
        <v>Имото носит футболку и использует электрический вентилятор.</v>
      </c>
      <c r="AC92" s="120">
        <v>5.0</v>
      </c>
      <c r="AD92" s="98" t="s">
        <v>1782</v>
      </c>
      <c r="AE92" s="95" t="s">
        <v>1783</v>
      </c>
      <c r="AF92" s="52" t="s">
        <v>1784</v>
      </c>
      <c r="AG92" s="130">
        <v>5.0</v>
      </c>
      <c r="AH92" s="115" t="s">
        <v>1785</v>
      </c>
      <c r="AI92" s="100" t="s">
        <v>1786</v>
      </c>
      <c r="AJ92" s="101" t="s">
        <v>1787</v>
      </c>
      <c r="AK92" s="55"/>
      <c r="AL92" s="55"/>
      <c r="AM92" s="55"/>
      <c r="AN92" s="55"/>
      <c r="AO92" s="55"/>
    </row>
    <row r="93">
      <c r="A93" s="119">
        <v>6.0</v>
      </c>
      <c r="B93" s="98" t="s">
        <v>1788</v>
      </c>
      <c r="C93" s="95" t="s">
        <v>1789</v>
      </c>
      <c r="D93" s="52" t="s">
        <v>1790</v>
      </c>
      <c r="E93" s="119">
        <v>6.0</v>
      </c>
      <c r="F93" s="98" t="s">
        <v>1791</v>
      </c>
      <c r="G93" s="95" t="s">
        <v>1792</v>
      </c>
      <c r="H93" s="52" t="s">
        <v>1793</v>
      </c>
      <c r="I93" s="119">
        <v>6.0</v>
      </c>
      <c r="J93" s="98" t="s">
        <v>1794</v>
      </c>
      <c r="K93" s="95" t="s">
        <v>1795</v>
      </c>
      <c r="L93" s="52" t="s">
        <v>1796</v>
      </c>
      <c r="M93" s="119">
        <v>6.0</v>
      </c>
      <c r="N93" s="88" t="str">
        <f>IFERROR(__xludf.DUMMYFUNCTION("GOOGLETRANSLATE(B93,""zh-tw"",""zh"")"),"提前回家也是件好事-2")</f>
        <v>提前回家也是件好事-2</v>
      </c>
      <c r="O93" s="89" t="str">
        <f>IFERROR(__xludf.DUMMYFUNCTION("GOOGLETRANSLATE(C93,""zh-tw"",""zh"")"),"同上，偷看妹妹时，有机率出现")</f>
        <v>同上，偷看妹妹时，有机率出现</v>
      </c>
      <c r="P93" s="55" t="str">
        <f>IFERROR(__xludf.DUMMYFUNCTION("GOOGLETRANSLATE(D93,""zh-tw"",""zh"")"),"妹妹无穿着底裤吹电风扇")</f>
        <v>妹妹无穿着底裤吹电风扇</v>
      </c>
      <c r="Q93" s="120">
        <v>6.0</v>
      </c>
      <c r="R93" s="88" t="str">
        <f>IFERROR(__xludf.DUMMYFUNCTION("GOOGLETRANSLATE(B93,""zh-tw"",""es-mx"")"),"Irse temprano a casa también es algo bueno - 2")</f>
        <v>Irse temprano a casa también es algo bueno - 2</v>
      </c>
      <c r="S93" s="89" t="str">
        <f>IFERROR(__xludf.DUMMYFUNCTION("GOOGLETRANSLATE(C93,""zh-tw"",""es-mx"")"),"Del mismo modo, al espiar a su hermana menor, existe la posibilidad de que...")</f>
        <v>Del mismo modo, al espiar a su hermana menor, existe la posibilidad de que...</v>
      </c>
      <c r="T93" s="55" t="str">
        <f>IFERROR(__xludf.DUMMYFUNCTION("GOOGLETRANSLATE(D93,""zh-tw"",""es-mx"")"),"Mi hermana menor no llevaba ropa interior mientras la abanicaba un ventilador eléctrico.")</f>
        <v>Mi hermana menor no llevaba ropa interior mientras la abanicaba un ventilador eléctrico.</v>
      </c>
      <c r="U93" s="120">
        <v>6.0</v>
      </c>
      <c r="V93" s="88" t="str">
        <f>IFERROR(__xludf.DUMMYFUNCTION("GOOGLETRANSLATE(B93,""zh-tw"",""KO"")"),"일찍 집에 가는 것도 좋은 일이에요 - 2")</f>
        <v>일찍 집에 가는 것도 좋은 일이에요 - 2</v>
      </c>
      <c r="W93" s="89" t="str">
        <f>IFERROR(__xludf.DUMMYFUNCTION("GOOGLETRANSLATE(C93,""zh-tw"",""KO"")"),"마찬가지로, 여동생을 엿볼 때도 이런 일이 일어날 가능성이 있습니다...")</f>
        <v>마찬가지로, 여동생을 엿볼 때도 이런 일이 일어날 가능성이 있습니다...</v>
      </c>
      <c r="X93" s="55" t="str">
        <f>IFERROR(__xludf.DUMMYFUNCTION("GOOGLETRANSLATE(D93,""zh-tw"",""KO"")"),"내 여동생은 전기선풍기를 틀면서 속옷도 입지 않았습니다.")</f>
        <v>내 여동생은 전기선풍기를 틀면서 속옷도 입지 않았습니다.</v>
      </c>
      <c r="Y93" s="120">
        <v>6.0</v>
      </c>
      <c r="Z93" s="103" t="str">
        <f>IFERROR(__xludf.DUMMYFUNCTION("IF(J93="""", """", GOOGLETRANSLATE(
J93,""en"",""ru""))"),"Возвращаюсь домой пораньше - 2")</f>
        <v>Возвращаюсь домой пораньше - 2</v>
      </c>
      <c r="AA93" s="104" t="str">
        <f>IFERROR(__xludf.DUMMYFUNCTION("IF(K93="""", """", GOOGLETRANSLATE(K93,""en"",""RU""))"),"Как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93" s="44" t="str">
        <f>IFERROR(__xludf.DUMMYFUNCTION("IF(L93="""", """", GOOGLETRANSLATE(L93, ""en"", ""ru""))
"),"Имото обдувает промежность, и на ней нет нижнего белья.")</f>
        <v>Имото обдувает промежность, и на ней нет нижнего белья.</v>
      </c>
      <c r="AC93" s="120">
        <v>6.0</v>
      </c>
      <c r="AD93" s="98" t="s">
        <v>1797</v>
      </c>
      <c r="AE93" s="95" t="s">
        <v>1798</v>
      </c>
      <c r="AF93" s="55"/>
      <c r="AG93" s="130">
        <v>6.0</v>
      </c>
      <c r="AH93" s="115" t="s">
        <v>1799</v>
      </c>
      <c r="AI93" s="100" t="s">
        <v>1800</v>
      </c>
      <c r="AJ93" s="101" t="s">
        <v>1801</v>
      </c>
      <c r="AK93" s="55"/>
      <c r="AL93" s="55"/>
      <c r="AM93" s="55"/>
      <c r="AN93" s="55"/>
      <c r="AO93" s="55"/>
    </row>
    <row r="94">
      <c r="A94" s="119">
        <v>7.0</v>
      </c>
      <c r="B94" s="98" t="s">
        <v>1802</v>
      </c>
      <c r="C94" s="95" t="s">
        <v>1803</v>
      </c>
      <c r="D94" s="52" t="s">
        <v>1804</v>
      </c>
      <c r="E94" s="119">
        <v>7.0</v>
      </c>
      <c r="F94" s="98" t="s">
        <v>1805</v>
      </c>
      <c r="G94" s="95" t="s">
        <v>1806</v>
      </c>
      <c r="H94" s="52" t="s">
        <v>1807</v>
      </c>
      <c r="I94" s="119">
        <v>7.0</v>
      </c>
      <c r="J94" s="98" t="s">
        <v>1808</v>
      </c>
      <c r="K94" s="95" t="s">
        <v>1809</v>
      </c>
      <c r="L94" s="52" t="s">
        <v>1810</v>
      </c>
      <c r="M94" s="119">
        <v>7.0</v>
      </c>
      <c r="N94" s="88" t="str">
        <f>IFERROR(__xludf.DUMMYFUNCTION("GOOGLETRANSLATE(B94,""zh-tw"",""zh"")"),"提前回家也是件好事-3")</f>
        <v>提前回家也是件好事-3</v>
      </c>
      <c r="O94" s="89" t="str">
        <f>IFERROR(__xludf.DUMMYFUNCTION("GOOGLETRANSLATE(C94,""zh-tw"",""zh"")"),"同上，妹妹紫心以及性欲高的时候，有机率出现")</f>
        <v>同上，妹妹紫心以及性欲高的时候，有机率出现</v>
      </c>
      <c r="P94" s="55" t="str">
        <f>IFERROR(__xludf.DUMMYFUNCTION("GOOGLETRANSLATE(D94,""zh-tw"",""zh"")"),"妹妹使用冰棒(未实装)")</f>
        <v>妹妹使用冰棒(未实装)</v>
      </c>
      <c r="Q94" s="120">
        <v>7.0</v>
      </c>
      <c r="R94" s="88" t="str">
        <f>IFERROR(__xludf.DUMMYFUNCTION("GOOGLETRANSLATE(B94,""zh-tw"",""es-mx"")"),"Volver temprano a casa también es algo bueno -3")</f>
        <v>Volver temprano a casa también es algo bueno -3</v>
      </c>
      <c r="S94" s="89" t="str">
        <f>IFERROR(__xludf.DUMMYFUNCTION("GOOGLETRANSLATE(C94,""zh-tw"",""es-mx"")"),"Del mismo modo, cuando la hermana menor tiene una condecoración militar y un alto deseo sexual, existe la posibilidad de que...")</f>
        <v>Del mismo modo, cuando la hermana menor tiene una condecoración militar y un alto deseo sexual, existe la posibilidad de que...</v>
      </c>
      <c r="T94" s="55" t="str">
        <f>IFERROR(__xludf.DUMMYFUNCTION("GOOGLETRANSLATE(D94,""zh-tw"",""es-mx"")"),"La hermana menor usa una paleta de hielo (aún no implementado).")</f>
        <v>La hermana menor usa una paleta de hielo (aún no implementado).</v>
      </c>
      <c r="U94" s="120">
        <v>7.0</v>
      </c>
      <c r="V94" s="88" t="str">
        <f>IFERROR(__xludf.DUMMYFUNCTION("GOOGLETRANSLATE(B94,""zh-tw"",""KO"")"),"일찍 집에 가는 것도 좋은 일이에요 -3")</f>
        <v>일찍 집에 가는 것도 좋은 일이에요 -3</v>
      </c>
      <c r="W94" s="89" t="str">
        <f>IFERROR(__xludf.DUMMYFUNCTION("GOOGLETRANSLATE(C94,""zh-tw"",""KO"")"),"마찬가지로 여동생이 보라색 심장과 높은 성욕을 가지고 있다면...")</f>
        <v>마찬가지로 여동생이 보라색 심장과 높은 성욕을 가지고 있다면...</v>
      </c>
      <c r="X94" s="55" t="str">
        <f>IFERROR(__xludf.DUMMYFUNCTION("GOOGLETRANSLATE(D94,""zh-tw"",""KO"")"),"여동생은 아이스 팝을 사용합니다(아직 구현되지 않음).")</f>
        <v>여동생은 아이스 팝을 사용합니다(아직 구현되지 않음).</v>
      </c>
      <c r="Y94" s="120">
        <v>7.0</v>
      </c>
      <c r="Z94" s="103" t="str">
        <f>IFERROR(__xludf.DUMMYFUNCTION("IF(J94="""", """", GOOGLETRANSLATE(
J94,""en"",""ru""))"),"Возвращаюсь домой пораньше - 3")</f>
        <v>Возвращаюсь домой пораньше - 3</v>
      </c>
      <c r="AA94" s="104" t="str">
        <f>IFERROR(__xludf.DUMMYFUNCTION("IF(K94="""", """", GOOGLETRANSLATE(K94,""en"",""RU""))"),"Подобно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94" s="44" t="str">
        <f>IFERROR(__xludf.DUMMYFUNCTION("IF(L94="""", """", GOOGLETRANSLATE(L94, ""en"", ""ru""))
"),"Имото использует эскимо на себе (пока не реализовано)")</f>
        <v>Имото использует эскимо на себе (пока не реализовано)</v>
      </c>
      <c r="AC94" s="120">
        <v>7.0</v>
      </c>
      <c r="AD94" s="98" t="s">
        <v>1811</v>
      </c>
      <c r="AE94" s="95" t="s">
        <v>1812</v>
      </c>
      <c r="AF94" s="55"/>
      <c r="AG94" s="130">
        <v>7.0</v>
      </c>
      <c r="AH94" s="115" t="s">
        <v>1813</v>
      </c>
      <c r="AI94" s="100" t="s">
        <v>1814</v>
      </c>
      <c r="AJ94" s="101" t="s">
        <v>1815</v>
      </c>
      <c r="AK94" s="55"/>
      <c r="AL94" s="55"/>
      <c r="AM94" s="55"/>
      <c r="AN94" s="55"/>
      <c r="AO94" s="55"/>
    </row>
    <row r="95">
      <c r="A95" s="119">
        <v>8.0</v>
      </c>
      <c r="B95" s="98" t="s">
        <v>1816</v>
      </c>
      <c r="C95" s="95" t="s">
        <v>1817</v>
      </c>
      <c r="D95" s="52" t="s">
        <v>1818</v>
      </c>
      <c r="E95" s="119">
        <v>8.0</v>
      </c>
      <c r="F95" s="98" t="s">
        <v>1819</v>
      </c>
      <c r="G95" s="95" t="s">
        <v>1820</v>
      </c>
      <c r="H95" s="52" t="s">
        <v>1821</v>
      </c>
      <c r="I95" s="119">
        <v>8.0</v>
      </c>
      <c r="J95" s="98" t="s">
        <v>1822</v>
      </c>
      <c r="K95" s="95" t="s">
        <v>1823</v>
      </c>
      <c r="L95" s="52" t="s">
        <v>1824</v>
      </c>
      <c r="M95" s="119">
        <v>8.0</v>
      </c>
      <c r="N95" s="88" t="str">
        <f>IFERROR(__xludf.DUMMYFUNCTION("GOOGLETRANSLATE(B95,""zh-tw"",""zh"")"),"提前回家也是件好事-4")</f>
        <v>提前回家也是件好事-4</v>
      </c>
      <c r="O95" s="89" t="str">
        <f>IFERROR(__xludf.DUMMYFUNCTION("GOOGLETRANSLATE(C95,""zh-tw"",""zh"")"),"在与妹妹的对话中，进行裸族教育之后，有可能出现")</f>
        <v>在与妹妹的对话中，进行裸族教育之后，有可能出现</v>
      </c>
      <c r="P95" s="55" t="str">
        <f>IFERROR(__xludf.DUMMYFUNCTION("GOOGLETRANSLATE(D95,""zh-tw"",""zh"")"),"裸族妹妹(未实装)")</f>
        <v>裸族妹妹(未实装)</v>
      </c>
      <c r="Q95" s="120">
        <v>8.0</v>
      </c>
      <c r="R95" s="88" t="str">
        <f>IFERROR(__xludf.DUMMYFUNCTION("GOOGLETRANSLATE(B95,""zh-tw"",""es-mx"")"),"También es bueno irse temprano a casa.")</f>
        <v>También es bueno irse temprano a casa.</v>
      </c>
      <c r="S95" s="89" t="str">
        <f>IFERROR(__xludf.DUMMYFUNCTION("GOOGLETRANSLATE(C95,""zh-tw"",""es-mx"")"),"Durante una conversación con su hermana menor, se mencionó que después de recibir educación nudista, podría ocurrir lo siguiente:")</f>
        <v>Durante una conversación con su hermana menor, se mencionó que después de recibir educación nudista, podría ocurrir lo siguiente:</v>
      </c>
      <c r="T95" s="55" t="str">
        <f>IFERROR(__xludf.DUMMYFUNCTION("GOOGLETRANSLATE(D95,""zh-tw"",""es-mx"")"),"Hermana del clan desnuda (Aún no implementada)")</f>
        <v>Hermana del clan desnuda (Aún no implementada)</v>
      </c>
      <c r="U95" s="120">
        <v>8.0</v>
      </c>
      <c r="V95" s="88" t="str">
        <f>IFERROR(__xludf.DUMMYFUNCTION("GOOGLETRANSLATE(B95,""zh-tw"",""KO"")"),"일찍 집에 가는 것도 좋은 일이에요")</f>
        <v>일찍 집에 가는 것도 좋은 일이에요</v>
      </c>
      <c r="W95" s="89" t="str">
        <f>IFERROR(__xludf.DUMMYFUNCTION("GOOGLETRANSLATE(C95,""zh-tw"",""KO"")"),"여동생과 대화하는 동안 누디스트 교육을 받은 후에는 다음과 같은 일이 일어날 수 있다고 언급되었습니다.")</f>
        <v>여동생과 대화하는 동안 누디스트 교육을 받은 후에는 다음과 같은 일이 일어날 수 있다고 언급되었습니다.</v>
      </c>
      <c r="X95" s="55" t="str">
        <f>IFERROR(__xludf.DUMMYFUNCTION("GOOGLETRANSLATE(D95,""zh-tw"",""KO"")"),"Naked Clan Sister (아직 구현되지 않음)")</f>
        <v>Naked Clan Sister (아직 구현되지 않음)</v>
      </c>
      <c r="Y95" s="120">
        <v>8.0</v>
      </c>
      <c r="Z95" s="103" t="str">
        <f>IFERROR(__xludf.DUMMYFUNCTION("IF(J95="""", """", GOOGLETRANSLATE(
J95,""en"",""ru""))"),"Возвращаюсь домой пораньше - 4")</f>
        <v>Возвращаюсь домой пораньше - 4</v>
      </c>
      <c r="AA95" s="104" t="str">
        <f>IFERROR(__xludf.DUMMYFUNCTION("IF(K95="""", """", GOOGLETRANSLATE(K95,""en"",""RU""))"),"При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95" s="44" t="str">
        <f>IFERROR(__xludf.DUMMYFUNCTION("IF(L95="""", """", GOOGLETRANSLATE(L95, ""en"", ""ru""))
"),"Имото разденется (пока не реализовано)")</f>
        <v>Имото разденется (пока не реализовано)</v>
      </c>
      <c r="AC95" s="120">
        <v>8.0</v>
      </c>
      <c r="AD95" s="98" t="s">
        <v>1825</v>
      </c>
      <c r="AE95" s="95" t="s">
        <v>1826</v>
      </c>
      <c r="AF95" s="55"/>
      <c r="AG95" s="130">
        <v>8.0</v>
      </c>
      <c r="AH95" s="115" t="s">
        <v>1827</v>
      </c>
      <c r="AI95" s="100" t="s">
        <v>1828</v>
      </c>
      <c r="AJ95" s="101" t="s">
        <v>1829</v>
      </c>
      <c r="AK95" s="55"/>
      <c r="AL95" s="55"/>
      <c r="AM95" s="55"/>
      <c r="AN95" s="55"/>
      <c r="AO95" s="55"/>
    </row>
    <row r="96">
      <c r="A96" s="17"/>
      <c r="B96" s="46"/>
      <c r="C96" s="46"/>
      <c r="D96" s="46"/>
      <c r="E96" s="17"/>
      <c r="F96" s="46"/>
      <c r="G96" s="46"/>
      <c r="H96" s="46"/>
      <c r="I96" s="17"/>
      <c r="J96" s="46"/>
      <c r="K96" s="46"/>
      <c r="L96" s="46"/>
      <c r="M96" s="17"/>
      <c r="N96" s="46"/>
      <c r="O96" s="46"/>
      <c r="P96" s="46"/>
      <c r="Q96" s="46"/>
      <c r="R96" s="46"/>
      <c r="S96" s="46"/>
      <c r="T96" s="46"/>
      <c r="U96" s="46"/>
      <c r="V96" s="46"/>
      <c r="W96" s="46"/>
      <c r="X96" s="46"/>
      <c r="Y96" s="46"/>
      <c r="Z96" s="46"/>
      <c r="AA96" s="46"/>
      <c r="AB96" s="46"/>
      <c r="AC96" s="46"/>
      <c r="AD96" s="46"/>
      <c r="AE96" s="46"/>
      <c r="AF96" s="46"/>
      <c r="AG96" s="127"/>
      <c r="AH96" s="127"/>
      <c r="AI96" s="127"/>
      <c r="AJ96" s="127"/>
      <c r="AK96" s="46"/>
      <c r="AL96" s="46"/>
      <c r="AM96" s="46"/>
      <c r="AN96" s="46"/>
      <c r="AO96" s="46"/>
    </row>
    <row r="97">
      <c r="A97" s="80" t="s">
        <v>1830</v>
      </c>
      <c r="B97" s="131" t="s">
        <v>1831</v>
      </c>
      <c r="E97" s="80" t="s">
        <v>1830</v>
      </c>
      <c r="F97" s="132" t="s">
        <v>1832</v>
      </c>
      <c r="I97" s="80" t="s">
        <v>1830</v>
      </c>
      <c r="J97" s="132" t="s">
        <v>1833</v>
      </c>
      <c r="M97" s="80" t="s">
        <v>1830</v>
      </c>
      <c r="N97" s="132" t="str">
        <f>IFERROR(__xludf.DUMMYFUNCTION("GOOGLETRANSLATE(B97,""zh-tw"",""zh"")"),"夜袭相关")</f>
        <v>夜袭相关</v>
      </c>
      <c r="Q97" s="132" t="s">
        <v>1830</v>
      </c>
      <c r="R97" s="132" t="s">
        <v>1834</v>
      </c>
      <c r="U97" s="132" t="s">
        <v>1830</v>
      </c>
      <c r="V97" s="132" t="s">
        <v>1835</v>
      </c>
      <c r="Y97" s="132" t="s">
        <v>1830</v>
      </c>
      <c r="Z97" s="132" t="s">
        <v>1836</v>
      </c>
      <c r="AC97" s="132" t="s">
        <v>1830</v>
      </c>
      <c r="AD97" s="132" t="s">
        <v>1837</v>
      </c>
      <c r="AG97" s="133" t="s">
        <v>1830</v>
      </c>
      <c r="AH97" s="134" t="s">
        <v>1838</v>
      </c>
      <c r="AK97" s="131"/>
      <c r="AL97" s="131"/>
      <c r="AM97" s="131"/>
      <c r="AN97" s="131"/>
      <c r="AO97" s="131"/>
    </row>
    <row r="98">
      <c r="A98" s="119">
        <v>1.0</v>
      </c>
      <c r="B98" s="88" t="s">
        <v>1839</v>
      </c>
      <c r="C98" s="89" t="s">
        <v>1840</v>
      </c>
      <c r="D98" s="55" t="s">
        <v>1841</v>
      </c>
      <c r="E98" s="119">
        <v>1.0</v>
      </c>
      <c r="F98" s="88" t="s">
        <v>1842</v>
      </c>
      <c r="G98" s="89" t="s">
        <v>1843</v>
      </c>
      <c r="H98" s="55" t="s">
        <v>1844</v>
      </c>
      <c r="I98" s="119">
        <v>1.0</v>
      </c>
      <c r="J98" s="88" t="s">
        <v>1845</v>
      </c>
      <c r="K98" s="89" t="s">
        <v>1846</v>
      </c>
      <c r="L98" s="55" t="s">
        <v>1847</v>
      </c>
      <c r="M98" s="119">
        <v>1.0</v>
      </c>
      <c r="N98" s="88" t="str">
        <f>IFERROR(__xludf.DUMMYFUNCTION("GOOGLETRANSLATE(B98,""zh-tw"",""zh"")"),"气息消除-3")</f>
        <v>气息消除-3</v>
      </c>
      <c r="O98" s="89" t="str">
        <f>IFERROR(__xludf.DUMMYFUNCTION("GOOGLETRANSLATE(C98,""zh-tw"",""zh"")"),"夜袭相关选项")</f>
        <v>夜袭相关选项</v>
      </c>
      <c r="P98" s="55" t="str">
        <f>IFERROR(__xludf.DUMMYFUNCTION("GOOGLETRANSLATE(D98,""zh-tw"",""zh"")"),"未实装
待夜袭场景重制")</f>
        <v>未实装
待夜袭场景重制</v>
      </c>
      <c r="Q98" s="120">
        <v>1.0</v>
      </c>
      <c r="R98" s="98" t="s">
        <v>1848</v>
      </c>
      <c r="S98" s="95" t="s">
        <v>1849</v>
      </c>
      <c r="T98" s="52" t="s">
        <v>1850</v>
      </c>
      <c r="U98" s="120">
        <v>1.0</v>
      </c>
      <c r="V98" s="88" t="str">
        <f>IFERROR(__xludf.DUMMYFUNCTION("GOOGLETRANSLATE(B98,""zh-tw"",""KO"")"),"호흡 제거 -3")</f>
        <v>호흡 제거 -3</v>
      </c>
      <c r="W98" s="89" t="str">
        <f>IFERROR(__xludf.DUMMYFUNCTION("GOOGLETRANSLATE(C98,""zh-tw"",""KO"")"),"야간 습격 옵션")</f>
        <v>야간 습격 옵션</v>
      </c>
      <c r="X98" s="55" t="str">
        <f>IFERROR(__xludf.DUMMYFUNCTION("GOOGLETRANSLATE(D98,""zh-tw"",""KO"")"),"아직 구현되지 않음
야간 공격 장면 리메이크를 기다리는 중")</f>
        <v>아직 구현되지 않음
야간 공격 장면 리메이크를 기다리는 중</v>
      </c>
      <c r="Y98" s="120">
        <v>1.0</v>
      </c>
      <c r="Z98" s="103" t="str">
        <f>IFERROR(__xludf.DUMMYFUNCTION("IF(J98="""", """", GOOGLETRANSLATE(
J98,""en"",""ru""))"),"Сокрытие дыхания-3")</f>
        <v>Сокрытие дыхания-3</v>
      </c>
      <c r="AA98" s="104" t="str">
        <f>IFERROR(__xludf.DUMMYFUNCTION("IF(K98="""", """", GOOGLETRANSLATE(K98,""en"",""RU""))"),"Новая опция будет доступна во время ночных рейдов.")</f>
        <v>Новая опция будет доступна во время ночных рейдов.</v>
      </c>
      <c r="AB98" s="44" t="str">
        <f>IFERROR(__xludf.DUMMYFUNCTION("IF(L98="""", """", GOOGLETRANSLATE(L98, ""en"", ""ru""))
"),"*Пока не реализовано. Пожалуйста, дождитесь переработки ночных рейдов.")</f>
        <v>*Пока не реализовано. Пожалуйста, дождитесь переработки ночных рейдов.</v>
      </c>
      <c r="AC98" s="120">
        <v>1.0</v>
      </c>
      <c r="AD98" s="88" t="s">
        <v>1851</v>
      </c>
      <c r="AE98" s="89" t="s">
        <v>1852</v>
      </c>
      <c r="AF98" s="55" t="s">
        <v>932</v>
      </c>
      <c r="AG98" s="123">
        <v>1.0</v>
      </c>
      <c r="AH98" s="124" t="s">
        <v>1853</v>
      </c>
      <c r="AI98" s="125" t="s">
        <v>1854</v>
      </c>
      <c r="AJ98" s="126" t="s">
        <v>1855</v>
      </c>
      <c r="AK98" s="55"/>
      <c r="AL98" s="55"/>
      <c r="AM98" s="55"/>
      <c r="AN98" s="55"/>
      <c r="AO98" s="55"/>
    </row>
    <row r="99">
      <c r="A99" s="17"/>
      <c r="B99" s="46"/>
      <c r="C99" s="46"/>
      <c r="D99" s="46"/>
      <c r="E99" s="17"/>
      <c r="F99" s="46"/>
      <c r="G99" s="46"/>
      <c r="H99" s="46"/>
      <c r="I99" s="17"/>
      <c r="J99" s="46"/>
      <c r="K99" s="46"/>
      <c r="L99" s="46"/>
      <c r="M99" s="17"/>
      <c r="N99" s="46"/>
      <c r="O99" s="46"/>
      <c r="P99" s="46"/>
      <c r="Q99" s="46"/>
      <c r="R99" s="46"/>
      <c r="S99" s="46"/>
      <c r="T99" s="46"/>
      <c r="U99" s="46"/>
      <c r="V99" s="46"/>
      <c r="W99" s="46"/>
      <c r="X99" s="46"/>
      <c r="Y99" s="46"/>
      <c r="Z99" s="46"/>
      <c r="AA99" s="46"/>
      <c r="AB99" s="46"/>
      <c r="AC99" s="46"/>
      <c r="AD99" s="46"/>
      <c r="AE99" s="46"/>
      <c r="AF99" s="46"/>
      <c r="AG99" s="127"/>
      <c r="AH99" s="127"/>
      <c r="AI99" s="127"/>
      <c r="AJ99" s="127"/>
      <c r="AK99" s="46"/>
      <c r="AL99" s="46"/>
      <c r="AM99" s="46"/>
      <c r="AN99" s="46"/>
      <c r="AO99" s="46"/>
    </row>
    <row r="100">
      <c r="A100" s="17"/>
      <c r="B100" s="46"/>
      <c r="C100" s="46"/>
      <c r="D100" s="46"/>
      <c r="E100" s="17"/>
      <c r="F100" s="46"/>
      <c r="G100" s="46"/>
      <c r="H100" s="46"/>
      <c r="I100" s="17"/>
      <c r="J100" s="46"/>
      <c r="K100" s="46"/>
      <c r="L100" s="46"/>
      <c r="M100" s="17"/>
      <c r="N100" s="46"/>
      <c r="O100" s="46"/>
      <c r="P100" s="46"/>
      <c r="Q100" s="46"/>
      <c r="R100" s="46"/>
      <c r="S100" s="46"/>
      <c r="T100" s="46"/>
      <c r="U100" s="46"/>
      <c r="V100" s="46"/>
      <c r="W100" s="46"/>
      <c r="X100" s="46"/>
      <c r="Y100" s="46"/>
      <c r="Z100" s="46"/>
      <c r="AA100" s="46"/>
      <c r="AB100" s="46"/>
      <c r="AC100" s="46"/>
      <c r="AD100" s="46"/>
      <c r="AE100" s="46"/>
      <c r="AF100" s="46"/>
      <c r="AG100" s="127"/>
      <c r="AH100" s="127"/>
      <c r="AI100" s="127"/>
      <c r="AJ100" s="127"/>
      <c r="AK100" s="46"/>
      <c r="AL100" s="46"/>
      <c r="AM100" s="46"/>
      <c r="AN100" s="46"/>
      <c r="AO100" s="46"/>
    </row>
    <row r="101">
      <c r="A101" s="17"/>
      <c r="B101" s="46"/>
      <c r="C101" s="46"/>
      <c r="D101" s="46"/>
      <c r="E101" s="17"/>
      <c r="F101" s="46"/>
      <c r="G101" s="46"/>
      <c r="H101" s="46"/>
      <c r="I101" s="17"/>
      <c r="J101" s="46"/>
      <c r="K101" s="46"/>
      <c r="L101" s="46"/>
      <c r="M101" s="17"/>
      <c r="N101" s="46"/>
      <c r="O101" s="46"/>
      <c r="P101" s="46"/>
      <c r="Q101" s="46"/>
      <c r="R101" s="46"/>
      <c r="S101" s="46"/>
      <c r="T101" s="46"/>
      <c r="U101" s="46"/>
      <c r="V101" s="46"/>
      <c r="W101" s="46"/>
      <c r="X101" s="46"/>
      <c r="Y101" s="46"/>
      <c r="Z101" s="46"/>
      <c r="AA101" s="46"/>
      <c r="AB101" s="46"/>
      <c r="AC101" s="46"/>
      <c r="AD101" s="46"/>
      <c r="AE101" s="46"/>
      <c r="AF101" s="46"/>
      <c r="AG101" s="127"/>
      <c r="AH101" s="127"/>
      <c r="AI101" s="127"/>
      <c r="AJ101" s="127"/>
      <c r="AK101" s="46"/>
      <c r="AL101" s="46"/>
      <c r="AM101" s="46"/>
      <c r="AN101" s="46"/>
      <c r="AO101" s="46"/>
    </row>
    <row r="102">
      <c r="A102" s="17"/>
      <c r="B102" s="46"/>
      <c r="C102" s="46"/>
      <c r="D102" s="46"/>
      <c r="E102" s="17"/>
      <c r="F102" s="46"/>
      <c r="G102" s="46"/>
      <c r="H102" s="46"/>
      <c r="I102" s="17"/>
      <c r="J102" s="46"/>
      <c r="K102" s="46"/>
      <c r="L102" s="46"/>
      <c r="M102" s="17"/>
      <c r="N102" s="46"/>
      <c r="O102" s="46"/>
      <c r="P102" s="46"/>
      <c r="Q102" s="46"/>
      <c r="R102" s="46"/>
      <c r="S102" s="46"/>
      <c r="T102" s="46"/>
      <c r="U102" s="46"/>
      <c r="V102" s="46"/>
      <c r="W102" s="46"/>
      <c r="X102" s="46"/>
      <c r="Y102" s="46"/>
      <c r="Z102" s="46"/>
      <c r="AA102" s="46"/>
      <c r="AB102" s="46"/>
      <c r="AC102" s="46"/>
      <c r="AD102" s="46"/>
      <c r="AE102" s="46"/>
      <c r="AF102" s="46"/>
      <c r="AG102" s="127"/>
      <c r="AH102" s="127"/>
      <c r="AI102" s="127"/>
      <c r="AJ102" s="127"/>
      <c r="AK102" s="46"/>
      <c r="AL102" s="46"/>
      <c r="AM102" s="46"/>
      <c r="AN102" s="46"/>
      <c r="AO102" s="46"/>
    </row>
    <row r="103">
      <c r="A103" s="17"/>
      <c r="B103" s="46"/>
      <c r="C103" s="46"/>
      <c r="D103" s="46"/>
      <c r="E103" s="17"/>
      <c r="F103" s="46"/>
      <c r="G103" s="46"/>
      <c r="H103" s="46"/>
      <c r="I103" s="17"/>
      <c r="J103" s="46"/>
      <c r="K103" s="46"/>
      <c r="L103" s="46"/>
      <c r="M103" s="17"/>
      <c r="N103" s="46"/>
      <c r="O103" s="46"/>
      <c r="P103" s="46"/>
      <c r="Q103" s="46"/>
      <c r="R103" s="46"/>
      <c r="S103" s="46"/>
      <c r="T103" s="46"/>
      <c r="U103" s="46"/>
      <c r="V103" s="46"/>
      <c r="W103" s="46"/>
      <c r="X103" s="46"/>
      <c r="Y103" s="46"/>
      <c r="Z103" s="46"/>
      <c r="AA103" s="46"/>
      <c r="AB103" s="46"/>
      <c r="AC103" s="46"/>
      <c r="AD103" s="46"/>
      <c r="AE103" s="46"/>
      <c r="AF103" s="46"/>
      <c r="AG103" s="127"/>
      <c r="AH103" s="127"/>
      <c r="AI103" s="127"/>
      <c r="AJ103" s="127"/>
      <c r="AK103" s="46"/>
      <c r="AL103" s="46"/>
      <c r="AM103" s="46"/>
      <c r="AN103" s="46"/>
      <c r="AO103" s="46"/>
    </row>
    <row r="104">
      <c r="A104" s="17"/>
      <c r="B104" s="46"/>
      <c r="C104" s="46"/>
      <c r="D104" s="46"/>
      <c r="E104" s="17"/>
      <c r="F104" s="46"/>
      <c r="G104" s="46"/>
      <c r="H104" s="46"/>
      <c r="I104" s="17"/>
      <c r="J104" s="46"/>
      <c r="K104" s="46"/>
      <c r="L104" s="46"/>
      <c r="M104" s="17"/>
      <c r="N104" s="46"/>
      <c r="O104" s="46"/>
      <c r="P104" s="46"/>
      <c r="Q104" s="46"/>
      <c r="R104" s="46"/>
      <c r="S104" s="46"/>
      <c r="T104" s="46"/>
      <c r="U104" s="46"/>
      <c r="V104" s="46"/>
      <c r="W104" s="46"/>
      <c r="X104" s="46"/>
      <c r="Y104" s="46"/>
      <c r="Z104" s="46"/>
      <c r="AA104" s="46"/>
      <c r="AB104" s="46"/>
      <c r="AC104" s="46"/>
      <c r="AD104" s="46"/>
      <c r="AE104" s="46"/>
      <c r="AF104" s="46"/>
      <c r="AG104" s="127"/>
      <c r="AH104" s="127"/>
      <c r="AI104" s="127"/>
      <c r="AJ104" s="127"/>
      <c r="AK104" s="46"/>
      <c r="AL104" s="46"/>
      <c r="AM104" s="46"/>
      <c r="AN104" s="46"/>
      <c r="AO104" s="46"/>
    </row>
    <row r="105">
      <c r="A105" s="17"/>
      <c r="B105" s="46"/>
      <c r="C105" s="46"/>
      <c r="D105" s="46"/>
      <c r="E105" s="17"/>
      <c r="F105" s="46"/>
      <c r="G105" s="46"/>
      <c r="H105" s="46"/>
      <c r="I105" s="17"/>
      <c r="J105" s="46"/>
      <c r="K105" s="46"/>
      <c r="L105" s="46"/>
      <c r="M105" s="17"/>
      <c r="N105" s="46"/>
      <c r="O105" s="46"/>
      <c r="P105" s="46"/>
      <c r="Q105" s="46"/>
      <c r="R105" s="46"/>
      <c r="S105" s="46"/>
      <c r="T105" s="46"/>
      <c r="U105" s="46"/>
      <c r="V105" s="46"/>
      <c r="W105" s="46"/>
      <c r="X105" s="46"/>
      <c r="Y105" s="46"/>
      <c r="Z105" s="46"/>
      <c r="AA105" s="46"/>
      <c r="AB105" s="46"/>
      <c r="AC105" s="46"/>
      <c r="AD105" s="46"/>
      <c r="AE105" s="46"/>
      <c r="AF105" s="46"/>
      <c r="AG105" s="127"/>
      <c r="AH105" s="127"/>
      <c r="AI105" s="127"/>
      <c r="AJ105" s="127"/>
      <c r="AK105" s="46"/>
      <c r="AL105" s="46"/>
      <c r="AM105" s="46"/>
      <c r="AN105" s="46"/>
      <c r="AO105" s="46"/>
    </row>
    <row r="106">
      <c r="A106" s="17"/>
      <c r="B106" s="46"/>
      <c r="C106" s="46"/>
      <c r="D106" s="46"/>
      <c r="E106" s="17"/>
      <c r="F106" s="46"/>
      <c r="G106" s="46"/>
      <c r="H106" s="46"/>
      <c r="I106" s="17"/>
      <c r="J106" s="46"/>
      <c r="K106" s="46"/>
      <c r="L106" s="46"/>
      <c r="M106" s="17"/>
      <c r="N106" s="46"/>
      <c r="O106" s="46"/>
      <c r="P106" s="46"/>
      <c r="Q106" s="46"/>
      <c r="R106" s="46"/>
      <c r="S106" s="46"/>
      <c r="T106" s="46"/>
      <c r="U106" s="46"/>
      <c r="V106" s="46"/>
      <c r="W106" s="46"/>
      <c r="X106" s="46"/>
      <c r="Y106" s="46"/>
      <c r="Z106" s="46"/>
      <c r="AA106" s="46"/>
      <c r="AB106" s="46"/>
      <c r="AC106" s="46"/>
      <c r="AD106" s="46"/>
      <c r="AE106" s="46"/>
      <c r="AF106" s="46"/>
      <c r="AG106" s="127"/>
      <c r="AH106" s="127"/>
      <c r="AI106" s="127"/>
      <c r="AJ106" s="127"/>
      <c r="AK106" s="46"/>
      <c r="AL106" s="46"/>
      <c r="AM106" s="46"/>
      <c r="AN106" s="46"/>
      <c r="AO106" s="46"/>
    </row>
    <row r="107">
      <c r="A107" s="17"/>
      <c r="B107" s="46"/>
      <c r="C107" s="46"/>
      <c r="D107" s="46"/>
      <c r="E107" s="17"/>
      <c r="F107" s="46"/>
      <c r="G107" s="46"/>
      <c r="H107" s="46"/>
      <c r="I107" s="17"/>
      <c r="J107" s="46"/>
      <c r="K107" s="46"/>
      <c r="L107" s="46"/>
      <c r="M107" s="17"/>
      <c r="N107" s="46"/>
      <c r="O107" s="46"/>
      <c r="P107" s="46"/>
      <c r="Q107" s="46"/>
      <c r="R107" s="46"/>
      <c r="S107" s="46"/>
      <c r="T107" s="46"/>
      <c r="U107" s="46"/>
      <c r="V107" s="46"/>
      <c r="W107" s="46"/>
      <c r="X107" s="46"/>
      <c r="Y107" s="46"/>
      <c r="Z107" s="46"/>
      <c r="AA107" s="46"/>
      <c r="AB107" s="46"/>
      <c r="AC107" s="46"/>
      <c r="AD107" s="46"/>
      <c r="AE107" s="46"/>
      <c r="AF107" s="46"/>
      <c r="AG107" s="127"/>
      <c r="AH107" s="127"/>
      <c r="AI107" s="127"/>
      <c r="AJ107" s="127"/>
      <c r="AK107" s="46"/>
      <c r="AL107" s="46"/>
      <c r="AM107" s="46"/>
      <c r="AN107" s="46"/>
      <c r="AO107" s="46"/>
    </row>
    <row r="108">
      <c r="A108" s="17"/>
      <c r="B108" s="46"/>
      <c r="C108" s="46"/>
      <c r="D108" s="46"/>
      <c r="E108" s="17"/>
      <c r="F108" s="46"/>
      <c r="G108" s="46"/>
      <c r="H108" s="46"/>
      <c r="I108" s="17"/>
      <c r="J108" s="46"/>
      <c r="K108" s="46"/>
      <c r="L108" s="46"/>
      <c r="M108" s="17"/>
      <c r="N108" s="46"/>
      <c r="O108" s="46"/>
      <c r="P108" s="46"/>
      <c r="Q108" s="46"/>
      <c r="R108" s="46"/>
      <c r="S108" s="46"/>
      <c r="T108" s="46"/>
      <c r="U108" s="46"/>
      <c r="V108" s="46"/>
      <c r="W108" s="46"/>
      <c r="X108" s="46"/>
      <c r="Y108" s="46"/>
      <c r="Z108" s="46"/>
      <c r="AA108" s="46"/>
      <c r="AB108" s="46"/>
      <c r="AC108" s="46"/>
      <c r="AD108" s="46"/>
      <c r="AE108" s="46"/>
      <c r="AF108" s="46"/>
      <c r="AG108" s="127"/>
      <c r="AH108" s="127"/>
      <c r="AI108" s="127"/>
      <c r="AJ108" s="127"/>
      <c r="AK108" s="46"/>
      <c r="AL108" s="46"/>
      <c r="AM108" s="46"/>
      <c r="AN108" s="46"/>
      <c r="AO108" s="46"/>
    </row>
    <row r="109">
      <c r="A109" s="17"/>
      <c r="B109" s="46"/>
      <c r="C109" s="46"/>
      <c r="D109" s="46"/>
      <c r="E109" s="17"/>
      <c r="F109" s="46"/>
      <c r="G109" s="46"/>
      <c r="H109" s="46"/>
      <c r="I109" s="17"/>
      <c r="J109" s="46"/>
      <c r="K109" s="46"/>
      <c r="L109" s="46"/>
      <c r="M109" s="17"/>
      <c r="N109" s="46"/>
      <c r="O109" s="46"/>
      <c r="P109" s="46"/>
      <c r="Q109" s="46"/>
      <c r="R109" s="46"/>
      <c r="S109" s="46"/>
      <c r="T109" s="46"/>
      <c r="U109" s="46"/>
      <c r="V109" s="46"/>
      <c r="W109" s="46"/>
      <c r="X109" s="46"/>
      <c r="Y109" s="46"/>
      <c r="Z109" s="46"/>
      <c r="AA109" s="46"/>
      <c r="AB109" s="46"/>
      <c r="AC109" s="46"/>
      <c r="AD109" s="46"/>
      <c r="AE109" s="46"/>
      <c r="AF109" s="46"/>
      <c r="AG109" s="127"/>
      <c r="AH109" s="127"/>
      <c r="AI109" s="127"/>
      <c r="AJ109" s="127"/>
      <c r="AK109" s="46"/>
      <c r="AL109" s="46"/>
      <c r="AM109" s="46"/>
      <c r="AN109" s="46"/>
      <c r="AO109" s="46"/>
    </row>
    <row r="110">
      <c r="A110" s="17"/>
      <c r="B110" s="46"/>
      <c r="C110" s="46"/>
      <c r="D110" s="46"/>
      <c r="E110" s="17"/>
      <c r="F110" s="46"/>
      <c r="G110" s="46"/>
      <c r="H110" s="46"/>
      <c r="I110" s="17"/>
      <c r="J110" s="46"/>
      <c r="K110" s="46"/>
      <c r="L110" s="46"/>
      <c r="M110" s="17"/>
      <c r="N110" s="46"/>
      <c r="O110" s="46"/>
      <c r="P110" s="46"/>
      <c r="Q110" s="46"/>
      <c r="R110" s="46"/>
      <c r="S110" s="46"/>
      <c r="T110" s="46"/>
      <c r="U110" s="46"/>
      <c r="V110" s="46"/>
      <c r="W110" s="46"/>
      <c r="X110" s="46"/>
      <c r="Y110" s="46"/>
      <c r="Z110" s="46"/>
      <c r="AA110" s="46"/>
      <c r="AB110" s="46"/>
      <c r="AC110" s="46"/>
      <c r="AD110" s="46"/>
      <c r="AE110" s="46"/>
      <c r="AF110" s="46"/>
      <c r="AG110" s="127"/>
      <c r="AH110" s="127"/>
      <c r="AI110" s="127"/>
      <c r="AJ110" s="127"/>
      <c r="AK110" s="46"/>
      <c r="AL110" s="46"/>
      <c r="AM110" s="46"/>
      <c r="AN110" s="46"/>
      <c r="AO110" s="46"/>
    </row>
    <row r="111">
      <c r="A111" s="17"/>
      <c r="B111" s="46"/>
      <c r="C111" s="46"/>
      <c r="D111" s="46"/>
      <c r="E111" s="17"/>
      <c r="F111" s="46"/>
      <c r="G111" s="46"/>
      <c r="H111" s="46"/>
      <c r="I111" s="17"/>
      <c r="J111" s="46"/>
      <c r="K111" s="46"/>
      <c r="L111" s="46"/>
      <c r="M111" s="17"/>
      <c r="N111" s="46"/>
      <c r="O111" s="46"/>
      <c r="P111" s="46"/>
      <c r="Q111" s="46"/>
      <c r="R111" s="46"/>
      <c r="S111" s="46"/>
      <c r="T111" s="46"/>
      <c r="U111" s="46"/>
      <c r="V111" s="46"/>
      <c r="W111" s="46"/>
      <c r="X111" s="46"/>
      <c r="Y111" s="46"/>
      <c r="Z111" s="46"/>
      <c r="AA111" s="46"/>
      <c r="AB111" s="46"/>
      <c r="AC111" s="46"/>
      <c r="AD111" s="46"/>
      <c r="AE111" s="46"/>
      <c r="AF111" s="46"/>
      <c r="AG111" s="127"/>
      <c r="AH111" s="127"/>
      <c r="AI111" s="127"/>
      <c r="AJ111" s="127"/>
      <c r="AK111" s="46"/>
      <c r="AL111" s="46"/>
      <c r="AM111" s="46"/>
      <c r="AN111" s="46"/>
      <c r="AO111" s="46"/>
    </row>
    <row r="112">
      <c r="A112" s="17"/>
      <c r="B112" s="46"/>
      <c r="C112" s="46"/>
      <c r="D112" s="46"/>
      <c r="E112" s="17"/>
      <c r="F112" s="46"/>
      <c r="G112" s="46"/>
      <c r="H112" s="46"/>
      <c r="I112" s="17"/>
      <c r="J112" s="46"/>
      <c r="K112" s="46"/>
      <c r="L112" s="46"/>
      <c r="M112" s="17"/>
      <c r="N112" s="46"/>
      <c r="O112" s="46"/>
      <c r="P112" s="46"/>
      <c r="Q112" s="46"/>
      <c r="R112" s="46"/>
      <c r="S112" s="46"/>
      <c r="T112" s="46"/>
      <c r="U112" s="46"/>
      <c r="V112" s="46"/>
      <c r="W112" s="46"/>
      <c r="X112" s="46"/>
      <c r="Y112" s="46"/>
      <c r="Z112" s="46"/>
      <c r="AA112" s="46"/>
      <c r="AB112" s="46"/>
      <c r="AC112" s="46"/>
      <c r="AD112" s="46"/>
      <c r="AE112" s="46"/>
      <c r="AF112" s="46"/>
      <c r="AG112" s="127"/>
      <c r="AH112" s="127"/>
      <c r="AI112" s="127"/>
      <c r="AJ112" s="127"/>
      <c r="AK112" s="46"/>
      <c r="AL112" s="46"/>
      <c r="AM112" s="46"/>
      <c r="AN112" s="46"/>
      <c r="AO112" s="46"/>
    </row>
    <row r="113">
      <c r="A113" s="17"/>
      <c r="B113" s="46"/>
      <c r="C113" s="46"/>
      <c r="D113" s="46"/>
      <c r="E113" s="17"/>
      <c r="F113" s="46"/>
      <c r="G113" s="46"/>
      <c r="H113" s="46"/>
      <c r="I113" s="17"/>
      <c r="J113" s="46"/>
      <c r="K113" s="46"/>
      <c r="L113" s="46"/>
      <c r="M113" s="17"/>
      <c r="N113" s="46"/>
      <c r="O113" s="46"/>
      <c r="P113" s="46"/>
      <c r="Q113" s="46"/>
      <c r="R113" s="46"/>
      <c r="S113" s="46"/>
      <c r="T113" s="46"/>
      <c r="U113" s="46"/>
      <c r="V113" s="46"/>
      <c r="W113" s="46"/>
      <c r="X113" s="46"/>
      <c r="Y113" s="46"/>
      <c r="Z113" s="46"/>
      <c r="AA113" s="46"/>
      <c r="AB113" s="46"/>
      <c r="AC113" s="46"/>
      <c r="AD113" s="46"/>
      <c r="AE113" s="46"/>
      <c r="AF113" s="46"/>
      <c r="AG113" s="127"/>
      <c r="AH113" s="127"/>
      <c r="AI113" s="127"/>
      <c r="AJ113" s="127"/>
      <c r="AK113" s="46"/>
      <c r="AL113" s="46"/>
      <c r="AM113" s="46"/>
      <c r="AN113" s="46"/>
      <c r="AO113" s="46"/>
    </row>
    <row r="114">
      <c r="A114" s="17"/>
      <c r="B114" s="46"/>
      <c r="C114" s="46"/>
      <c r="D114" s="46"/>
      <c r="E114" s="17"/>
      <c r="F114" s="46"/>
      <c r="G114" s="46"/>
      <c r="H114" s="46"/>
      <c r="I114" s="17"/>
      <c r="J114" s="46"/>
      <c r="K114" s="46"/>
      <c r="L114" s="46"/>
      <c r="M114" s="17"/>
      <c r="N114" s="46"/>
      <c r="O114" s="46"/>
      <c r="P114" s="46"/>
      <c r="Q114" s="46"/>
      <c r="R114" s="46"/>
      <c r="S114" s="46"/>
      <c r="T114" s="46"/>
      <c r="U114" s="46"/>
      <c r="V114" s="46"/>
      <c r="W114" s="46"/>
      <c r="X114" s="46"/>
      <c r="Y114" s="46"/>
      <c r="Z114" s="46"/>
      <c r="AA114" s="46"/>
      <c r="AB114" s="46"/>
      <c r="AC114" s="46"/>
      <c r="AD114" s="46"/>
      <c r="AE114" s="46"/>
      <c r="AF114" s="46"/>
      <c r="AG114" s="127"/>
      <c r="AH114" s="127"/>
      <c r="AI114" s="127"/>
      <c r="AJ114" s="127"/>
      <c r="AK114" s="46"/>
      <c r="AL114" s="46"/>
      <c r="AM114" s="46"/>
      <c r="AN114" s="46"/>
      <c r="AO114" s="46"/>
    </row>
    <row r="115">
      <c r="A115" s="17"/>
      <c r="B115" s="46"/>
      <c r="C115" s="46"/>
      <c r="D115" s="46"/>
      <c r="E115" s="17"/>
      <c r="F115" s="46"/>
      <c r="G115" s="46"/>
      <c r="H115" s="46"/>
      <c r="I115" s="17"/>
      <c r="J115" s="46"/>
      <c r="K115" s="46"/>
      <c r="L115" s="46"/>
      <c r="M115" s="17"/>
      <c r="N115" s="46"/>
      <c r="O115" s="46"/>
      <c r="P115" s="46"/>
      <c r="Q115" s="46"/>
      <c r="R115" s="46"/>
      <c r="S115" s="46"/>
      <c r="T115" s="46"/>
      <c r="U115" s="46"/>
      <c r="V115" s="46"/>
      <c r="W115" s="46"/>
      <c r="X115" s="46"/>
      <c r="Y115" s="46"/>
      <c r="Z115" s="46"/>
      <c r="AA115" s="46"/>
      <c r="AB115" s="46"/>
      <c r="AC115" s="46"/>
      <c r="AD115" s="46"/>
      <c r="AE115" s="46"/>
      <c r="AF115" s="46"/>
      <c r="AG115" s="127"/>
      <c r="AH115" s="127"/>
      <c r="AI115" s="127"/>
      <c r="AJ115" s="127"/>
      <c r="AK115" s="46"/>
      <c r="AL115" s="46"/>
      <c r="AM115" s="46"/>
      <c r="AN115" s="46"/>
      <c r="AO115" s="46"/>
    </row>
    <row r="116">
      <c r="A116" s="17"/>
      <c r="B116" s="46"/>
      <c r="C116" s="46"/>
      <c r="D116" s="46"/>
      <c r="E116" s="17"/>
      <c r="F116" s="46"/>
      <c r="G116" s="46"/>
      <c r="H116" s="46"/>
      <c r="I116" s="17"/>
      <c r="J116" s="46"/>
      <c r="K116" s="46"/>
      <c r="L116" s="46"/>
      <c r="M116" s="17"/>
      <c r="N116" s="46"/>
      <c r="O116" s="46"/>
      <c r="P116" s="46"/>
      <c r="Q116" s="46"/>
      <c r="R116" s="46"/>
      <c r="S116" s="46"/>
      <c r="T116" s="46"/>
      <c r="U116" s="46"/>
      <c r="V116" s="46"/>
      <c r="W116" s="46"/>
      <c r="X116" s="46"/>
      <c r="Y116" s="46"/>
      <c r="Z116" s="46"/>
      <c r="AA116" s="46"/>
      <c r="AB116" s="46"/>
      <c r="AC116" s="46"/>
      <c r="AD116" s="46"/>
      <c r="AE116" s="46"/>
      <c r="AF116" s="46"/>
      <c r="AG116" s="127"/>
      <c r="AH116" s="127"/>
      <c r="AI116" s="127"/>
      <c r="AJ116" s="127"/>
      <c r="AK116" s="46"/>
      <c r="AL116" s="46"/>
      <c r="AM116" s="46"/>
      <c r="AN116" s="46"/>
      <c r="AO116" s="46"/>
    </row>
    <row r="117">
      <c r="A117" s="17"/>
      <c r="B117" s="46"/>
      <c r="C117" s="46"/>
      <c r="D117" s="46"/>
      <c r="E117" s="17"/>
      <c r="F117" s="46"/>
      <c r="G117" s="46"/>
      <c r="H117" s="46"/>
      <c r="I117" s="17"/>
      <c r="J117" s="46"/>
      <c r="K117" s="46"/>
      <c r="L117" s="46"/>
      <c r="M117" s="17"/>
      <c r="N117" s="46"/>
      <c r="O117" s="46"/>
      <c r="P117" s="46"/>
      <c r="Q117" s="46"/>
      <c r="R117" s="46"/>
      <c r="S117" s="46"/>
      <c r="T117" s="46"/>
      <c r="U117" s="46"/>
      <c r="V117" s="46"/>
      <c r="W117" s="46"/>
      <c r="X117" s="46"/>
      <c r="Y117" s="46"/>
      <c r="Z117" s="46"/>
      <c r="AA117" s="46"/>
      <c r="AB117" s="46"/>
      <c r="AC117" s="46"/>
      <c r="AD117" s="46"/>
      <c r="AE117" s="46"/>
      <c r="AF117" s="46"/>
      <c r="AG117" s="127"/>
      <c r="AH117" s="127"/>
      <c r="AI117" s="127"/>
      <c r="AJ117" s="127"/>
      <c r="AK117" s="46"/>
      <c r="AL117" s="46"/>
      <c r="AM117" s="46"/>
      <c r="AN117" s="46"/>
      <c r="AO117" s="46"/>
    </row>
    <row r="118">
      <c r="A118" s="17"/>
      <c r="B118" s="46"/>
      <c r="C118" s="46"/>
      <c r="D118" s="46"/>
      <c r="E118" s="17"/>
      <c r="F118" s="46"/>
      <c r="G118" s="46"/>
      <c r="H118" s="46"/>
      <c r="I118" s="17"/>
      <c r="J118" s="46"/>
      <c r="K118" s="46"/>
      <c r="L118" s="46"/>
      <c r="M118" s="17"/>
      <c r="N118" s="46"/>
      <c r="O118" s="46"/>
      <c r="P118" s="46"/>
      <c r="Q118" s="46"/>
      <c r="R118" s="46"/>
      <c r="S118" s="46"/>
      <c r="T118" s="46"/>
      <c r="U118" s="46"/>
      <c r="V118" s="46"/>
      <c r="W118" s="46"/>
      <c r="X118" s="46"/>
      <c r="Y118" s="46"/>
      <c r="Z118" s="46"/>
      <c r="AA118" s="46"/>
      <c r="AB118" s="46"/>
      <c r="AC118" s="46"/>
      <c r="AD118" s="46"/>
      <c r="AE118" s="46"/>
      <c r="AF118" s="46"/>
      <c r="AG118" s="127"/>
      <c r="AH118" s="127"/>
      <c r="AI118" s="127"/>
      <c r="AJ118" s="127"/>
      <c r="AK118" s="46"/>
      <c r="AL118" s="46"/>
      <c r="AM118" s="46"/>
      <c r="AN118" s="46"/>
      <c r="AO118" s="46"/>
    </row>
    <row r="119">
      <c r="A119" s="17"/>
      <c r="B119" s="46"/>
      <c r="C119" s="46"/>
      <c r="D119" s="46"/>
      <c r="E119" s="17"/>
      <c r="F119" s="46"/>
      <c r="G119" s="46"/>
      <c r="H119" s="46"/>
      <c r="I119" s="17"/>
      <c r="J119" s="46"/>
      <c r="K119" s="46"/>
      <c r="L119" s="46"/>
      <c r="M119" s="17"/>
      <c r="N119" s="46"/>
      <c r="O119" s="46"/>
      <c r="P119" s="46"/>
      <c r="Q119" s="46"/>
      <c r="R119" s="46"/>
      <c r="S119" s="46"/>
      <c r="T119" s="46"/>
      <c r="U119" s="46"/>
      <c r="V119" s="46"/>
      <c r="W119" s="46"/>
      <c r="X119" s="46"/>
      <c r="Y119" s="46"/>
      <c r="Z119" s="46"/>
      <c r="AA119" s="46"/>
      <c r="AB119" s="46"/>
      <c r="AC119" s="46"/>
      <c r="AD119" s="46"/>
      <c r="AE119" s="46"/>
      <c r="AF119" s="46"/>
      <c r="AG119" s="127"/>
      <c r="AH119" s="127"/>
      <c r="AI119" s="127"/>
      <c r="AJ119" s="127"/>
      <c r="AK119" s="46"/>
      <c r="AL119" s="46"/>
      <c r="AM119" s="46"/>
      <c r="AN119" s="46"/>
      <c r="AO119" s="46"/>
    </row>
    <row r="120">
      <c r="A120" s="17"/>
      <c r="B120" s="46"/>
      <c r="C120" s="46"/>
      <c r="D120" s="46"/>
      <c r="E120" s="17"/>
      <c r="F120" s="46"/>
      <c r="G120" s="46"/>
      <c r="H120" s="46"/>
      <c r="I120" s="17"/>
      <c r="J120" s="46"/>
      <c r="K120" s="46"/>
      <c r="L120" s="46"/>
      <c r="M120" s="17"/>
      <c r="N120" s="46"/>
      <c r="O120" s="46"/>
      <c r="P120" s="46"/>
      <c r="Q120" s="46"/>
      <c r="R120" s="46"/>
      <c r="S120" s="46"/>
      <c r="T120" s="46"/>
      <c r="U120" s="46"/>
      <c r="V120" s="46"/>
      <c r="W120" s="46"/>
      <c r="X120" s="46"/>
      <c r="Y120" s="46"/>
      <c r="Z120" s="46"/>
      <c r="AA120" s="46"/>
      <c r="AB120" s="46"/>
      <c r="AC120" s="46"/>
      <c r="AD120" s="46"/>
      <c r="AE120" s="46"/>
      <c r="AF120" s="46"/>
      <c r="AG120" s="127"/>
      <c r="AH120" s="127"/>
      <c r="AI120" s="127"/>
      <c r="AJ120" s="127"/>
      <c r="AK120" s="46"/>
      <c r="AL120" s="46"/>
      <c r="AM120" s="46"/>
      <c r="AN120" s="46"/>
      <c r="AO120" s="46"/>
    </row>
    <row r="121">
      <c r="A121" s="17"/>
      <c r="B121" s="46"/>
      <c r="C121" s="46"/>
      <c r="D121" s="46"/>
      <c r="E121" s="17"/>
      <c r="F121" s="46"/>
      <c r="G121" s="46"/>
      <c r="H121" s="46"/>
      <c r="I121" s="17"/>
      <c r="J121" s="46"/>
      <c r="K121" s="46"/>
      <c r="L121" s="46"/>
      <c r="M121" s="17"/>
      <c r="N121" s="46"/>
      <c r="O121" s="46"/>
      <c r="P121" s="46"/>
      <c r="Q121" s="46"/>
      <c r="R121" s="46"/>
      <c r="S121" s="46"/>
      <c r="T121" s="46"/>
      <c r="U121" s="46"/>
      <c r="V121" s="46"/>
      <c r="W121" s="46"/>
      <c r="X121" s="46"/>
      <c r="Y121" s="46"/>
      <c r="Z121" s="46"/>
      <c r="AA121" s="46"/>
      <c r="AB121" s="46"/>
      <c r="AC121" s="46"/>
      <c r="AD121" s="46"/>
      <c r="AE121" s="46"/>
      <c r="AF121" s="46"/>
      <c r="AG121" s="127"/>
      <c r="AH121" s="127"/>
      <c r="AI121" s="127"/>
      <c r="AJ121" s="127"/>
      <c r="AK121" s="46"/>
      <c r="AL121" s="46"/>
      <c r="AM121" s="46"/>
      <c r="AN121" s="46"/>
      <c r="AO121" s="46"/>
    </row>
    <row r="122">
      <c r="A122" s="17"/>
      <c r="B122" s="46"/>
      <c r="C122" s="46"/>
      <c r="D122" s="46"/>
      <c r="E122" s="17"/>
      <c r="F122" s="46"/>
      <c r="G122" s="46"/>
      <c r="H122" s="46"/>
      <c r="I122" s="17"/>
      <c r="J122" s="46"/>
      <c r="K122" s="46"/>
      <c r="L122" s="46"/>
      <c r="M122" s="17"/>
      <c r="N122" s="46"/>
      <c r="O122" s="46"/>
      <c r="P122" s="46"/>
      <c r="Q122" s="46"/>
      <c r="R122" s="46"/>
      <c r="S122" s="46"/>
      <c r="T122" s="46"/>
      <c r="U122" s="46"/>
      <c r="V122" s="46"/>
      <c r="W122" s="46"/>
      <c r="X122" s="46"/>
      <c r="Y122" s="46"/>
      <c r="Z122" s="46"/>
      <c r="AA122" s="46"/>
      <c r="AB122" s="46"/>
      <c r="AC122" s="46"/>
      <c r="AD122" s="46"/>
      <c r="AE122" s="46"/>
      <c r="AF122" s="46"/>
      <c r="AG122" s="127"/>
      <c r="AH122" s="127"/>
      <c r="AI122" s="127"/>
      <c r="AJ122" s="127"/>
      <c r="AK122" s="46"/>
      <c r="AL122" s="46"/>
      <c r="AM122" s="46"/>
      <c r="AN122" s="46"/>
      <c r="AO122" s="46"/>
    </row>
    <row r="123">
      <c r="A123" s="17"/>
      <c r="B123" s="46"/>
      <c r="C123" s="46"/>
      <c r="D123" s="46"/>
      <c r="E123" s="17"/>
      <c r="F123" s="46"/>
      <c r="G123" s="46"/>
      <c r="H123" s="46"/>
      <c r="I123" s="17"/>
      <c r="J123" s="46"/>
      <c r="K123" s="46"/>
      <c r="L123" s="46"/>
      <c r="M123" s="17"/>
      <c r="N123" s="46"/>
      <c r="O123" s="46"/>
      <c r="P123" s="46"/>
      <c r="Q123" s="46"/>
      <c r="R123" s="46"/>
      <c r="S123" s="46"/>
      <c r="T123" s="46"/>
      <c r="U123" s="46"/>
      <c r="V123" s="46"/>
      <c r="W123" s="46"/>
      <c r="X123" s="46"/>
      <c r="Y123" s="46"/>
      <c r="Z123" s="46"/>
      <c r="AA123" s="46"/>
      <c r="AB123" s="46"/>
      <c r="AC123" s="46"/>
      <c r="AD123" s="46"/>
      <c r="AE123" s="46"/>
      <c r="AF123" s="46"/>
      <c r="AG123" s="127"/>
      <c r="AH123" s="127"/>
      <c r="AI123" s="127"/>
      <c r="AJ123" s="127"/>
      <c r="AK123" s="46"/>
      <c r="AL123" s="46"/>
      <c r="AM123" s="46"/>
      <c r="AN123" s="46"/>
      <c r="AO123" s="46"/>
    </row>
    <row r="124">
      <c r="A124" s="17"/>
      <c r="B124" s="46"/>
      <c r="C124" s="46"/>
      <c r="D124" s="46"/>
      <c r="E124" s="17"/>
      <c r="F124" s="46"/>
      <c r="G124" s="46"/>
      <c r="H124" s="46"/>
      <c r="I124" s="17"/>
      <c r="J124" s="46"/>
      <c r="K124" s="46"/>
      <c r="L124" s="46"/>
      <c r="M124" s="17"/>
      <c r="N124" s="46"/>
      <c r="O124" s="46"/>
      <c r="P124" s="46"/>
      <c r="Q124" s="46"/>
      <c r="R124" s="46"/>
      <c r="S124" s="46"/>
      <c r="T124" s="46"/>
      <c r="U124" s="46"/>
      <c r="V124" s="46"/>
      <c r="W124" s="46"/>
      <c r="X124" s="46"/>
      <c r="Y124" s="46"/>
      <c r="Z124" s="46"/>
      <c r="AA124" s="46"/>
      <c r="AB124" s="46"/>
      <c r="AC124" s="46"/>
      <c r="AD124" s="46"/>
      <c r="AE124" s="46"/>
      <c r="AF124" s="46"/>
      <c r="AG124" s="127"/>
      <c r="AH124" s="127"/>
      <c r="AI124" s="127"/>
      <c r="AJ124" s="127"/>
      <c r="AK124" s="46"/>
      <c r="AL124" s="46"/>
      <c r="AM124" s="46"/>
      <c r="AN124" s="46"/>
      <c r="AO124" s="46"/>
    </row>
    <row r="125">
      <c r="A125" s="17"/>
      <c r="B125" s="46"/>
      <c r="C125" s="46"/>
      <c r="D125" s="46"/>
      <c r="E125" s="17"/>
      <c r="F125" s="46"/>
      <c r="G125" s="46"/>
      <c r="H125" s="46"/>
      <c r="I125" s="17"/>
      <c r="J125" s="46"/>
      <c r="K125" s="46"/>
      <c r="L125" s="46"/>
      <c r="M125" s="17"/>
      <c r="N125" s="46"/>
      <c r="O125" s="46"/>
      <c r="P125" s="46"/>
      <c r="Q125" s="46"/>
      <c r="R125" s="46"/>
      <c r="S125" s="46"/>
      <c r="T125" s="46"/>
      <c r="U125" s="46"/>
      <c r="V125" s="46"/>
      <c r="W125" s="46"/>
      <c r="X125" s="46"/>
      <c r="Y125" s="46"/>
      <c r="Z125" s="46"/>
      <c r="AA125" s="46"/>
      <c r="AB125" s="46"/>
      <c r="AC125" s="46"/>
      <c r="AD125" s="46"/>
      <c r="AE125" s="46"/>
      <c r="AF125" s="46"/>
      <c r="AG125" s="127"/>
      <c r="AH125" s="127"/>
      <c r="AI125" s="127"/>
      <c r="AJ125" s="127"/>
      <c r="AK125" s="46"/>
      <c r="AL125" s="46"/>
      <c r="AM125" s="46"/>
      <c r="AN125" s="46"/>
      <c r="AO125" s="46"/>
    </row>
    <row r="126">
      <c r="A126" s="17"/>
      <c r="B126" s="46"/>
      <c r="C126" s="46"/>
      <c r="D126" s="46"/>
      <c r="E126" s="17"/>
      <c r="F126" s="46"/>
      <c r="G126" s="46"/>
      <c r="H126" s="46"/>
      <c r="I126" s="17"/>
      <c r="J126" s="46"/>
      <c r="K126" s="46"/>
      <c r="L126" s="46"/>
      <c r="M126" s="17"/>
      <c r="N126" s="46"/>
      <c r="O126" s="46"/>
      <c r="P126" s="46"/>
      <c r="Q126" s="46"/>
      <c r="R126" s="46"/>
      <c r="S126" s="46"/>
      <c r="T126" s="46"/>
      <c r="U126" s="46"/>
      <c r="V126" s="46"/>
      <c r="W126" s="46"/>
      <c r="X126" s="46"/>
      <c r="Y126" s="46"/>
      <c r="Z126" s="46"/>
      <c r="AA126" s="46"/>
      <c r="AB126" s="46"/>
      <c r="AC126" s="46"/>
      <c r="AD126" s="46"/>
      <c r="AE126" s="46"/>
      <c r="AF126" s="46"/>
      <c r="AG126" s="127"/>
      <c r="AH126" s="127"/>
      <c r="AI126" s="127"/>
      <c r="AJ126" s="127"/>
      <c r="AK126" s="46"/>
      <c r="AL126" s="46"/>
      <c r="AM126" s="46"/>
      <c r="AN126" s="46"/>
      <c r="AO126" s="46"/>
    </row>
    <row r="127">
      <c r="A127" s="17"/>
      <c r="B127" s="46"/>
      <c r="C127" s="46"/>
      <c r="D127" s="46"/>
      <c r="E127" s="17"/>
      <c r="F127" s="46"/>
      <c r="G127" s="46"/>
      <c r="H127" s="46"/>
      <c r="I127" s="17"/>
      <c r="J127" s="46"/>
      <c r="K127" s="46"/>
      <c r="L127" s="46"/>
      <c r="M127" s="17"/>
      <c r="N127" s="46"/>
      <c r="O127" s="46"/>
      <c r="P127" s="46"/>
      <c r="Q127" s="46"/>
      <c r="R127" s="46"/>
      <c r="S127" s="46"/>
      <c r="T127" s="46"/>
      <c r="U127" s="46"/>
      <c r="V127" s="46"/>
      <c r="W127" s="46"/>
      <c r="X127" s="46"/>
      <c r="Y127" s="46"/>
      <c r="Z127" s="46"/>
      <c r="AA127" s="46"/>
      <c r="AB127" s="46"/>
      <c r="AC127" s="46"/>
      <c r="AD127" s="46"/>
      <c r="AE127" s="46"/>
      <c r="AF127" s="46"/>
      <c r="AG127" s="127"/>
      <c r="AH127" s="127"/>
      <c r="AI127" s="127"/>
      <c r="AJ127" s="127"/>
      <c r="AK127" s="46"/>
      <c r="AL127" s="46"/>
      <c r="AM127" s="46"/>
      <c r="AN127" s="46"/>
      <c r="AO127" s="46"/>
    </row>
    <row r="128">
      <c r="A128" s="17"/>
      <c r="B128" s="46"/>
      <c r="C128" s="46"/>
      <c r="D128" s="46"/>
      <c r="E128" s="17"/>
      <c r="F128" s="46"/>
      <c r="G128" s="46"/>
      <c r="H128" s="46"/>
      <c r="I128" s="17"/>
      <c r="J128" s="46"/>
      <c r="K128" s="46"/>
      <c r="L128" s="46"/>
      <c r="M128" s="17"/>
      <c r="N128" s="46"/>
      <c r="O128" s="46"/>
      <c r="P128" s="46"/>
      <c r="Q128" s="46"/>
      <c r="R128" s="46"/>
      <c r="S128" s="46"/>
      <c r="T128" s="46"/>
      <c r="U128" s="46"/>
      <c r="V128" s="46"/>
      <c r="W128" s="46"/>
      <c r="X128" s="46"/>
      <c r="Y128" s="46"/>
      <c r="Z128" s="46"/>
      <c r="AA128" s="46"/>
      <c r="AB128" s="46"/>
      <c r="AC128" s="46"/>
      <c r="AD128" s="46"/>
      <c r="AE128" s="46"/>
      <c r="AF128" s="46"/>
      <c r="AG128" s="127"/>
      <c r="AH128" s="127"/>
      <c r="AI128" s="127"/>
      <c r="AJ128" s="127"/>
      <c r="AK128" s="46"/>
      <c r="AL128" s="46"/>
      <c r="AM128" s="46"/>
      <c r="AN128" s="46"/>
      <c r="AO128" s="46"/>
    </row>
    <row r="129">
      <c r="A129" s="17"/>
      <c r="B129" s="46"/>
      <c r="C129" s="46"/>
      <c r="D129" s="46"/>
      <c r="E129" s="17"/>
      <c r="F129" s="46"/>
      <c r="G129" s="46"/>
      <c r="H129" s="46"/>
      <c r="I129" s="17"/>
      <c r="J129" s="46"/>
      <c r="K129" s="46"/>
      <c r="L129" s="46"/>
      <c r="M129" s="17"/>
      <c r="N129" s="46"/>
      <c r="O129" s="46"/>
      <c r="P129" s="46"/>
      <c r="Q129" s="46"/>
      <c r="R129" s="46"/>
      <c r="S129" s="46"/>
      <c r="T129" s="46"/>
      <c r="U129" s="46"/>
      <c r="V129" s="46"/>
      <c r="W129" s="46"/>
      <c r="X129" s="46"/>
      <c r="Y129" s="46"/>
      <c r="Z129" s="46"/>
      <c r="AA129" s="46"/>
      <c r="AB129" s="46"/>
      <c r="AC129" s="46"/>
      <c r="AD129" s="46"/>
      <c r="AE129" s="46"/>
      <c r="AF129" s="46"/>
      <c r="AG129" s="127"/>
      <c r="AH129" s="127"/>
      <c r="AI129" s="127"/>
      <c r="AJ129" s="127"/>
      <c r="AK129" s="46"/>
      <c r="AL129" s="46"/>
      <c r="AM129" s="46"/>
      <c r="AN129" s="46"/>
      <c r="AO129" s="46"/>
    </row>
    <row r="130">
      <c r="A130" s="17"/>
      <c r="B130" s="46"/>
      <c r="C130" s="46"/>
      <c r="D130" s="46"/>
      <c r="E130" s="17"/>
      <c r="F130" s="46"/>
      <c r="G130" s="46"/>
      <c r="H130" s="46"/>
      <c r="I130" s="17"/>
      <c r="J130" s="46"/>
      <c r="K130" s="46"/>
      <c r="L130" s="46"/>
      <c r="M130" s="17"/>
      <c r="N130" s="46"/>
      <c r="O130" s="46"/>
      <c r="P130" s="46"/>
      <c r="Q130" s="46"/>
      <c r="R130" s="46"/>
      <c r="S130" s="46"/>
      <c r="T130" s="46"/>
      <c r="U130" s="46"/>
      <c r="V130" s="46"/>
      <c r="W130" s="46"/>
      <c r="X130" s="46"/>
      <c r="Y130" s="46"/>
      <c r="Z130" s="46"/>
      <c r="AA130" s="46"/>
      <c r="AB130" s="46"/>
      <c r="AC130" s="46"/>
      <c r="AD130" s="46"/>
      <c r="AE130" s="46"/>
      <c r="AF130" s="46"/>
      <c r="AG130" s="127"/>
      <c r="AH130" s="127"/>
      <c r="AI130" s="127"/>
      <c r="AJ130" s="127"/>
      <c r="AK130" s="46"/>
      <c r="AL130" s="46"/>
      <c r="AM130" s="46"/>
      <c r="AN130" s="46"/>
      <c r="AO130" s="46"/>
    </row>
    <row r="131">
      <c r="A131" s="17"/>
      <c r="B131" s="46"/>
      <c r="C131" s="46"/>
      <c r="D131" s="46"/>
      <c r="E131" s="17"/>
      <c r="F131" s="46"/>
      <c r="G131" s="46"/>
      <c r="H131" s="46"/>
      <c r="I131" s="17"/>
      <c r="J131" s="46"/>
      <c r="K131" s="46"/>
      <c r="L131" s="46"/>
      <c r="M131" s="17"/>
      <c r="N131" s="46"/>
      <c r="O131" s="46"/>
      <c r="P131" s="46"/>
      <c r="Q131" s="46"/>
      <c r="R131" s="46"/>
      <c r="S131" s="46"/>
      <c r="T131" s="46"/>
      <c r="U131" s="46"/>
      <c r="V131" s="46"/>
      <c r="W131" s="46"/>
      <c r="X131" s="46"/>
      <c r="Y131" s="46"/>
      <c r="Z131" s="46"/>
      <c r="AA131" s="46"/>
      <c r="AB131" s="46"/>
      <c r="AC131" s="46"/>
      <c r="AD131" s="46"/>
      <c r="AE131" s="46"/>
      <c r="AF131" s="46"/>
      <c r="AG131" s="127"/>
      <c r="AH131" s="127"/>
      <c r="AI131" s="127"/>
      <c r="AJ131" s="127"/>
      <c r="AK131" s="46"/>
      <c r="AL131" s="46"/>
      <c r="AM131" s="46"/>
      <c r="AN131" s="46"/>
      <c r="AO131" s="46"/>
    </row>
    <row r="132">
      <c r="A132" s="17"/>
      <c r="B132" s="46"/>
      <c r="C132" s="46"/>
      <c r="D132" s="46"/>
      <c r="E132" s="17"/>
      <c r="F132" s="46"/>
      <c r="G132" s="46"/>
      <c r="H132" s="46"/>
      <c r="I132" s="17"/>
      <c r="J132" s="46"/>
      <c r="K132" s="46"/>
      <c r="L132" s="46"/>
      <c r="M132" s="17"/>
      <c r="N132" s="46"/>
      <c r="O132" s="46"/>
      <c r="P132" s="46"/>
      <c r="Q132" s="46"/>
      <c r="R132" s="46"/>
      <c r="S132" s="46"/>
      <c r="T132" s="46"/>
      <c r="U132" s="46"/>
      <c r="V132" s="46"/>
      <c r="W132" s="46"/>
      <c r="X132" s="46"/>
      <c r="Y132" s="46"/>
      <c r="Z132" s="46"/>
      <c r="AA132" s="46"/>
      <c r="AB132" s="46"/>
      <c r="AC132" s="46"/>
      <c r="AD132" s="46"/>
      <c r="AE132" s="46"/>
      <c r="AF132" s="46"/>
      <c r="AG132" s="127"/>
      <c r="AH132" s="127"/>
      <c r="AI132" s="127"/>
      <c r="AJ132" s="127"/>
      <c r="AK132" s="46"/>
      <c r="AL132" s="46"/>
      <c r="AM132" s="46"/>
      <c r="AN132" s="46"/>
      <c r="AO132" s="46"/>
    </row>
    <row r="133">
      <c r="A133" s="17"/>
      <c r="B133" s="46"/>
      <c r="C133" s="46"/>
      <c r="D133" s="46"/>
      <c r="E133" s="17"/>
      <c r="F133" s="46"/>
      <c r="G133" s="46"/>
      <c r="H133" s="46"/>
      <c r="I133" s="17"/>
      <c r="J133" s="46"/>
      <c r="K133" s="46"/>
      <c r="L133" s="46"/>
      <c r="M133" s="17"/>
      <c r="N133" s="46"/>
      <c r="O133" s="46"/>
      <c r="P133" s="46"/>
      <c r="Q133" s="46"/>
      <c r="R133" s="46"/>
      <c r="S133" s="46"/>
      <c r="T133" s="46"/>
      <c r="U133" s="46"/>
      <c r="V133" s="46"/>
      <c r="W133" s="46"/>
      <c r="X133" s="46"/>
      <c r="Y133" s="46"/>
      <c r="Z133" s="46"/>
      <c r="AA133" s="46"/>
      <c r="AB133" s="46"/>
      <c r="AC133" s="46"/>
      <c r="AD133" s="46"/>
      <c r="AE133" s="46"/>
      <c r="AF133" s="46"/>
      <c r="AG133" s="127"/>
      <c r="AH133" s="127"/>
      <c r="AI133" s="127"/>
      <c r="AJ133" s="127"/>
      <c r="AK133" s="46"/>
      <c r="AL133" s="46"/>
      <c r="AM133" s="46"/>
      <c r="AN133" s="46"/>
      <c r="AO133" s="46"/>
    </row>
    <row r="134">
      <c r="A134" s="17"/>
      <c r="B134" s="46"/>
      <c r="C134" s="46"/>
      <c r="D134" s="46"/>
      <c r="E134" s="17"/>
      <c r="F134" s="46"/>
      <c r="G134" s="46"/>
      <c r="H134" s="46"/>
      <c r="I134" s="17"/>
      <c r="J134" s="46"/>
      <c r="K134" s="46"/>
      <c r="L134" s="46"/>
      <c r="M134" s="17"/>
      <c r="N134" s="46"/>
      <c r="O134" s="46"/>
      <c r="P134" s="46"/>
      <c r="Q134" s="46"/>
      <c r="R134" s="46"/>
      <c r="S134" s="46"/>
      <c r="T134" s="46"/>
      <c r="U134" s="46"/>
      <c r="V134" s="46"/>
      <c r="W134" s="46"/>
      <c r="X134" s="46"/>
      <c r="Y134" s="46"/>
      <c r="Z134" s="46"/>
      <c r="AA134" s="46"/>
      <c r="AB134" s="46"/>
      <c r="AC134" s="46"/>
      <c r="AD134" s="46"/>
      <c r="AE134" s="46"/>
      <c r="AF134" s="46"/>
      <c r="AG134" s="127"/>
      <c r="AH134" s="127"/>
      <c r="AI134" s="127"/>
      <c r="AJ134" s="127"/>
      <c r="AK134" s="46"/>
      <c r="AL134" s="46"/>
      <c r="AM134" s="46"/>
      <c r="AN134" s="46"/>
      <c r="AO134" s="46"/>
    </row>
    <row r="135">
      <c r="A135" s="17"/>
      <c r="B135" s="46"/>
      <c r="C135" s="46"/>
      <c r="D135" s="46"/>
      <c r="E135" s="17"/>
      <c r="F135" s="46"/>
      <c r="G135" s="46"/>
      <c r="H135" s="46"/>
      <c r="I135" s="17"/>
      <c r="J135" s="46"/>
      <c r="K135" s="46"/>
      <c r="L135" s="46"/>
      <c r="M135" s="17"/>
      <c r="N135" s="46"/>
      <c r="O135" s="46"/>
      <c r="P135" s="46"/>
      <c r="Q135" s="46"/>
      <c r="R135" s="46"/>
      <c r="S135" s="46"/>
      <c r="T135" s="46"/>
      <c r="U135" s="46"/>
      <c r="V135" s="46"/>
      <c r="W135" s="46"/>
      <c r="X135" s="46"/>
      <c r="Y135" s="46"/>
      <c r="Z135" s="46"/>
      <c r="AA135" s="46"/>
      <c r="AB135" s="46"/>
      <c r="AC135" s="46"/>
      <c r="AD135" s="46"/>
      <c r="AE135" s="46"/>
      <c r="AF135" s="46"/>
      <c r="AG135" s="127"/>
      <c r="AH135" s="127"/>
      <c r="AI135" s="127"/>
      <c r="AJ135" s="127"/>
      <c r="AK135" s="46"/>
      <c r="AL135" s="46"/>
      <c r="AM135" s="46"/>
      <c r="AN135" s="46"/>
      <c r="AO135" s="46"/>
    </row>
    <row r="136">
      <c r="A136" s="17"/>
      <c r="B136" s="46"/>
      <c r="C136" s="46"/>
      <c r="D136" s="46"/>
      <c r="E136" s="17"/>
      <c r="F136" s="46"/>
      <c r="G136" s="46"/>
      <c r="H136" s="46"/>
      <c r="I136" s="17"/>
      <c r="J136" s="46"/>
      <c r="K136" s="46"/>
      <c r="L136" s="46"/>
      <c r="M136" s="17"/>
      <c r="N136" s="46"/>
      <c r="O136" s="46"/>
      <c r="P136" s="46"/>
      <c r="Q136" s="46"/>
      <c r="R136" s="46"/>
      <c r="S136" s="46"/>
      <c r="T136" s="46"/>
      <c r="U136" s="46"/>
      <c r="V136" s="46"/>
      <c r="W136" s="46"/>
      <c r="X136" s="46"/>
      <c r="Y136" s="46"/>
      <c r="Z136" s="46"/>
      <c r="AA136" s="46"/>
      <c r="AB136" s="46"/>
      <c r="AC136" s="46"/>
      <c r="AD136" s="46"/>
      <c r="AE136" s="46"/>
      <c r="AF136" s="46"/>
      <c r="AG136" s="127"/>
      <c r="AH136" s="127"/>
      <c r="AI136" s="127"/>
      <c r="AJ136" s="127"/>
      <c r="AK136" s="46"/>
      <c r="AL136" s="46"/>
      <c r="AM136" s="46"/>
      <c r="AN136" s="46"/>
      <c r="AO136" s="46"/>
    </row>
    <row r="137">
      <c r="A137" s="17"/>
      <c r="B137" s="46"/>
      <c r="C137" s="46"/>
      <c r="D137" s="46"/>
      <c r="E137" s="17"/>
      <c r="F137" s="46"/>
      <c r="G137" s="46"/>
      <c r="H137" s="46"/>
      <c r="I137" s="17"/>
      <c r="J137" s="46"/>
      <c r="K137" s="46"/>
      <c r="L137" s="46"/>
      <c r="M137" s="17"/>
      <c r="N137" s="46"/>
      <c r="O137" s="46"/>
      <c r="P137" s="46"/>
      <c r="Q137" s="46"/>
      <c r="R137" s="46"/>
      <c r="S137" s="46"/>
      <c r="T137" s="46"/>
      <c r="U137" s="46"/>
      <c r="V137" s="46"/>
      <c r="W137" s="46"/>
      <c r="X137" s="46"/>
      <c r="Y137" s="46"/>
      <c r="Z137" s="46"/>
      <c r="AA137" s="46"/>
      <c r="AB137" s="46"/>
      <c r="AC137" s="46"/>
      <c r="AD137" s="46"/>
      <c r="AE137" s="46"/>
      <c r="AF137" s="46"/>
      <c r="AG137" s="127"/>
      <c r="AH137" s="127"/>
      <c r="AI137" s="127"/>
      <c r="AJ137" s="127"/>
      <c r="AK137" s="46"/>
      <c r="AL137" s="46"/>
      <c r="AM137" s="46"/>
      <c r="AN137" s="46"/>
      <c r="AO137" s="46"/>
    </row>
    <row r="138">
      <c r="A138" s="17"/>
      <c r="B138" s="46"/>
      <c r="C138" s="46"/>
      <c r="D138" s="46"/>
      <c r="E138" s="17"/>
      <c r="F138" s="46"/>
      <c r="G138" s="46"/>
      <c r="H138" s="46"/>
      <c r="I138" s="17"/>
      <c r="J138" s="46"/>
      <c r="K138" s="46"/>
      <c r="L138" s="46"/>
      <c r="M138" s="17"/>
      <c r="N138" s="46"/>
      <c r="O138" s="46"/>
      <c r="P138" s="46"/>
      <c r="Q138" s="46"/>
      <c r="R138" s="46"/>
      <c r="S138" s="46"/>
      <c r="T138" s="46"/>
      <c r="U138" s="46"/>
      <c r="V138" s="46"/>
      <c r="W138" s="46"/>
      <c r="X138" s="46"/>
      <c r="Y138" s="46"/>
      <c r="Z138" s="46"/>
      <c r="AA138" s="46"/>
      <c r="AB138" s="46"/>
      <c r="AC138" s="46"/>
      <c r="AD138" s="46"/>
      <c r="AE138" s="46"/>
      <c r="AF138" s="46"/>
      <c r="AG138" s="127"/>
      <c r="AH138" s="127"/>
      <c r="AI138" s="127"/>
      <c r="AJ138" s="127"/>
      <c r="AK138" s="46"/>
      <c r="AL138" s="46"/>
      <c r="AM138" s="46"/>
      <c r="AN138" s="46"/>
      <c r="AO138" s="46"/>
    </row>
    <row r="139">
      <c r="A139" s="17"/>
      <c r="B139" s="46"/>
      <c r="C139" s="46"/>
      <c r="D139" s="46"/>
      <c r="E139" s="17"/>
      <c r="F139" s="46"/>
      <c r="G139" s="46"/>
      <c r="H139" s="46"/>
      <c r="I139" s="17"/>
      <c r="J139" s="46"/>
      <c r="K139" s="46"/>
      <c r="L139" s="46"/>
      <c r="M139" s="17"/>
      <c r="N139" s="46"/>
      <c r="O139" s="46"/>
      <c r="P139" s="46"/>
      <c r="Q139" s="46"/>
      <c r="R139" s="46"/>
      <c r="S139" s="46"/>
      <c r="T139" s="46"/>
      <c r="U139" s="46"/>
      <c r="V139" s="46"/>
      <c r="W139" s="46"/>
      <c r="X139" s="46"/>
      <c r="Y139" s="46"/>
      <c r="Z139" s="46"/>
      <c r="AA139" s="46"/>
      <c r="AB139" s="46"/>
      <c r="AC139" s="46"/>
      <c r="AD139" s="46"/>
      <c r="AE139" s="46"/>
      <c r="AF139" s="46"/>
      <c r="AG139" s="127"/>
      <c r="AH139" s="127"/>
      <c r="AI139" s="127"/>
      <c r="AJ139" s="127"/>
      <c r="AK139" s="46"/>
      <c r="AL139" s="46"/>
      <c r="AM139" s="46"/>
      <c r="AN139" s="46"/>
      <c r="AO139" s="46"/>
    </row>
    <row r="140">
      <c r="A140" s="17"/>
      <c r="B140" s="46"/>
      <c r="C140" s="46"/>
      <c r="D140" s="46"/>
      <c r="E140" s="17"/>
      <c r="F140" s="46"/>
      <c r="G140" s="46"/>
      <c r="H140" s="46"/>
      <c r="I140" s="17"/>
      <c r="J140" s="46"/>
      <c r="K140" s="46"/>
      <c r="L140" s="46"/>
      <c r="M140" s="17"/>
      <c r="N140" s="46"/>
      <c r="O140" s="46"/>
      <c r="P140" s="46"/>
      <c r="Q140" s="46"/>
      <c r="R140" s="46"/>
      <c r="S140" s="46"/>
      <c r="T140" s="46"/>
      <c r="U140" s="46"/>
      <c r="V140" s="46"/>
      <c r="W140" s="46"/>
      <c r="X140" s="46"/>
      <c r="Y140" s="46"/>
      <c r="Z140" s="46"/>
      <c r="AA140" s="46"/>
      <c r="AB140" s="46"/>
      <c r="AC140" s="46"/>
      <c r="AD140" s="46"/>
      <c r="AE140" s="46"/>
      <c r="AF140" s="46"/>
      <c r="AG140" s="127"/>
      <c r="AH140" s="127"/>
      <c r="AI140" s="127"/>
      <c r="AJ140" s="127"/>
      <c r="AK140" s="46"/>
      <c r="AL140" s="46"/>
      <c r="AM140" s="46"/>
      <c r="AN140" s="46"/>
      <c r="AO140" s="46"/>
    </row>
    <row r="141">
      <c r="A141" s="17"/>
      <c r="B141" s="46"/>
      <c r="C141" s="46"/>
      <c r="D141" s="46"/>
      <c r="E141" s="17"/>
      <c r="F141" s="46"/>
      <c r="G141" s="46"/>
      <c r="H141" s="46"/>
      <c r="I141" s="17"/>
      <c r="J141" s="46"/>
      <c r="K141" s="46"/>
      <c r="L141" s="46"/>
      <c r="M141" s="17"/>
      <c r="N141" s="46"/>
      <c r="O141" s="46"/>
      <c r="P141" s="46"/>
      <c r="Q141" s="46"/>
      <c r="R141" s="46"/>
      <c r="S141" s="46"/>
      <c r="T141" s="46"/>
      <c r="U141" s="46"/>
      <c r="V141" s="46"/>
      <c r="W141" s="46"/>
      <c r="X141" s="46"/>
      <c r="Y141" s="46"/>
      <c r="Z141" s="46"/>
      <c r="AA141" s="46"/>
      <c r="AB141" s="46"/>
      <c r="AC141" s="46"/>
      <c r="AD141" s="46"/>
      <c r="AE141" s="46"/>
      <c r="AF141" s="46"/>
      <c r="AG141" s="127"/>
      <c r="AH141" s="127"/>
      <c r="AI141" s="127"/>
      <c r="AJ141" s="127"/>
      <c r="AK141" s="46"/>
      <c r="AL141" s="46"/>
      <c r="AM141" s="46"/>
      <c r="AN141" s="46"/>
      <c r="AO141" s="46"/>
    </row>
    <row r="142">
      <c r="A142" s="17"/>
      <c r="B142" s="46"/>
      <c r="C142" s="46"/>
      <c r="D142" s="46"/>
      <c r="E142" s="17"/>
      <c r="F142" s="46"/>
      <c r="G142" s="46"/>
      <c r="H142" s="46"/>
      <c r="I142" s="17"/>
      <c r="J142" s="46"/>
      <c r="K142" s="46"/>
      <c r="L142" s="46"/>
      <c r="M142" s="17"/>
      <c r="N142" s="46"/>
      <c r="O142" s="46"/>
      <c r="P142" s="46"/>
      <c r="Q142" s="46"/>
      <c r="R142" s="46"/>
      <c r="S142" s="46"/>
      <c r="T142" s="46"/>
      <c r="U142" s="46"/>
      <c r="V142" s="46"/>
      <c r="W142" s="46"/>
      <c r="X142" s="46"/>
      <c r="Y142" s="46"/>
      <c r="Z142" s="46"/>
      <c r="AA142" s="46"/>
      <c r="AB142" s="46"/>
      <c r="AC142" s="46"/>
      <c r="AD142" s="46"/>
      <c r="AE142" s="46"/>
      <c r="AF142" s="46"/>
      <c r="AG142" s="127"/>
      <c r="AH142" s="127"/>
      <c r="AI142" s="127"/>
      <c r="AJ142" s="127"/>
      <c r="AK142" s="46"/>
      <c r="AL142" s="46"/>
      <c r="AM142" s="46"/>
      <c r="AN142" s="46"/>
      <c r="AO142" s="46"/>
    </row>
    <row r="143">
      <c r="A143" s="17"/>
      <c r="B143" s="46"/>
      <c r="C143" s="46"/>
      <c r="D143" s="46"/>
      <c r="E143" s="17"/>
      <c r="F143" s="46"/>
      <c r="G143" s="46"/>
      <c r="H143" s="46"/>
      <c r="I143" s="17"/>
      <c r="J143" s="46"/>
      <c r="K143" s="46"/>
      <c r="L143" s="46"/>
      <c r="M143" s="17"/>
      <c r="N143" s="46"/>
      <c r="O143" s="46"/>
      <c r="P143" s="46"/>
      <c r="Q143" s="46"/>
      <c r="R143" s="46"/>
      <c r="S143" s="46"/>
      <c r="T143" s="46"/>
      <c r="U143" s="46"/>
      <c r="V143" s="46"/>
      <c r="W143" s="46"/>
      <c r="X143" s="46"/>
      <c r="Y143" s="46"/>
      <c r="Z143" s="46"/>
      <c r="AA143" s="46"/>
      <c r="AB143" s="46"/>
      <c r="AC143" s="46"/>
      <c r="AD143" s="46"/>
      <c r="AE143" s="46"/>
      <c r="AF143" s="46"/>
      <c r="AG143" s="127"/>
      <c r="AH143" s="127"/>
      <c r="AI143" s="127"/>
      <c r="AJ143" s="127"/>
      <c r="AK143" s="46"/>
      <c r="AL143" s="46"/>
      <c r="AM143" s="46"/>
      <c r="AN143" s="46"/>
      <c r="AO143" s="46"/>
    </row>
    <row r="144">
      <c r="A144" s="17"/>
      <c r="B144" s="46"/>
      <c r="C144" s="46"/>
      <c r="D144" s="46"/>
      <c r="E144" s="17"/>
      <c r="F144" s="46"/>
      <c r="G144" s="46"/>
      <c r="H144" s="46"/>
      <c r="I144" s="17"/>
      <c r="J144" s="46"/>
      <c r="K144" s="46"/>
      <c r="L144" s="46"/>
      <c r="M144" s="17"/>
      <c r="N144" s="46"/>
      <c r="O144" s="46"/>
      <c r="P144" s="46"/>
      <c r="Q144" s="46"/>
      <c r="R144" s="46"/>
      <c r="S144" s="46"/>
      <c r="T144" s="46"/>
      <c r="U144" s="46"/>
      <c r="V144" s="46"/>
      <c r="W144" s="46"/>
      <c r="X144" s="46"/>
      <c r="Y144" s="46"/>
      <c r="Z144" s="46"/>
      <c r="AA144" s="46"/>
      <c r="AB144" s="46"/>
      <c r="AC144" s="46"/>
      <c r="AD144" s="46"/>
      <c r="AE144" s="46"/>
      <c r="AF144" s="46"/>
      <c r="AG144" s="127"/>
      <c r="AH144" s="127"/>
      <c r="AI144" s="127"/>
      <c r="AJ144" s="127"/>
      <c r="AK144" s="46"/>
      <c r="AL144" s="46"/>
      <c r="AM144" s="46"/>
      <c r="AN144" s="46"/>
      <c r="AO144" s="46"/>
    </row>
    <row r="145">
      <c r="A145" s="17"/>
      <c r="B145" s="46"/>
      <c r="C145" s="46"/>
      <c r="D145" s="46"/>
      <c r="E145" s="17"/>
      <c r="F145" s="46"/>
      <c r="G145" s="46"/>
      <c r="H145" s="46"/>
      <c r="I145" s="17"/>
      <c r="J145" s="46"/>
      <c r="K145" s="46"/>
      <c r="L145" s="46"/>
      <c r="M145" s="17"/>
      <c r="N145" s="46"/>
      <c r="O145" s="46"/>
      <c r="P145" s="46"/>
      <c r="Q145" s="46"/>
      <c r="R145" s="46"/>
      <c r="S145" s="46"/>
      <c r="T145" s="46"/>
      <c r="U145" s="46"/>
      <c r="V145" s="46"/>
      <c r="W145" s="46"/>
      <c r="X145" s="46"/>
      <c r="Y145" s="46"/>
      <c r="Z145" s="46"/>
      <c r="AA145" s="46"/>
      <c r="AB145" s="46"/>
      <c r="AC145" s="46"/>
      <c r="AD145" s="46"/>
      <c r="AE145" s="46"/>
      <c r="AF145" s="46"/>
      <c r="AG145" s="127"/>
      <c r="AH145" s="127"/>
      <c r="AI145" s="127"/>
      <c r="AJ145" s="127"/>
      <c r="AK145" s="46"/>
      <c r="AL145" s="46"/>
      <c r="AM145" s="46"/>
      <c r="AN145" s="46"/>
      <c r="AO145" s="46"/>
    </row>
    <row r="146">
      <c r="A146" s="17"/>
      <c r="B146" s="46"/>
      <c r="C146" s="46"/>
      <c r="D146" s="46"/>
      <c r="E146" s="17"/>
      <c r="F146" s="46"/>
      <c r="G146" s="46"/>
      <c r="H146" s="46"/>
      <c r="I146" s="17"/>
      <c r="J146" s="46"/>
      <c r="K146" s="46"/>
      <c r="L146" s="46"/>
      <c r="M146" s="17"/>
      <c r="N146" s="46"/>
      <c r="O146" s="46"/>
      <c r="P146" s="46"/>
      <c r="Q146" s="46"/>
      <c r="R146" s="46"/>
      <c r="S146" s="46"/>
      <c r="T146" s="46"/>
      <c r="U146" s="46"/>
      <c r="V146" s="46"/>
      <c r="W146" s="46"/>
      <c r="X146" s="46"/>
      <c r="Y146" s="46"/>
      <c r="Z146" s="46"/>
      <c r="AA146" s="46"/>
      <c r="AB146" s="46"/>
      <c r="AC146" s="46"/>
      <c r="AD146" s="46"/>
      <c r="AE146" s="46"/>
      <c r="AF146" s="46"/>
      <c r="AG146" s="127"/>
      <c r="AH146" s="127"/>
      <c r="AI146" s="127"/>
      <c r="AJ146" s="127"/>
      <c r="AK146" s="46"/>
      <c r="AL146" s="46"/>
      <c r="AM146" s="46"/>
      <c r="AN146" s="46"/>
      <c r="AO146" s="46"/>
    </row>
    <row r="147">
      <c r="A147" s="17"/>
      <c r="B147" s="46"/>
      <c r="C147" s="46"/>
      <c r="D147" s="46"/>
      <c r="E147" s="17"/>
      <c r="F147" s="46"/>
      <c r="G147" s="46"/>
      <c r="H147" s="46"/>
      <c r="I147" s="17"/>
      <c r="J147" s="46"/>
      <c r="K147" s="46"/>
      <c r="L147" s="46"/>
      <c r="M147" s="17"/>
      <c r="N147" s="46"/>
      <c r="O147" s="46"/>
      <c r="P147" s="46"/>
      <c r="Q147" s="46"/>
      <c r="R147" s="46"/>
      <c r="S147" s="46"/>
      <c r="T147" s="46"/>
      <c r="U147" s="46"/>
      <c r="V147" s="46"/>
      <c r="W147" s="46"/>
      <c r="X147" s="46"/>
      <c r="Y147" s="46"/>
      <c r="Z147" s="46"/>
      <c r="AA147" s="46"/>
      <c r="AB147" s="46"/>
      <c r="AC147" s="46"/>
      <c r="AD147" s="46"/>
      <c r="AE147" s="46"/>
      <c r="AF147" s="46"/>
      <c r="AG147" s="127"/>
      <c r="AH147" s="127"/>
      <c r="AI147" s="127"/>
      <c r="AJ147" s="127"/>
      <c r="AK147" s="46"/>
      <c r="AL147" s="46"/>
      <c r="AM147" s="46"/>
      <c r="AN147" s="46"/>
      <c r="AO147" s="46"/>
    </row>
    <row r="148">
      <c r="A148" s="17"/>
      <c r="B148" s="46"/>
      <c r="C148" s="46"/>
      <c r="D148" s="46"/>
      <c r="E148" s="17"/>
      <c r="F148" s="46"/>
      <c r="G148" s="46"/>
      <c r="H148" s="46"/>
      <c r="I148" s="17"/>
      <c r="J148" s="46"/>
      <c r="K148" s="46"/>
      <c r="L148" s="46"/>
      <c r="M148" s="17"/>
      <c r="N148" s="46"/>
      <c r="O148" s="46"/>
      <c r="P148" s="46"/>
      <c r="Q148" s="46"/>
      <c r="R148" s="46"/>
      <c r="S148" s="46"/>
      <c r="T148" s="46"/>
      <c r="U148" s="46"/>
      <c r="V148" s="46"/>
      <c r="W148" s="46"/>
      <c r="X148" s="46"/>
      <c r="Y148" s="46"/>
      <c r="Z148" s="46"/>
      <c r="AA148" s="46"/>
      <c r="AB148" s="46"/>
      <c r="AC148" s="46"/>
      <c r="AD148" s="46"/>
      <c r="AE148" s="46"/>
      <c r="AF148" s="46"/>
      <c r="AG148" s="127"/>
      <c r="AH148" s="127"/>
      <c r="AI148" s="127"/>
      <c r="AJ148" s="127"/>
      <c r="AK148" s="46"/>
      <c r="AL148" s="46"/>
      <c r="AM148" s="46"/>
      <c r="AN148" s="46"/>
      <c r="AO148" s="46"/>
    </row>
    <row r="149">
      <c r="A149" s="17"/>
      <c r="B149" s="46"/>
      <c r="C149" s="46"/>
      <c r="D149" s="46"/>
      <c r="E149" s="17"/>
      <c r="F149" s="46"/>
      <c r="G149" s="46"/>
      <c r="H149" s="46"/>
      <c r="I149" s="17"/>
      <c r="J149" s="46"/>
      <c r="K149" s="46"/>
      <c r="L149" s="46"/>
      <c r="M149" s="17"/>
      <c r="N149" s="46"/>
      <c r="O149" s="46"/>
      <c r="P149" s="46"/>
      <c r="Q149" s="46"/>
      <c r="R149" s="46"/>
      <c r="S149" s="46"/>
      <c r="T149" s="46"/>
      <c r="U149" s="46"/>
      <c r="V149" s="46"/>
      <c r="W149" s="46"/>
      <c r="X149" s="46"/>
      <c r="Y149" s="46"/>
      <c r="Z149" s="46"/>
      <c r="AA149" s="46"/>
      <c r="AB149" s="46"/>
      <c r="AC149" s="46"/>
      <c r="AD149" s="46"/>
      <c r="AE149" s="46"/>
      <c r="AF149" s="46"/>
      <c r="AG149" s="127"/>
      <c r="AH149" s="127"/>
      <c r="AI149" s="127"/>
      <c r="AJ149" s="127"/>
      <c r="AK149" s="46"/>
      <c r="AL149" s="46"/>
      <c r="AM149" s="46"/>
      <c r="AN149" s="46"/>
      <c r="AO149" s="46"/>
    </row>
    <row r="150">
      <c r="A150" s="17"/>
      <c r="B150" s="46"/>
      <c r="C150" s="46"/>
      <c r="D150" s="46"/>
      <c r="E150" s="17"/>
      <c r="F150" s="46"/>
      <c r="G150" s="46"/>
      <c r="H150" s="46"/>
      <c r="I150" s="17"/>
      <c r="J150" s="46"/>
      <c r="K150" s="46"/>
      <c r="L150" s="46"/>
      <c r="M150" s="17"/>
      <c r="N150" s="46"/>
      <c r="O150" s="46"/>
      <c r="P150" s="46"/>
      <c r="Q150" s="46"/>
      <c r="R150" s="46"/>
      <c r="S150" s="46"/>
      <c r="T150" s="46"/>
      <c r="U150" s="46"/>
      <c r="V150" s="46"/>
      <c r="W150" s="46"/>
      <c r="X150" s="46"/>
      <c r="Y150" s="46"/>
      <c r="Z150" s="46"/>
      <c r="AA150" s="46"/>
      <c r="AB150" s="46"/>
      <c r="AC150" s="46"/>
      <c r="AD150" s="46"/>
      <c r="AE150" s="46"/>
      <c r="AF150" s="46"/>
      <c r="AG150" s="127"/>
      <c r="AH150" s="127"/>
      <c r="AI150" s="127"/>
      <c r="AJ150" s="127"/>
      <c r="AK150" s="46"/>
      <c r="AL150" s="46"/>
      <c r="AM150" s="46"/>
      <c r="AN150" s="46"/>
      <c r="AO150" s="46"/>
    </row>
    <row r="151">
      <c r="A151" s="17"/>
      <c r="B151" s="46"/>
      <c r="C151" s="46"/>
      <c r="D151" s="46"/>
      <c r="E151" s="17"/>
      <c r="F151" s="46"/>
      <c r="G151" s="46"/>
      <c r="H151" s="46"/>
      <c r="I151" s="17"/>
      <c r="J151" s="46"/>
      <c r="K151" s="46"/>
      <c r="L151" s="46"/>
      <c r="M151" s="17"/>
      <c r="N151" s="46"/>
      <c r="O151" s="46"/>
      <c r="P151" s="46"/>
      <c r="Q151" s="46"/>
      <c r="R151" s="46"/>
      <c r="S151" s="46"/>
      <c r="T151" s="46"/>
      <c r="U151" s="46"/>
      <c r="V151" s="46"/>
      <c r="W151" s="46"/>
      <c r="X151" s="46"/>
      <c r="Y151" s="46"/>
      <c r="Z151" s="46"/>
      <c r="AA151" s="46"/>
      <c r="AB151" s="46"/>
      <c r="AC151" s="46"/>
      <c r="AD151" s="46"/>
      <c r="AE151" s="46"/>
      <c r="AF151" s="46"/>
      <c r="AG151" s="127"/>
      <c r="AH151" s="127"/>
      <c r="AI151" s="127"/>
      <c r="AJ151" s="127"/>
      <c r="AK151" s="46"/>
      <c r="AL151" s="46"/>
      <c r="AM151" s="46"/>
      <c r="AN151" s="46"/>
      <c r="AO151" s="46"/>
    </row>
    <row r="152">
      <c r="A152" s="17"/>
      <c r="B152" s="46"/>
      <c r="C152" s="46"/>
      <c r="D152" s="46"/>
      <c r="E152" s="17"/>
      <c r="F152" s="46"/>
      <c r="G152" s="46"/>
      <c r="H152" s="46"/>
      <c r="I152" s="17"/>
      <c r="J152" s="46"/>
      <c r="K152" s="46"/>
      <c r="L152" s="46"/>
      <c r="M152" s="17"/>
      <c r="N152" s="46"/>
      <c r="O152" s="46"/>
      <c r="P152" s="46"/>
      <c r="Q152" s="46"/>
      <c r="R152" s="46"/>
      <c r="S152" s="46"/>
      <c r="T152" s="46"/>
      <c r="U152" s="46"/>
      <c r="V152" s="46"/>
      <c r="W152" s="46"/>
      <c r="X152" s="46"/>
      <c r="Y152" s="46"/>
      <c r="Z152" s="46"/>
      <c r="AA152" s="46"/>
      <c r="AB152" s="46"/>
      <c r="AC152" s="46"/>
      <c r="AD152" s="46"/>
      <c r="AE152" s="46"/>
      <c r="AF152" s="46"/>
      <c r="AG152" s="127"/>
      <c r="AH152" s="127"/>
      <c r="AI152" s="127"/>
      <c r="AJ152" s="127"/>
      <c r="AK152" s="46"/>
      <c r="AL152" s="46"/>
      <c r="AM152" s="46"/>
      <c r="AN152" s="46"/>
      <c r="AO152" s="46"/>
    </row>
    <row r="153">
      <c r="A153" s="17"/>
      <c r="B153" s="46"/>
      <c r="C153" s="46"/>
      <c r="D153" s="46"/>
      <c r="E153" s="17"/>
      <c r="F153" s="46"/>
      <c r="G153" s="46"/>
      <c r="H153" s="46"/>
      <c r="I153" s="17"/>
      <c r="J153" s="46"/>
      <c r="K153" s="46"/>
      <c r="L153" s="46"/>
      <c r="M153" s="17"/>
      <c r="N153" s="46"/>
      <c r="O153" s="46"/>
      <c r="P153" s="46"/>
      <c r="Q153" s="46"/>
      <c r="R153" s="46"/>
      <c r="S153" s="46"/>
      <c r="T153" s="46"/>
      <c r="U153" s="46"/>
      <c r="V153" s="46"/>
      <c r="W153" s="46"/>
      <c r="X153" s="46"/>
      <c r="Y153" s="46"/>
      <c r="Z153" s="46"/>
      <c r="AA153" s="46"/>
      <c r="AB153" s="46"/>
      <c r="AC153" s="46"/>
      <c r="AD153" s="46"/>
      <c r="AE153" s="46"/>
      <c r="AF153" s="46"/>
      <c r="AG153" s="127"/>
      <c r="AH153" s="127"/>
      <c r="AI153" s="127"/>
      <c r="AJ153" s="127"/>
      <c r="AK153" s="46"/>
      <c r="AL153" s="46"/>
      <c r="AM153" s="46"/>
      <c r="AN153" s="46"/>
      <c r="AO153" s="46"/>
    </row>
    <row r="154">
      <c r="A154" s="17"/>
      <c r="B154" s="46"/>
      <c r="C154" s="46"/>
      <c r="D154" s="46"/>
      <c r="E154" s="17"/>
      <c r="F154" s="46"/>
      <c r="G154" s="46"/>
      <c r="H154" s="46"/>
      <c r="I154" s="17"/>
      <c r="J154" s="46"/>
      <c r="K154" s="46"/>
      <c r="L154" s="46"/>
      <c r="M154" s="17"/>
      <c r="N154" s="46"/>
      <c r="O154" s="46"/>
      <c r="P154" s="46"/>
      <c r="Q154" s="46"/>
      <c r="R154" s="46"/>
      <c r="S154" s="46"/>
      <c r="T154" s="46"/>
      <c r="U154" s="46"/>
      <c r="V154" s="46"/>
      <c r="W154" s="46"/>
      <c r="X154" s="46"/>
      <c r="Y154" s="46"/>
      <c r="Z154" s="46"/>
      <c r="AA154" s="46"/>
      <c r="AB154" s="46"/>
      <c r="AC154" s="46"/>
      <c r="AD154" s="46"/>
      <c r="AE154" s="46"/>
      <c r="AF154" s="46"/>
      <c r="AG154" s="127"/>
      <c r="AH154" s="127"/>
      <c r="AI154" s="127"/>
      <c r="AJ154" s="127"/>
      <c r="AK154" s="46"/>
      <c r="AL154" s="46"/>
      <c r="AM154" s="46"/>
      <c r="AN154" s="46"/>
      <c r="AO154" s="46"/>
    </row>
    <row r="155">
      <c r="A155" s="17"/>
      <c r="B155" s="46"/>
      <c r="C155" s="46"/>
      <c r="D155" s="46"/>
      <c r="E155" s="17"/>
      <c r="F155" s="46"/>
      <c r="G155" s="46"/>
      <c r="H155" s="46"/>
      <c r="I155" s="17"/>
      <c r="J155" s="46"/>
      <c r="K155" s="46"/>
      <c r="L155" s="46"/>
      <c r="M155" s="17"/>
      <c r="N155" s="46"/>
      <c r="O155" s="46"/>
      <c r="P155" s="46"/>
      <c r="Q155" s="46"/>
      <c r="R155" s="46"/>
      <c r="S155" s="46"/>
      <c r="T155" s="46"/>
      <c r="U155" s="46"/>
      <c r="V155" s="46"/>
      <c r="W155" s="46"/>
      <c r="X155" s="46"/>
      <c r="Y155" s="46"/>
      <c r="Z155" s="46"/>
      <c r="AA155" s="46"/>
      <c r="AB155" s="46"/>
      <c r="AC155" s="46"/>
      <c r="AD155" s="46"/>
      <c r="AE155" s="46"/>
      <c r="AF155" s="46"/>
      <c r="AG155" s="127"/>
      <c r="AH155" s="127"/>
      <c r="AI155" s="127"/>
      <c r="AJ155" s="127"/>
      <c r="AK155" s="46"/>
      <c r="AL155" s="46"/>
      <c r="AM155" s="46"/>
      <c r="AN155" s="46"/>
      <c r="AO155" s="46"/>
    </row>
    <row r="156">
      <c r="A156" s="17"/>
      <c r="B156" s="46"/>
      <c r="C156" s="46"/>
      <c r="D156" s="46"/>
      <c r="E156" s="17"/>
      <c r="F156" s="46"/>
      <c r="G156" s="46"/>
      <c r="H156" s="46"/>
      <c r="I156" s="17"/>
      <c r="J156" s="46"/>
      <c r="K156" s="46"/>
      <c r="L156" s="46"/>
      <c r="M156" s="17"/>
      <c r="N156" s="46"/>
      <c r="O156" s="46"/>
      <c r="P156" s="46"/>
      <c r="Q156" s="46"/>
      <c r="R156" s="46"/>
      <c r="S156" s="46"/>
      <c r="T156" s="46"/>
      <c r="U156" s="46"/>
      <c r="V156" s="46"/>
      <c r="W156" s="46"/>
      <c r="X156" s="46"/>
      <c r="Y156" s="46"/>
      <c r="Z156" s="46"/>
      <c r="AA156" s="46"/>
      <c r="AB156" s="46"/>
      <c r="AC156" s="46"/>
      <c r="AD156" s="46"/>
      <c r="AE156" s="46"/>
      <c r="AF156" s="46"/>
      <c r="AG156" s="127"/>
      <c r="AH156" s="127"/>
      <c r="AI156" s="127"/>
      <c r="AJ156" s="127"/>
      <c r="AK156" s="46"/>
      <c r="AL156" s="46"/>
      <c r="AM156" s="46"/>
      <c r="AN156" s="46"/>
      <c r="AO156" s="46"/>
    </row>
    <row r="157">
      <c r="A157" s="17"/>
      <c r="B157" s="46"/>
      <c r="C157" s="46"/>
      <c r="D157" s="46"/>
      <c r="E157" s="17"/>
      <c r="F157" s="46"/>
      <c r="G157" s="46"/>
      <c r="H157" s="46"/>
      <c r="I157" s="17"/>
      <c r="J157" s="46"/>
      <c r="K157" s="46"/>
      <c r="L157" s="46"/>
      <c r="M157" s="17"/>
      <c r="N157" s="46"/>
      <c r="O157" s="46"/>
      <c r="P157" s="46"/>
      <c r="Q157" s="46"/>
      <c r="R157" s="46"/>
      <c r="S157" s="46"/>
      <c r="T157" s="46"/>
      <c r="U157" s="46"/>
      <c r="V157" s="46"/>
      <c r="W157" s="46"/>
      <c r="X157" s="46"/>
      <c r="Y157" s="46"/>
      <c r="Z157" s="46"/>
      <c r="AA157" s="46"/>
      <c r="AB157" s="46"/>
      <c r="AC157" s="46"/>
      <c r="AD157" s="46"/>
      <c r="AE157" s="46"/>
      <c r="AF157" s="46"/>
      <c r="AG157" s="127"/>
      <c r="AH157" s="127"/>
      <c r="AI157" s="127"/>
      <c r="AJ157" s="127"/>
      <c r="AK157" s="46"/>
      <c r="AL157" s="46"/>
      <c r="AM157" s="46"/>
      <c r="AN157" s="46"/>
      <c r="AO157" s="46"/>
    </row>
    <row r="158">
      <c r="A158" s="17"/>
      <c r="B158" s="46"/>
      <c r="C158" s="46"/>
      <c r="D158" s="46"/>
      <c r="E158" s="17"/>
      <c r="F158" s="46"/>
      <c r="G158" s="46"/>
      <c r="H158" s="46"/>
      <c r="I158" s="17"/>
      <c r="J158" s="46"/>
      <c r="K158" s="46"/>
      <c r="L158" s="46"/>
      <c r="M158" s="17"/>
      <c r="N158" s="46"/>
      <c r="O158" s="46"/>
      <c r="P158" s="46"/>
      <c r="Q158" s="46"/>
      <c r="R158" s="46"/>
      <c r="S158" s="46"/>
      <c r="T158" s="46"/>
      <c r="U158" s="46"/>
      <c r="V158" s="46"/>
      <c r="W158" s="46"/>
      <c r="X158" s="46"/>
      <c r="Y158" s="46"/>
      <c r="Z158" s="46"/>
      <c r="AA158" s="46"/>
      <c r="AB158" s="46"/>
      <c r="AC158" s="46"/>
      <c r="AD158" s="46"/>
      <c r="AE158" s="46"/>
      <c r="AF158" s="46"/>
      <c r="AG158" s="127"/>
      <c r="AH158" s="127"/>
      <c r="AI158" s="127"/>
      <c r="AJ158" s="127"/>
      <c r="AK158" s="46"/>
      <c r="AL158" s="46"/>
      <c r="AM158" s="46"/>
      <c r="AN158" s="46"/>
      <c r="AO158" s="46"/>
    </row>
    <row r="159">
      <c r="A159" s="17"/>
      <c r="B159" s="46"/>
      <c r="C159" s="46"/>
      <c r="D159" s="46"/>
      <c r="E159" s="17"/>
      <c r="F159" s="46"/>
      <c r="G159" s="46"/>
      <c r="H159" s="46"/>
      <c r="I159" s="17"/>
      <c r="J159" s="46"/>
      <c r="K159" s="46"/>
      <c r="L159" s="46"/>
      <c r="M159" s="17"/>
      <c r="N159" s="46"/>
      <c r="O159" s="46"/>
      <c r="P159" s="46"/>
      <c r="Q159" s="46"/>
      <c r="R159" s="46"/>
      <c r="S159" s="46"/>
      <c r="T159" s="46"/>
      <c r="U159" s="46"/>
      <c r="V159" s="46"/>
      <c r="W159" s="46"/>
      <c r="X159" s="46"/>
      <c r="Y159" s="46"/>
      <c r="Z159" s="46"/>
      <c r="AA159" s="46"/>
      <c r="AB159" s="46"/>
      <c r="AC159" s="46"/>
      <c r="AD159" s="46"/>
      <c r="AE159" s="46"/>
      <c r="AF159" s="46"/>
      <c r="AG159" s="127"/>
      <c r="AH159" s="127"/>
      <c r="AI159" s="127"/>
      <c r="AJ159" s="127"/>
      <c r="AK159" s="46"/>
      <c r="AL159" s="46"/>
      <c r="AM159" s="46"/>
      <c r="AN159" s="46"/>
      <c r="AO159" s="46"/>
    </row>
    <row r="160">
      <c r="A160" s="17"/>
      <c r="B160" s="46"/>
      <c r="C160" s="46"/>
      <c r="D160" s="46"/>
      <c r="E160" s="17"/>
      <c r="F160" s="46"/>
      <c r="G160" s="46"/>
      <c r="H160" s="46"/>
      <c r="I160" s="17"/>
      <c r="J160" s="46"/>
      <c r="K160" s="46"/>
      <c r="L160" s="46"/>
      <c r="M160" s="17"/>
      <c r="N160" s="46"/>
      <c r="O160" s="46"/>
      <c r="P160" s="46"/>
      <c r="Q160" s="46"/>
      <c r="R160" s="46"/>
      <c r="S160" s="46"/>
      <c r="T160" s="46"/>
      <c r="U160" s="46"/>
      <c r="V160" s="46"/>
      <c r="W160" s="46"/>
      <c r="X160" s="46"/>
      <c r="Y160" s="46"/>
      <c r="Z160" s="46"/>
      <c r="AA160" s="46"/>
      <c r="AB160" s="46"/>
      <c r="AC160" s="46"/>
      <c r="AD160" s="46"/>
      <c r="AE160" s="46"/>
      <c r="AF160" s="46"/>
      <c r="AG160" s="127"/>
      <c r="AH160" s="127"/>
      <c r="AI160" s="127"/>
      <c r="AJ160" s="127"/>
      <c r="AK160" s="46"/>
      <c r="AL160" s="46"/>
      <c r="AM160" s="46"/>
      <c r="AN160" s="46"/>
      <c r="AO160" s="46"/>
    </row>
    <row r="161">
      <c r="A161" s="17"/>
      <c r="B161" s="46"/>
      <c r="C161" s="46"/>
      <c r="D161" s="46"/>
      <c r="E161" s="17"/>
      <c r="F161" s="46"/>
      <c r="G161" s="46"/>
      <c r="H161" s="46"/>
      <c r="I161" s="17"/>
      <c r="J161" s="46"/>
      <c r="K161" s="46"/>
      <c r="L161" s="46"/>
      <c r="M161" s="17"/>
      <c r="N161" s="46"/>
      <c r="O161" s="46"/>
      <c r="P161" s="46"/>
      <c r="Q161" s="46"/>
      <c r="R161" s="46"/>
      <c r="S161" s="46"/>
      <c r="T161" s="46"/>
      <c r="U161" s="46"/>
      <c r="V161" s="46"/>
      <c r="W161" s="46"/>
      <c r="X161" s="46"/>
      <c r="Y161" s="46"/>
      <c r="Z161" s="46"/>
      <c r="AA161" s="46"/>
      <c r="AB161" s="46"/>
      <c r="AC161" s="46"/>
      <c r="AD161" s="46"/>
      <c r="AE161" s="46"/>
      <c r="AF161" s="46"/>
      <c r="AG161" s="127"/>
      <c r="AH161" s="127"/>
      <c r="AI161" s="127"/>
      <c r="AJ161" s="127"/>
      <c r="AK161" s="46"/>
      <c r="AL161" s="46"/>
      <c r="AM161" s="46"/>
      <c r="AN161" s="46"/>
      <c r="AO161" s="46"/>
    </row>
    <row r="162">
      <c r="A162" s="17"/>
      <c r="B162" s="46"/>
      <c r="C162" s="46"/>
      <c r="D162" s="46"/>
      <c r="E162" s="17"/>
      <c r="F162" s="46"/>
      <c r="G162" s="46"/>
      <c r="H162" s="46"/>
      <c r="I162" s="17"/>
      <c r="J162" s="46"/>
      <c r="K162" s="46"/>
      <c r="L162" s="46"/>
      <c r="M162" s="17"/>
      <c r="N162" s="46"/>
      <c r="O162" s="46"/>
      <c r="P162" s="46"/>
      <c r="Q162" s="46"/>
      <c r="R162" s="46"/>
      <c r="S162" s="46"/>
      <c r="T162" s="46"/>
      <c r="U162" s="46"/>
      <c r="V162" s="46"/>
      <c r="W162" s="46"/>
      <c r="X162" s="46"/>
      <c r="Y162" s="46"/>
      <c r="Z162" s="46"/>
      <c r="AA162" s="46"/>
      <c r="AB162" s="46"/>
      <c r="AC162" s="46"/>
      <c r="AD162" s="46"/>
      <c r="AE162" s="46"/>
      <c r="AF162" s="46"/>
      <c r="AG162" s="127"/>
      <c r="AH162" s="127"/>
      <c r="AI162" s="127"/>
      <c r="AJ162" s="127"/>
      <c r="AK162" s="46"/>
      <c r="AL162" s="46"/>
      <c r="AM162" s="46"/>
      <c r="AN162" s="46"/>
      <c r="AO162" s="46"/>
    </row>
    <row r="163">
      <c r="A163" s="17"/>
      <c r="B163" s="46"/>
      <c r="C163" s="46"/>
      <c r="D163" s="46"/>
      <c r="E163" s="17"/>
      <c r="F163" s="46"/>
      <c r="G163" s="46"/>
      <c r="H163" s="46"/>
      <c r="I163" s="17"/>
      <c r="J163" s="46"/>
      <c r="K163" s="46"/>
      <c r="L163" s="46"/>
      <c r="M163" s="17"/>
      <c r="N163" s="46"/>
      <c r="O163" s="46"/>
      <c r="P163" s="46"/>
      <c r="Q163" s="46"/>
      <c r="R163" s="46"/>
      <c r="S163" s="46"/>
      <c r="T163" s="46"/>
      <c r="U163" s="46"/>
      <c r="V163" s="46"/>
      <c r="W163" s="46"/>
      <c r="X163" s="46"/>
      <c r="Y163" s="46"/>
      <c r="Z163" s="46"/>
      <c r="AA163" s="46"/>
      <c r="AB163" s="46"/>
      <c r="AC163" s="46"/>
      <c r="AD163" s="46"/>
      <c r="AE163" s="46"/>
      <c r="AF163" s="46"/>
      <c r="AG163" s="127"/>
      <c r="AH163" s="127"/>
      <c r="AI163" s="127"/>
      <c r="AJ163" s="127"/>
      <c r="AK163" s="46"/>
      <c r="AL163" s="46"/>
      <c r="AM163" s="46"/>
      <c r="AN163" s="46"/>
      <c r="AO163" s="46"/>
    </row>
    <row r="164">
      <c r="A164" s="17"/>
      <c r="B164" s="46"/>
      <c r="C164" s="46"/>
      <c r="D164" s="46"/>
      <c r="E164" s="17"/>
      <c r="F164" s="46"/>
      <c r="G164" s="46"/>
      <c r="H164" s="46"/>
      <c r="I164" s="17"/>
      <c r="J164" s="46"/>
      <c r="K164" s="46"/>
      <c r="L164" s="46"/>
      <c r="M164" s="17"/>
      <c r="N164" s="46"/>
      <c r="O164" s="46"/>
      <c r="P164" s="46"/>
      <c r="Q164" s="46"/>
      <c r="R164" s="46"/>
      <c r="S164" s="46"/>
      <c r="T164" s="46"/>
      <c r="U164" s="46"/>
      <c r="V164" s="46"/>
      <c r="W164" s="46"/>
      <c r="X164" s="46"/>
      <c r="Y164" s="46"/>
      <c r="Z164" s="46"/>
      <c r="AA164" s="46"/>
      <c r="AB164" s="46"/>
      <c r="AC164" s="46"/>
      <c r="AD164" s="46"/>
      <c r="AE164" s="46"/>
      <c r="AF164" s="46"/>
      <c r="AG164" s="127"/>
      <c r="AH164" s="127"/>
      <c r="AI164" s="127"/>
      <c r="AJ164" s="127"/>
      <c r="AK164" s="46"/>
      <c r="AL164" s="46"/>
      <c r="AM164" s="46"/>
      <c r="AN164" s="46"/>
      <c r="AO164" s="46"/>
    </row>
    <row r="165">
      <c r="A165" s="17"/>
      <c r="B165" s="46"/>
      <c r="C165" s="46"/>
      <c r="D165" s="46"/>
      <c r="E165" s="17"/>
      <c r="F165" s="46"/>
      <c r="G165" s="46"/>
      <c r="H165" s="46"/>
      <c r="I165" s="17"/>
      <c r="J165" s="46"/>
      <c r="K165" s="46"/>
      <c r="L165" s="46"/>
      <c r="M165" s="17"/>
      <c r="N165" s="46"/>
      <c r="O165" s="46"/>
      <c r="P165" s="46"/>
      <c r="Q165" s="46"/>
      <c r="R165" s="46"/>
      <c r="S165" s="46"/>
      <c r="T165" s="46"/>
      <c r="U165" s="46"/>
      <c r="V165" s="46"/>
      <c r="W165" s="46"/>
      <c r="X165" s="46"/>
      <c r="Y165" s="46"/>
      <c r="Z165" s="46"/>
      <c r="AA165" s="46"/>
      <c r="AB165" s="46"/>
      <c r="AC165" s="46"/>
      <c r="AD165" s="46"/>
      <c r="AE165" s="46"/>
      <c r="AF165" s="46"/>
      <c r="AG165" s="127"/>
      <c r="AH165" s="127"/>
      <c r="AI165" s="127"/>
      <c r="AJ165" s="127"/>
      <c r="AK165" s="46"/>
      <c r="AL165" s="46"/>
      <c r="AM165" s="46"/>
      <c r="AN165" s="46"/>
      <c r="AO165" s="46"/>
    </row>
    <row r="166">
      <c r="A166" s="17"/>
      <c r="B166" s="46"/>
      <c r="C166" s="46"/>
      <c r="D166" s="46"/>
      <c r="E166" s="17"/>
      <c r="F166" s="46"/>
      <c r="G166" s="46"/>
      <c r="H166" s="46"/>
      <c r="I166" s="17"/>
      <c r="J166" s="46"/>
      <c r="K166" s="46"/>
      <c r="L166" s="46"/>
      <c r="M166" s="17"/>
      <c r="N166" s="46"/>
      <c r="O166" s="46"/>
      <c r="P166" s="46"/>
      <c r="Q166" s="46"/>
      <c r="R166" s="46"/>
      <c r="S166" s="46"/>
      <c r="T166" s="46"/>
      <c r="U166" s="46"/>
      <c r="V166" s="46"/>
      <c r="W166" s="46"/>
      <c r="X166" s="46"/>
      <c r="Y166" s="46"/>
      <c r="Z166" s="46"/>
      <c r="AA166" s="46"/>
      <c r="AB166" s="46"/>
      <c r="AC166" s="46"/>
      <c r="AD166" s="46"/>
      <c r="AE166" s="46"/>
      <c r="AF166" s="46"/>
      <c r="AG166" s="127"/>
      <c r="AH166" s="127"/>
      <c r="AI166" s="127"/>
      <c r="AJ166" s="127"/>
      <c r="AK166" s="46"/>
      <c r="AL166" s="46"/>
      <c r="AM166" s="46"/>
      <c r="AN166" s="46"/>
      <c r="AO166" s="46"/>
    </row>
    <row r="167">
      <c r="A167" s="17"/>
      <c r="B167" s="46"/>
      <c r="C167" s="46"/>
      <c r="D167" s="46"/>
      <c r="E167" s="17"/>
      <c r="F167" s="46"/>
      <c r="G167" s="46"/>
      <c r="H167" s="46"/>
      <c r="I167" s="17"/>
      <c r="J167" s="46"/>
      <c r="K167" s="46"/>
      <c r="L167" s="46"/>
      <c r="M167" s="17"/>
      <c r="N167" s="46"/>
      <c r="O167" s="46"/>
      <c r="P167" s="46"/>
      <c r="Q167" s="46"/>
      <c r="R167" s="46"/>
      <c r="S167" s="46"/>
      <c r="T167" s="46"/>
      <c r="U167" s="46"/>
      <c r="V167" s="46"/>
      <c r="W167" s="46"/>
      <c r="X167" s="46"/>
      <c r="Y167" s="46"/>
      <c r="Z167" s="46"/>
      <c r="AA167" s="46"/>
      <c r="AB167" s="46"/>
      <c r="AC167" s="46"/>
      <c r="AD167" s="46"/>
      <c r="AE167" s="46"/>
      <c r="AF167" s="46"/>
      <c r="AG167" s="127"/>
      <c r="AH167" s="127"/>
      <c r="AI167" s="127"/>
      <c r="AJ167" s="127"/>
      <c r="AK167" s="46"/>
      <c r="AL167" s="46"/>
      <c r="AM167" s="46"/>
      <c r="AN167" s="46"/>
      <c r="AO167" s="46"/>
    </row>
    <row r="168">
      <c r="A168" s="17"/>
      <c r="B168" s="46"/>
      <c r="C168" s="46"/>
      <c r="D168" s="46"/>
      <c r="E168" s="17"/>
      <c r="F168" s="46"/>
      <c r="G168" s="46"/>
      <c r="H168" s="46"/>
      <c r="I168" s="17"/>
      <c r="J168" s="46"/>
      <c r="K168" s="46"/>
      <c r="L168" s="46"/>
      <c r="M168" s="17"/>
      <c r="N168" s="46"/>
      <c r="O168" s="46"/>
      <c r="P168" s="46"/>
      <c r="Q168" s="46"/>
      <c r="R168" s="46"/>
      <c r="S168" s="46"/>
      <c r="T168" s="46"/>
      <c r="U168" s="46"/>
      <c r="V168" s="46"/>
      <c r="W168" s="46"/>
      <c r="X168" s="46"/>
      <c r="Y168" s="46"/>
      <c r="Z168" s="46"/>
      <c r="AA168" s="46"/>
      <c r="AB168" s="46"/>
      <c r="AC168" s="46"/>
      <c r="AD168" s="46"/>
      <c r="AE168" s="46"/>
      <c r="AF168" s="46"/>
      <c r="AG168" s="127"/>
      <c r="AH168" s="127"/>
      <c r="AI168" s="127"/>
      <c r="AJ168" s="127"/>
      <c r="AK168" s="46"/>
      <c r="AL168" s="46"/>
      <c r="AM168" s="46"/>
      <c r="AN168" s="46"/>
      <c r="AO168" s="46"/>
    </row>
    <row r="169">
      <c r="A169" s="17"/>
      <c r="B169" s="46"/>
      <c r="C169" s="46"/>
      <c r="D169" s="46"/>
      <c r="E169" s="17"/>
      <c r="F169" s="46"/>
      <c r="G169" s="46"/>
      <c r="H169" s="46"/>
      <c r="I169" s="17"/>
      <c r="J169" s="46"/>
      <c r="K169" s="46"/>
      <c r="L169" s="46"/>
      <c r="M169" s="17"/>
      <c r="N169" s="46"/>
      <c r="O169" s="46"/>
      <c r="P169" s="46"/>
      <c r="Q169" s="46"/>
      <c r="R169" s="46"/>
      <c r="S169" s="46"/>
      <c r="T169" s="46"/>
      <c r="U169" s="46"/>
      <c r="V169" s="46"/>
      <c r="W169" s="46"/>
      <c r="X169" s="46"/>
      <c r="Y169" s="46"/>
      <c r="Z169" s="46"/>
      <c r="AA169" s="46"/>
      <c r="AB169" s="46"/>
      <c r="AC169" s="46"/>
      <c r="AD169" s="46"/>
      <c r="AE169" s="46"/>
      <c r="AF169" s="46"/>
      <c r="AG169" s="127"/>
      <c r="AH169" s="127"/>
      <c r="AI169" s="127"/>
      <c r="AJ169" s="127"/>
      <c r="AK169" s="46"/>
      <c r="AL169" s="46"/>
      <c r="AM169" s="46"/>
      <c r="AN169" s="46"/>
      <c r="AO169" s="46"/>
    </row>
    <row r="170">
      <c r="A170" s="17"/>
      <c r="B170" s="46"/>
      <c r="C170" s="46"/>
      <c r="D170" s="46"/>
      <c r="E170" s="17"/>
      <c r="F170" s="46"/>
      <c r="G170" s="46"/>
      <c r="H170" s="46"/>
      <c r="I170" s="17"/>
      <c r="J170" s="46"/>
      <c r="K170" s="46"/>
      <c r="L170" s="46"/>
      <c r="M170" s="17"/>
      <c r="N170" s="46"/>
      <c r="O170" s="46"/>
      <c r="P170" s="46"/>
      <c r="Q170" s="46"/>
      <c r="R170" s="46"/>
      <c r="S170" s="46"/>
      <c r="T170" s="46"/>
      <c r="U170" s="46"/>
      <c r="V170" s="46"/>
      <c r="W170" s="46"/>
      <c r="X170" s="46"/>
      <c r="Y170" s="46"/>
      <c r="Z170" s="46"/>
      <c r="AA170" s="46"/>
      <c r="AB170" s="46"/>
      <c r="AC170" s="46"/>
      <c r="AD170" s="46"/>
      <c r="AE170" s="46"/>
      <c r="AF170" s="46"/>
      <c r="AG170" s="127"/>
      <c r="AH170" s="127"/>
      <c r="AI170" s="127"/>
      <c r="AJ170" s="127"/>
      <c r="AK170" s="46"/>
      <c r="AL170" s="46"/>
      <c r="AM170" s="46"/>
      <c r="AN170" s="46"/>
      <c r="AO170" s="46"/>
    </row>
    <row r="171">
      <c r="A171" s="17"/>
      <c r="B171" s="46"/>
      <c r="C171" s="46"/>
      <c r="D171" s="46"/>
      <c r="E171" s="17"/>
      <c r="F171" s="46"/>
      <c r="G171" s="46"/>
      <c r="H171" s="46"/>
      <c r="I171" s="17"/>
      <c r="J171" s="46"/>
      <c r="K171" s="46"/>
      <c r="L171" s="46"/>
      <c r="M171" s="17"/>
      <c r="N171" s="46"/>
      <c r="O171" s="46"/>
      <c r="P171" s="46"/>
      <c r="Q171" s="46"/>
      <c r="R171" s="46"/>
      <c r="S171" s="46"/>
      <c r="T171" s="46"/>
      <c r="U171" s="46"/>
      <c r="V171" s="46"/>
      <c r="W171" s="46"/>
      <c r="X171" s="46"/>
      <c r="Y171" s="46"/>
      <c r="Z171" s="46"/>
      <c r="AA171" s="46"/>
      <c r="AB171" s="46"/>
      <c r="AC171" s="46"/>
      <c r="AD171" s="46"/>
      <c r="AE171" s="46"/>
      <c r="AF171" s="46"/>
      <c r="AG171" s="127"/>
      <c r="AH171" s="127"/>
      <c r="AI171" s="127"/>
      <c r="AJ171" s="127"/>
      <c r="AK171" s="46"/>
      <c r="AL171" s="46"/>
      <c r="AM171" s="46"/>
      <c r="AN171" s="46"/>
      <c r="AO171" s="46"/>
    </row>
    <row r="172">
      <c r="A172" s="17"/>
      <c r="B172" s="46"/>
      <c r="C172" s="46"/>
      <c r="D172" s="46"/>
      <c r="E172" s="17"/>
      <c r="F172" s="46"/>
      <c r="G172" s="46"/>
      <c r="H172" s="46"/>
      <c r="I172" s="17"/>
      <c r="J172" s="46"/>
      <c r="K172" s="46"/>
      <c r="L172" s="46"/>
      <c r="M172" s="17"/>
      <c r="N172" s="46"/>
      <c r="O172" s="46"/>
      <c r="P172" s="46"/>
      <c r="Q172" s="46"/>
      <c r="R172" s="46"/>
      <c r="S172" s="46"/>
      <c r="T172" s="46"/>
      <c r="U172" s="46"/>
      <c r="V172" s="46"/>
      <c r="W172" s="46"/>
      <c r="X172" s="46"/>
      <c r="Y172" s="46"/>
      <c r="Z172" s="46"/>
      <c r="AA172" s="46"/>
      <c r="AB172" s="46"/>
      <c r="AC172" s="46"/>
      <c r="AD172" s="46"/>
      <c r="AE172" s="46"/>
      <c r="AF172" s="46"/>
      <c r="AG172" s="127"/>
      <c r="AH172" s="127"/>
      <c r="AI172" s="127"/>
      <c r="AJ172" s="127"/>
      <c r="AK172" s="46"/>
      <c r="AL172" s="46"/>
      <c r="AM172" s="46"/>
      <c r="AN172" s="46"/>
      <c r="AO172" s="46"/>
    </row>
    <row r="173">
      <c r="A173" s="17"/>
      <c r="B173" s="46"/>
      <c r="C173" s="46"/>
      <c r="D173" s="46"/>
      <c r="E173" s="17"/>
      <c r="F173" s="46"/>
      <c r="G173" s="46"/>
      <c r="H173" s="46"/>
      <c r="I173" s="17"/>
      <c r="J173" s="46"/>
      <c r="K173" s="46"/>
      <c r="L173" s="46"/>
      <c r="M173" s="17"/>
      <c r="N173" s="46"/>
      <c r="O173" s="46"/>
      <c r="P173" s="46"/>
      <c r="Q173" s="46"/>
      <c r="R173" s="46"/>
      <c r="S173" s="46"/>
      <c r="T173" s="46"/>
      <c r="U173" s="46"/>
      <c r="V173" s="46"/>
      <c r="W173" s="46"/>
      <c r="X173" s="46"/>
      <c r="Y173" s="46"/>
      <c r="Z173" s="46"/>
      <c r="AA173" s="46"/>
      <c r="AB173" s="46"/>
      <c r="AC173" s="46"/>
      <c r="AD173" s="46"/>
      <c r="AE173" s="46"/>
      <c r="AF173" s="46"/>
      <c r="AG173" s="127"/>
      <c r="AH173" s="127"/>
      <c r="AI173" s="127"/>
      <c r="AJ173" s="127"/>
      <c r="AK173" s="46"/>
      <c r="AL173" s="46"/>
      <c r="AM173" s="46"/>
      <c r="AN173" s="46"/>
      <c r="AO173" s="46"/>
    </row>
    <row r="174">
      <c r="A174" s="17"/>
      <c r="B174" s="46"/>
      <c r="C174" s="46"/>
      <c r="D174" s="46"/>
      <c r="E174" s="17"/>
      <c r="F174" s="46"/>
      <c r="G174" s="46"/>
      <c r="H174" s="46"/>
      <c r="I174" s="17"/>
      <c r="J174" s="46"/>
      <c r="K174" s="46"/>
      <c r="L174" s="46"/>
      <c r="M174" s="17"/>
      <c r="N174" s="46"/>
      <c r="O174" s="46"/>
      <c r="P174" s="46"/>
      <c r="Q174" s="46"/>
      <c r="R174" s="46"/>
      <c r="S174" s="46"/>
      <c r="T174" s="46"/>
      <c r="U174" s="46"/>
      <c r="V174" s="46"/>
      <c r="W174" s="46"/>
      <c r="X174" s="46"/>
      <c r="Y174" s="46"/>
      <c r="Z174" s="46"/>
      <c r="AA174" s="46"/>
      <c r="AB174" s="46"/>
      <c r="AC174" s="46"/>
      <c r="AD174" s="46"/>
      <c r="AE174" s="46"/>
      <c r="AF174" s="46"/>
      <c r="AG174" s="127"/>
      <c r="AH174" s="127"/>
      <c r="AI174" s="127"/>
      <c r="AJ174" s="127"/>
      <c r="AK174" s="46"/>
      <c r="AL174" s="46"/>
      <c r="AM174" s="46"/>
      <c r="AN174" s="46"/>
      <c r="AO174" s="46"/>
    </row>
    <row r="175">
      <c r="A175" s="17"/>
      <c r="B175" s="46"/>
      <c r="C175" s="46"/>
      <c r="D175" s="46"/>
      <c r="E175" s="17"/>
      <c r="F175" s="46"/>
      <c r="G175" s="46"/>
      <c r="H175" s="46"/>
      <c r="I175" s="17"/>
      <c r="J175" s="46"/>
      <c r="K175" s="46"/>
      <c r="L175" s="46"/>
      <c r="M175" s="17"/>
      <c r="N175" s="46"/>
      <c r="O175" s="46"/>
      <c r="P175" s="46"/>
      <c r="Q175" s="46"/>
      <c r="R175" s="46"/>
      <c r="S175" s="46"/>
      <c r="T175" s="46"/>
      <c r="U175" s="46"/>
      <c r="V175" s="46"/>
      <c r="W175" s="46"/>
      <c r="X175" s="46"/>
      <c r="Y175" s="46"/>
      <c r="Z175" s="46"/>
      <c r="AA175" s="46"/>
      <c r="AB175" s="46"/>
      <c r="AC175" s="46"/>
      <c r="AD175" s="46"/>
      <c r="AE175" s="46"/>
      <c r="AF175" s="46"/>
      <c r="AG175" s="127"/>
      <c r="AH175" s="127"/>
      <c r="AI175" s="127"/>
      <c r="AJ175" s="127"/>
      <c r="AK175" s="46"/>
      <c r="AL175" s="46"/>
      <c r="AM175" s="46"/>
      <c r="AN175" s="46"/>
      <c r="AO175" s="46"/>
    </row>
    <row r="176">
      <c r="A176" s="17"/>
      <c r="B176" s="46"/>
      <c r="C176" s="46"/>
      <c r="D176" s="46"/>
      <c r="E176" s="17"/>
      <c r="F176" s="46"/>
      <c r="G176" s="46"/>
      <c r="H176" s="46"/>
      <c r="I176" s="17"/>
      <c r="J176" s="46"/>
      <c r="K176" s="46"/>
      <c r="L176" s="46"/>
      <c r="M176" s="17"/>
      <c r="N176" s="46"/>
      <c r="O176" s="46"/>
      <c r="P176" s="46"/>
      <c r="Q176" s="46"/>
      <c r="R176" s="46"/>
      <c r="S176" s="46"/>
      <c r="T176" s="46"/>
      <c r="U176" s="46"/>
      <c r="V176" s="46"/>
      <c r="W176" s="46"/>
      <c r="X176" s="46"/>
      <c r="Y176" s="46"/>
      <c r="Z176" s="46"/>
      <c r="AA176" s="46"/>
      <c r="AB176" s="46"/>
      <c r="AC176" s="46"/>
      <c r="AD176" s="46"/>
      <c r="AE176" s="46"/>
      <c r="AF176" s="46"/>
      <c r="AG176" s="127"/>
      <c r="AH176" s="127"/>
      <c r="AI176" s="127"/>
      <c r="AJ176" s="127"/>
      <c r="AK176" s="46"/>
      <c r="AL176" s="46"/>
      <c r="AM176" s="46"/>
      <c r="AN176" s="46"/>
      <c r="AO176" s="46"/>
    </row>
    <row r="177">
      <c r="A177" s="17"/>
      <c r="B177" s="46"/>
      <c r="C177" s="46"/>
      <c r="D177" s="46"/>
      <c r="E177" s="17"/>
      <c r="F177" s="46"/>
      <c r="G177" s="46"/>
      <c r="H177" s="46"/>
      <c r="I177" s="17"/>
      <c r="J177" s="46"/>
      <c r="K177" s="46"/>
      <c r="L177" s="46"/>
      <c r="M177" s="17"/>
      <c r="N177" s="46"/>
      <c r="O177" s="46"/>
      <c r="P177" s="46"/>
      <c r="Q177" s="46"/>
      <c r="R177" s="46"/>
      <c r="S177" s="46"/>
      <c r="T177" s="46"/>
      <c r="U177" s="46"/>
      <c r="V177" s="46"/>
      <c r="W177" s="46"/>
      <c r="X177" s="46"/>
      <c r="Y177" s="46"/>
      <c r="Z177" s="46"/>
      <c r="AA177" s="46"/>
      <c r="AB177" s="46"/>
      <c r="AC177" s="46"/>
      <c r="AD177" s="46"/>
      <c r="AE177" s="46"/>
      <c r="AF177" s="46"/>
      <c r="AG177" s="127"/>
      <c r="AH177" s="127"/>
      <c r="AI177" s="127"/>
      <c r="AJ177" s="127"/>
      <c r="AK177" s="46"/>
      <c r="AL177" s="46"/>
      <c r="AM177" s="46"/>
      <c r="AN177" s="46"/>
      <c r="AO177" s="46"/>
    </row>
    <row r="178">
      <c r="A178" s="17"/>
      <c r="B178" s="46"/>
      <c r="C178" s="46"/>
      <c r="D178" s="46"/>
      <c r="E178" s="17"/>
      <c r="F178" s="46"/>
      <c r="G178" s="46"/>
      <c r="H178" s="46"/>
      <c r="I178" s="17"/>
      <c r="J178" s="46"/>
      <c r="K178" s="46"/>
      <c r="L178" s="46"/>
      <c r="M178" s="17"/>
      <c r="N178" s="46"/>
      <c r="O178" s="46"/>
      <c r="P178" s="46"/>
      <c r="Q178" s="46"/>
      <c r="R178" s="46"/>
      <c r="S178" s="46"/>
      <c r="T178" s="46"/>
      <c r="U178" s="46"/>
      <c r="V178" s="46"/>
      <c r="W178" s="46"/>
      <c r="X178" s="46"/>
      <c r="Y178" s="46"/>
      <c r="Z178" s="46"/>
      <c r="AA178" s="46"/>
      <c r="AB178" s="46"/>
      <c r="AC178" s="46"/>
      <c r="AD178" s="46"/>
      <c r="AE178" s="46"/>
      <c r="AF178" s="46"/>
      <c r="AG178" s="127"/>
      <c r="AH178" s="127"/>
      <c r="AI178" s="127"/>
      <c r="AJ178" s="127"/>
      <c r="AK178" s="46"/>
      <c r="AL178" s="46"/>
      <c r="AM178" s="46"/>
      <c r="AN178" s="46"/>
      <c r="AO178" s="46"/>
    </row>
    <row r="179">
      <c r="A179" s="17"/>
      <c r="B179" s="46"/>
      <c r="C179" s="46"/>
      <c r="D179" s="46"/>
      <c r="E179" s="17"/>
      <c r="F179" s="46"/>
      <c r="G179" s="46"/>
      <c r="H179" s="46"/>
      <c r="I179" s="17"/>
      <c r="J179" s="46"/>
      <c r="K179" s="46"/>
      <c r="L179" s="46"/>
      <c r="M179" s="17"/>
      <c r="N179" s="46"/>
      <c r="O179" s="46"/>
      <c r="P179" s="46"/>
      <c r="Q179" s="46"/>
      <c r="R179" s="46"/>
      <c r="S179" s="46"/>
      <c r="T179" s="46"/>
      <c r="U179" s="46"/>
      <c r="V179" s="46"/>
      <c r="W179" s="46"/>
      <c r="X179" s="46"/>
      <c r="Y179" s="46"/>
      <c r="Z179" s="46"/>
      <c r="AA179" s="46"/>
      <c r="AB179" s="46"/>
      <c r="AC179" s="46"/>
      <c r="AD179" s="46"/>
      <c r="AE179" s="46"/>
      <c r="AF179" s="46"/>
      <c r="AG179" s="127"/>
      <c r="AH179" s="127"/>
      <c r="AI179" s="127"/>
      <c r="AJ179" s="127"/>
      <c r="AK179" s="46"/>
      <c r="AL179" s="46"/>
      <c r="AM179" s="46"/>
      <c r="AN179" s="46"/>
      <c r="AO179" s="46"/>
    </row>
    <row r="180">
      <c r="A180" s="17"/>
      <c r="B180" s="46"/>
      <c r="C180" s="46"/>
      <c r="D180" s="46"/>
      <c r="E180" s="17"/>
      <c r="F180" s="46"/>
      <c r="G180" s="46"/>
      <c r="H180" s="46"/>
      <c r="I180" s="17"/>
      <c r="J180" s="46"/>
      <c r="K180" s="46"/>
      <c r="L180" s="46"/>
      <c r="M180" s="17"/>
      <c r="N180" s="46"/>
      <c r="O180" s="46"/>
      <c r="P180" s="46"/>
      <c r="Q180" s="46"/>
      <c r="R180" s="46"/>
      <c r="S180" s="46"/>
      <c r="T180" s="46"/>
      <c r="U180" s="46"/>
      <c r="V180" s="46"/>
      <c r="W180" s="46"/>
      <c r="X180" s="46"/>
      <c r="Y180" s="46"/>
      <c r="Z180" s="46"/>
      <c r="AA180" s="46"/>
      <c r="AB180" s="46"/>
      <c r="AC180" s="46"/>
      <c r="AD180" s="46"/>
      <c r="AE180" s="46"/>
      <c r="AF180" s="46"/>
      <c r="AG180" s="127"/>
      <c r="AH180" s="127"/>
      <c r="AI180" s="127"/>
      <c r="AJ180" s="127"/>
      <c r="AK180" s="46"/>
      <c r="AL180" s="46"/>
      <c r="AM180" s="46"/>
      <c r="AN180" s="46"/>
      <c r="AO180" s="46"/>
    </row>
    <row r="181">
      <c r="A181" s="17"/>
      <c r="B181" s="46"/>
      <c r="C181" s="46"/>
      <c r="D181" s="46"/>
      <c r="E181" s="17"/>
      <c r="F181" s="46"/>
      <c r="G181" s="46"/>
      <c r="H181" s="46"/>
      <c r="I181" s="17"/>
      <c r="J181" s="46"/>
      <c r="K181" s="46"/>
      <c r="L181" s="46"/>
      <c r="M181" s="17"/>
      <c r="N181" s="46"/>
      <c r="O181" s="46"/>
      <c r="P181" s="46"/>
      <c r="Q181" s="46"/>
      <c r="R181" s="46"/>
      <c r="S181" s="46"/>
      <c r="T181" s="46"/>
      <c r="U181" s="46"/>
      <c r="V181" s="46"/>
      <c r="W181" s="46"/>
      <c r="X181" s="46"/>
      <c r="Y181" s="46"/>
      <c r="Z181" s="46"/>
      <c r="AA181" s="46"/>
      <c r="AB181" s="46"/>
      <c r="AC181" s="46"/>
      <c r="AD181" s="46"/>
      <c r="AE181" s="46"/>
      <c r="AF181" s="46"/>
      <c r="AG181" s="127"/>
      <c r="AH181" s="127"/>
      <c r="AI181" s="127"/>
      <c r="AJ181" s="127"/>
      <c r="AK181" s="46"/>
      <c r="AL181" s="46"/>
      <c r="AM181" s="46"/>
      <c r="AN181" s="46"/>
      <c r="AO181" s="46"/>
    </row>
    <row r="182">
      <c r="A182" s="17"/>
      <c r="B182" s="46"/>
      <c r="C182" s="46"/>
      <c r="D182" s="46"/>
      <c r="E182" s="17"/>
      <c r="F182" s="46"/>
      <c r="G182" s="46"/>
      <c r="H182" s="46"/>
      <c r="I182" s="17"/>
      <c r="J182" s="46"/>
      <c r="K182" s="46"/>
      <c r="L182" s="46"/>
      <c r="M182" s="17"/>
      <c r="N182" s="46"/>
      <c r="O182" s="46"/>
      <c r="P182" s="46"/>
      <c r="Q182" s="46"/>
      <c r="R182" s="46"/>
      <c r="S182" s="46"/>
      <c r="T182" s="46"/>
      <c r="U182" s="46"/>
      <c r="V182" s="46"/>
      <c r="W182" s="46"/>
      <c r="X182" s="46"/>
      <c r="Y182" s="46"/>
      <c r="Z182" s="46"/>
      <c r="AA182" s="46"/>
      <c r="AB182" s="46"/>
      <c r="AC182" s="46"/>
      <c r="AD182" s="46"/>
      <c r="AE182" s="46"/>
      <c r="AF182" s="46"/>
      <c r="AG182" s="127"/>
      <c r="AH182" s="127"/>
      <c r="AI182" s="127"/>
      <c r="AJ182" s="127"/>
      <c r="AK182" s="46"/>
      <c r="AL182" s="46"/>
      <c r="AM182" s="46"/>
      <c r="AN182" s="46"/>
      <c r="AO182" s="46"/>
    </row>
    <row r="183">
      <c r="A183" s="17"/>
      <c r="B183" s="46"/>
      <c r="C183" s="46"/>
      <c r="D183" s="46"/>
      <c r="E183" s="17"/>
      <c r="F183" s="46"/>
      <c r="G183" s="46"/>
      <c r="H183" s="46"/>
      <c r="I183" s="17"/>
      <c r="J183" s="46"/>
      <c r="K183" s="46"/>
      <c r="L183" s="46"/>
      <c r="M183" s="17"/>
      <c r="N183" s="46"/>
      <c r="O183" s="46"/>
      <c r="P183" s="46"/>
      <c r="Q183" s="46"/>
      <c r="R183" s="46"/>
      <c r="S183" s="46"/>
      <c r="T183" s="46"/>
      <c r="U183" s="46"/>
      <c r="V183" s="46"/>
      <c r="W183" s="46"/>
      <c r="X183" s="46"/>
      <c r="Y183" s="46"/>
      <c r="Z183" s="46"/>
      <c r="AA183" s="46"/>
      <c r="AB183" s="46"/>
      <c r="AC183" s="46"/>
      <c r="AD183" s="46"/>
      <c r="AE183" s="46"/>
      <c r="AF183" s="46"/>
      <c r="AG183" s="127"/>
      <c r="AH183" s="127"/>
      <c r="AI183" s="127"/>
      <c r="AJ183" s="127"/>
      <c r="AK183" s="46"/>
      <c r="AL183" s="46"/>
      <c r="AM183" s="46"/>
      <c r="AN183" s="46"/>
      <c r="AO183" s="46"/>
    </row>
    <row r="184">
      <c r="A184" s="17"/>
      <c r="B184" s="46"/>
      <c r="C184" s="46"/>
      <c r="D184" s="46"/>
      <c r="E184" s="17"/>
      <c r="F184" s="46"/>
      <c r="G184" s="46"/>
      <c r="H184" s="46"/>
      <c r="I184" s="17"/>
      <c r="J184" s="46"/>
      <c r="K184" s="46"/>
      <c r="L184" s="46"/>
      <c r="M184" s="17"/>
      <c r="N184" s="46"/>
      <c r="O184" s="46"/>
      <c r="P184" s="46"/>
      <c r="Q184" s="46"/>
      <c r="R184" s="46"/>
      <c r="S184" s="46"/>
      <c r="T184" s="46"/>
      <c r="U184" s="46"/>
      <c r="V184" s="46"/>
      <c r="W184" s="46"/>
      <c r="X184" s="46"/>
      <c r="Y184" s="46"/>
      <c r="Z184" s="46"/>
      <c r="AA184" s="46"/>
      <c r="AB184" s="46"/>
      <c r="AC184" s="46"/>
      <c r="AD184" s="46"/>
      <c r="AE184" s="46"/>
      <c r="AF184" s="46"/>
      <c r="AG184" s="127"/>
      <c r="AH184" s="127"/>
      <c r="AI184" s="127"/>
      <c r="AJ184" s="127"/>
      <c r="AK184" s="46"/>
      <c r="AL184" s="46"/>
      <c r="AM184" s="46"/>
      <c r="AN184" s="46"/>
      <c r="AO184" s="46"/>
    </row>
    <row r="185">
      <c r="A185" s="17"/>
      <c r="B185" s="46"/>
      <c r="C185" s="46"/>
      <c r="D185" s="46"/>
      <c r="E185" s="17"/>
      <c r="F185" s="46"/>
      <c r="G185" s="46"/>
      <c r="H185" s="46"/>
      <c r="I185" s="17"/>
      <c r="J185" s="46"/>
      <c r="K185" s="46"/>
      <c r="L185" s="46"/>
      <c r="M185" s="17"/>
      <c r="N185" s="46"/>
      <c r="O185" s="46"/>
      <c r="P185" s="46"/>
      <c r="Q185" s="46"/>
      <c r="R185" s="46"/>
      <c r="S185" s="46"/>
      <c r="T185" s="46"/>
      <c r="U185" s="46"/>
      <c r="V185" s="46"/>
      <c r="W185" s="46"/>
      <c r="X185" s="46"/>
      <c r="Y185" s="46"/>
      <c r="Z185" s="46"/>
      <c r="AA185" s="46"/>
      <c r="AB185" s="46"/>
      <c r="AC185" s="46"/>
      <c r="AD185" s="46"/>
      <c r="AE185" s="46"/>
      <c r="AF185" s="46"/>
      <c r="AG185" s="127"/>
      <c r="AH185" s="127"/>
      <c r="AI185" s="127"/>
      <c r="AJ185" s="127"/>
      <c r="AK185" s="46"/>
      <c r="AL185" s="46"/>
      <c r="AM185" s="46"/>
      <c r="AN185" s="46"/>
      <c r="AO185" s="46"/>
    </row>
    <row r="186">
      <c r="A186" s="17"/>
      <c r="B186" s="46"/>
      <c r="C186" s="46"/>
      <c r="D186" s="46"/>
      <c r="E186" s="17"/>
      <c r="F186" s="46"/>
      <c r="G186" s="46"/>
      <c r="H186" s="46"/>
      <c r="I186" s="17"/>
      <c r="J186" s="46"/>
      <c r="K186" s="46"/>
      <c r="L186" s="46"/>
      <c r="M186" s="17"/>
      <c r="N186" s="46"/>
      <c r="O186" s="46"/>
      <c r="P186" s="46"/>
      <c r="Q186" s="46"/>
      <c r="R186" s="46"/>
      <c r="S186" s="46"/>
      <c r="T186" s="46"/>
      <c r="U186" s="46"/>
      <c r="V186" s="46"/>
      <c r="W186" s="46"/>
      <c r="X186" s="46"/>
      <c r="Y186" s="46"/>
      <c r="Z186" s="46"/>
      <c r="AA186" s="46"/>
      <c r="AB186" s="46"/>
      <c r="AC186" s="46"/>
      <c r="AD186" s="46"/>
      <c r="AE186" s="46"/>
      <c r="AF186" s="46"/>
      <c r="AG186" s="127"/>
      <c r="AH186" s="127"/>
      <c r="AI186" s="127"/>
      <c r="AJ186" s="127"/>
      <c r="AK186" s="46"/>
      <c r="AL186" s="46"/>
      <c r="AM186" s="46"/>
      <c r="AN186" s="46"/>
      <c r="AO186" s="46"/>
    </row>
    <row r="187">
      <c r="A187" s="17"/>
      <c r="B187" s="46"/>
      <c r="C187" s="46"/>
      <c r="D187" s="46"/>
      <c r="E187" s="17"/>
      <c r="F187" s="46"/>
      <c r="G187" s="46"/>
      <c r="H187" s="46"/>
      <c r="I187" s="17"/>
      <c r="J187" s="46"/>
      <c r="K187" s="46"/>
      <c r="L187" s="46"/>
      <c r="M187" s="17"/>
      <c r="N187" s="46"/>
      <c r="O187" s="46"/>
      <c r="P187" s="46"/>
      <c r="Q187" s="46"/>
      <c r="R187" s="46"/>
      <c r="S187" s="46"/>
      <c r="T187" s="46"/>
      <c r="U187" s="46"/>
      <c r="V187" s="46"/>
      <c r="W187" s="46"/>
      <c r="X187" s="46"/>
      <c r="Y187" s="46"/>
      <c r="Z187" s="46"/>
      <c r="AA187" s="46"/>
      <c r="AB187" s="46"/>
      <c r="AC187" s="46"/>
      <c r="AD187" s="46"/>
      <c r="AE187" s="46"/>
      <c r="AF187" s="46"/>
      <c r="AG187" s="127"/>
      <c r="AH187" s="127"/>
      <c r="AI187" s="127"/>
      <c r="AJ187" s="127"/>
      <c r="AK187" s="46"/>
      <c r="AL187" s="46"/>
      <c r="AM187" s="46"/>
      <c r="AN187" s="46"/>
      <c r="AO187" s="46"/>
    </row>
    <row r="188">
      <c r="A188" s="17"/>
      <c r="B188" s="46"/>
      <c r="C188" s="46"/>
      <c r="D188" s="46"/>
      <c r="E188" s="17"/>
      <c r="F188" s="46"/>
      <c r="G188" s="46"/>
      <c r="H188" s="46"/>
      <c r="I188" s="17"/>
      <c r="J188" s="46"/>
      <c r="K188" s="46"/>
      <c r="L188" s="46"/>
      <c r="M188" s="17"/>
      <c r="N188" s="46"/>
      <c r="O188" s="46"/>
      <c r="P188" s="46"/>
      <c r="Q188" s="46"/>
      <c r="R188" s="46"/>
      <c r="S188" s="46"/>
      <c r="T188" s="46"/>
      <c r="U188" s="46"/>
      <c r="V188" s="46"/>
      <c r="W188" s="46"/>
      <c r="X188" s="46"/>
      <c r="Y188" s="46"/>
      <c r="Z188" s="46"/>
      <c r="AA188" s="46"/>
      <c r="AB188" s="46"/>
      <c r="AC188" s="46"/>
      <c r="AD188" s="46"/>
      <c r="AE188" s="46"/>
      <c r="AF188" s="46"/>
      <c r="AG188" s="127"/>
      <c r="AH188" s="127"/>
      <c r="AI188" s="127"/>
      <c r="AJ188" s="127"/>
      <c r="AK188" s="46"/>
      <c r="AL188" s="46"/>
      <c r="AM188" s="46"/>
      <c r="AN188" s="46"/>
      <c r="AO188" s="46"/>
    </row>
    <row r="189">
      <c r="A189" s="17"/>
      <c r="B189" s="46"/>
      <c r="C189" s="46"/>
      <c r="D189" s="46"/>
      <c r="E189" s="17"/>
      <c r="F189" s="46"/>
      <c r="G189" s="46"/>
      <c r="H189" s="46"/>
      <c r="I189" s="17"/>
      <c r="J189" s="46"/>
      <c r="K189" s="46"/>
      <c r="L189" s="46"/>
      <c r="M189" s="17"/>
      <c r="N189" s="46"/>
      <c r="O189" s="46"/>
      <c r="P189" s="46"/>
      <c r="Q189" s="46"/>
      <c r="R189" s="46"/>
      <c r="S189" s="46"/>
      <c r="T189" s="46"/>
      <c r="U189" s="46"/>
      <c r="V189" s="46"/>
      <c r="W189" s="46"/>
      <c r="X189" s="46"/>
      <c r="Y189" s="46"/>
      <c r="Z189" s="46"/>
      <c r="AA189" s="46"/>
      <c r="AB189" s="46"/>
      <c r="AC189" s="46"/>
      <c r="AD189" s="46"/>
      <c r="AE189" s="46"/>
      <c r="AF189" s="46"/>
      <c r="AG189" s="127"/>
      <c r="AH189" s="127"/>
      <c r="AI189" s="127"/>
      <c r="AJ189" s="127"/>
      <c r="AK189" s="46"/>
      <c r="AL189" s="46"/>
      <c r="AM189" s="46"/>
      <c r="AN189" s="46"/>
      <c r="AO189" s="46"/>
    </row>
    <row r="190">
      <c r="A190" s="17"/>
      <c r="B190" s="46"/>
      <c r="C190" s="46"/>
      <c r="D190" s="46"/>
      <c r="E190" s="17"/>
      <c r="F190" s="46"/>
      <c r="G190" s="46"/>
      <c r="H190" s="46"/>
      <c r="I190" s="17"/>
      <c r="J190" s="46"/>
      <c r="K190" s="46"/>
      <c r="L190" s="46"/>
      <c r="M190" s="17"/>
      <c r="N190" s="46"/>
      <c r="O190" s="46"/>
      <c r="P190" s="46"/>
      <c r="Q190" s="46"/>
      <c r="R190" s="46"/>
      <c r="S190" s="46"/>
      <c r="T190" s="46"/>
      <c r="U190" s="46"/>
      <c r="V190" s="46"/>
      <c r="W190" s="46"/>
      <c r="X190" s="46"/>
      <c r="Y190" s="46"/>
      <c r="Z190" s="46"/>
      <c r="AA190" s="46"/>
      <c r="AB190" s="46"/>
      <c r="AC190" s="46"/>
      <c r="AD190" s="46"/>
      <c r="AE190" s="46"/>
      <c r="AF190" s="46"/>
      <c r="AG190" s="127"/>
      <c r="AH190" s="127"/>
      <c r="AI190" s="127"/>
      <c r="AJ190" s="127"/>
      <c r="AK190" s="46"/>
      <c r="AL190" s="46"/>
      <c r="AM190" s="46"/>
      <c r="AN190" s="46"/>
      <c r="AO190" s="46"/>
    </row>
    <row r="191">
      <c r="A191" s="17"/>
      <c r="B191" s="46"/>
      <c r="C191" s="46"/>
      <c r="D191" s="46"/>
      <c r="E191" s="17"/>
      <c r="F191" s="46"/>
      <c r="G191" s="46"/>
      <c r="H191" s="46"/>
      <c r="I191" s="17"/>
      <c r="J191" s="46"/>
      <c r="K191" s="46"/>
      <c r="L191" s="46"/>
      <c r="M191" s="17"/>
      <c r="N191" s="46"/>
      <c r="O191" s="46"/>
      <c r="P191" s="46"/>
      <c r="Q191" s="46"/>
      <c r="R191" s="46"/>
      <c r="S191" s="46"/>
      <c r="T191" s="46"/>
      <c r="U191" s="46"/>
      <c r="V191" s="46"/>
      <c r="W191" s="46"/>
      <c r="X191" s="46"/>
      <c r="Y191" s="46"/>
      <c r="Z191" s="46"/>
      <c r="AA191" s="46"/>
      <c r="AB191" s="46"/>
      <c r="AC191" s="46"/>
      <c r="AD191" s="46"/>
      <c r="AE191" s="46"/>
      <c r="AF191" s="46"/>
      <c r="AG191" s="127"/>
      <c r="AH191" s="127"/>
      <c r="AI191" s="127"/>
      <c r="AJ191" s="127"/>
      <c r="AK191" s="46"/>
      <c r="AL191" s="46"/>
      <c r="AM191" s="46"/>
      <c r="AN191" s="46"/>
      <c r="AO191" s="46"/>
    </row>
    <row r="192">
      <c r="A192" s="17"/>
      <c r="B192" s="46"/>
      <c r="C192" s="46"/>
      <c r="D192" s="46"/>
      <c r="E192" s="17"/>
      <c r="F192" s="46"/>
      <c r="G192" s="46"/>
      <c r="H192" s="46"/>
      <c r="I192" s="17"/>
      <c r="J192" s="46"/>
      <c r="K192" s="46"/>
      <c r="L192" s="46"/>
      <c r="M192" s="17"/>
      <c r="N192" s="46"/>
      <c r="O192" s="46"/>
      <c r="P192" s="46"/>
      <c r="Q192" s="46"/>
      <c r="R192" s="46"/>
      <c r="S192" s="46"/>
      <c r="T192" s="46"/>
      <c r="U192" s="46"/>
      <c r="V192" s="46"/>
      <c r="W192" s="46"/>
      <c r="X192" s="46"/>
      <c r="Y192" s="46"/>
      <c r="Z192" s="46"/>
      <c r="AA192" s="46"/>
      <c r="AB192" s="46"/>
      <c r="AC192" s="46"/>
      <c r="AD192" s="46"/>
      <c r="AE192" s="46"/>
      <c r="AF192" s="46"/>
      <c r="AG192" s="127"/>
      <c r="AH192" s="127"/>
      <c r="AI192" s="127"/>
      <c r="AJ192" s="127"/>
      <c r="AK192" s="46"/>
      <c r="AL192" s="46"/>
      <c r="AM192" s="46"/>
      <c r="AN192" s="46"/>
      <c r="AO192" s="46"/>
    </row>
    <row r="193">
      <c r="A193" s="17"/>
      <c r="B193" s="46"/>
      <c r="C193" s="46"/>
      <c r="D193" s="46"/>
      <c r="E193" s="17"/>
      <c r="F193" s="46"/>
      <c r="G193" s="46"/>
      <c r="H193" s="46"/>
      <c r="I193" s="17"/>
      <c r="J193" s="46"/>
      <c r="K193" s="46"/>
      <c r="L193" s="46"/>
      <c r="M193" s="17"/>
      <c r="N193" s="46"/>
      <c r="O193" s="46"/>
      <c r="P193" s="46"/>
      <c r="Q193" s="46"/>
      <c r="R193" s="46"/>
      <c r="S193" s="46"/>
      <c r="T193" s="46"/>
      <c r="U193" s="46"/>
      <c r="V193" s="46"/>
      <c r="W193" s="46"/>
      <c r="X193" s="46"/>
      <c r="Y193" s="46"/>
      <c r="Z193" s="46"/>
      <c r="AA193" s="46"/>
      <c r="AB193" s="46"/>
      <c r="AC193" s="46"/>
      <c r="AD193" s="46"/>
      <c r="AE193" s="46"/>
      <c r="AF193" s="46"/>
      <c r="AG193" s="127"/>
      <c r="AH193" s="127"/>
      <c r="AI193" s="127"/>
      <c r="AJ193" s="127"/>
      <c r="AK193" s="46"/>
      <c r="AL193" s="46"/>
      <c r="AM193" s="46"/>
      <c r="AN193" s="46"/>
      <c r="AO193" s="46"/>
    </row>
    <row r="194">
      <c r="A194" s="17"/>
      <c r="B194" s="46"/>
      <c r="C194" s="46"/>
      <c r="D194" s="46"/>
      <c r="E194" s="17"/>
      <c r="F194" s="46"/>
      <c r="G194" s="46"/>
      <c r="H194" s="46"/>
      <c r="I194" s="17"/>
      <c r="J194" s="46"/>
      <c r="K194" s="46"/>
      <c r="L194" s="46"/>
      <c r="M194" s="17"/>
      <c r="N194" s="46"/>
      <c r="O194" s="46"/>
      <c r="P194" s="46"/>
      <c r="Q194" s="46"/>
      <c r="R194" s="46"/>
      <c r="S194" s="46"/>
      <c r="T194" s="46"/>
      <c r="U194" s="46"/>
      <c r="V194" s="46"/>
      <c r="W194" s="46"/>
      <c r="X194" s="46"/>
      <c r="Y194" s="46"/>
      <c r="Z194" s="46"/>
      <c r="AA194" s="46"/>
      <c r="AB194" s="46"/>
      <c r="AC194" s="46"/>
      <c r="AD194" s="46"/>
      <c r="AE194" s="46"/>
      <c r="AF194" s="46"/>
      <c r="AG194" s="127"/>
      <c r="AH194" s="127"/>
      <c r="AI194" s="127"/>
      <c r="AJ194" s="127"/>
      <c r="AK194" s="46"/>
      <c r="AL194" s="46"/>
      <c r="AM194" s="46"/>
      <c r="AN194" s="46"/>
      <c r="AO194" s="46"/>
    </row>
    <row r="195">
      <c r="A195" s="17"/>
      <c r="B195" s="46"/>
      <c r="C195" s="46"/>
      <c r="D195" s="46"/>
      <c r="E195" s="17"/>
      <c r="F195" s="46"/>
      <c r="G195" s="46"/>
      <c r="H195" s="46"/>
      <c r="I195" s="17"/>
      <c r="J195" s="46"/>
      <c r="K195" s="46"/>
      <c r="L195" s="46"/>
      <c r="M195" s="17"/>
      <c r="N195" s="46"/>
      <c r="O195" s="46"/>
      <c r="P195" s="46"/>
      <c r="Q195" s="46"/>
      <c r="R195" s="46"/>
      <c r="S195" s="46"/>
      <c r="T195" s="46"/>
      <c r="U195" s="46"/>
      <c r="V195" s="46"/>
      <c r="W195" s="46"/>
      <c r="X195" s="46"/>
      <c r="Y195" s="46"/>
      <c r="Z195" s="46"/>
      <c r="AA195" s="46"/>
      <c r="AB195" s="46"/>
      <c r="AC195" s="46"/>
      <c r="AD195" s="46"/>
      <c r="AE195" s="46"/>
      <c r="AF195" s="46"/>
      <c r="AG195" s="127"/>
      <c r="AH195" s="127"/>
      <c r="AI195" s="127"/>
      <c r="AJ195" s="127"/>
      <c r="AK195" s="46"/>
      <c r="AL195" s="46"/>
      <c r="AM195" s="46"/>
      <c r="AN195" s="46"/>
      <c r="AO195" s="46"/>
    </row>
    <row r="196">
      <c r="A196" s="17"/>
      <c r="B196" s="46"/>
      <c r="C196" s="46"/>
      <c r="D196" s="46"/>
      <c r="E196" s="17"/>
      <c r="F196" s="46"/>
      <c r="G196" s="46"/>
      <c r="H196" s="46"/>
      <c r="I196" s="17"/>
      <c r="J196" s="46"/>
      <c r="K196" s="46"/>
      <c r="L196" s="46"/>
      <c r="M196" s="17"/>
      <c r="N196" s="46"/>
      <c r="O196" s="46"/>
      <c r="P196" s="46"/>
      <c r="Q196" s="46"/>
      <c r="R196" s="46"/>
      <c r="S196" s="46"/>
      <c r="T196" s="46"/>
      <c r="U196" s="46"/>
      <c r="V196" s="46"/>
      <c r="W196" s="46"/>
      <c r="X196" s="46"/>
      <c r="Y196" s="46"/>
      <c r="Z196" s="46"/>
      <c r="AA196" s="46"/>
      <c r="AB196" s="46"/>
      <c r="AC196" s="46"/>
      <c r="AD196" s="46"/>
      <c r="AE196" s="46"/>
      <c r="AF196" s="46"/>
      <c r="AG196" s="127"/>
      <c r="AH196" s="127"/>
      <c r="AI196" s="127"/>
      <c r="AJ196" s="127"/>
      <c r="AK196" s="46"/>
      <c r="AL196" s="46"/>
      <c r="AM196" s="46"/>
      <c r="AN196" s="46"/>
      <c r="AO196" s="46"/>
    </row>
    <row r="197">
      <c r="A197" s="17"/>
      <c r="B197" s="46"/>
      <c r="C197" s="46"/>
      <c r="D197" s="46"/>
      <c r="E197" s="17"/>
      <c r="F197" s="46"/>
      <c r="G197" s="46"/>
      <c r="H197" s="46"/>
      <c r="I197" s="17"/>
      <c r="J197" s="46"/>
      <c r="K197" s="46"/>
      <c r="L197" s="46"/>
      <c r="M197" s="17"/>
      <c r="N197" s="46"/>
      <c r="O197" s="46"/>
      <c r="P197" s="46"/>
      <c r="Q197" s="46"/>
      <c r="R197" s="46"/>
      <c r="S197" s="46"/>
      <c r="T197" s="46"/>
      <c r="U197" s="46"/>
      <c r="V197" s="46"/>
      <c r="W197" s="46"/>
      <c r="X197" s="46"/>
      <c r="Y197" s="46"/>
      <c r="Z197" s="46"/>
      <c r="AA197" s="46"/>
      <c r="AB197" s="46"/>
      <c r="AC197" s="46"/>
      <c r="AD197" s="46"/>
      <c r="AE197" s="46"/>
      <c r="AF197" s="46"/>
      <c r="AG197" s="127"/>
      <c r="AH197" s="127"/>
      <c r="AI197" s="127"/>
      <c r="AJ197" s="127"/>
      <c r="AK197" s="46"/>
      <c r="AL197" s="46"/>
      <c r="AM197" s="46"/>
      <c r="AN197" s="46"/>
      <c r="AO197" s="46"/>
    </row>
    <row r="198">
      <c r="A198" s="17"/>
      <c r="B198" s="46"/>
      <c r="C198" s="46"/>
      <c r="D198" s="46"/>
      <c r="E198" s="17"/>
      <c r="F198" s="46"/>
      <c r="G198" s="46"/>
      <c r="H198" s="46"/>
      <c r="I198" s="17"/>
      <c r="J198" s="46"/>
      <c r="K198" s="46"/>
      <c r="L198" s="46"/>
      <c r="M198" s="17"/>
      <c r="N198" s="46"/>
      <c r="O198" s="46"/>
      <c r="P198" s="46"/>
      <c r="Q198" s="46"/>
      <c r="R198" s="46"/>
      <c r="S198" s="46"/>
      <c r="T198" s="46"/>
      <c r="U198" s="46"/>
      <c r="V198" s="46"/>
      <c r="W198" s="46"/>
      <c r="X198" s="46"/>
      <c r="Y198" s="46"/>
      <c r="Z198" s="46"/>
      <c r="AA198" s="46"/>
      <c r="AB198" s="46"/>
      <c r="AC198" s="46"/>
      <c r="AD198" s="46"/>
      <c r="AE198" s="46"/>
      <c r="AF198" s="46"/>
      <c r="AG198" s="127"/>
      <c r="AH198" s="127"/>
      <c r="AI198" s="127"/>
      <c r="AJ198" s="127"/>
      <c r="AK198" s="46"/>
      <c r="AL198" s="46"/>
      <c r="AM198" s="46"/>
      <c r="AN198" s="46"/>
      <c r="AO198" s="46"/>
    </row>
    <row r="199">
      <c r="A199" s="17"/>
      <c r="B199" s="46"/>
      <c r="C199" s="46"/>
      <c r="D199" s="46"/>
      <c r="E199" s="17"/>
      <c r="F199" s="46"/>
      <c r="G199" s="46"/>
      <c r="H199" s="46"/>
      <c r="I199" s="17"/>
      <c r="J199" s="46"/>
      <c r="K199" s="46"/>
      <c r="L199" s="46"/>
      <c r="M199" s="17"/>
      <c r="N199" s="46"/>
      <c r="O199" s="46"/>
      <c r="P199" s="46"/>
      <c r="Q199" s="46"/>
      <c r="R199" s="46"/>
      <c r="S199" s="46"/>
      <c r="T199" s="46"/>
      <c r="U199" s="46"/>
      <c r="V199" s="46"/>
      <c r="W199" s="46"/>
      <c r="X199" s="46"/>
      <c r="Y199" s="46"/>
      <c r="Z199" s="46"/>
      <c r="AA199" s="46"/>
      <c r="AB199" s="46"/>
      <c r="AC199" s="46"/>
      <c r="AD199" s="46"/>
      <c r="AE199" s="46"/>
      <c r="AF199" s="46"/>
      <c r="AG199" s="127"/>
      <c r="AH199" s="127"/>
      <c r="AI199" s="127"/>
      <c r="AJ199" s="127"/>
      <c r="AK199" s="46"/>
      <c r="AL199" s="46"/>
      <c r="AM199" s="46"/>
      <c r="AN199" s="46"/>
      <c r="AO199" s="46"/>
    </row>
    <row r="200">
      <c r="A200" s="17"/>
      <c r="B200" s="46"/>
      <c r="C200" s="46"/>
      <c r="D200" s="46"/>
      <c r="E200" s="17"/>
      <c r="F200" s="46"/>
      <c r="G200" s="46"/>
      <c r="H200" s="46"/>
      <c r="I200" s="17"/>
      <c r="J200" s="46"/>
      <c r="K200" s="46"/>
      <c r="L200" s="46"/>
      <c r="M200" s="17"/>
      <c r="N200" s="46"/>
      <c r="O200" s="46"/>
      <c r="P200" s="46"/>
      <c r="Q200" s="46"/>
      <c r="R200" s="46"/>
      <c r="S200" s="46"/>
      <c r="T200" s="46"/>
      <c r="U200" s="46"/>
      <c r="V200" s="46"/>
      <c r="W200" s="46"/>
      <c r="X200" s="46"/>
      <c r="Y200" s="46"/>
      <c r="Z200" s="46"/>
      <c r="AA200" s="46"/>
      <c r="AB200" s="46"/>
      <c r="AC200" s="46"/>
      <c r="AD200" s="46"/>
      <c r="AE200" s="46"/>
      <c r="AF200" s="46"/>
      <c r="AG200" s="127"/>
      <c r="AH200" s="127"/>
      <c r="AI200" s="127"/>
      <c r="AJ200" s="127"/>
      <c r="AK200" s="46"/>
      <c r="AL200" s="46"/>
      <c r="AM200" s="46"/>
      <c r="AN200" s="46"/>
      <c r="AO200" s="46"/>
    </row>
    <row r="201">
      <c r="A201" s="17"/>
      <c r="B201" s="46"/>
      <c r="C201" s="46"/>
      <c r="D201" s="46"/>
      <c r="E201" s="17"/>
      <c r="F201" s="46"/>
      <c r="G201" s="46"/>
      <c r="H201" s="46"/>
      <c r="I201" s="17"/>
      <c r="J201" s="46"/>
      <c r="K201" s="46"/>
      <c r="L201" s="46"/>
      <c r="M201" s="17"/>
      <c r="N201" s="46"/>
      <c r="O201" s="46"/>
      <c r="P201" s="46"/>
      <c r="Q201" s="46"/>
      <c r="R201" s="46"/>
      <c r="S201" s="46"/>
      <c r="T201" s="46"/>
      <c r="U201" s="46"/>
      <c r="V201" s="46"/>
      <c r="W201" s="46"/>
      <c r="X201" s="46"/>
      <c r="Y201" s="46"/>
      <c r="Z201" s="46"/>
      <c r="AA201" s="46"/>
      <c r="AB201" s="46"/>
      <c r="AC201" s="46"/>
      <c r="AD201" s="46"/>
      <c r="AE201" s="46"/>
      <c r="AF201" s="46"/>
      <c r="AG201" s="127"/>
      <c r="AH201" s="127"/>
      <c r="AI201" s="127"/>
      <c r="AJ201" s="127"/>
      <c r="AK201" s="46"/>
      <c r="AL201" s="46"/>
      <c r="AM201" s="46"/>
      <c r="AN201" s="46"/>
      <c r="AO201" s="46"/>
    </row>
    <row r="202">
      <c r="A202" s="17"/>
      <c r="B202" s="46"/>
      <c r="C202" s="46"/>
      <c r="D202" s="46"/>
      <c r="E202" s="17"/>
      <c r="F202" s="46"/>
      <c r="G202" s="46"/>
      <c r="H202" s="46"/>
      <c r="I202" s="17"/>
      <c r="J202" s="46"/>
      <c r="K202" s="46"/>
      <c r="L202" s="46"/>
      <c r="M202" s="17"/>
      <c r="N202" s="46"/>
      <c r="O202" s="46"/>
      <c r="P202" s="46"/>
      <c r="Q202" s="46"/>
      <c r="R202" s="46"/>
      <c r="S202" s="46"/>
      <c r="T202" s="46"/>
      <c r="U202" s="46"/>
      <c r="V202" s="46"/>
      <c r="W202" s="46"/>
      <c r="X202" s="46"/>
      <c r="Y202" s="46"/>
      <c r="Z202" s="46"/>
      <c r="AA202" s="46"/>
      <c r="AB202" s="46"/>
      <c r="AC202" s="46"/>
      <c r="AD202" s="46"/>
      <c r="AE202" s="46"/>
      <c r="AF202" s="46"/>
      <c r="AG202" s="127"/>
      <c r="AH202" s="127"/>
      <c r="AI202" s="127"/>
      <c r="AJ202" s="127"/>
      <c r="AK202" s="46"/>
      <c r="AL202" s="46"/>
      <c r="AM202" s="46"/>
      <c r="AN202" s="46"/>
      <c r="AO202" s="46"/>
    </row>
    <row r="203">
      <c r="A203" s="17"/>
      <c r="B203" s="46"/>
      <c r="C203" s="46"/>
      <c r="D203" s="46"/>
      <c r="E203" s="17"/>
      <c r="F203" s="46"/>
      <c r="G203" s="46"/>
      <c r="H203" s="46"/>
      <c r="I203" s="17"/>
      <c r="J203" s="46"/>
      <c r="K203" s="46"/>
      <c r="L203" s="46"/>
      <c r="M203" s="17"/>
      <c r="N203" s="46"/>
      <c r="O203" s="46"/>
      <c r="P203" s="46"/>
      <c r="Q203" s="46"/>
      <c r="R203" s="46"/>
      <c r="S203" s="46"/>
      <c r="T203" s="46"/>
      <c r="U203" s="46"/>
      <c r="V203" s="46"/>
      <c r="W203" s="46"/>
      <c r="X203" s="46"/>
      <c r="Y203" s="46"/>
      <c r="Z203" s="46"/>
      <c r="AA203" s="46"/>
      <c r="AB203" s="46"/>
      <c r="AC203" s="46"/>
      <c r="AD203" s="46"/>
      <c r="AE203" s="46"/>
      <c r="AF203" s="46"/>
      <c r="AG203" s="127"/>
      <c r="AH203" s="127"/>
      <c r="AI203" s="127"/>
      <c r="AJ203" s="127"/>
      <c r="AK203" s="46"/>
      <c r="AL203" s="46"/>
      <c r="AM203" s="46"/>
      <c r="AN203" s="46"/>
      <c r="AO203" s="46"/>
    </row>
    <row r="204">
      <c r="A204" s="17"/>
      <c r="B204" s="46"/>
      <c r="C204" s="46"/>
      <c r="D204" s="46"/>
      <c r="E204" s="17"/>
      <c r="F204" s="46"/>
      <c r="G204" s="46"/>
      <c r="H204" s="46"/>
      <c r="I204" s="17"/>
      <c r="J204" s="46"/>
      <c r="K204" s="46"/>
      <c r="L204" s="46"/>
      <c r="M204" s="17"/>
      <c r="N204" s="46"/>
      <c r="O204" s="46"/>
      <c r="P204" s="46"/>
      <c r="Q204" s="46"/>
      <c r="R204" s="46"/>
      <c r="S204" s="46"/>
      <c r="T204" s="46"/>
      <c r="U204" s="46"/>
      <c r="V204" s="46"/>
      <c r="W204" s="46"/>
      <c r="X204" s="46"/>
      <c r="Y204" s="46"/>
      <c r="Z204" s="46"/>
      <c r="AA204" s="46"/>
      <c r="AB204" s="46"/>
      <c r="AC204" s="46"/>
      <c r="AD204" s="46"/>
      <c r="AE204" s="46"/>
      <c r="AF204" s="46"/>
      <c r="AG204" s="127"/>
      <c r="AH204" s="127"/>
      <c r="AI204" s="127"/>
      <c r="AJ204" s="127"/>
      <c r="AK204" s="46"/>
      <c r="AL204" s="46"/>
      <c r="AM204" s="46"/>
      <c r="AN204" s="46"/>
      <c r="AO204" s="46"/>
    </row>
    <row r="205">
      <c r="A205" s="17"/>
      <c r="B205" s="46"/>
      <c r="C205" s="46"/>
      <c r="D205" s="46"/>
      <c r="E205" s="17"/>
      <c r="F205" s="46"/>
      <c r="G205" s="46"/>
      <c r="H205" s="46"/>
      <c r="I205" s="17"/>
      <c r="J205" s="46"/>
      <c r="K205" s="46"/>
      <c r="L205" s="46"/>
      <c r="M205" s="17"/>
      <c r="N205" s="46"/>
      <c r="O205" s="46"/>
      <c r="P205" s="46"/>
      <c r="Q205" s="46"/>
      <c r="R205" s="46"/>
      <c r="S205" s="46"/>
      <c r="T205" s="46"/>
      <c r="U205" s="46"/>
      <c r="V205" s="46"/>
      <c r="W205" s="46"/>
      <c r="X205" s="46"/>
      <c r="Y205" s="46"/>
      <c r="Z205" s="46"/>
      <c r="AA205" s="46"/>
      <c r="AB205" s="46"/>
      <c r="AC205" s="46"/>
      <c r="AD205" s="46"/>
      <c r="AE205" s="46"/>
      <c r="AF205" s="46"/>
      <c r="AG205" s="127"/>
      <c r="AH205" s="127"/>
      <c r="AI205" s="127"/>
      <c r="AJ205" s="127"/>
      <c r="AK205" s="46"/>
      <c r="AL205" s="46"/>
      <c r="AM205" s="46"/>
      <c r="AN205" s="46"/>
      <c r="AO205" s="46"/>
    </row>
    <row r="206">
      <c r="A206" s="17"/>
      <c r="B206" s="46"/>
      <c r="C206" s="46"/>
      <c r="D206" s="46"/>
      <c r="E206" s="17"/>
      <c r="F206" s="46"/>
      <c r="G206" s="46"/>
      <c r="H206" s="46"/>
      <c r="I206" s="17"/>
      <c r="J206" s="46"/>
      <c r="K206" s="46"/>
      <c r="L206" s="46"/>
      <c r="M206" s="17"/>
      <c r="N206" s="46"/>
      <c r="O206" s="46"/>
      <c r="P206" s="46"/>
      <c r="Q206" s="46"/>
      <c r="R206" s="46"/>
      <c r="S206" s="46"/>
      <c r="T206" s="46"/>
      <c r="U206" s="46"/>
      <c r="V206" s="46"/>
      <c r="W206" s="46"/>
      <c r="X206" s="46"/>
      <c r="Y206" s="46"/>
      <c r="Z206" s="46"/>
      <c r="AA206" s="46"/>
      <c r="AB206" s="46"/>
      <c r="AC206" s="46"/>
      <c r="AD206" s="46"/>
      <c r="AE206" s="46"/>
      <c r="AF206" s="46"/>
      <c r="AG206" s="127"/>
      <c r="AH206" s="127"/>
      <c r="AI206" s="127"/>
      <c r="AJ206" s="127"/>
      <c r="AK206" s="46"/>
      <c r="AL206" s="46"/>
      <c r="AM206" s="46"/>
      <c r="AN206" s="46"/>
      <c r="AO206" s="46"/>
    </row>
    <row r="207">
      <c r="A207" s="17"/>
      <c r="B207" s="46"/>
      <c r="C207" s="46"/>
      <c r="D207" s="46"/>
      <c r="E207" s="17"/>
      <c r="F207" s="46"/>
      <c r="G207" s="46"/>
      <c r="H207" s="46"/>
      <c r="I207" s="17"/>
      <c r="J207" s="46"/>
      <c r="K207" s="46"/>
      <c r="L207" s="46"/>
      <c r="M207" s="17"/>
      <c r="N207" s="46"/>
      <c r="O207" s="46"/>
      <c r="P207" s="46"/>
      <c r="Q207" s="46"/>
      <c r="R207" s="46"/>
      <c r="S207" s="46"/>
      <c r="T207" s="46"/>
      <c r="U207" s="46"/>
      <c r="V207" s="46"/>
      <c r="W207" s="46"/>
      <c r="X207" s="46"/>
      <c r="Y207" s="46"/>
      <c r="Z207" s="46"/>
      <c r="AA207" s="46"/>
      <c r="AB207" s="46"/>
      <c r="AC207" s="46"/>
      <c r="AD207" s="46"/>
      <c r="AE207" s="46"/>
      <c r="AF207" s="46"/>
      <c r="AG207" s="127"/>
      <c r="AH207" s="127"/>
      <c r="AI207" s="127"/>
      <c r="AJ207" s="127"/>
      <c r="AK207" s="46"/>
      <c r="AL207" s="46"/>
      <c r="AM207" s="46"/>
      <c r="AN207" s="46"/>
      <c r="AO207" s="46"/>
    </row>
    <row r="208">
      <c r="A208" s="17"/>
      <c r="B208" s="46"/>
      <c r="C208" s="46"/>
      <c r="D208" s="46"/>
      <c r="E208" s="17"/>
      <c r="F208" s="46"/>
      <c r="G208" s="46"/>
      <c r="H208" s="46"/>
      <c r="I208" s="17"/>
      <c r="J208" s="46"/>
      <c r="K208" s="46"/>
      <c r="L208" s="46"/>
      <c r="M208" s="17"/>
      <c r="N208" s="46"/>
      <c r="O208" s="46"/>
      <c r="P208" s="46"/>
      <c r="Q208" s="46"/>
      <c r="R208" s="46"/>
      <c r="S208" s="46"/>
      <c r="T208" s="46"/>
      <c r="U208" s="46"/>
      <c r="V208" s="46"/>
      <c r="W208" s="46"/>
      <c r="X208" s="46"/>
      <c r="Y208" s="46"/>
      <c r="Z208" s="46"/>
      <c r="AA208" s="46"/>
      <c r="AB208" s="46"/>
      <c r="AC208" s="46"/>
      <c r="AD208" s="46"/>
      <c r="AE208" s="46"/>
      <c r="AF208" s="46"/>
      <c r="AG208" s="127"/>
      <c r="AH208" s="127"/>
      <c r="AI208" s="127"/>
      <c r="AJ208" s="127"/>
      <c r="AK208" s="46"/>
      <c r="AL208" s="46"/>
      <c r="AM208" s="46"/>
      <c r="AN208" s="46"/>
      <c r="AO208" s="46"/>
    </row>
    <row r="209">
      <c r="A209" s="17"/>
      <c r="B209" s="46"/>
      <c r="C209" s="46"/>
      <c r="D209" s="46"/>
      <c r="E209" s="17"/>
      <c r="F209" s="46"/>
      <c r="G209" s="46"/>
      <c r="H209" s="46"/>
      <c r="I209" s="17"/>
      <c r="J209" s="46"/>
      <c r="K209" s="46"/>
      <c r="L209" s="46"/>
      <c r="M209" s="17"/>
      <c r="N209" s="46"/>
      <c r="O209" s="46"/>
      <c r="P209" s="46"/>
      <c r="Q209" s="46"/>
      <c r="R209" s="46"/>
      <c r="S209" s="46"/>
      <c r="T209" s="46"/>
      <c r="U209" s="46"/>
      <c r="V209" s="46"/>
      <c r="W209" s="46"/>
      <c r="X209" s="46"/>
      <c r="Y209" s="46"/>
      <c r="Z209" s="46"/>
      <c r="AA209" s="46"/>
      <c r="AB209" s="46"/>
      <c r="AC209" s="46"/>
      <c r="AD209" s="46"/>
      <c r="AE209" s="46"/>
      <c r="AF209" s="46"/>
      <c r="AG209" s="127"/>
      <c r="AH209" s="127"/>
      <c r="AI209" s="127"/>
      <c r="AJ209" s="127"/>
      <c r="AK209" s="46"/>
      <c r="AL209" s="46"/>
      <c r="AM209" s="46"/>
      <c r="AN209" s="46"/>
      <c r="AO209" s="46"/>
    </row>
    <row r="210">
      <c r="A210" s="17"/>
      <c r="B210" s="46"/>
      <c r="C210" s="46"/>
      <c r="D210" s="46"/>
      <c r="E210" s="17"/>
      <c r="F210" s="46"/>
      <c r="G210" s="46"/>
      <c r="H210" s="46"/>
      <c r="I210" s="17"/>
      <c r="J210" s="46"/>
      <c r="K210" s="46"/>
      <c r="L210" s="46"/>
      <c r="M210" s="17"/>
      <c r="N210" s="46"/>
      <c r="O210" s="46"/>
      <c r="P210" s="46"/>
      <c r="Q210" s="46"/>
      <c r="R210" s="46"/>
      <c r="S210" s="46"/>
      <c r="T210" s="46"/>
      <c r="U210" s="46"/>
      <c r="V210" s="46"/>
      <c r="W210" s="46"/>
      <c r="X210" s="46"/>
      <c r="Y210" s="46"/>
      <c r="Z210" s="46"/>
      <c r="AA210" s="46"/>
      <c r="AB210" s="46"/>
      <c r="AC210" s="46"/>
      <c r="AD210" s="46"/>
      <c r="AE210" s="46"/>
      <c r="AF210" s="46"/>
      <c r="AG210" s="127"/>
      <c r="AH210" s="127"/>
      <c r="AI210" s="127"/>
      <c r="AJ210" s="127"/>
      <c r="AK210" s="46"/>
      <c r="AL210" s="46"/>
      <c r="AM210" s="46"/>
      <c r="AN210" s="46"/>
      <c r="AO210" s="46"/>
    </row>
    <row r="211">
      <c r="A211" s="17"/>
      <c r="B211" s="46"/>
      <c r="C211" s="46"/>
      <c r="D211" s="46"/>
      <c r="E211" s="17"/>
      <c r="F211" s="46"/>
      <c r="G211" s="46"/>
      <c r="H211" s="46"/>
      <c r="I211" s="17"/>
      <c r="J211" s="46"/>
      <c r="K211" s="46"/>
      <c r="L211" s="46"/>
      <c r="M211" s="17"/>
      <c r="N211" s="46"/>
      <c r="O211" s="46"/>
      <c r="P211" s="46"/>
      <c r="Q211" s="46"/>
      <c r="R211" s="46"/>
      <c r="S211" s="46"/>
      <c r="T211" s="46"/>
      <c r="U211" s="46"/>
      <c r="V211" s="46"/>
      <c r="W211" s="46"/>
      <c r="X211" s="46"/>
      <c r="Y211" s="46"/>
      <c r="Z211" s="46"/>
      <c r="AA211" s="46"/>
      <c r="AB211" s="46"/>
      <c r="AC211" s="46"/>
      <c r="AD211" s="46"/>
      <c r="AE211" s="46"/>
      <c r="AF211" s="46"/>
      <c r="AG211" s="127"/>
      <c r="AH211" s="127"/>
      <c r="AI211" s="127"/>
      <c r="AJ211" s="127"/>
      <c r="AK211" s="46"/>
      <c r="AL211" s="46"/>
      <c r="AM211" s="46"/>
      <c r="AN211" s="46"/>
      <c r="AO211" s="46"/>
    </row>
    <row r="212">
      <c r="A212" s="17"/>
      <c r="B212" s="46"/>
      <c r="C212" s="46"/>
      <c r="D212" s="46"/>
      <c r="E212" s="17"/>
      <c r="F212" s="46"/>
      <c r="G212" s="46"/>
      <c r="H212" s="46"/>
      <c r="I212" s="17"/>
      <c r="J212" s="46"/>
      <c r="K212" s="46"/>
      <c r="L212" s="46"/>
      <c r="M212" s="17"/>
      <c r="N212" s="46"/>
      <c r="O212" s="46"/>
      <c r="P212" s="46"/>
      <c r="Q212" s="46"/>
      <c r="R212" s="46"/>
      <c r="S212" s="46"/>
      <c r="T212" s="46"/>
      <c r="U212" s="46"/>
      <c r="V212" s="46"/>
      <c r="W212" s="46"/>
      <c r="X212" s="46"/>
      <c r="Y212" s="46"/>
      <c r="Z212" s="46"/>
      <c r="AA212" s="46"/>
      <c r="AB212" s="46"/>
      <c r="AC212" s="46"/>
      <c r="AD212" s="46"/>
      <c r="AE212" s="46"/>
      <c r="AF212" s="46"/>
      <c r="AG212" s="127"/>
      <c r="AH212" s="127"/>
      <c r="AI212" s="127"/>
      <c r="AJ212" s="127"/>
      <c r="AK212" s="46"/>
      <c r="AL212" s="46"/>
      <c r="AM212" s="46"/>
      <c r="AN212" s="46"/>
      <c r="AO212" s="46"/>
    </row>
    <row r="213">
      <c r="A213" s="17"/>
      <c r="B213" s="46"/>
      <c r="C213" s="46"/>
      <c r="D213" s="46"/>
      <c r="E213" s="17"/>
      <c r="F213" s="46"/>
      <c r="G213" s="46"/>
      <c r="H213" s="46"/>
      <c r="I213" s="17"/>
      <c r="J213" s="46"/>
      <c r="K213" s="46"/>
      <c r="L213" s="46"/>
      <c r="M213" s="17"/>
      <c r="N213" s="46"/>
      <c r="O213" s="46"/>
      <c r="P213" s="46"/>
      <c r="Q213" s="46"/>
      <c r="R213" s="46"/>
      <c r="S213" s="46"/>
      <c r="T213" s="46"/>
      <c r="U213" s="46"/>
      <c r="V213" s="46"/>
      <c r="W213" s="46"/>
      <c r="X213" s="46"/>
      <c r="Y213" s="46"/>
      <c r="Z213" s="46"/>
      <c r="AA213" s="46"/>
      <c r="AB213" s="46"/>
      <c r="AC213" s="46"/>
      <c r="AD213" s="46"/>
      <c r="AE213" s="46"/>
      <c r="AF213" s="46"/>
      <c r="AG213" s="127"/>
      <c r="AH213" s="127"/>
      <c r="AI213" s="127"/>
      <c r="AJ213" s="127"/>
      <c r="AK213" s="46"/>
      <c r="AL213" s="46"/>
      <c r="AM213" s="46"/>
      <c r="AN213" s="46"/>
      <c r="AO213" s="46"/>
    </row>
    <row r="214">
      <c r="A214" s="17"/>
      <c r="B214" s="46"/>
      <c r="C214" s="46"/>
      <c r="D214" s="46"/>
      <c r="E214" s="17"/>
      <c r="F214" s="46"/>
      <c r="G214" s="46"/>
      <c r="H214" s="46"/>
      <c r="I214" s="17"/>
      <c r="J214" s="46"/>
      <c r="K214" s="46"/>
      <c r="L214" s="46"/>
      <c r="M214" s="17"/>
      <c r="N214" s="46"/>
      <c r="O214" s="46"/>
      <c r="P214" s="46"/>
      <c r="Q214" s="46"/>
      <c r="R214" s="46"/>
      <c r="S214" s="46"/>
      <c r="T214" s="46"/>
      <c r="U214" s="46"/>
      <c r="V214" s="46"/>
      <c r="W214" s="46"/>
      <c r="X214" s="46"/>
      <c r="Y214" s="46"/>
      <c r="Z214" s="46"/>
      <c r="AA214" s="46"/>
      <c r="AB214" s="46"/>
      <c r="AC214" s="46"/>
      <c r="AD214" s="46"/>
      <c r="AE214" s="46"/>
      <c r="AF214" s="46"/>
      <c r="AG214" s="127"/>
      <c r="AH214" s="127"/>
      <c r="AI214" s="127"/>
      <c r="AJ214" s="127"/>
      <c r="AK214" s="46"/>
      <c r="AL214" s="46"/>
      <c r="AM214" s="46"/>
      <c r="AN214" s="46"/>
      <c r="AO214" s="46"/>
    </row>
    <row r="215">
      <c r="A215" s="17"/>
      <c r="B215" s="46"/>
      <c r="C215" s="46"/>
      <c r="D215" s="46"/>
      <c r="E215" s="17"/>
      <c r="F215" s="46"/>
      <c r="G215" s="46"/>
      <c r="H215" s="46"/>
      <c r="I215" s="17"/>
      <c r="J215" s="46"/>
      <c r="K215" s="46"/>
      <c r="L215" s="46"/>
      <c r="M215" s="17"/>
      <c r="N215" s="46"/>
      <c r="O215" s="46"/>
      <c r="P215" s="46"/>
      <c r="Q215" s="46"/>
      <c r="R215" s="46"/>
      <c r="S215" s="46"/>
      <c r="T215" s="46"/>
      <c r="U215" s="46"/>
      <c r="V215" s="46"/>
      <c r="W215" s="46"/>
      <c r="X215" s="46"/>
      <c r="Y215" s="46"/>
      <c r="Z215" s="46"/>
      <c r="AA215" s="46"/>
      <c r="AB215" s="46"/>
      <c r="AC215" s="46"/>
      <c r="AD215" s="46"/>
      <c r="AE215" s="46"/>
      <c r="AF215" s="46"/>
      <c r="AG215" s="127"/>
      <c r="AH215" s="127"/>
      <c r="AI215" s="127"/>
      <c r="AJ215" s="127"/>
      <c r="AK215" s="46"/>
      <c r="AL215" s="46"/>
      <c r="AM215" s="46"/>
      <c r="AN215" s="46"/>
      <c r="AO215" s="46"/>
    </row>
    <row r="216">
      <c r="A216" s="17"/>
      <c r="B216" s="46"/>
      <c r="C216" s="46"/>
      <c r="D216" s="46"/>
      <c r="E216" s="17"/>
      <c r="F216" s="46"/>
      <c r="G216" s="46"/>
      <c r="H216" s="46"/>
      <c r="I216" s="17"/>
      <c r="J216" s="46"/>
      <c r="K216" s="46"/>
      <c r="L216" s="46"/>
      <c r="M216" s="17"/>
      <c r="N216" s="46"/>
      <c r="O216" s="46"/>
      <c r="P216" s="46"/>
      <c r="Q216" s="46"/>
      <c r="R216" s="46"/>
      <c r="S216" s="46"/>
      <c r="T216" s="46"/>
      <c r="U216" s="46"/>
      <c r="V216" s="46"/>
      <c r="W216" s="46"/>
      <c r="X216" s="46"/>
      <c r="Y216" s="46"/>
      <c r="Z216" s="46"/>
      <c r="AA216" s="46"/>
      <c r="AB216" s="46"/>
      <c r="AC216" s="46"/>
      <c r="AD216" s="46"/>
      <c r="AE216" s="46"/>
      <c r="AF216" s="46"/>
      <c r="AG216" s="127"/>
      <c r="AH216" s="127"/>
      <c r="AI216" s="127"/>
      <c r="AJ216" s="127"/>
      <c r="AK216" s="46"/>
      <c r="AL216" s="46"/>
      <c r="AM216" s="46"/>
      <c r="AN216" s="46"/>
      <c r="AO216" s="46"/>
    </row>
    <row r="217">
      <c r="A217" s="17"/>
      <c r="B217" s="46"/>
      <c r="C217" s="46"/>
      <c r="D217" s="46"/>
      <c r="E217" s="17"/>
      <c r="F217" s="46"/>
      <c r="G217" s="46"/>
      <c r="H217" s="46"/>
      <c r="I217" s="17"/>
      <c r="J217" s="46"/>
      <c r="K217" s="46"/>
      <c r="L217" s="46"/>
      <c r="M217" s="17"/>
      <c r="N217" s="46"/>
      <c r="O217" s="46"/>
      <c r="P217" s="46"/>
      <c r="Q217" s="46"/>
      <c r="R217" s="46"/>
      <c r="S217" s="46"/>
      <c r="T217" s="46"/>
      <c r="U217" s="46"/>
      <c r="V217" s="46"/>
      <c r="W217" s="46"/>
      <c r="X217" s="46"/>
      <c r="Y217" s="46"/>
      <c r="Z217" s="46"/>
      <c r="AA217" s="46"/>
      <c r="AB217" s="46"/>
      <c r="AC217" s="46"/>
      <c r="AD217" s="46"/>
      <c r="AE217" s="46"/>
      <c r="AF217" s="46"/>
      <c r="AG217" s="127"/>
      <c r="AH217" s="127"/>
      <c r="AI217" s="127"/>
      <c r="AJ217" s="127"/>
      <c r="AK217" s="46"/>
      <c r="AL217" s="46"/>
      <c r="AM217" s="46"/>
      <c r="AN217" s="46"/>
      <c r="AO217" s="46"/>
    </row>
    <row r="218">
      <c r="A218" s="17"/>
      <c r="B218" s="46"/>
      <c r="C218" s="46"/>
      <c r="D218" s="46"/>
      <c r="E218" s="17"/>
      <c r="F218" s="46"/>
      <c r="G218" s="46"/>
      <c r="H218" s="46"/>
      <c r="I218" s="17"/>
      <c r="J218" s="46"/>
      <c r="K218" s="46"/>
      <c r="L218" s="46"/>
      <c r="M218" s="17"/>
      <c r="N218" s="46"/>
      <c r="O218" s="46"/>
      <c r="P218" s="46"/>
      <c r="Q218" s="46"/>
      <c r="R218" s="46"/>
      <c r="S218" s="46"/>
      <c r="T218" s="46"/>
      <c r="U218" s="46"/>
      <c r="V218" s="46"/>
      <c r="W218" s="46"/>
      <c r="X218" s="46"/>
      <c r="Y218" s="46"/>
      <c r="Z218" s="46"/>
      <c r="AA218" s="46"/>
      <c r="AB218" s="46"/>
      <c r="AC218" s="46"/>
      <c r="AD218" s="46"/>
      <c r="AE218" s="46"/>
      <c r="AF218" s="46"/>
      <c r="AG218" s="127"/>
      <c r="AH218" s="127"/>
      <c r="AI218" s="127"/>
      <c r="AJ218" s="127"/>
      <c r="AK218" s="46"/>
      <c r="AL218" s="46"/>
      <c r="AM218" s="46"/>
      <c r="AN218" s="46"/>
      <c r="AO218" s="46"/>
    </row>
    <row r="219">
      <c r="A219" s="17"/>
      <c r="B219" s="46"/>
      <c r="C219" s="46"/>
      <c r="D219" s="46"/>
      <c r="E219" s="17"/>
      <c r="F219" s="46"/>
      <c r="G219" s="46"/>
      <c r="H219" s="46"/>
      <c r="I219" s="17"/>
      <c r="J219" s="46"/>
      <c r="K219" s="46"/>
      <c r="L219" s="46"/>
      <c r="M219" s="17"/>
      <c r="N219" s="46"/>
      <c r="O219" s="46"/>
      <c r="P219" s="46"/>
      <c r="Q219" s="46"/>
      <c r="R219" s="46"/>
      <c r="S219" s="46"/>
      <c r="T219" s="46"/>
      <c r="U219" s="46"/>
      <c r="V219" s="46"/>
      <c r="W219" s="46"/>
      <c r="X219" s="46"/>
      <c r="Y219" s="46"/>
      <c r="Z219" s="46"/>
      <c r="AA219" s="46"/>
      <c r="AB219" s="46"/>
      <c r="AC219" s="46"/>
      <c r="AD219" s="46"/>
      <c r="AE219" s="46"/>
      <c r="AF219" s="46"/>
      <c r="AG219" s="127"/>
      <c r="AH219" s="127"/>
      <c r="AI219" s="127"/>
      <c r="AJ219" s="127"/>
      <c r="AK219" s="46"/>
      <c r="AL219" s="46"/>
      <c r="AM219" s="46"/>
      <c r="AN219" s="46"/>
      <c r="AO219" s="46"/>
    </row>
    <row r="220">
      <c r="A220" s="17"/>
      <c r="B220" s="46"/>
      <c r="C220" s="46"/>
      <c r="D220" s="46"/>
      <c r="E220" s="17"/>
      <c r="F220" s="46"/>
      <c r="G220" s="46"/>
      <c r="H220" s="46"/>
      <c r="I220" s="17"/>
      <c r="J220" s="46"/>
      <c r="K220" s="46"/>
      <c r="L220" s="46"/>
      <c r="M220" s="17"/>
      <c r="N220" s="46"/>
      <c r="O220" s="46"/>
      <c r="P220" s="46"/>
      <c r="Q220" s="46"/>
      <c r="R220" s="46"/>
      <c r="S220" s="46"/>
      <c r="T220" s="46"/>
      <c r="U220" s="46"/>
      <c r="V220" s="46"/>
      <c r="W220" s="46"/>
      <c r="X220" s="46"/>
      <c r="Y220" s="46"/>
      <c r="Z220" s="46"/>
      <c r="AA220" s="46"/>
      <c r="AB220" s="46"/>
      <c r="AC220" s="46"/>
      <c r="AD220" s="46"/>
      <c r="AE220" s="46"/>
      <c r="AF220" s="46"/>
      <c r="AG220" s="127"/>
      <c r="AH220" s="127"/>
      <c r="AI220" s="127"/>
      <c r="AJ220" s="127"/>
      <c r="AK220" s="46"/>
      <c r="AL220" s="46"/>
      <c r="AM220" s="46"/>
      <c r="AN220" s="46"/>
      <c r="AO220" s="46"/>
    </row>
    <row r="221">
      <c r="A221" s="17"/>
      <c r="B221" s="46"/>
      <c r="C221" s="46"/>
      <c r="D221" s="46"/>
      <c r="E221" s="17"/>
      <c r="F221" s="46"/>
      <c r="G221" s="46"/>
      <c r="H221" s="46"/>
      <c r="I221" s="17"/>
      <c r="J221" s="46"/>
      <c r="K221" s="46"/>
      <c r="L221" s="46"/>
      <c r="M221" s="17"/>
      <c r="N221" s="46"/>
      <c r="O221" s="46"/>
      <c r="P221" s="46"/>
      <c r="Q221" s="46"/>
      <c r="R221" s="46"/>
      <c r="S221" s="46"/>
      <c r="T221" s="46"/>
      <c r="U221" s="46"/>
      <c r="V221" s="46"/>
      <c r="W221" s="46"/>
      <c r="X221" s="46"/>
      <c r="Y221" s="46"/>
      <c r="Z221" s="46"/>
      <c r="AA221" s="46"/>
      <c r="AB221" s="46"/>
      <c r="AC221" s="46"/>
      <c r="AD221" s="46"/>
      <c r="AE221" s="46"/>
      <c r="AF221" s="46"/>
      <c r="AG221" s="127"/>
      <c r="AH221" s="127"/>
      <c r="AI221" s="127"/>
      <c r="AJ221" s="127"/>
      <c r="AK221" s="46"/>
      <c r="AL221" s="46"/>
      <c r="AM221" s="46"/>
      <c r="AN221" s="46"/>
      <c r="AO221" s="46"/>
    </row>
    <row r="222">
      <c r="A222" s="17"/>
      <c r="B222" s="46"/>
      <c r="C222" s="46"/>
      <c r="D222" s="46"/>
      <c r="E222" s="17"/>
      <c r="F222" s="46"/>
      <c r="G222" s="46"/>
      <c r="H222" s="46"/>
      <c r="I222" s="17"/>
      <c r="J222" s="46"/>
      <c r="K222" s="46"/>
      <c r="L222" s="46"/>
      <c r="M222" s="17"/>
      <c r="N222" s="46"/>
      <c r="O222" s="46"/>
      <c r="P222" s="46"/>
      <c r="Q222" s="46"/>
      <c r="R222" s="46"/>
      <c r="S222" s="46"/>
      <c r="T222" s="46"/>
      <c r="U222" s="46"/>
      <c r="V222" s="46"/>
      <c r="W222" s="46"/>
      <c r="X222" s="46"/>
      <c r="Y222" s="46"/>
      <c r="Z222" s="46"/>
      <c r="AA222" s="46"/>
      <c r="AB222" s="46"/>
      <c r="AC222" s="46"/>
      <c r="AD222" s="46"/>
      <c r="AE222" s="46"/>
      <c r="AF222" s="46"/>
      <c r="AG222" s="127"/>
      <c r="AH222" s="127"/>
      <c r="AI222" s="127"/>
      <c r="AJ222" s="127"/>
      <c r="AK222" s="46"/>
      <c r="AL222" s="46"/>
      <c r="AM222" s="46"/>
      <c r="AN222" s="46"/>
      <c r="AO222" s="46"/>
    </row>
    <row r="223">
      <c r="A223" s="17"/>
      <c r="B223" s="46"/>
      <c r="C223" s="46"/>
      <c r="D223" s="46"/>
      <c r="E223" s="17"/>
      <c r="F223" s="46"/>
      <c r="G223" s="46"/>
      <c r="H223" s="46"/>
      <c r="I223" s="17"/>
      <c r="J223" s="46"/>
      <c r="K223" s="46"/>
      <c r="L223" s="46"/>
      <c r="M223" s="17"/>
      <c r="N223" s="46"/>
      <c r="O223" s="46"/>
      <c r="P223" s="46"/>
      <c r="Q223" s="46"/>
      <c r="R223" s="46"/>
      <c r="S223" s="46"/>
      <c r="T223" s="46"/>
      <c r="U223" s="46"/>
      <c r="V223" s="46"/>
      <c r="W223" s="46"/>
      <c r="X223" s="46"/>
      <c r="Y223" s="46"/>
      <c r="Z223" s="46"/>
      <c r="AA223" s="46"/>
      <c r="AB223" s="46"/>
      <c r="AC223" s="46"/>
      <c r="AD223" s="46"/>
      <c r="AE223" s="46"/>
      <c r="AF223" s="46"/>
      <c r="AG223" s="127"/>
      <c r="AH223" s="127"/>
      <c r="AI223" s="127"/>
      <c r="AJ223" s="127"/>
      <c r="AK223" s="46"/>
      <c r="AL223" s="46"/>
      <c r="AM223" s="46"/>
      <c r="AN223" s="46"/>
      <c r="AO223" s="46"/>
    </row>
    <row r="224">
      <c r="A224" s="17"/>
      <c r="B224" s="46"/>
      <c r="C224" s="46"/>
      <c r="D224" s="46"/>
      <c r="E224" s="17"/>
      <c r="F224" s="46"/>
      <c r="G224" s="46"/>
      <c r="H224" s="46"/>
      <c r="I224" s="17"/>
      <c r="J224" s="46"/>
      <c r="K224" s="46"/>
      <c r="L224" s="46"/>
      <c r="M224" s="17"/>
      <c r="N224" s="46"/>
      <c r="O224" s="46"/>
      <c r="P224" s="46"/>
      <c r="Q224" s="46"/>
      <c r="R224" s="46"/>
      <c r="S224" s="46"/>
      <c r="T224" s="46"/>
      <c r="U224" s="46"/>
      <c r="V224" s="46"/>
      <c r="W224" s="46"/>
      <c r="X224" s="46"/>
      <c r="Y224" s="46"/>
      <c r="Z224" s="46"/>
      <c r="AA224" s="46"/>
      <c r="AB224" s="46"/>
      <c r="AC224" s="46"/>
      <c r="AD224" s="46"/>
      <c r="AE224" s="46"/>
      <c r="AF224" s="46"/>
      <c r="AG224" s="127"/>
      <c r="AH224" s="127"/>
      <c r="AI224" s="127"/>
      <c r="AJ224" s="127"/>
      <c r="AK224" s="46"/>
      <c r="AL224" s="46"/>
      <c r="AM224" s="46"/>
      <c r="AN224" s="46"/>
      <c r="AO224" s="46"/>
    </row>
    <row r="225">
      <c r="A225" s="17"/>
      <c r="B225" s="46"/>
      <c r="C225" s="46"/>
      <c r="D225" s="46"/>
      <c r="E225" s="17"/>
      <c r="F225" s="46"/>
      <c r="G225" s="46"/>
      <c r="H225" s="46"/>
      <c r="I225" s="17"/>
      <c r="J225" s="46"/>
      <c r="K225" s="46"/>
      <c r="L225" s="46"/>
      <c r="M225" s="17"/>
      <c r="N225" s="46"/>
      <c r="O225" s="46"/>
      <c r="P225" s="46"/>
      <c r="Q225" s="46"/>
      <c r="R225" s="46"/>
      <c r="S225" s="46"/>
      <c r="T225" s="46"/>
      <c r="U225" s="46"/>
      <c r="V225" s="46"/>
      <c r="W225" s="46"/>
      <c r="X225" s="46"/>
      <c r="Y225" s="46"/>
      <c r="Z225" s="46"/>
      <c r="AA225" s="46"/>
      <c r="AB225" s="46"/>
      <c r="AC225" s="46"/>
      <c r="AD225" s="46"/>
      <c r="AE225" s="46"/>
      <c r="AF225" s="46"/>
      <c r="AG225" s="127"/>
      <c r="AH225" s="127"/>
      <c r="AI225" s="127"/>
      <c r="AJ225" s="127"/>
      <c r="AK225" s="46"/>
      <c r="AL225" s="46"/>
      <c r="AM225" s="46"/>
      <c r="AN225" s="46"/>
      <c r="AO225" s="46"/>
    </row>
    <row r="226">
      <c r="A226" s="17"/>
      <c r="B226" s="46"/>
      <c r="C226" s="46"/>
      <c r="D226" s="46"/>
      <c r="E226" s="17"/>
      <c r="F226" s="46"/>
      <c r="G226" s="46"/>
      <c r="H226" s="46"/>
      <c r="I226" s="17"/>
      <c r="J226" s="46"/>
      <c r="K226" s="46"/>
      <c r="L226" s="46"/>
      <c r="M226" s="17"/>
      <c r="N226" s="46"/>
      <c r="O226" s="46"/>
      <c r="P226" s="46"/>
      <c r="Q226" s="46"/>
      <c r="R226" s="46"/>
      <c r="S226" s="46"/>
      <c r="T226" s="46"/>
      <c r="U226" s="46"/>
      <c r="V226" s="46"/>
      <c r="W226" s="46"/>
      <c r="X226" s="46"/>
      <c r="Y226" s="46"/>
      <c r="Z226" s="46"/>
      <c r="AA226" s="46"/>
      <c r="AB226" s="46"/>
      <c r="AC226" s="46"/>
      <c r="AD226" s="46"/>
      <c r="AE226" s="46"/>
      <c r="AF226" s="46"/>
      <c r="AG226" s="127"/>
      <c r="AH226" s="127"/>
      <c r="AI226" s="127"/>
      <c r="AJ226" s="127"/>
      <c r="AK226" s="46"/>
      <c r="AL226" s="46"/>
      <c r="AM226" s="46"/>
      <c r="AN226" s="46"/>
      <c r="AO226" s="46"/>
    </row>
    <row r="227">
      <c r="A227" s="17"/>
      <c r="B227" s="46"/>
      <c r="C227" s="46"/>
      <c r="D227" s="46"/>
      <c r="E227" s="17"/>
      <c r="F227" s="46"/>
      <c r="G227" s="46"/>
      <c r="H227" s="46"/>
      <c r="I227" s="17"/>
      <c r="J227" s="46"/>
      <c r="K227" s="46"/>
      <c r="L227" s="46"/>
      <c r="M227" s="17"/>
      <c r="N227" s="46"/>
      <c r="O227" s="46"/>
      <c r="P227" s="46"/>
      <c r="Q227" s="46"/>
      <c r="R227" s="46"/>
      <c r="S227" s="46"/>
      <c r="T227" s="46"/>
      <c r="U227" s="46"/>
      <c r="V227" s="46"/>
      <c r="W227" s="46"/>
      <c r="X227" s="46"/>
      <c r="Y227" s="46"/>
      <c r="Z227" s="46"/>
      <c r="AA227" s="46"/>
      <c r="AB227" s="46"/>
      <c r="AC227" s="46"/>
      <c r="AD227" s="46"/>
      <c r="AE227" s="46"/>
      <c r="AF227" s="46"/>
      <c r="AG227" s="127"/>
      <c r="AH227" s="127"/>
      <c r="AI227" s="127"/>
      <c r="AJ227" s="127"/>
      <c r="AK227" s="46"/>
      <c r="AL227" s="46"/>
      <c r="AM227" s="46"/>
      <c r="AN227" s="46"/>
      <c r="AO227" s="46"/>
    </row>
    <row r="228">
      <c r="A228" s="17"/>
      <c r="B228" s="46"/>
      <c r="C228" s="46"/>
      <c r="D228" s="46"/>
      <c r="E228" s="17"/>
      <c r="F228" s="46"/>
      <c r="G228" s="46"/>
      <c r="H228" s="46"/>
      <c r="I228" s="17"/>
      <c r="J228" s="46"/>
      <c r="K228" s="46"/>
      <c r="L228" s="46"/>
      <c r="M228" s="17"/>
      <c r="N228" s="46"/>
      <c r="O228" s="46"/>
      <c r="P228" s="46"/>
      <c r="Q228" s="46"/>
      <c r="R228" s="46"/>
      <c r="S228" s="46"/>
      <c r="T228" s="46"/>
      <c r="U228" s="46"/>
      <c r="V228" s="46"/>
      <c r="W228" s="46"/>
      <c r="X228" s="46"/>
      <c r="Y228" s="46"/>
      <c r="Z228" s="46"/>
      <c r="AA228" s="46"/>
      <c r="AB228" s="46"/>
      <c r="AC228" s="46"/>
      <c r="AD228" s="46"/>
      <c r="AE228" s="46"/>
      <c r="AF228" s="46"/>
      <c r="AG228" s="127"/>
      <c r="AH228" s="127"/>
      <c r="AI228" s="127"/>
      <c r="AJ228" s="127"/>
      <c r="AK228" s="46"/>
      <c r="AL228" s="46"/>
      <c r="AM228" s="46"/>
      <c r="AN228" s="46"/>
      <c r="AO228" s="46"/>
    </row>
    <row r="229">
      <c r="A229" s="17"/>
      <c r="B229" s="46"/>
      <c r="C229" s="46"/>
      <c r="D229" s="46"/>
      <c r="E229" s="17"/>
      <c r="F229" s="46"/>
      <c r="G229" s="46"/>
      <c r="H229" s="46"/>
      <c r="I229" s="17"/>
      <c r="J229" s="46"/>
      <c r="K229" s="46"/>
      <c r="L229" s="46"/>
      <c r="M229" s="17"/>
      <c r="N229" s="46"/>
      <c r="O229" s="46"/>
      <c r="P229" s="46"/>
      <c r="Q229" s="46"/>
      <c r="R229" s="46"/>
      <c r="S229" s="46"/>
      <c r="T229" s="46"/>
      <c r="U229" s="46"/>
      <c r="V229" s="46"/>
      <c r="W229" s="46"/>
      <c r="X229" s="46"/>
      <c r="Y229" s="46"/>
      <c r="Z229" s="46"/>
      <c r="AA229" s="46"/>
      <c r="AB229" s="46"/>
      <c r="AC229" s="46"/>
      <c r="AD229" s="46"/>
      <c r="AE229" s="46"/>
      <c r="AF229" s="46"/>
      <c r="AG229" s="127"/>
      <c r="AH229" s="127"/>
      <c r="AI229" s="127"/>
      <c r="AJ229" s="127"/>
      <c r="AK229" s="46"/>
      <c r="AL229" s="46"/>
      <c r="AM229" s="46"/>
      <c r="AN229" s="46"/>
      <c r="AO229" s="46"/>
    </row>
    <row r="230">
      <c r="A230" s="17"/>
      <c r="B230" s="46"/>
      <c r="C230" s="46"/>
      <c r="D230" s="46"/>
      <c r="E230" s="17"/>
      <c r="F230" s="46"/>
      <c r="G230" s="46"/>
      <c r="H230" s="46"/>
      <c r="I230" s="17"/>
      <c r="J230" s="46"/>
      <c r="K230" s="46"/>
      <c r="L230" s="46"/>
      <c r="M230" s="17"/>
      <c r="N230" s="46"/>
      <c r="O230" s="46"/>
      <c r="P230" s="46"/>
      <c r="Q230" s="46"/>
      <c r="R230" s="46"/>
      <c r="S230" s="46"/>
      <c r="T230" s="46"/>
      <c r="U230" s="46"/>
      <c r="V230" s="46"/>
      <c r="W230" s="46"/>
      <c r="X230" s="46"/>
      <c r="Y230" s="46"/>
      <c r="Z230" s="46"/>
      <c r="AA230" s="46"/>
      <c r="AB230" s="46"/>
      <c r="AC230" s="46"/>
      <c r="AD230" s="46"/>
      <c r="AE230" s="46"/>
      <c r="AF230" s="46"/>
      <c r="AG230" s="127"/>
      <c r="AH230" s="127"/>
      <c r="AI230" s="127"/>
      <c r="AJ230" s="127"/>
      <c r="AK230" s="46"/>
      <c r="AL230" s="46"/>
      <c r="AM230" s="46"/>
      <c r="AN230" s="46"/>
      <c r="AO230" s="46"/>
    </row>
    <row r="231">
      <c r="A231" s="17"/>
      <c r="B231" s="46"/>
      <c r="C231" s="46"/>
      <c r="D231" s="46"/>
      <c r="E231" s="17"/>
      <c r="F231" s="46"/>
      <c r="G231" s="46"/>
      <c r="H231" s="46"/>
      <c r="I231" s="17"/>
      <c r="J231" s="46"/>
      <c r="K231" s="46"/>
      <c r="L231" s="46"/>
      <c r="M231" s="17"/>
      <c r="N231" s="46"/>
      <c r="O231" s="46"/>
      <c r="P231" s="46"/>
      <c r="Q231" s="46"/>
      <c r="R231" s="46"/>
      <c r="S231" s="46"/>
      <c r="T231" s="46"/>
      <c r="U231" s="46"/>
      <c r="V231" s="46"/>
      <c r="W231" s="46"/>
      <c r="X231" s="46"/>
      <c r="Y231" s="46"/>
      <c r="Z231" s="46"/>
      <c r="AA231" s="46"/>
      <c r="AB231" s="46"/>
      <c r="AC231" s="46"/>
      <c r="AD231" s="46"/>
      <c r="AE231" s="46"/>
      <c r="AF231" s="46"/>
      <c r="AG231" s="127"/>
      <c r="AH231" s="127"/>
      <c r="AI231" s="127"/>
      <c r="AJ231" s="127"/>
      <c r="AK231" s="46"/>
      <c r="AL231" s="46"/>
      <c r="AM231" s="46"/>
      <c r="AN231" s="46"/>
      <c r="AO231" s="46"/>
    </row>
    <row r="232">
      <c r="A232" s="17"/>
      <c r="B232" s="46"/>
      <c r="C232" s="46"/>
      <c r="D232" s="46"/>
      <c r="E232" s="17"/>
      <c r="F232" s="46"/>
      <c r="G232" s="46"/>
      <c r="H232" s="46"/>
      <c r="I232" s="17"/>
      <c r="J232" s="46"/>
      <c r="K232" s="46"/>
      <c r="L232" s="46"/>
      <c r="M232" s="17"/>
      <c r="N232" s="46"/>
      <c r="O232" s="46"/>
      <c r="P232" s="46"/>
      <c r="Q232" s="46"/>
      <c r="R232" s="46"/>
      <c r="S232" s="46"/>
      <c r="T232" s="46"/>
      <c r="U232" s="46"/>
      <c r="V232" s="46"/>
      <c r="W232" s="46"/>
      <c r="X232" s="46"/>
      <c r="Y232" s="46"/>
      <c r="Z232" s="46"/>
      <c r="AA232" s="46"/>
      <c r="AB232" s="46"/>
      <c r="AC232" s="46"/>
      <c r="AD232" s="46"/>
      <c r="AE232" s="46"/>
      <c r="AF232" s="46"/>
      <c r="AG232" s="127"/>
      <c r="AH232" s="127"/>
      <c r="AI232" s="127"/>
      <c r="AJ232" s="127"/>
      <c r="AK232" s="46"/>
      <c r="AL232" s="46"/>
      <c r="AM232" s="46"/>
      <c r="AN232" s="46"/>
      <c r="AO232" s="46"/>
    </row>
    <row r="233">
      <c r="A233" s="17"/>
      <c r="B233" s="46"/>
      <c r="C233" s="46"/>
      <c r="D233" s="46"/>
      <c r="E233" s="17"/>
      <c r="F233" s="46"/>
      <c r="G233" s="46"/>
      <c r="H233" s="46"/>
      <c r="I233" s="17"/>
      <c r="J233" s="46"/>
      <c r="K233" s="46"/>
      <c r="L233" s="46"/>
      <c r="M233" s="17"/>
      <c r="N233" s="46"/>
      <c r="O233" s="46"/>
      <c r="P233" s="46"/>
      <c r="Q233" s="46"/>
      <c r="R233" s="46"/>
      <c r="S233" s="46"/>
      <c r="T233" s="46"/>
      <c r="U233" s="46"/>
      <c r="V233" s="46"/>
      <c r="W233" s="46"/>
      <c r="X233" s="46"/>
      <c r="Y233" s="46"/>
      <c r="Z233" s="46"/>
      <c r="AA233" s="46"/>
      <c r="AB233" s="46"/>
      <c r="AC233" s="46"/>
      <c r="AD233" s="46"/>
      <c r="AE233" s="46"/>
      <c r="AF233" s="46"/>
      <c r="AG233" s="127"/>
      <c r="AH233" s="127"/>
      <c r="AI233" s="127"/>
      <c r="AJ233" s="127"/>
      <c r="AK233" s="46"/>
      <c r="AL233" s="46"/>
      <c r="AM233" s="46"/>
      <c r="AN233" s="46"/>
      <c r="AO233" s="46"/>
    </row>
    <row r="234">
      <c r="A234" s="17"/>
      <c r="B234" s="46"/>
      <c r="C234" s="46"/>
      <c r="D234" s="46"/>
      <c r="E234" s="17"/>
      <c r="F234" s="46"/>
      <c r="G234" s="46"/>
      <c r="H234" s="46"/>
      <c r="I234" s="17"/>
      <c r="J234" s="46"/>
      <c r="K234" s="46"/>
      <c r="L234" s="46"/>
      <c r="M234" s="17"/>
      <c r="N234" s="46"/>
      <c r="O234" s="46"/>
      <c r="P234" s="46"/>
      <c r="Q234" s="46"/>
      <c r="R234" s="46"/>
      <c r="S234" s="46"/>
      <c r="T234" s="46"/>
      <c r="U234" s="46"/>
      <c r="V234" s="46"/>
      <c r="W234" s="46"/>
      <c r="X234" s="46"/>
      <c r="Y234" s="46"/>
      <c r="Z234" s="46"/>
      <c r="AA234" s="46"/>
      <c r="AB234" s="46"/>
      <c r="AC234" s="46"/>
      <c r="AD234" s="46"/>
      <c r="AE234" s="46"/>
      <c r="AF234" s="46"/>
      <c r="AG234" s="127"/>
      <c r="AH234" s="127"/>
      <c r="AI234" s="127"/>
      <c r="AJ234" s="127"/>
      <c r="AK234" s="46"/>
      <c r="AL234" s="46"/>
      <c r="AM234" s="46"/>
      <c r="AN234" s="46"/>
      <c r="AO234" s="46"/>
    </row>
    <row r="235">
      <c r="A235" s="17"/>
      <c r="B235" s="46"/>
      <c r="C235" s="46"/>
      <c r="D235" s="46"/>
      <c r="E235" s="17"/>
      <c r="F235" s="46"/>
      <c r="G235" s="46"/>
      <c r="H235" s="46"/>
      <c r="I235" s="17"/>
      <c r="J235" s="46"/>
      <c r="K235" s="46"/>
      <c r="L235" s="46"/>
      <c r="M235" s="17"/>
      <c r="N235" s="46"/>
      <c r="O235" s="46"/>
      <c r="P235" s="46"/>
      <c r="Q235" s="46"/>
      <c r="R235" s="46"/>
      <c r="S235" s="46"/>
      <c r="T235" s="46"/>
      <c r="U235" s="46"/>
      <c r="V235" s="46"/>
      <c r="W235" s="46"/>
      <c r="X235" s="46"/>
      <c r="Y235" s="46"/>
      <c r="Z235" s="46"/>
      <c r="AA235" s="46"/>
      <c r="AB235" s="46"/>
      <c r="AC235" s="46"/>
      <c r="AD235" s="46"/>
      <c r="AE235" s="46"/>
      <c r="AF235" s="46"/>
      <c r="AG235" s="127"/>
      <c r="AH235" s="127"/>
      <c r="AI235" s="127"/>
      <c r="AJ235" s="127"/>
      <c r="AK235" s="46"/>
      <c r="AL235" s="46"/>
      <c r="AM235" s="46"/>
      <c r="AN235" s="46"/>
      <c r="AO235" s="46"/>
    </row>
    <row r="236">
      <c r="A236" s="17"/>
      <c r="B236" s="46"/>
      <c r="C236" s="46"/>
      <c r="D236" s="46"/>
      <c r="E236" s="17"/>
      <c r="F236" s="46"/>
      <c r="G236" s="46"/>
      <c r="H236" s="46"/>
      <c r="I236" s="17"/>
      <c r="J236" s="46"/>
      <c r="K236" s="46"/>
      <c r="L236" s="46"/>
      <c r="M236" s="17"/>
      <c r="N236" s="46"/>
      <c r="O236" s="46"/>
      <c r="P236" s="46"/>
      <c r="Q236" s="46"/>
      <c r="R236" s="46"/>
      <c r="S236" s="46"/>
      <c r="T236" s="46"/>
      <c r="U236" s="46"/>
      <c r="V236" s="46"/>
      <c r="W236" s="46"/>
      <c r="X236" s="46"/>
      <c r="Y236" s="46"/>
      <c r="Z236" s="46"/>
      <c r="AA236" s="46"/>
      <c r="AB236" s="46"/>
      <c r="AC236" s="46"/>
      <c r="AD236" s="46"/>
      <c r="AE236" s="46"/>
      <c r="AF236" s="46"/>
      <c r="AG236" s="127"/>
      <c r="AH236" s="127"/>
      <c r="AI236" s="127"/>
      <c r="AJ236" s="127"/>
      <c r="AK236" s="46"/>
      <c r="AL236" s="46"/>
      <c r="AM236" s="46"/>
      <c r="AN236" s="46"/>
      <c r="AO236" s="46"/>
    </row>
    <row r="237">
      <c r="A237" s="17"/>
      <c r="B237" s="46"/>
      <c r="C237" s="46"/>
      <c r="D237" s="46"/>
      <c r="E237" s="17"/>
      <c r="F237" s="46"/>
      <c r="G237" s="46"/>
      <c r="H237" s="46"/>
      <c r="I237" s="17"/>
      <c r="J237" s="46"/>
      <c r="K237" s="46"/>
      <c r="L237" s="46"/>
      <c r="M237" s="17"/>
      <c r="N237" s="46"/>
      <c r="O237" s="46"/>
      <c r="P237" s="46"/>
      <c r="Q237" s="46"/>
      <c r="R237" s="46"/>
      <c r="S237" s="46"/>
      <c r="T237" s="46"/>
      <c r="U237" s="46"/>
      <c r="V237" s="46"/>
      <c r="W237" s="46"/>
      <c r="X237" s="46"/>
      <c r="Y237" s="46"/>
      <c r="Z237" s="46"/>
      <c r="AA237" s="46"/>
      <c r="AB237" s="46"/>
      <c r="AC237" s="46"/>
      <c r="AD237" s="46"/>
      <c r="AE237" s="46"/>
      <c r="AF237" s="46"/>
      <c r="AG237" s="127"/>
      <c r="AH237" s="127"/>
      <c r="AI237" s="127"/>
      <c r="AJ237" s="127"/>
      <c r="AK237" s="46"/>
      <c r="AL237" s="46"/>
      <c r="AM237" s="46"/>
      <c r="AN237" s="46"/>
      <c r="AO237" s="46"/>
    </row>
    <row r="238">
      <c r="A238" s="17"/>
      <c r="B238" s="46"/>
      <c r="C238" s="46"/>
      <c r="D238" s="46"/>
      <c r="E238" s="17"/>
      <c r="F238" s="46"/>
      <c r="G238" s="46"/>
      <c r="H238" s="46"/>
      <c r="I238" s="17"/>
      <c r="J238" s="46"/>
      <c r="K238" s="46"/>
      <c r="L238" s="46"/>
      <c r="M238" s="17"/>
      <c r="N238" s="46"/>
      <c r="O238" s="46"/>
      <c r="P238" s="46"/>
      <c r="Q238" s="46"/>
      <c r="R238" s="46"/>
      <c r="S238" s="46"/>
      <c r="T238" s="46"/>
      <c r="U238" s="46"/>
      <c r="V238" s="46"/>
      <c r="W238" s="46"/>
      <c r="X238" s="46"/>
      <c r="Y238" s="46"/>
      <c r="Z238" s="46"/>
      <c r="AA238" s="46"/>
      <c r="AB238" s="46"/>
      <c r="AC238" s="46"/>
      <c r="AD238" s="46"/>
      <c r="AE238" s="46"/>
      <c r="AF238" s="46"/>
      <c r="AG238" s="127"/>
      <c r="AH238" s="127"/>
      <c r="AI238" s="127"/>
      <c r="AJ238" s="127"/>
      <c r="AK238" s="46"/>
      <c r="AL238" s="46"/>
      <c r="AM238" s="46"/>
      <c r="AN238" s="46"/>
      <c r="AO238" s="46"/>
    </row>
    <row r="239">
      <c r="A239" s="17"/>
      <c r="B239" s="46"/>
      <c r="C239" s="46"/>
      <c r="D239" s="46"/>
      <c r="E239" s="17"/>
      <c r="F239" s="46"/>
      <c r="G239" s="46"/>
      <c r="H239" s="46"/>
      <c r="I239" s="17"/>
      <c r="J239" s="46"/>
      <c r="K239" s="46"/>
      <c r="L239" s="46"/>
      <c r="M239" s="17"/>
      <c r="N239" s="46"/>
      <c r="O239" s="46"/>
      <c r="P239" s="46"/>
      <c r="Q239" s="46"/>
      <c r="R239" s="46"/>
      <c r="S239" s="46"/>
      <c r="T239" s="46"/>
      <c r="U239" s="46"/>
      <c r="V239" s="46"/>
      <c r="W239" s="46"/>
      <c r="X239" s="46"/>
      <c r="Y239" s="46"/>
      <c r="Z239" s="46"/>
      <c r="AA239" s="46"/>
      <c r="AB239" s="46"/>
      <c r="AC239" s="46"/>
      <c r="AD239" s="46"/>
      <c r="AE239" s="46"/>
      <c r="AF239" s="46"/>
      <c r="AG239" s="127"/>
      <c r="AH239" s="127"/>
      <c r="AI239" s="127"/>
      <c r="AJ239" s="127"/>
      <c r="AK239" s="46"/>
      <c r="AL239" s="46"/>
      <c r="AM239" s="46"/>
      <c r="AN239" s="46"/>
      <c r="AO239" s="46"/>
    </row>
    <row r="240">
      <c r="A240" s="17"/>
      <c r="B240" s="46"/>
      <c r="C240" s="46"/>
      <c r="D240" s="46"/>
      <c r="E240" s="17"/>
      <c r="F240" s="46"/>
      <c r="G240" s="46"/>
      <c r="H240" s="46"/>
      <c r="I240" s="17"/>
      <c r="J240" s="46"/>
      <c r="K240" s="46"/>
      <c r="L240" s="46"/>
      <c r="M240" s="17"/>
      <c r="N240" s="46"/>
      <c r="O240" s="46"/>
      <c r="P240" s="46"/>
      <c r="Q240" s="46"/>
      <c r="R240" s="46"/>
      <c r="S240" s="46"/>
      <c r="T240" s="46"/>
      <c r="U240" s="46"/>
      <c r="V240" s="46"/>
      <c r="W240" s="46"/>
      <c r="X240" s="46"/>
      <c r="Y240" s="46"/>
      <c r="Z240" s="46"/>
      <c r="AA240" s="46"/>
      <c r="AB240" s="46"/>
      <c r="AC240" s="46"/>
      <c r="AD240" s="46"/>
      <c r="AE240" s="46"/>
      <c r="AF240" s="46"/>
      <c r="AG240" s="127"/>
      <c r="AH240" s="127"/>
      <c r="AI240" s="127"/>
      <c r="AJ240" s="127"/>
      <c r="AK240" s="46"/>
      <c r="AL240" s="46"/>
      <c r="AM240" s="46"/>
      <c r="AN240" s="46"/>
      <c r="AO240" s="46"/>
    </row>
    <row r="241">
      <c r="A241" s="17"/>
      <c r="B241" s="46"/>
      <c r="C241" s="46"/>
      <c r="D241" s="46"/>
      <c r="E241" s="17"/>
      <c r="F241" s="46"/>
      <c r="G241" s="46"/>
      <c r="H241" s="46"/>
      <c r="I241" s="17"/>
      <c r="J241" s="46"/>
      <c r="K241" s="46"/>
      <c r="L241" s="46"/>
      <c r="M241" s="17"/>
      <c r="N241" s="46"/>
      <c r="O241" s="46"/>
      <c r="P241" s="46"/>
      <c r="Q241" s="46"/>
      <c r="R241" s="46"/>
      <c r="S241" s="46"/>
      <c r="T241" s="46"/>
      <c r="U241" s="46"/>
      <c r="V241" s="46"/>
      <c r="W241" s="46"/>
      <c r="X241" s="46"/>
      <c r="Y241" s="46"/>
      <c r="Z241" s="46"/>
      <c r="AA241" s="46"/>
      <c r="AB241" s="46"/>
      <c r="AC241" s="46"/>
      <c r="AD241" s="46"/>
      <c r="AE241" s="46"/>
      <c r="AF241" s="46"/>
      <c r="AG241" s="127"/>
      <c r="AH241" s="127"/>
      <c r="AI241" s="127"/>
      <c r="AJ241" s="127"/>
      <c r="AK241" s="46"/>
      <c r="AL241" s="46"/>
      <c r="AM241" s="46"/>
      <c r="AN241" s="46"/>
      <c r="AO241" s="46"/>
    </row>
    <row r="242">
      <c r="A242" s="17"/>
      <c r="B242" s="46"/>
      <c r="C242" s="46"/>
      <c r="D242" s="46"/>
      <c r="E242" s="17"/>
      <c r="F242" s="46"/>
      <c r="G242" s="46"/>
      <c r="H242" s="46"/>
      <c r="I242" s="17"/>
      <c r="J242" s="46"/>
      <c r="K242" s="46"/>
      <c r="L242" s="46"/>
      <c r="M242" s="17"/>
      <c r="N242" s="46"/>
      <c r="O242" s="46"/>
      <c r="P242" s="46"/>
      <c r="Q242" s="46"/>
      <c r="R242" s="46"/>
      <c r="S242" s="46"/>
      <c r="T242" s="46"/>
      <c r="U242" s="46"/>
      <c r="V242" s="46"/>
      <c r="W242" s="46"/>
      <c r="X242" s="46"/>
      <c r="Y242" s="46"/>
      <c r="Z242" s="46"/>
      <c r="AA242" s="46"/>
      <c r="AB242" s="46"/>
      <c r="AC242" s="46"/>
      <c r="AD242" s="46"/>
      <c r="AE242" s="46"/>
      <c r="AF242" s="46"/>
      <c r="AG242" s="127"/>
      <c r="AH242" s="127"/>
      <c r="AI242" s="127"/>
      <c r="AJ242" s="127"/>
      <c r="AK242" s="46"/>
      <c r="AL242" s="46"/>
      <c r="AM242" s="46"/>
      <c r="AN242" s="46"/>
      <c r="AO242" s="46"/>
    </row>
    <row r="243">
      <c r="A243" s="17"/>
      <c r="B243" s="46"/>
      <c r="C243" s="46"/>
      <c r="D243" s="46"/>
      <c r="E243" s="17"/>
      <c r="F243" s="46"/>
      <c r="G243" s="46"/>
      <c r="H243" s="46"/>
      <c r="I243" s="17"/>
      <c r="J243" s="46"/>
      <c r="K243" s="46"/>
      <c r="L243" s="46"/>
      <c r="M243" s="17"/>
      <c r="N243" s="46"/>
      <c r="O243" s="46"/>
      <c r="P243" s="46"/>
      <c r="Q243" s="46"/>
      <c r="R243" s="46"/>
      <c r="S243" s="46"/>
      <c r="T243" s="46"/>
      <c r="U243" s="46"/>
      <c r="V243" s="46"/>
      <c r="W243" s="46"/>
      <c r="X243" s="46"/>
      <c r="Y243" s="46"/>
      <c r="Z243" s="46"/>
      <c r="AA243" s="46"/>
      <c r="AB243" s="46"/>
      <c r="AC243" s="46"/>
      <c r="AD243" s="46"/>
      <c r="AE243" s="46"/>
      <c r="AF243" s="46"/>
      <c r="AG243" s="127"/>
      <c r="AH243" s="127"/>
      <c r="AI243" s="127"/>
      <c r="AJ243" s="127"/>
      <c r="AK243" s="46"/>
      <c r="AL243" s="46"/>
      <c r="AM243" s="46"/>
      <c r="AN243" s="46"/>
      <c r="AO243" s="46"/>
    </row>
    <row r="244">
      <c r="A244" s="17"/>
      <c r="B244" s="46"/>
      <c r="C244" s="46"/>
      <c r="D244" s="46"/>
      <c r="E244" s="17"/>
      <c r="F244" s="46"/>
      <c r="G244" s="46"/>
      <c r="H244" s="46"/>
      <c r="I244" s="17"/>
      <c r="J244" s="46"/>
      <c r="K244" s="46"/>
      <c r="L244" s="46"/>
      <c r="M244" s="17"/>
      <c r="N244" s="46"/>
      <c r="O244" s="46"/>
      <c r="P244" s="46"/>
      <c r="Q244" s="46"/>
      <c r="R244" s="46"/>
      <c r="S244" s="46"/>
      <c r="T244" s="46"/>
      <c r="U244" s="46"/>
      <c r="V244" s="46"/>
      <c r="W244" s="46"/>
      <c r="X244" s="46"/>
      <c r="Y244" s="46"/>
      <c r="Z244" s="46"/>
      <c r="AA244" s="46"/>
      <c r="AB244" s="46"/>
      <c r="AC244" s="46"/>
      <c r="AD244" s="46"/>
      <c r="AE244" s="46"/>
      <c r="AF244" s="46"/>
      <c r="AG244" s="127"/>
      <c r="AH244" s="127"/>
      <c r="AI244" s="127"/>
      <c r="AJ244" s="127"/>
      <c r="AK244" s="46"/>
      <c r="AL244" s="46"/>
      <c r="AM244" s="46"/>
      <c r="AN244" s="46"/>
      <c r="AO244" s="46"/>
    </row>
    <row r="245">
      <c r="A245" s="17"/>
      <c r="B245" s="46"/>
      <c r="C245" s="46"/>
      <c r="D245" s="46"/>
      <c r="E245" s="17"/>
      <c r="F245" s="46"/>
      <c r="G245" s="46"/>
      <c r="H245" s="46"/>
      <c r="I245" s="17"/>
      <c r="J245" s="46"/>
      <c r="K245" s="46"/>
      <c r="L245" s="46"/>
      <c r="M245" s="17"/>
      <c r="N245" s="46"/>
      <c r="O245" s="46"/>
      <c r="P245" s="46"/>
      <c r="Q245" s="46"/>
      <c r="R245" s="46"/>
      <c r="S245" s="46"/>
      <c r="T245" s="46"/>
      <c r="U245" s="46"/>
      <c r="V245" s="46"/>
      <c r="W245" s="46"/>
      <c r="X245" s="46"/>
      <c r="Y245" s="46"/>
      <c r="Z245" s="46"/>
      <c r="AA245" s="46"/>
      <c r="AB245" s="46"/>
      <c r="AC245" s="46"/>
      <c r="AD245" s="46"/>
      <c r="AE245" s="46"/>
      <c r="AF245" s="46"/>
      <c r="AG245" s="127"/>
      <c r="AH245" s="127"/>
      <c r="AI245" s="127"/>
      <c r="AJ245" s="127"/>
      <c r="AK245" s="46"/>
      <c r="AL245" s="46"/>
      <c r="AM245" s="46"/>
      <c r="AN245" s="46"/>
      <c r="AO245" s="46"/>
    </row>
    <row r="246">
      <c r="A246" s="17"/>
      <c r="B246" s="46"/>
      <c r="C246" s="46"/>
      <c r="D246" s="46"/>
      <c r="E246" s="17"/>
      <c r="F246" s="46"/>
      <c r="G246" s="46"/>
      <c r="H246" s="46"/>
      <c r="I246" s="17"/>
      <c r="J246" s="46"/>
      <c r="K246" s="46"/>
      <c r="L246" s="46"/>
      <c r="M246" s="17"/>
      <c r="N246" s="46"/>
      <c r="O246" s="46"/>
      <c r="P246" s="46"/>
      <c r="Q246" s="46"/>
      <c r="R246" s="46"/>
      <c r="S246" s="46"/>
      <c r="T246" s="46"/>
      <c r="U246" s="46"/>
      <c r="V246" s="46"/>
      <c r="W246" s="46"/>
      <c r="X246" s="46"/>
      <c r="Y246" s="46"/>
      <c r="Z246" s="46"/>
      <c r="AA246" s="46"/>
      <c r="AB246" s="46"/>
      <c r="AC246" s="46"/>
      <c r="AD246" s="46"/>
      <c r="AE246" s="46"/>
      <c r="AF246" s="46"/>
      <c r="AG246" s="127"/>
      <c r="AH246" s="127"/>
      <c r="AI246" s="127"/>
      <c r="AJ246" s="127"/>
      <c r="AK246" s="46"/>
      <c r="AL246" s="46"/>
      <c r="AM246" s="46"/>
      <c r="AN246" s="46"/>
      <c r="AO246" s="46"/>
    </row>
    <row r="247">
      <c r="A247" s="17"/>
      <c r="B247" s="46"/>
      <c r="C247" s="46"/>
      <c r="D247" s="46"/>
      <c r="E247" s="17"/>
      <c r="F247" s="46"/>
      <c r="G247" s="46"/>
      <c r="H247" s="46"/>
      <c r="I247" s="17"/>
      <c r="J247" s="46"/>
      <c r="K247" s="46"/>
      <c r="L247" s="46"/>
      <c r="M247" s="17"/>
      <c r="N247" s="46"/>
      <c r="O247" s="46"/>
      <c r="P247" s="46"/>
      <c r="Q247" s="46"/>
      <c r="R247" s="46"/>
      <c r="S247" s="46"/>
      <c r="T247" s="46"/>
      <c r="U247" s="46"/>
      <c r="V247" s="46"/>
      <c r="W247" s="46"/>
      <c r="X247" s="46"/>
      <c r="Y247" s="46"/>
      <c r="Z247" s="46"/>
      <c r="AA247" s="46"/>
      <c r="AB247" s="46"/>
      <c r="AC247" s="46"/>
      <c r="AD247" s="46"/>
      <c r="AE247" s="46"/>
      <c r="AF247" s="46"/>
      <c r="AG247" s="127"/>
      <c r="AH247" s="127"/>
      <c r="AI247" s="127"/>
      <c r="AJ247" s="127"/>
      <c r="AK247" s="46"/>
      <c r="AL247" s="46"/>
      <c r="AM247" s="46"/>
      <c r="AN247" s="46"/>
      <c r="AO247" s="46"/>
    </row>
    <row r="248">
      <c r="A248" s="17"/>
      <c r="B248" s="46"/>
      <c r="C248" s="46"/>
      <c r="D248" s="46"/>
      <c r="E248" s="17"/>
      <c r="F248" s="46"/>
      <c r="G248" s="46"/>
      <c r="H248" s="46"/>
      <c r="I248" s="17"/>
      <c r="J248" s="46"/>
      <c r="K248" s="46"/>
      <c r="L248" s="46"/>
      <c r="M248" s="17"/>
      <c r="N248" s="46"/>
      <c r="O248" s="46"/>
      <c r="P248" s="46"/>
      <c r="Q248" s="46"/>
      <c r="R248" s="46"/>
      <c r="S248" s="46"/>
      <c r="T248" s="46"/>
      <c r="U248" s="46"/>
      <c r="V248" s="46"/>
      <c r="W248" s="46"/>
      <c r="X248" s="46"/>
      <c r="Y248" s="46"/>
      <c r="Z248" s="46"/>
      <c r="AA248" s="46"/>
      <c r="AB248" s="46"/>
      <c r="AC248" s="46"/>
      <c r="AD248" s="46"/>
      <c r="AE248" s="46"/>
      <c r="AF248" s="46"/>
      <c r="AG248" s="127"/>
      <c r="AH248" s="127"/>
      <c r="AI248" s="127"/>
      <c r="AJ248" s="127"/>
      <c r="AK248" s="46"/>
      <c r="AL248" s="46"/>
      <c r="AM248" s="46"/>
      <c r="AN248" s="46"/>
      <c r="AO248" s="46"/>
    </row>
    <row r="249">
      <c r="A249" s="17"/>
      <c r="B249" s="46"/>
      <c r="C249" s="46"/>
      <c r="D249" s="46"/>
      <c r="E249" s="17"/>
      <c r="F249" s="46"/>
      <c r="G249" s="46"/>
      <c r="H249" s="46"/>
      <c r="I249" s="17"/>
      <c r="J249" s="46"/>
      <c r="K249" s="46"/>
      <c r="L249" s="46"/>
      <c r="M249" s="17"/>
      <c r="N249" s="46"/>
      <c r="O249" s="46"/>
      <c r="P249" s="46"/>
      <c r="Q249" s="46"/>
      <c r="R249" s="46"/>
      <c r="S249" s="46"/>
      <c r="T249" s="46"/>
      <c r="U249" s="46"/>
      <c r="V249" s="46"/>
      <c r="W249" s="46"/>
      <c r="X249" s="46"/>
      <c r="Y249" s="46"/>
      <c r="Z249" s="46"/>
      <c r="AA249" s="46"/>
      <c r="AB249" s="46"/>
      <c r="AC249" s="46"/>
      <c r="AD249" s="46"/>
      <c r="AE249" s="46"/>
      <c r="AF249" s="46"/>
      <c r="AG249" s="127"/>
      <c r="AH249" s="127"/>
      <c r="AI249" s="127"/>
      <c r="AJ249" s="127"/>
      <c r="AK249" s="46"/>
      <c r="AL249" s="46"/>
      <c r="AM249" s="46"/>
      <c r="AN249" s="46"/>
      <c r="AO249" s="46"/>
    </row>
    <row r="250">
      <c r="A250" s="17"/>
      <c r="B250" s="46"/>
      <c r="C250" s="46"/>
      <c r="D250" s="46"/>
      <c r="E250" s="17"/>
      <c r="F250" s="46"/>
      <c r="G250" s="46"/>
      <c r="H250" s="46"/>
      <c r="I250" s="17"/>
      <c r="J250" s="46"/>
      <c r="K250" s="46"/>
      <c r="L250" s="46"/>
      <c r="M250" s="17"/>
      <c r="N250" s="46"/>
      <c r="O250" s="46"/>
      <c r="P250" s="46"/>
      <c r="Q250" s="46"/>
      <c r="R250" s="46"/>
      <c r="S250" s="46"/>
      <c r="T250" s="46"/>
      <c r="U250" s="46"/>
      <c r="V250" s="46"/>
      <c r="W250" s="46"/>
      <c r="X250" s="46"/>
      <c r="Y250" s="46"/>
      <c r="Z250" s="46"/>
      <c r="AA250" s="46"/>
      <c r="AB250" s="46"/>
      <c r="AC250" s="46"/>
      <c r="AD250" s="46"/>
      <c r="AE250" s="46"/>
      <c r="AF250" s="46"/>
      <c r="AG250" s="127"/>
      <c r="AH250" s="127"/>
      <c r="AI250" s="127"/>
      <c r="AJ250" s="127"/>
      <c r="AK250" s="46"/>
      <c r="AL250" s="46"/>
      <c r="AM250" s="46"/>
      <c r="AN250" s="46"/>
      <c r="AO250" s="46"/>
    </row>
    <row r="251">
      <c r="A251" s="17"/>
      <c r="B251" s="46"/>
      <c r="C251" s="46"/>
      <c r="D251" s="46"/>
      <c r="E251" s="17"/>
      <c r="F251" s="46"/>
      <c r="G251" s="46"/>
      <c r="H251" s="46"/>
      <c r="I251" s="17"/>
      <c r="J251" s="46"/>
      <c r="K251" s="46"/>
      <c r="L251" s="46"/>
      <c r="M251" s="17"/>
      <c r="N251" s="46"/>
      <c r="O251" s="46"/>
      <c r="P251" s="46"/>
      <c r="Q251" s="46"/>
      <c r="R251" s="46"/>
      <c r="S251" s="46"/>
      <c r="T251" s="46"/>
      <c r="U251" s="46"/>
      <c r="V251" s="46"/>
      <c r="W251" s="46"/>
      <c r="X251" s="46"/>
      <c r="Y251" s="46"/>
      <c r="Z251" s="46"/>
      <c r="AA251" s="46"/>
      <c r="AB251" s="46"/>
      <c r="AC251" s="46"/>
      <c r="AD251" s="46"/>
      <c r="AE251" s="46"/>
      <c r="AF251" s="46"/>
      <c r="AG251" s="127"/>
      <c r="AH251" s="127"/>
      <c r="AI251" s="127"/>
      <c r="AJ251" s="127"/>
      <c r="AK251" s="46"/>
      <c r="AL251" s="46"/>
      <c r="AM251" s="46"/>
      <c r="AN251" s="46"/>
      <c r="AO251" s="46"/>
    </row>
    <row r="252">
      <c r="A252" s="17"/>
      <c r="B252" s="46"/>
      <c r="C252" s="46"/>
      <c r="D252" s="46"/>
      <c r="E252" s="17"/>
      <c r="F252" s="46"/>
      <c r="G252" s="46"/>
      <c r="H252" s="46"/>
      <c r="I252" s="17"/>
      <c r="J252" s="46"/>
      <c r="K252" s="46"/>
      <c r="L252" s="46"/>
      <c r="M252" s="17"/>
      <c r="N252" s="46"/>
      <c r="O252" s="46"/>
      <c r="P252" s="46"/>
      <c r="Q252" s="46"/>
      <c r="R252" s="46"/>
      <c r="S252" s="46"/>
      <c r="T252" s="46"/>
      <c r="U252" s="46"/>
      <c r="V252" s="46"/>
      <c r="W252" s="46"/>
      <c r="X252" s="46"/>
      <c r="Y252" s="46"/>
      <c r="Z252" s="46"/>
      <c r="AA252" s="46"/>
      <c r="AB252" s="46"/>
      <c r="AC252" s="46"/>
      <c r="AD252" s="46"/>
      <c r="AE252" s="46"/>
      <c r="AF252" s="46"/>
      <c r="AG252" s="127"/>
      <c r="AH252" s="127"/>
      <c r="AI252" s="127"/>
      <c r="AJ252" s="127"/>
      <c r="AK252" s="46"/>
      <c r="AL252" s="46"/>
      <c r="AM252" s="46"/>
      <c r="AN252" s="46"/>
      <c r="AO252" s="46"/>
    </row>
    <row r="253">
      <c r="A253" s="17"/>
      <c r="B253" s="46"/>
      <c r="C253" s="46"/>
      <c r="D253" s="46"/>
      <c r="E253" s="17"/>
      <c r="F253" s="46"/>
      <c r="G253" s="46"/>
      <c r="H253" s="46"/>
      <c r="I253" s="17"/>
      <c r="J253" s="46"/>
      <c r="K253" s="46"/>
      <c r="L253" s="46"/>
      <c r="M253" s="17"/>
      <c r="N253" s="46"/>
      <c r="O253" s="46"/>
      <c r="P253" s="46"/>
      <c r="Q253" s="46"/>
      <c r="R253" s="46"/>
      <c r="S253" s="46"/>
      <c r="T253" s="46"/>
      <c r="U253" s="46"/>
      <c r="V253" s="46"/>
      <c r="W253" s="46"/>
      <c r="X253" s="46"/>
      <c r="Y253" s="46"/>
      <c r="Z253" s="46"/>
      <c r="AA253" s="46"/>
      <c r="AB253" s="46"/>
      <c r="AC253" s="46"/>
      <c r="AD253" s="46"/>
      <c r="AE253" s="46"/>
      <c r="AF253" s="46"/>
      <c r="AG253" s="127"/>
      <c r="AH253" s="127"/>
      <c r="AI253" s="127"/>
      <c r="AJ253" s="127"/>
      <c r="AK253" s="46"/>
      <c r="AL253" s="46"/>
      <c r="AM253" s="46"/>
      <c r="AN253" s="46"/>
      <c r="AO253" s="46"/>
    </row>
    <row r="254">
      <c r="A254" s="17"/>
      <c r="B254" s="46"/>
      <c r="C254" s="46"/>
      <c r="D254" s="46"/>
      <c r="E254" s="17"/>
      <c r="F254" s="46"/>
      <c r="G254" s="46"/>
      <c r="H254" s="46"/>
      <c r="I254" s="17"/>
      <c r="J254" s="46"/>
      <c r="K254" s="46"/>
      <c r="L254" s="46"/>
      <c r="M254" s="17"/>
      <c r="N254" s="46"/>
      <c r="O254" s="46"/>
      <c r="P254" s="46"/>
      <c r="Q254" s="46"/>
      <c r="R254" s="46"/>
      <c r="S254" s="46"/>
      <c r="T254" s="46"/>
      <c r="U254" s="46"/>
      <c r="V254" s="46"/>
      <c r="W254" s="46"/>
      <c r="X254" s="46"/>
      <c r="Y254" s="46"/>
      <c r="Z254" s="46"/>
      <c r="AA254" s="46"/>
      <c r="AB254" s="46"/>
      <c r="AC254" s="46"/>
      <c r="AD254" s="46"/>
      <c r="AE254" s="46"/>
      <c r="AF254" s="46"/>
      <c r="AG254" s="127"/>
      <c r="AH254" s="127"/>
      <c r="AI254" s="127"/>
      <c r="AJ254" s="127"/>
      <c r="AK254" s="46"/>
      <c r="AL254" s="46"/>
      <c r="AM254" s="46"/>
      <c r="AN254" s="46"/>
      <c r="AO254" s="46"/>
    </row>
    <row r="255">
      <c r="A255" s="17"/>
      <c r="B255" s="46"/>
      <c r="C255" s="46"/>
      <c r="D255" s="46"/>
      <c r="E255" s="17"/>
      <c r="F255" s="46"/>
      <c r="G255" s="46"/>
      <c r="H255" s="46"/>
      <c r="I255" s="17"/>
      <c r="J255" s="46"/>
      <c r="K255" s="46"/>
      <c r="L255" s="46"/>
      <c r="M255" s="17"/>
      <c r="N255" s="46"/>
      <c r="O255" s="46"/>
      <c r="P255" s="46"/>
      <c r="Q255" s="46"/>
      <c r="R255" s="46"/>
      <c r="S255" s="46"/>
      <c r="T255" s="46"/>
      <c r="U255" s="46"/>
      <c r="V255" s="46"/>
      <c r="W255" s="46"/>
      <c r="X255" s="46"/>
      <c r="Y255" s="46"/>
      <c r="Z255" s="46"/>
      <c r="AA255" s="46"/>
      <c r="AB255" s="46"/>
      <c r="AC255" s="46"/>
      <c r="AD255" s="46"/>
      <c r="AE255" s="46"/>
      <c r="AF255" s="46"/>
      <c r="AG255" s="127"/>
      <c r="AH255" s="127"/>
      <c r="AI255" s="127"/>
      <c r="AJ255" s="127"/>
      <c r="AK255" s="46"/>
      <c r="AL255" s="46"/>
      <c r="AM255" s="46"/>
      <c r="AN255" s="46"/>
      <c r="AO255" s="46"/>
    </row>
    <row r="256">
      <c r="A256" s="17"/>
      <c r="B256" s="46"/>
      <c r="C256" s="46"/>
      <c r="D256" s="46"/>
      <c r="E256" s="17"/>
      <c r="F256" s="46"/>
      <c r="G256" s="46"/>
      <c r="H256" s="46"/>
      <c r="I256" s="17"/>
      <c r="J256" s="46"/>
      <c r="K256" s="46"/>
      <c r="L256" s="46"/>
      <c r="M256" s="17"/>
      <c r="N256" s="46"/>
      <c r="O256" s="46"/>
      <c r="P256" s="46"/>
      <c r="Q256" s="46"/>
      <c r="R256" s="46"/>
      <c r="S256" s="46"/>
      <c r="T256" s="46"/>
      <c r="U256" s="46"/>
      <c r="V256" s="46"/>
      <c r="W256" s="46"/>
      <c r="X256" s="46"/>
      <c r="Y256" s="46"/>
      <c r="Z256" s="46"/>
      <c r="AA256" s="46"/>
      <c r="AB256" s="46"/>
      <c r="AC256" s="46"/>
      <c r="AD256" s="46"/>
      <c r="AE256" s="46"/>
      <c r="AF256" s="46"/>
      <c r="AG256" s="127"/>
      <c r="AH256" s="127"/>
      <c r="AI256" s="127"/>
      <c r="AJ256" s="127"/>
      <c r="AK256" s="46"/>
      <c r="AL256" s="46"/>
      <c r="AM256" s="46"/>
      <c r="AN256" s="46"/>
      <c r="AO256" s="46"/>
    </row>
    <row r="257">
      <c r="A257" s="17"/>
      <c r="B257" s="46"/>
      <c r="C257" s="46"/>
      <c r="D257" s="46"/>
      <c r="E257" s="17"/>
      <c r="F257" s="46"/>
      <c r="G257" s="46"/>
      <c r="H257" s="46"/>
      <c r="I257" s="17"/>
      <c r="J257" s="46"/>
      <c r="K257" s="46"/>
      <c r="L257" s="46"/>
      <c r="M257" s="17"/>
      <c r="N257" s="46"/>
      <c r="O257" s="46"/>
      <c r="P257" s="46"/>
      <c r="Q257" s="46"/>
      <c r="R257" s="46"/>
      <c r="S257" s="46"/>
      <c r="T257" s="46"/>
      <c r="U257" s="46"/>
      <c r="V257" s="46"/>
      <c r="W257" s="46"/>
      <c r="X257" s="46"/>
      <c r="Y257" s="46"/>
      <c r="Z257" s="46"/>
      <c r="AA257" s="46"/>
      <c r="AB257" s="46"/>
      <c r="AC257" s="46"/>
      <c r="AD257" s="46"/>
      <c r="AE257" s="46"/>
      <c r="AF257" s="46"/>
      <c r="AG257" s="127"/>
      <c r="AH257" s="127"/>
      <c r="AI257" s="127"/>
      <c r="AJ257" s="127"/>
      <c r="AK257" s="46"/>
      <c r="AL257" s="46"/>
      <c r="AM257" s="46"/>
      <c r="AN257" s="46"/>
      <c r="AO257" s="46"/>
    </row>
    <row r="258">
      <c r="A258" s="17"/>
      <c r="B258" s="46"/>
      <c r="C258" s="46"/>
      <c r="D258" s="46"/>
      <c r="E258" s="17"/>
      <c r="F258" s="46"/>
      <c r="G258" s="46"/>
      <c r="H258" s="46"/>
      <c r="I258" s="17"/>
      <c r="J258" s="46"/>
      <c r="K258" s="46"/>
      <c r="L258" s="46"/>
      <c r="M258" s="17"/>
      <c r="N258" s="46"/>
      <c r="O258" s="46"/>
      <c r="P258" s="46"/>
      <c r="Q258" s="46"/>
      <c r="R258" s="46"/>
      <c r="S258" s="46"/>
      <c r="T258" s="46"/>
      <c r="U258" s="46"/>
      <c r="V258" s="46"/>
      <c r="W258" s="46"/>
      <c r="X258" s="46"/>
      <c r="Y258" s="46"/>
      <c r="Z258" s="46"/>
      <c r="AA258" s="46"/>
      <c r="AB258" s="46"/>
      <c r="AC258" s="46"/>
      <c r="AD258" s="46"/>
      <c r="AE258" s="46"/>
      <c r="AF258" s="46"/>
      <c r="AG258" s="127"/>
      <c r="AH258" s="127"/>
      <c r="AI258" s="127"/>
      <c r="AJ258" s="127"/>
      <c r="AK258" s="46"/>
      <c r="AL258" s="46"/>
      <c r="AM258" s="46"/>
      <c r="AN258" s="46"/>
      <c r="AO258" s="46"/>
    </row>
    <row r="259">
      <c r="A259" s="17"/>
      <c r="B259" s="46"/>
      <c r="C259" s="46"/>
      <c r="D259" s="46"/>
      <c r="E259" s="17"/>
      <c r="F259" s="46"/>
      <c r="G259" s="46"/>
      <c r="H259" s="46"/>
      <c r="I259" s="17"/>
      <c r="J259" s="46"/>
      <c r="K259" s="46"/>
      <c r="L259" s="46"/>
      <c r="M259" s="17"/>
      <c r="N259" s="46"/>
      <c r="O259" s="46"/>
      <c r="P259" s="46"/>
      <c r="Q259" s="46"/>
      <c r="R259" s="46"/>
      <c r="S259" s="46"/>
      <c r="T259" s="46"/>
      <c r="U259" s="46"/>
      <c r="V259" s="46"/>
      <c r="W259" s="46"/>
      <c r="X259" s="46"/>
      <c r="Y259" s="46"/>
      <c r="Z259" s="46"/>
      <c r="AA259" s="46"/>
      <c r="AB259" s="46"/>
      <c r="AC259" s="46"/>
      <c r="AD259" s="46"/>
      <c r="AE259" s="46"/>
      <c r="AF259" s="46"/>
      <c r="AG259" s="127"/>
      <c r="AH259" s="127"/>
      <c r="AI259" s="127"/>
      <c r="AJ259" s="127"/>
      <c r="AK259" s="46"/>
      <c r="AL259" s="46"/>
      <c r="AM259" s="46"/>
      <c r="AN259" s="46"/>
      <c r="AO259" s="46"/>
    </row>
    <row r="260">
      <c r="A260" s="17"/>
      <c r="B260" s="46"/>
      <c r="C260" s="46"/>
      <c r="D260" s="46"/>
      <c r="E260" s="17"/>
      <c r="F260" s="46"/>
      <c r="G260" s="46"/>
      <c r="H260" s="46"/>
      <c r="I260" s="17"/>
      <c r="J260" s="46"/>
      <c r="K260" s="46"/>
      <c r="L260" s="46"/>
      <c r="M260" s="17"/>
      <c r="N260" s="46"/>
      <c r="O260" s="46"/>
      <c r="P260" s="46"/>
      <c r="Q260" s="46"/>
      <c r="R260" s="46"/>
      <c r="S260" s="46"/>
      <c r="T260" s="46"/>
      <c r="U260" s="46"/>
      <c r="V260" s="46"/>
      <c r="W260" s="46"/>
      <c r="X260" s="46"/>
      <c r="Y260" s="46"/>
      <c r="Z260" s="46"/>
      <c r="AA260" s="46"/>
      <c r="AB260" s="46"/>
      <c r="AC260" s="46"/>
      <c r="AD260" s="46"/>
      <c r="AE260" s="46"/>
      <c r="AF260" s="46"/>
      <c r="AG260" s="127"/>
      <c r="AH260" s="127"/>
      <c r="AI260" s="127"/>
      <c r="AJ260" s="127"/>
      <c r="AK260" s="46"/>
      <c r="AL260" s="46"/>
      <c r="AM260" s="46"/>
      <c r="AN260" s="46"/>
      <c r="AO260" s="46"/>
    </row>
    <row r="261">
      <c r="A261" s="17"/>
      <c r="B261" s="46"/>
      <c r="C261" s="46"/>
      <c r="D261" s="46"/>
      <c r="E261" s="17"/>
      <c r="F261" s="46"/>
      <c r="G261" s="46"/>
      <c r="H261" s="46"/>
      <c r="I261" s="17"/>
      <c r="J261" s="46"/>
      <c r="K261" s="46"/>
      <c r="L261" s="46"/>
      <c r="M261" s="17"/>
      <c r="N261" s="46"/>
      <c r="O261" s="46"/>
      <c r="P261" s="46"/>
      <c r="Q261" s="46"/>
      <c r="R261" s="46"/>
      <c r="S261" s="46"/>
      <c r="T261" s="46"/>
      <c r="U261" s="46"/>
      <c r="V261" s="46"/>
      <c r="W261" s="46"/>
      <c r="X261" s="46"/>
      <c r="Y261" s="46"/>
      <c r="Z261" s="46"/>
      <c r="AA261" s="46"/>
      <c r="AB261" s="46"/>
      <c r="AC261" s="46"/>
      <c r="AD261" s="46"/>
      <c r="AE261" s="46"/>
      <c r="AF261" s="46"/>
      <c r="AG261" s="127"/>
      <c r="AH261" s="127"/>
      <c r="AI261" s="127"/>
      <c r="AJ261" s="127"/>
      <c r="AK261" s="46"/>
      <c r="AL261" s="46"/>
      <c r="AM261" s="46"/>
      <c r="AN261" s="46"/>
      <c r="AO261" s="46"/>
    </row>
    <row r="262">
      <c r="A262" s="17"/>
      <c r="B262" s="46"/>
      <c r="C262" s="46"/>
      <c r="D262" s="46"/>
      <c r="E262" s="17"/>
      <c r="F262" s="46"/>
      <c r="G262" s="46"/>
      <c r="H262" s="46"/>
      <c r="I262" s="17"/>
      <c r="J262" s="46"/>
      <c r="K262" s="46"/>
      <c r="L262" s="46"/>
      <c r="M262" s="17"/>
      <c r="N262" s="46"/>
      <c r="O262" s="46"/>
      <c r="P262" s="46"/>
      <c r="Q262" s="46"/>
      <c r="R262" s="46"/>
      <c r="S262" s="46"/>
      <c r="T262" s="46"/>
      <c r="U262" s="46"/>
      <c r="V262" s="46"/>
      <c r="W262" s="46"/>
      <c r="X262" s="46"/>
      <c r="Y262" s="46"/>
      <c r="Z262" s="46"/>
      <c r="AA262" s="46"/>
      <c r="AB262" s="46"/>
      <c r="AC262" s="46"/>
      <c r="AD262" s="46"/>
      <c r="AE262" s="46"/>
      <c r="AF262" s="46"/>
      <c r="AG262" s="127"/>
      <c r="AH262" s="127"/>
      <c r="AI262" s="127"/>
      <c r="AJ262" s="127"/>
      <c r="AK262" s="46"/>
      <c r="AL262" s="46"/>
      <c r="AM262" s="46"/>
      <c r="AN262" s="46"/>
      <c r="AO262" s="46"/>
    </row>
    <row r="263">
      <c r="A263" s="17"/>
      <c r="B263" s="46"/>
      <c r="C263" s="46"/>
      <c r="D263" s="46"/>
      <c r="E263" s="17"/>
      <c r="F263" s="46"/>
      <c r="G263" s="46"/>
      <c r="H263" s="46"/>
      <c r="I263" s="17"/>
      <c r="J263" s="46"/>
      <c r="K263" s="46"/>
      <c r="L263" s="46"/>
      <c r="M263" s="17"/>
      <c r="N263" s="46"/>
      <c r="O263" s="46"/>
      <c r="P263" s="46"/>
      <c r="Q263" s="46"/>
      <c r="R263" s="46"/>
      <c r="S263" s="46"/>
      <c r="T263" s="46"/>
      <c r="U263" s="46"/>
      <c r="V263" s="46"/>
      <c r="W263" s="46"/>
      <c r="X263" s="46"/>
      <c r="Y263" s="46"/>
      <c r="Z263" s="46"/>
      <c r="AA263" s="46"/>
      <c r="AB263" s="46"/>
      <c r="AC263" s="46"/>
      <c r="AD263" s="46"/>
      <c r="AE263" s="46"/>
      <c r="AF263" s="46"/>
      <c r="AG263" s="127"/>
      <c r="AH263" s="127"/>
      <c r="AI263" s="127"/>
      <c r="AJ263" s="127"/>
      <c r="AK263" s="46"/>
      <c r="AL263" s="46"/>
      <c r="AM263" s="46"/>
      <c r="AN263" s="46"/>
      <c r="AO263" s="46"/>
    </row>
    <row r="264">
      <c r="A264" s="17"/>
      <c r="B264" s="46"/>
      <c r="C264" s="46"/>
      <c r="D264" s="46"/>
      <c r="E264" s="17"/>
      <c r="F264" s="46"/>
      <c r="G264" s="46"/>
      <c r="H264" s="46"/>
      <c r="I264" s="17"/>
      <c r="J264" s="46"/>
      <c r="K264" s="46"/>
      <c r="L264" s="46"/>
      <c r="M264" s="17"/>
      <c r="N264" s="46"/>
      <c r="O264" s="46"/>
      <c r="P264" s="46"/>
      <c r="Q264" s="46"/>
      <c r="R264" s="46"/>
      <c r="S264" s="46"/>
      <c r="T264" s="46"/>
      <c r="U264" s="46"/>
      <c r="V264" s="46"/>
      <c r="W264" s="46"/>
      <c r="X264" s="46"/>
      <c r="Y264" s="46"/>
      <c r="Z264" s="46"/>
      <c r="AA264" s="46"/>
      <c r="AB264" s="46"/>
      <c r="AC264" s="46"/>
      <c r="AD264" s="46"/>
      <c r="AE264" s="46"/>
      <c r="AF264" s="46"/>
      <c r="AG264" s="127"/>
      <c r="AH264" s="127"/>
      <c r="AI264" s="127"/>
      <c r="AJ264" s="127"/>
      <c r="AK264" s="46"/>
      <c r="AL264" s="46"/>
      <c r="AM264" s="46"/>
      <c r="AN264" s="46"/>
      <c r="AO264" s="46"/>
    </row>
    <row r="265">
      <c r="A265" s="17"/>
      <c r="B265" s="46"/>
      <c r="C265" s="46"/>
      <c r="D265" s="46"/>
      <c r="E265" s="17"/>
      <c r="F265" s="46"/>
      <c r="G265" s="46"/>
      <c r="H265" s="46"/>
      <c r="I265" s="17"/>
      <c r="J265" s="46"/>
      <c r="K265" s="46"/>
      <c r="L265" s="46"/>
      <c r="M265" s="17"/>
      <c r="N265" s="46"/>
      <c r="O265" s="46"/>
      <c r="P265" s="46"/>
      <c r="Q265" s="46"/>
      <c r="R265" s="46"/>
      <c r="S265" s="46"/>
      <c r="T265" s="46"/>
      <c r="U265" s="46"/>
      <c r="V265" s="46"/>
      <c r="W265" s="46"/>
      <c r="X265" s="46"/>
      <c r="Y265" s="46"/>
      <c r="Z265" s="46"/>
      <c r="AA265" s="46"/>
      <c r="AB265" s="46"/>
      <c r="AC265" s="46"/>
      <c r="AD265" s="46"/>
      <c r="AE265" s="46"/>
      <c r="AF265" s="46"/>
      <c r="AG265" s="127"/>
      <c r="AH265" s="127"/>
      <c r="AI265" s="127"/>
      <c r="AJ265" s="127"/>
      <c r="AK265" s="46"/>
      <c r="AL265" s="46"/>
      <c r="AM265" s="46"/>
      <c r="AN265" s="46"/>
      <c r="AO265" s="46"/>
    </row>
    <row r="266">
      <c r="A266" s="17"/>
      <c r="B266" s="46"/>
      <c r="C266" s="46"/>
      <c r="D266" s="46"/>
      <c r="E266" s="17"/>
      <c r="F266" s="46"/>
      <c r="G266" s="46"/>
      <c r="H266" s="46"/>
      <c r="I266" s="17"/>
      <c r="J266" s="46"/>
      <c r="K266" s="46"/>
      <c r="L266" s="46"/>
      <c r="M266" s="17"/>
      <c r="N266" s="46"/>
      <c r="O266" s="46"/>
      <c r="P266" s="46"/>
      <c r="Q266" s="46"/>
      <c r="R266" s="46"/>
      <c r="S266" s="46"/>
      <c r="T266" s="46"/>
      <c r="U266" s="46"/>
      <c r="V266" s="46"/>
      <c r="W266" s="46"/>
      <c r="X266" s="46"/>
      <c r="Y266" s="46"/>
      <c r="Z266" s="46"/>
      <c r="AA266" s="46"/>
      <c r="AB266" s="46"/>
      <c r="AC266" s="46"/>
      <c r="AD266" s="46"/>
      <c r="AE266" s="46"/>
      <c r="AF266" s="46"/>
      <c r="AG266" s="127"/>
      <c r="AH266" s="127"/>
      <c r="AI266" s="127"/>
      <c r="AJ266" s="127"/>
      <c r="AK266" s="46"/>
      <c r="AL266" s="46"/>
      <c r="AM266" s="46"/>
      <c r="AN266" s="46"/>
      <c r="AO266" s="46"/>
    </row>
    <row r="267">
      <c r="A267" s="17"/>
      <c r="B267" s="46"/>
      <c r="C267" s="46"/>
      <c r="D267" s="46"/>
      <c r="E267" s="17"/>
      <c r="F267" s="46"/>
      <c r="G267" s="46"/>
      <c r="H267" s="46"/>
      <c r="I267" s="17"/>
      <c r="J267" s="46"/>
      <c r="K267" s="46"/>
      <c r="L267" s="46"/>
      <c r="M267" s="17"/>
      <c r="N267" s="46"/>
      <c r="O267" s="46"/>
      <c r="P267" s="46"/>
      <c r="Q267" s="46"/>
      <c r="R267" s="46"/>
      <c r="S267" s="46"/>
      <c r="T267" s="46"/>
      <c r="U267" s="46"/>
      <c r="V267" s="46"/>
      <c r="W267" s="46"/>
      <c r="X267" s="46"/>
      <c r="Y267" s="46"/>
      <c r="Z267" s="46"/>
      <c r="AA267" s="46"/>
      <c r="AB267" s="46"/>
      <c r="AC267" s="46"/>
      <c r="AD267" s="46"/>
      <c r="AE267" s="46"/>
      <c r="AF267" s="46"/>
      <c r="AG267" s="127"/>
      <c r="AH267" s="127"/>
      <c r="AI267" s="127"/>
      <c r="AJ267" s="127"/>
      <c r="AK267" s="46"/>
      <c r="AL267" s="46"/>
      <c r="AM267" s="46"/>
      <c r="AN267" s="46"/>
      <c r="AO267" s="46"/>
    </row>
    <row r="268">
      <c r="A268" s="17"/>
      <c r="B268" s="46"/>
      <c r="C268" s="46"/>
      <c r="D268" s="46"/>
      <c r="E268" s="17"/>
      <c r="F268" s="46"/>
      <c r="G268" s="46"/>
      <c r="H268" s="46"/>
      <c r="I268" s="17"/>
      <c r="J268" s="46"/>
      <c r="K268" s="46"/>
      <c r="L268" s="46"/>
      <c r="M268" s="17"/>
      <c r="N268" s="46"/>
      <c r="O268" s="46"/>
      <c r="P268" s="46"/>
      <c r="Q268" s="46"/>
      <c r="R268" s="46"/>
      <c r="S268" s="46"/>
      <c r="T268" s="46"/>
      <c r="U268" s="46"/>
      <c r="V268" s="46"/>
      <c r="W268" s="46"/>
      <c r="X268" s="46"/>
      <c r="Y268" s="46"/>
      <c r="Z268" s="46"/>
      <c r="AA268" s="46"/>
      <c r="AB268" s="46"/>
      <c r="AC268" s="46"/>
      <c r="AD268" s="46"/>
      <c r="AE268" s="46"/>
      <c r="AF268" s="46"/>
      <c r="AG268" s="127"/>
      <c r="AH268" s="127"/>
      <c r="AI268" s="127"/>
      <c r="AJ268" s="127"/>
      <c r="AK268" s="46"/>
      <c r="AL268" s="46"/>
      <c r="AM268" s="46"/>
      <c r="AN268" s="46"/>
      <c r="AO268" s="46"/>
    </row>
    <row r="269">
      <c r="A269" s="17"/>
      <c r="B269" s="46"/>
      <c r="C269" s="46"/>
      <c r="D269" s="46"/>
      <c r="E269" s="17"/>
      <c r="F269" s="46"/>
      <c r="G269" s="46"/>
      <c r="H269" s="46"/>
      <c r="I269" s="17"/>
      <c r="J269" s="46"/>
      <c r="K269" s="46"/>
      <c r="L269" s="46"/>
      <c r="M269" s="17"/>
      <c r="N269" s="46"/>
      <c r="O269" s="46"/>
      <c r="P269" s="46"/>
      <c r="Q269" s="46"/>
      <c r="R269" s="46"/>
      <c r="S269" s="46"/>
      <c r="T269" s="46"/>
      <c r="U269" s="46"/>
      <c r="V269" s="46"/>
      <c r="W269" s="46"/>
      <c r="X269" s="46"/>
      <c r="Y269" s="46"/>
      <c r="Z269" s="46"/>
      <c r="AA269" s="46"/>
      <c r="AB269" s="46"/>
      <c r="AC269" s="46"/>
      <c r="AD269" s="46"/>
      <c r="AE269" s="46"/>
      <c r="AF269" s="46"/>
      <c r="AG269" s="127"/>
      <c r="AH269" s="127"/>
      <c r="AI269" s="127"/>
      <c r="AJ269" s="127"/>
      <c r="AK269" s="46"/>
      <c r="AL269" s="46"/>
      <c r="AM269" s="46"/>
      <c r="AN269" s="46"/>
      <c r="AO269" s="46"/>
    </row>
    <row r="270">
      <c r="A270" s="17"/>
      <c r="B270" s="46"/>
      <c r="C270" s="46"/>
      <c r="D270" s="46"/>
      <c r="E270" s="17"/>
      <c r="F270" s="46"/>
      <c r="G270" s="46"/>
      <c r="H270" s="46"/>
      <c r="I270" s="17"/>
      <c r="J270" s="46"/>
      <c r="K270" s="46"/>
      <c r="L270" s="46"/>
      <c r="M270" s="17"/>
      <c r="N270" s="46"/>
      <c r="O270" s="46"/>
      <c r="P270" s="46"/>
      <c r="Q270" s="46"/>
      <c r="R270" s="46"/>
      <c r="S270" s="46"/>
      <c r="T270" s="46"/>
      <c r="U270" s="46"/>
      <c r="V270" s="46"/>
      <c r="W270" s="46"/>
      <c r="X270" s="46"/>
      <c r="Y270" s="46"/>
      <c r="Z270" s="46"/>
      <c r="AA270" s="46"/>
      <c r="AB270" s="46"/>
      <c r="AC270" s="46"/>
      <c r="AD270" s="46"/>
      <c r="AE270" s="46"/>
      <c r="AF270" s="46"/>
      <c r="AG270" s="127"/>
      <c r="AH270" s="127"/>
      <c r="AI270" s="127"/>
      <c r="AJ270" s="127"/>
      <c r="AK270" s="46"/>
      <c r="AL270" s="46"/>
      <c r="AM270" s="46"/>
      <c r="AN270" s="46"/>
      <c r="AO270" s="46"/>
    </row>
    <row r="271">
      <c r="A271" s="17"/>
      <c r="B271" s="46"/>
      <c r="C271" s="46"/>
      <c r="D271" s="46"/>
      <c r="E271" s="17"/>
      <c r="F271" s="46"/>
      <c r="G271" s="46"/>
      <c r="H271" s="46"/>
      <c r="I271" s="17"/>
      <c r="J271" s="46"/>
      <c r="K271" s="46"/>
      <c r="L271" s="46"/>
      <c r="M271" s="17"/>
      <c r="N271" s="46"/>
      <c r="O271" s="46"/>
      <c r="P271" s="46"/>
      <c r="Q271" s="46"/>
      <c r="R271" s="46"/>
      <c r="S271" s="46"/>
      <c r="T271" s="46"/>
      <c r="U271" s="46"/>
      <c r="V271" s="46"/>
      <c r="W271" s="46"/>
      <c r="X271" s="46"/>
      <c r="Y271" s="46"/>
      <c r="Z271" s="46"/>
      <c r="AA271" s="46"/>
      <c r="AB271" s="46"/>
      <c r="AC271" s="46"/>
      <c r="AD271" s="46"/>
      <c r="AE271" s="46"/>
      <c r="AF271" s="46"/>
      <c r="AG271" s="127"/>
      <c r="AH271" s="127"/>
      <c r="AI271" s="127"/>
      <c r="AJ271" s="127"/>
      <c r="AK271" s="46"/>
      <c r="AL271" s="46"/>
      <c r="AM271" s="46"/>
      <c r="AN271" s="46"/>
      <c r="AO271" s="46"/>
    </row>
    <row r="272">
      <c r="A272" s="17"/>
      <c r="B272" s="46"/>
      <c r="C272" s="46"/>
      <c r="D272" s="46"/>
      <c r="E272" s="17"/>
      <c r="F272" s="46"/>
      <c r="G272" s="46"/>
      <c r="H272" s="46"/>
      <c r="I272" s="17"/>
      <c r="J272" s="46"/>
      <c r="K272" s="46"/>
      <c r="L272" s="46"/>
      <c r="M272" s="17"/>
      <c r="N272" s="46"/>
      <c r="O272" s="46"/>
      <c r="P272" s="46"/>
      <c r="Q272" s="46"/>
      <c r="R272" s="46"/>
      <c r="S272" s="46"/>
      <c r="T272" s="46"/>
      <c r="U272" s="46"/>
      <c r="V272" s="46"/>
      <c r="W272" s="46"/>
      <c r="X272" s="46"/>
      <c r="Y272" s="46"/>
      <c r="Z272" s="46"/>
      <c r="AA272" s="46"/>
      <c r="AB272" s="46"/>
      <c r="AC272" s="46"/>
      <c r="AD272" s="46"/>
      <c r="AE272" s="46"/>
      <c r="AF272" s="46"/>
      <c r="AG272" s="127"/>
      <c r="AH272" s="127"/>
      <c r="AI272" s="127"/>
      <c r="AJ272" s="127"/>
      <c r="AK272" s="46"/>
      <c r="AL272" s="46"/>
      <c r="AM272" s="46"/>
      <c r="AN272" s="46"/>
      <c r="AO272" s="46"/>
    </row>
    <row r="273">
      <c r="A273" s="17"/>
      <c r="B273" s="46"/>
      <c r="C273" s="46"/>
      <c r="D273" s="46"/>
      <c r="E273" s="17"/>
      <c r="F273" s="46"/>
      <c r="G273" s="46"/>
      <c r="H273" s="46"/>
      <c r="I273" s="17"/>
      <c r="J273" s="46"/>
      <c r="K273" s="46"/>
      <c r="L273" s="46"/>
      <c r="M273" s="17"/>
      <c r="N273" s="46"/>
      <c r="O273" s="46"/>
      <c r="P273" s="46"/>
      <c r="Q273" s="46"/>
      <c r="R273" s="46"/>
      <c r="S273" s="46"/>
      <c r="T273" s="46"/>
      <c r="U273" s="46"/>
      <c r="V273" s="46"/>
      <c r="W273" s="46"/>
      <c r="X273" s="46"/>
      <c r="Y273" s="46"/>
      <c r="Z273" s="46"/>
      <c r="AA273" s="46"/>
      <c r="AB273" s="46"/>
      <c r="AC273" s="46"/>
      <c r="AD273" s="46"/>
      <c r="AE273" s="46"/>
      <c r="AF273" s="46"/>
      <c r="AG273" s="127"/>
      <c r="AH273" s="127"/>
      <c r="AI273" s="127"/>
      <c r="AJ273" s="127"/>
      <c r="AK273" s="46"/>
      <c r="AL273" s="46"/>
      <c r="AM273" s="46"/>
      <c r="AN273" s="46"/>
      <c r="AO273" s="46"/>
    </row>
    <row r="274">
      <c r="A274" s="17"/>
      <c r="B274" s="46"/>
      <c r="C274" s="46"/>
      <c r="D274" s="46"/>
      <c r="E274" s="17"/>
      <c r="F274" s="46"/>
      <c r="G274" s="46"/>
      <c r="H274" s="46"/>
      <c r="I274" s="17"/>
      <c r="J274" s="46"/>
      <c r="K274" s="46"/>
      <c r="L274" s="46"/>
      <c r="M274" s="17"/>
      <c r="N274" s="46"/>
      <c r="O274" s="46"/>
      <c r="P274" s="46"/>
      <c r="Q274" s="46"/>
      <c r="R274" s="46"/>
      <c r="S274" s="46"/>
      <c r="T274" s="46"/>
      <c r="U274" s="46"/>
      <c r="V274" s="46"/>
      <c r="W274" s="46"/>
      <c r="X274" s="46"/>
      <c r="Y274" s="46"/>
      <c r="Z274" s="46"/>
      <c r="AA274" s="46"/>
      <c r="AB274" s="46"/>
      <c r="AC274" s="46"/>
      <c r="AD274" s="46"/>
      <c r="AE274" s="46"/>
      <c r="AF274" s="46"/>
      <c r="AG274" s="127"/>
      <c r="AH274" s="127"/>
      <c r="AI274" s="127"/>
      <c r="AJ274" s="127"/>
      <c r="AK274" s="46"/>
      <c r="AL274" s="46"/>
      <c r="AM274" s="46"/>
      <c r="AN274" s="46"/>
      <c r="AO274" s="46"/>
    </row>
    <row r="275">
      <c r="A275" s="17"/>
      <c r="B275" s="46"/>
      <c r="C275" s="46"/>
      <c r="D275" s="46"/>
      <c r="E275" s="17"/>
      <c r="F275" s="46"/>
      <c r="G275" s="46"/>
      <c r="H275" s="46"/>
      <c r="I275" s="17"/>
      <c r="J275" s="46"/>
      <c r="K275" s="46"/>
      <c r="L275" s="46"/>
      <c r="M275" s="17"/>
      <c r="N275" s="46"/>
      <c r="O275" s="46"/>
      <c r="P275" s="46"/>
      <c r="Q275" s="46"/>
      <c r="R275" s="46"/>
      <c r="S275" s="46"/>
      <c r="T275" s="46"/>
      <c r="U275" s="46"/>
      <c r="V275" s="46"/>
      <c r="W275" s="46"/>
      <c r="X275" s="46"/>
      <c r="Y275" s="46"/>
      <c r="Z275" s="46"/>
      <c r="AA275" s="46"/>
      <c r="AB275" s="46"/>
      <c r="AC275" s="46"/>
      <c r="AD275" s="46"/>
      <c r="AE275" s="46"/>
      <c r="AF275" s="46"/>
      <c r="AG275" s="127"/>
      <c r="AH275" s="127"/>
      <c r="AI275" s="127"/>
      <c r="AJ275" s="127"/>
      <c r="AK275" s="46"/>
      <c r="AL275" s="46"/>
      <c r="AM275" s="46"/>
      <c r="AN275" s="46"/>
      <c r="AO275" s="46"/>
    </row>
    <row r="276">
      <c r="A276" s="17"/>
      <c r="B276" s="46"/>
      <c r="C276" s="46"/>
      <c r="D276" s="46"/>
      <c r="E276" s="17"/>
      <c r="F276" s="46"/>
      <c r="G276" s="46"/>
      <c r="H276" s="46"/>
      <c r="I276" s="17"/>
      <c r="J276" s="46"/>
      <c r="K276" s="46"/>
      <c r="L276" s="46"/>
      <c r="M276" s="17"/>
      <c r="N276" s="46"/>
      <c r="O276" s="46"/>
      <c r="P276" s="46"/>
      <c r="Q276" s="46"/>
      <c r="R276" s="46"/>
      <c r="S276" s="46"/>
      <c r="T276" s="46"/>
      <c r="U276" s="46"/>
      <c r="V276" s="46"/>
      <c r="W276" s="46"/>
      <c r="X276" s="46"/>
      <c r="Y276" s="46"/>
      <c r="Z276" s="46"/>
      <c r="AA276" s="46"/>
      <c r="AB276" s="46"/>
      <c r="AC276" s="46"/>
      <c r="AD276" s="46"/>
      <c r="AE276" s="46"/>
      <c r="AF276" s="46"/>
      <c r="AG276" s="127"/>
      <c r="AH276" s="127"/>
      <c r="AI276" s="127"/>
      <c r="AJ276" s="127"/>
      <c r="AK276" s="46"/>
      <c r="AL276" s="46"/>
      <c r="AM276" s="46"/>
      <c r="AN276" s="46"/>
      <c r="AO276" s="46"/>
    </row>
    <row r="277">
      <c r="A277" s="17"/>
      <c r="B277" s="46"/>
      <c r="C277" s="46"/>
      <c r="D277" s="46"/>
      <c r="E277" s="17"/>
      <c r="F277" s="46"/>
      <c r="G277" s="46"/>
      <c r="H277" s="46"/>
      <c r="I277" s="17"/>
      <c r="J277" s="46"/>
      <c r="K277" s="46"/>
      <c r="L277" s="46"/>
      <c r="M277" s="17"/>
      <c r="N277" s="46"/>
      <c r="O277" s="46"/>
      <c r="P277" s="46"/>
      <c r="Q277" s="46"/>
      <c r="R277" s="46"/>
      <c r="S277" s="46"/>
      <c r="T277" s="46"/>
      <c r="U277" s="46"/>
      <c r="V277" s="46"/>
      <c r="W277" s="46"/>
      <c r="X277" s="46"/>
      <c r="Y277" s="46"/>
      <c r="Z277" s="46"/>
      <c r="AA277" s="46"/>
      <c r="AB277" s="46"/>
      <c r="AC277" s="46"/>
      <c r="AD277" s="46"/>
      <c r="AE277" s="46"/>
      <c r="AF277" s="46"/>
      <c r="AG277" s="127"/>
      <c r="AH277" s="127"/>
      <c r="AI277" s="127"/>
      <c r="AJ277" s="127"/>
      <c r="AK277" s="46"/>
      <c r="AL277" s="46"/>
      <c r="AM277" s="46"/>
      <c r="AN277" s="46"/>
      <c r="AO277" s="46"/>
    </row>
    <row r="278">
      <c r="A278" s="17"/>
      <c r="B278" s="46"/>
      <c r="C278" s="46"/>
      <c r="D278" s="46"/>
      <c r="E278" s="17"/>
      <c r="F278" s="46"/>
      <c r="G278" s="46"/>
      <c r="H278" s="46"/>
      <c r="I278" s="17"/>
      <c r="J278" s="46"/>
      <c r="K278" s="46"/>
      <c r="L278" s="46"/>
      <c r="M278" s="17"/>
      <c r="N278" s="46"/>
      <c r="O278" s="46"/>
      <c r="P278" s="46"/>
      <c r="Q278" s="46"/>
      <c r="R278" s="46"/>
      <c r="S278" s="46"/>
      <c r="T278" s="46"/>
      <c r="U278" s="46"/>
      <c r="V278" s="46"/>
      <c r="W278" s="46"/>
      <c r="X278" s="46"/>
      <c r="Y278" s="46"/>
      <c r="Z278" s="46"/>
      <c r="AA278" s="46"/>
      <c r="AB278" s="46"/>
      <c r="AC278" s="46"/>
      <c r="AD278" s="46"/>
      <c r="AE278" s="46"/>
      <c r="AF278" s="46"/>
      <c r="AG278" s="127"/>
      <c r="AH278" s="127"/>
      <c r="AI278" s="127"/>
      <c r="AJ278" s="127"/>
      <c r="AK278" s="46"/>
      <c r="AL278" s="46"/>
      <c r="AM278" s="46"/>
      <c r="AN278" s="46"/>
      <c r="AO278" s="46"/>
    </row>
    <row r="279">
      <c r="A279" s="17"/>
      <c r="B279" s="46"/>
      <c r="C279" s="46"/>
      <c r="D279" s="46"/>
      <c r="E279" s="17"/>
      <c r="F279" s="46"/>
      <c r="G279" s="46"/>
      <c r="H279" s="46"/>
      <c r="I279" s="17"/>
      <c r="J279" s="46"/>
      <c r="K279" s="46"/>
      <c r="L279" s="46"/>
      <c r="M279" s="17"/>
      <c r="N279" s="46"/>
      <c r="O279" s="46"/>
      <c r="P279" s="46"/>
      <c r="Q279" s="46"/>
      <c r="R279" s="46"/>
      <c r="S279" s="46"/>
      <c r="T279" s="46"/>
      <c r="U279" s="46"/>
      <c r="V279" s="46"/>
      <c r="W279" s="46"/>
      <c r="X279" s="46"/>
      <c r="Y279" s="46"/>
      <c r="Z279" s="46"/>
      <c r="AA279" s="46"/>
      <c r="AB279" s="46"/>
      <c r="AC279" s="46"/>
      <c r="AD279" s="46"/>
      <c r="AE279" s="46"/>
      <c r="AF279" s="46"/>
      <c r="AG279" s="127"/>
      <c r="AH279" s="127"/>
      <c r="AI279" s="127"/>
      <c r="AJ279" s="127"/>
      <c r="AK279" s="46"/>
      <c r="AL279" s="46"/>
      <c r="AM279" s="46"/>
      <c r="AN279" s="46"/>
      <c r="AO279" s="46"/>
    </row>
    <row r="280">
      <c r="A280" s="17"/>
      <c r="B280" s="46"/>
      <c r="C280" s="46"/>
      <c r="D280" s="46"/>
      <c r="E280" s="17"/>
      <c r="F280" s="46"/>
      <c r="G280" s="46"/>
      <c r="H280" s="46"/>
      <c r="I280" s="17"/>
      <c r="J280" s="46"/>
      <c r="K280" s="46"/>
      <c r="L280" s="46"/>
      <c r="M280" s="17"/>
      <c r="N280" s="46"/>
      <c r="O280" s="46"/>
      <c r="P280" s="46"/>
      <c r="Q280" s="46"/>
      <c r="R280" s="46"/>
      <c r="S280" s="46"/>
      <c r="T280" s="46"/>
      <c r="U280" s="46"/>
      <c r="V280" s="46"/>
      <c r="W280" s="46"/>
      <c r="X280" s="46"/>
      <c r="Y280" s="46"/>
      <c r="Z280" s="46"/>
      <c r="AA280" s="46"/>
      <c r="AB280" s="46"/>
      <c r="AC280" s="46"/>
      <c r="AD280" s="46"/>
      <c r="AE280" s="46"/>
      <c r="AF280" s="46"/>
      <c r="AG280" s="127"/>
      <c r="AH280" s="127"/>
      <c r="AI280" s="127"/>
      <c r="AJ280" s="127"/>
      <c r="AK280" s="46"/>
      <c r="AL280" s="46"/>
      <c r="AM280" s="46"/>
      <c r="AN280" s="46"/>
      <c r="AO280" s="46"/>
    </row>
    <row r="281">
      <c r="A281" s="17"/>
      <c r="B281" s="46"/>
      <c r="C281" s="46"/>
      <c r="D281" s="46"/>
      <c r="E281" s="17"/>
      <c r="F281" s="46"/>
      <c r="G281" s="46"/>
      <c r="H281" s="46"/>
      <c r="I281" s="17"/>
      <c r="J281" s="46"/>
      <c r="K281" s="46"/>
      <c r="L281" s="46"/>
      <c r="M281" s="17"/>
      <c r="N281" s="46"/>
      <c r="O281" s="46"/>
      <c r="P281" s="46"/>
      <c r="Q281" s="46"/>
      <c r="R281" s="46"/>
      <c r="S281" s="46"/>
      <c r="T281" s="46"/>
      <c r="U281" s="46"/>
      <c r="V281" s="46"/>
      <c r="W281" s="46"/>
      <c r="X281" s="46"/>
      <c r="Y281" s="46"/>
      <c r="Z281" s="46"/>
      <c r="AA281" s="46"/>
      <c r="AB281" s="46"/>
      <c r="AC281" s="46"/>
      <c r="AD281" s="46"/>
      <c r="AE281" s="46"/>
      <c r="AF281" s="46"/>
      <c r="AG281" s="127"/>
      <c r="AH281" s="127"/>
      <c r="AI281" s="127"/>
      <c r="AJ281" s="127"/>
      <c r="AK281" s="46"/>
      <c r="AL281" s="46"/>
      <c r="AM281" s="46"/>
      <c r="AN281" s="46"/>
      <c r="AO281" s="46"/>
    </row>
    <row r="282">
      <c r="A282" s="17"/>
      <c r="B282" s="46"/>
      <c r="C282" s="46"/>
      <c r="D282" s="46"/>
      <c r="E282" s="17"/>
      <c r="F282" s="46"/>
      <c r="G282" s="46"/>
      <c r="H282" s="46"/>
      <c r="I282" s="17"/>
      <c r="J282" s="46"/>
      <c r="K282" s="46"/>
      <c r="L282" s="46"/>
      <c r="M282" s="17"/>
      <c r="N282" s="46"/>
      <c r="O282" s="46"/>
      <c r="P282" s="46"/>
      <c r="Q282" s="46"/>
      <c r="R282" s="46"/>
      <c r="S282" s="46"/>
      <c r="T282" s="46"/>
      <c r="U282" s="46"/>
      <c r="V282" s="46"/>
      <c r="W282" s="46"/>
      <c r="X282" s="46"/>
      <c r="Y282" s="46"/>
      <c r="Z282" s="46"/>
      <c r="AA282" s="46"/>
      <c r="AB282" s="46"/>
      <c r="AC282" s="46"/>
      <c r="AD282" s="46"/>
      <c r="AE282" s="46"/>
      <c r="AF282" s="46"/>
      <c r="AG282" s="127"/>
      <c r="AH282" s="127"/>
      <c r="AI282" s="127"/>
      <c r="AJ282" s="127"/>
      <c r="AK282" s="46"/>
      <c r="AL282" s="46"/>
      <c r="AM282" s="46"/>
      <c r="AN282" s="46"/>
      <c r="AO282" s="46"/>
    </row>
    <row r="283">
      <c r="A283" s="17"/>
      <c r="B283" s="46"/>
      <c r="C283" s="46"/>
      <c r="D283" s="46"/>
      <c r="E283" s="17"/>
      <c r="F283" s="46"/>
      <c r="G283" s="46"/>
      <c r="H283" s="46"/>
      <c r="I283" s="17"/>
      <c r="J283" s="46"/>
      <c r="K283" s="46"/>
      <c r="L283" s="46"/>
      <c r="M283" s="17"/>
      <c r="N283" s="46"/>
      <c r="O283" s="46"/>
      <c r="P283" s="46"/>
      <c r="Q283" s="46"/>
      <c r="R283" s="46"/>
      <c r="S283" s="46"/>
      <c r="T283" s="46"/>
      <c r="U283" s="46"/>
      <c r="V283" s="46"/>
      <c r="W283" s="46"/>
      <c r="X283" s="46"/>
      <c r="Y283" s="46"/>
      <c r="Z283" s="46"/>
      <c r="AA283" s="46"/>
      <c r="AB283" s="46"/>
      <c r="AC283" s="46"/>
      <c r="AD283" s="46"/>
      <c r="AE283" s="46"/>
      <c r="AF283" s="46"/>
      <c r="AG283" s="127"/>
      <c r="AH283" s="127"/>
      <c r="AI283" s="127"/>
      <c r="AJ283" s="127"/>
      <c r="AK283" s="46"/>
      <c r="AL283" s="46"/>
      <c r="AM283" s="46"/>
      <c r="AN283" s="46"/>
      <c r="AO283" s="46"/>
    </row>
    <row r="284">
      <c r="A284" s="17"/>
      <c r="B284" s="46"/>
      <c r="C284" s="46"/>
      <c r="D284" s="46"/>
      <c r="E284" s="17"/>
      <c r="F284" s="46"/>
      <c r="G284" s="46"/>
      <c r="H284" s="46"/>
      <c r="I284" s="17"/>
      <c r="J284" s="46"/>
      <c r="K284" s="46"/>
      <c r="L284" s="46"/>
      <c r="M284" s="17"/>
      <c r="N284" s="46"/>
      <c r="O284" s="46"/>
      <c r="P284" s="46"/>
      <c r="Q284" s="46"/>
      <c r="R284" s="46"/>
      <c r="S284" s="46"/>
      <c r="T284" s="46"/>
      <c r="U284" s="46"/>
      <c r="V284" s="46"/>
      <c r="W284" s="46"/>
      <c r="X284" s="46"/>
      <c r="Y284" s="46"/>
      <c r="Z284" s="46"/>
      <c r="AA284" s="46"/>
      <c r="AB284" s="46"/>
      <c r="AC284" s="46"/>
      <c r="AD284" s="46"/>
      <c r="AE284" s="46"/>
      <c r="AF284" s="46"/>
      <c r="AG284" s="127"/>
      <c r="AH284" s="127"/>
      <c r="AI284" s="127"/>
      <c r="AJ284" s="127"/>
      <c r="AK284" s="46"/>
      <c r="AL284" s="46"/>
      <c r="AM284" s="46"/>
      <c r="AN284" s="46"/>
      <c r="AO284" s="46"/>
    </row>
    <row r="285">
      <c r="A285" s="17"/>
      <c r="B285" s="46"/>
      <c r="C285" s="46"/>
      <c r="D285" s="46"/>
      <c r="E285" s="17"/>
      <c r="F285" s="46"/>
      <c r="G285" s="46"/>
      <c r="H285" s="46"/>
      <c r="I285" s="17"/>
      <c r="J285" s="46"/>
      <c r="K285" s="46"/>
      <c r="L285" s="46"/>
      <c r="M285" s="17"/>
      <c r="N285" s="46"/>
      <c r="O285" s="46"/>
      <c r="P285" s="46"/>
      <c r="Q285" s="46"/>
      <c r="R285" s="46"/>
      <c r="S285" s="46"/>
      <c r="T285" s="46"/>
      <c r="U285" s="46"/>
      <c r="V285" s="46"/>
      <c r="W285" s="46"/>
      <c r="X285" s="46"/>
      <c r="Y285" s="46"/>
      <c r="Z285" s="46"/>
      <c r="AA285" s="46"/>
      <c r="AB285" s="46"/>
      <c r="AC285" s="46"/>
      <c r="AD285" s="46"/>
      <c r="AE285" s="46"/>
      <c r="AF285" s="46"/>
      <c r="AG285" s="127"/>
      <c r="AH285" s="127"/>
      <c r="AI285" s="127"/>
      <c r="AJ285" s="127"/>
      <c r="AK285" s="46"/>
      <c r="AL285" s="46"/>
      <c r="AM285" s="46"/>
      <c r="AN285" s="46"/>
      <c r="AO285" s="46"/>
    </row>
    <row r="286">
      <c r="A286" s="17"/>
      <c r="B286" s="46"/>
      <c r="C286" s="46"/>
      <c r="D286" s="46"/>
      <c r="E286" s="17"/>
      <c r="F286" s="46"/>
      <c r="G286" s="46"/>
      <c r="H286" s="46"/>
      <c r="I286" s="17"/>
      <c r="J286" s="46"/>
      <c r="K286" s="46"/>
      <c r="L286" s="46"/>
      <c r="M286" s="17"/>
      <c r="N286" s="46"/>
      <c r="O286" s="46"/>
      <c r="P286" s="46"/>
      <c r="Q286" s="46"/>
      <c r="R286" s="46"/>
      <c r="S286" s="46"/>
      <c r="T286" s="46"/>
      <c r="U286" s="46"/>
      <c r="V286" s="46"/>
      <c r="W286" s="46"/>
      <c r="X286" s="46"/>
      <c r="Y286" s="46"/>
      <c r="Z286" s="46"/>
      <c r="AA286" s="46"/>
      <c r="AB286" s="46"/>
      <c r="AC286" s="46"/>
      <c r="AD286" s="46"/>
      <c r="AE286" s="46"/>
      <c r="AF286" s="46"/>
      <c r="AG286" s="127"/>
      <c r="AH286" s="127"/>
      <c r="AI286" s="127"/>
      <c r="AJ286" s="127"/>
      <c r="AK286" s="46"/>
      <c r="AL286" s="46"/>
      <c r="AM286" s="46"/>
      <c r="AN286" s="46"/>
      <c r="AO286" s="46"/>
    </row>
    <row r="287">
      <c r="A287" s="17"/>
      <c r="B287" s="46"/>
      <c r="C287" s="46"/>
      <c r="D287" s="46"/>
      <c r="E287" s="17"/>
      <c r="F287" s="46"/>
      <c r="G287" s="46"/>
      <c r="H287" s="46"/>
      <c r="I287" s="17"/>
      <c r="J287" s="46"/>
      <c r="K287" s="46"/>
      <c r="L287" s="46"/>
      <c r="M287" s="17"/>
      <c r="N287" s="46"/>
      <c r="O287" s="46"/>
      <c r="P287" s="46"/>
      <c r="Q287" s="46"/>
      <c r="R287" s="46"/>
      <c r="S287" s="46"/>
      <c r="T287" s="46"/>
      <c r="U287" s="46"/>
      <c r="V287" s="46"/>
      <c r="W287" s="46"/>
      <c r="X287" s="46"/>
      <c r="Y287" s="46"/>
      <c r="Z287" s="46"/>
      <c r="AA287" s="46"/>
      <c r="AB287" s="46"/>
      <c r="AC287" s="46"/>
      <c r="AD287" s="46"/>
      <c r="AE287" s="46"/>
      <c r="AF287" s="46"/>
      <c r="AG287" s="127"/>
      <c r="AH287" s="127"/>
      <c r="AI287" s="127"/>
      <c r="AJ287" s="127"/>
      <c r="AK287" s="46"/>
      <c r="AL287" s="46"/>
      <c r="AM287" s="46"/>
      <c r="AN287" s="46"/>
      <c r="AO287" s="46"/>
    </row>
    <row r="288">
      <c r="A288" s="17"/>
      <c r="B288" s="46"/>
      <c r="C288" s="46"/>
      <c r="D288" s="46"/>
      <c r="E288" s="17"/>
      <c r="F288" s="46"/>
      <c r="G288" s="46"/>
      <c r="H288" s="46"/>
      <c r="I288" s="17"/>
      <c r="J288" s="46"/>
      <c r="K288" s="46"/>
      <c r="L288" s="46"/>
      <c r="M288" s="17"/>
      <c r="N288" s="46"/>
      <c r="O288" s="46"/>
      <c r="P288" s="46"/>
      <c r="Q288" s="46"/>
      <c r="R288" s="46"/>
      <c r="S288" s="46"/>
      <c r="T288" s="46"/>
      <c r="U288" s="46"/>
      <c r="V288" s="46"/>
      <c r="W288" s="46"/>
      <c r="X288" s="46"/>
      <c r="Y288" s="46"/>
      <c r="Z288" s="46"/>
      <c r="AA288" s="46"/>
      <c r="AB288" s="46"/>
      <c r="AC288" s="46"/>
      <c r="AD288" s="46"/>
      <c r="AE288" s="46"/>
      <c r="AF288" s="46"/>
      <c r="AG288" s="127"/>
      <c r="AH288" s="127"/>
      <c r="AI288" s="127"/>
      <c r="AJ288" s="127"/>
      <c r="AK288" s="46"/>
      <c r="AL288" s="46"/>
      <c r="AM288" s="46"/>
      <c r="AN288" s="46"/>
      <c r="AO288" s="46"/>
    </row>
    <row r="289">
      <c r="A289" s="17"/>
      <c r="B289" s="46"/>
      <c r="C289" s="46"/>
      <c r="D289" s="46"/>
      <c r="E289" s="17"/>
      <c r="F289" s="46"/>
      <c r="G289" s="46"/>
      <c r="H289" s="46"/>
      <c r="I289" s="17"/>
      <c r="J289" s="46"/>
      <c r="K289" s="46"/>
      <c r="L289" s="46"/>
      <c r="M289" s="17"/>
      <c r="N289" s="46"/>
      <c r="O289" s="46"/>
      <c r="P289" s="46"/>
      <c r="Q289" s="46"/>
      <c r="R289" s="46"/>
      <c r="S289" s="46"/>
      <c r="T289" s="46"/>
      <c r="U289" s="46"/>
      <c r="V289" s="46"/>
      <c r="W289" s="46"/>
      <c r="X289" s="46"/>
      <c r="Y289" s="46"/>
      <c r="Z289" s="46"/>
      <c r="AA289" s="46"/>
      <c r="AB289" s="46"/>
      <c r="AC289" s="46"/>
      <c r="AD289" s="46"/>
      <c r="AE289" s="46"/>
      <c r="AF289" s="46"/>
      <c r="AG289" s="127"/>
      <c r="AH289" s="127"/>
      <c r="AI289" s="127"/>
      <c r="AJ289" s="127"/>
      <c r="AK289" s="46"/>
      <c r="AL289" s="46"/>
      <c r="AM289" s="46"/>
      <c r="AN289" s="46"/>
      <c r="AO289" s="46"/>
    </row>
    <row r="290">
      <c r="A290" s="17"/>
      <c r="B290" s="46"/>
      <c r="C290" s="46"/>
      <c r="D290" s="46"/>
      <c r="E290" s="17"/>
      <c r="F290" s="46"/>
      <c r="G290" s="46"/>
      <c r="H290" s="46"/>
      <c r="I290" s="17"/>
      <c r="J290" s="46"/>
      <c r="K290" s="46"/>
      <c r="L290" s="46"/>
      <c r="M290" s="17"/>
      <c r="N290" s="46"/>
      <c r="O290" s="46"/>
      <c r="P290" s="46"/>
      <c r="Q290" s="46"/>
      <c r="R290" s="46"/>
      <c r="S290" s="46"/>
      <c r="T290" s="46"/>
      <c r="U290" s="46"/>
      <c r="V290" s="46"/>
      <c r="W290" s="46"/>
      <c r="X290" s="46"/>
      <c r="Y290" s="46"/>
      <c r="Z290" s="46"/>
      <c r="AA290" s="46"/>
      <c r="AB290" s="46"/>
      <c r="AC290" s="46"/>
      <c r="AD290" s="46"/>
      <c r="AE290" s="46"/>
      <c r="AF290" s="46"/>
      <c r="AG290" s="127"/>
      <c r="AH290" s="127"/>
      <c r="AI290" s="127"/>
      <c r="AJ290" s="127"/>
      <c r="AK290" s="46"/>
      <c r="AL290" s="46"/>
      <c r="AM290" s="46"/>
      <c r="AN290" s="46"/>
      <c r="AO290" s="46"/>
    </row>
    <row r="291">
      <c r="A291" s="17"/>
      <c r="B291" s="46"/>
      <c r="C291" s="46"/>
      <c r="D291" s="46"/>
      <c r="E291" s="17"/>
      <c r="F291" s="46"/>
      <c r="G291" s="46"/>
      <c r="H291" s="46"/>
      <c r="I291" s="17"/>
      <c r="J291" s="46"/>
      <c r="K291" s="46"/>
      <c r="L291" s="46"/>
      <c r="M291" s="17"/>
      <c r="N291" s="46"/>
      <c r="O291" s="46"/>
      <c r="P291" s="46"/>
      <c r="Q291" s="46"/>
      <c r="R291" s="46"/>
      <c r="S291" s="46"/>
      <c r="T291" s="46"/>
      <c r="U291" s="46"/>
      <c r="V291" s="46"/>
      <c r="W291" s="46"/>
      <c r="X291" s="46"/>
      <c r="Y291" s="46"/>
      <c r="Z291" s="46"/>
      <c r="AA291" s="46"/>
      <c r="AB291" s="46"/>
      <c r="AC291" s="46"/>
      <c r="AD291" s="46"/>
      <c r="AE291" s="46"/>
      <c r="AF291" s="46"/>
      <c r="AG291" s="127"/>
      <c r="AH291" s="127"/>
      <c r="AI291" s="127"/>
      <c r="AJ291" s="127"/>
      <c r="AK291" s="46"/>
      <c r="AL291" s="46"/>
      <c r="AM291" s="46"/>
      <c r="AN291" s="46"/>
      <c r="AO291" s="46"/>
    </row>
    <row r="292">
      <c r="A292" s="17"/>
      <c r="B292" s="46"/>
      <c r="C292" s="46"/>
      <c r="D292" s="46"/>
      <c r="E292" s="17"/>
      <c r="F292" s="46"/>
      <c r="G292" s="46"/>
      <c r="H292" s="46"/>
      <c r="I292" s="17"/>
      <c r="J292" s="46"/>
      <c r="K292" s="46"/>
      <c r="L292" s="46"/>
      <c r="M292" s="17"/>
      <c r="N292" s="46"/>
      <c r="O292" s="46"/>
      <c r="P292" s="46"/>
      <c r="Q292" s="46"/>
      <c r="R292" s="46"/>
      <c r="S292" s="46"/>
      <c r="T292" s="46"/>
      <c r="U292" s="46"/>
      <c r="V292" s="46"/>
      <c r="W292" s="46"/>
      <c r="X292" s="46"/>
      <c r="Y292" s="46"/>
      <c r="Z292" s="46"/>
      <c r="AA292" s="46"/>
      <c r="AB292" s="46"/>
      <c r="AC292" s="46"/>
      <c r="AD292" s="46"/>
      <c r="AE292" s="46"/>
      <c r="AF292" s="46"/>
      <c r="AG292" s="127"/>
      <c r="AH292" s="127"/>
      <c r="AI292" s="127"/>
      <c r="AJ292" s="127"/>
      <c r="AK292" s="46"/>
      <c r="AL292" s="46"/>
      <c r="AM292" s="46"/>
      <c r="AN292" s="46"/>
      <c r="AO292" s="46"/>
    </row>
    <row r="293">
      <c r="A293" s="17"/>
      <c r="B293" s="46"/>
      <c r="C293" s="46"/>
      <c r="D293" s="46"/>
      <c r="E293" s="17"/>
      <c r="F293" s="46"/>
      <c r="G293" s="46"/>
      <c r="H293" s="46"/>
      <c r="I293" s="17"/>
      <c r="J293" s="46"/>
      <c r="K293" s="46"/>
      <c r="L293" s="46"/>
      <c r="M293" s="17"/>
      <c r="N293" s="46"/>
      <c r="O293" s="46"/>
      <c r="P293" s="46"/>
      <c r="Q293" s="46"/>
      <c r="R293" s="46"/>
      <c r="S293" s="46"/>
      <c r="T293" s="46"/>
      <c r="U293" s="46"/>
      <c r="V293" s="46"/>
      <c r="W293" s="46"/>
      <c r="X293" s="46"/>
      <c r="Y293" s="46"/>
      <c r="Z293" s="46"/>
      <c r="AA293" s="46"/>
      <c r="AB293" s="46"/>
      <c r="AC293" s="46"/>
      <c r="AD293" s="46"/>
      <c r="AE293" s="46"/>
      <c r="AF293" s="46"/>
      <c r="AG293" s="127"/>
      <c r="AH293" s="127"/>
      <c r="AI293" s="127"/>
      <c r="AJ293" s="127"/>
      <c r="AK293" s="46"/>
      <c r="AL293" s="46"/>
      <c r="AM293" s="46"/>
      <c r="AN293" s="46"/>
      <c r="AO293" s="46"/>
    </row>
    <row r="294">
      <c r="A294" s="17"/>
      <c r="B294" s="46"/>
      <c r="C294" s="46"/>
      <c r="D294" s="46"/>
      <c r="E294" s="17"/>
      <c r="F294" s="46"/>
      <c r="G294" s="46"/>
      <c r="H294" s="46"/>
      <c r="I294" s="17"/>
      <c r="J294" s="46"/>
      <c r="K294" s="46"/>
      <c r="L294" s="46"/>
      <c r="M294" s="17"/>
      <c r="N294" s="46"/>
      <c r="O294" s="46"/>
      <c r="P294" s="46"/>
      <c r="Q294" s="46"/>
      <c r="R294" s="46"/>
      <c r="S294" s="46"/>
      <c r="T294" s="46"/>
      <c r="U294" s="46"/>
      <c r="V294" s="46"/>
      <c r="W294" s="46"/>
      <c r="X294" s="46"/>
      <c r="Y294" s="46"/>
      <c r="Z294" s="46"/>
      <c r="AA294" s="46"/>
      <c r="AB294" s="46"/>
      <c r="AC294" s="46"/>
      <c r="AD294" s="46"/>
      <c r="AE294" s="46"/>
      <c r="AF294" s="46"/>
      <c r="AG294" s="127"/>
      <c r="AH294" s="127"/>
      <c r="AI294" s="127"/>
      <c r="AJ294" s="127"/>
      <c r="AK294" s="46"/>
      <c r="AL294" s="46"/>
      <c r="AM294" s="46"/>
      <c r="AN294" s="46"/>
      <c r="AO294" s="46"/>
    </row>
    <row r="295">
      <c r="A295" s="17"/>
      <c r="B295" s="46"/>
      <c r="C295" s="46"/>
      <c r="D295" s="46"/>
      <c r="E295" s="17"/>
      <c r="F295" s="46"/>
      <c r="G295" s="46"/>
      <c r="H295" s="46"/>
      <c r="I295" s="17"/>
      <c r="J295" s="46"/>
      <c r="K295" s="46"/>
      <c r="L295" s="46"/>
      <c r="M295" s="17"/>
      <c r="N295" s="46"/>
      <c r="O295" s="46"/>
      <c r="P295" s="46"/>
      <c r="Q295" s="46"/>
      <c r="R295" s="46"/>
      <c r="S295" s="46"/>
      <c r="T295" s="46"/>
      <c r="U295" s="46"/>
      <c r="V295" s="46"/>
      <c r="W295" s="46"/>
      <c r="X295" s="46"/>
      <c r="Y295" s="46"/>
      <c r="Z295" s="46"/>
      <c r="AA295" s="46"/>
      <c r="AB295" s="46"/>
      <c r="AC295" s="46"/>
      <c r="AD295" s="46"/>
      <c r="AE295" s="46"/>
      <c r="AF295" s="46"/>
      <c r="AG295" s="127"/>
      <c r="AH295" s="127"/>
      <c r="AI295" s="127"/>
      <c r="AJ295" s="127"/>
      <c r="AK295" s="46"/>
      <c r="AL295" s="46"/>
      <c r="AM295" s="46"/>
      <c r="AN295" s="46"/>
      <c r="AO295" s="46"/>
    </row>
    <row r="296">
      <c r="A296" s="17"/>
      <c r="B296" s="46"/>
      <c r="C296" s="46"/>
      <c r="D296" s="46"/>
      <c r="E296" s="17"/>
      <c r="F296" s="46"/>
      <c r="G296" s="46"/>
      <c r="H296" s="46"/>
      <c r="I296" s="17"/>
      <c r="J296" s="46"/>
      <c r="K296" s="46"/>
      <c r="L296" s="46"/>
      <c r="M296" s="17"/>
      <c r="N296" s="46"/>
      <c r="O296" s="46"/>
      <c r="P296" s="46"/>
      <c r="Q296" s="46"/>
      <c r="R296" s="46"/>
      <c r="S296" s="46"/>
      <c r="T296" s="46"/>
      <c r="U296" s="46"/>
      <c r="V296" s="46"/>
      <c r="W296" s="46"/>
      <c r="X296" s="46"/>
      <c r="Y296" s="46"/>
      <c r="Z296" s="46"/>
      <c r="AA296" s="46"/>
      <c r="AB296" s="46"/>
      <c r="AC296" s="46"/>
      <c r="AD296" s="46"/>
      <c r="AE296" s="46"/>
      <c r="AF296" s="46"/>
      <c r="AG296" s="127"/>
      <c r="AH296" s="127"/>
      <c r="AI296" s="127"/>
      <c r="AJ296" s="127"/>
      <c r="AK296" s="46"/>
      <c r="AL296" s="46"/>
      <c r="AM296" s="46"/>
      <c r="AN296" s="46"/>
      <c r="AO296" s="46"/>
    </row>
    <row r="297">
      <c r="A297" s="17"/>
      <c r="B297" s="46"/>
      <c r="C297" s="46"/>
      <c r="D297" s="46"/>
      <c r="E297" s="17"/>
      <c r="F297" s="46"/>
      <c r="G297" s="46"/>
      <c r="H297" s="46"/>
      <c r="I297" s="17"/>
      <c r="J297" s="46"/>
      <c r="K297" s="46"/>
      <c r="L297" s="46"/>
      <c r="M297" s="17"/>
      <c r="N297" s="46"/>
      <c r="O297" s="46"/>
      <c r="P297" s="46"/>
      <c r="Q297" s="46"/>
      <c r="R297" s="46"/>
      <c r="S297" s="46"/>
      <c r="T297" s="46"/>
      <c r="U297" s="46"/>
      <c r="V297" s="46"/>
      <c r="W297" s="46"/>
      <c r="X297" s="46"/>
      <c r="Y297" s="46"/>
      <c r="Z297" s="46"/>
      <c r="AA297" s="46"/>
      <c r="AB297" s="46"/>
      <c r="AC297" s="46"/>
      <c r="AD297" s="46"/>
      <c r="AE297" s="46"/>
      <c r="AF297" s="46"/>
      <c r="AG297" s="127"/>
      <c r="AH297" s="127"/>
      <c r="AI297" s="127"/>
      <c r="AJ297" s="127"/>
      <c r="AK297" s="46"/>
      <c r="AL297" s="46"/>
      <c r="AM297" s="46"/>
      <c r="AN297" s="46"/>
      <c r="AO297" s="46"/>
    </row>
    <row r="298">
      <c r="A298" s="17"/>
      <c r="B298" s="46"/>
      <c r="C298" s="46"/>
      <c r="D298" s="46"/>
      <c r="E298" s="17"/>
      <c r="F298" s="46"/>
      <c r="G298" s="46"/>
      <c r="H298" s="46"/>
      <c r="I298" s="17"/>
      <c r="J298" s="46"/>
      <c r="K298" s="46"/>
      <c r="L298" s="46"/>
      <c r="M298" s="17"/>
      <c r="N298" s="46"/>
      <c r="O298" s="46"/>
      <c r="P298" s="46"/>
      <c r="Q298" s="46"/>
      <c r="R298" s="46"/>
      <c r="S298" s="46"/>
      <c r="T298" s="46"/>
      <c r="U298" s="46"/>
      <c r="V298" s="46"/>
      <c r="W298" s="46"/>
      <c r="X298" s="46"/>
      <c r="Y298" s="46"/>
      <c r="Z298" s="46"/>
      <c r="AA298" s="46"/>
      <c r="AB298" s="46"/>
      <c r="AC298" s="46"/>
      <c r="AD298" s="46"/>
      <c r="AE298" s="46"/>
      <c r="AF298" s="46"/>
      <c r="AG298" s="127"/>
      <c r="AH298" s="127"/>
      <c r="AI298" s="127"/>
      <c r="AJ298" s="127"/>
      <c r="AK298" s="46"/>
      <c r="AL298" s="46"/>
      <c r="AM298" s="46"/>
      <c r="AN298" s="46"/>
      <c r="AO298" s="46"/>
    </row>
    <row r="299">
      <c r="A299" s="17"/>
      <c r="B299" s="46"/>
      <c r="C299" s="46"/>
      <c r="D299" s="46"/>
      <c r="E299" s="17"/>
      <c r="F299" s="46"/>
      <c r="G299" s="46"/>
      <c r="H299" s="46"/>
      <c r="I299" s="17"/>
      <c r="J299" s="46"/>
      <c r="K299" s="46"/>
      <c r="L299" s="46"/>
      <c r="M299" s="17"/>
      <c r="N299" s="46"/>
      <c r="O299" s="46"/>
      <c r="P299" s="46"/>
      <c r="Q299" s="46"/>
      <c r="R299" s="46"/>
      <c r="S299" s="46"/>
      <c r="T299" s="46"/>
      <c r="U299" s="46"/>
      <c r="V299" s="46"/>
      <c r="W299" s="46"/>
      <c r="X299" s="46"/>
      <c r="Y299" s="46"/>
      <c r="Z299" s="46"/>
      <c r="AA299" s="46"/>
      <c r="AB299" s="46"/>
      <c r="AC299" s="46"/>
      <c r="AD299" s="46"/>
      <c r="AE299" s="46"/>
      <c r="AF299" s="46"/>
      <c r="AG299" s="127"/>
      <c r="AH299" s="127"/>
      <c r="AI299" s="127"/>
      <c r="AJ299" s="127"/>
      <c r="AK299" s="46"/>
      <c r="AL299" s="46"/>
      <c r="AM299" s="46"/>
      <c r="AN299" s="46"/>
      <c r="AO299" s="46"/>
    </row>
    <row r="300">
      <c r="A300" s="17"/>
      <c r="B300" s="46"/>
      <c r="C300" s="46"/>
      <c r="D300" s="46"/>
      <c r="E300" s="17"/>
      <c r="F300" s="46"/>
      <c r="G300" s="46"/>
      <c r="H300" s="46"/>
      <c r="I300" s="17"/>
      <c r="J300" s="46"/>
      <c r="K300" s="46"/>
      <c r="L300" s="46"/>
      <c r="M300" s="17"/>
      <c r="N300" s="46"/>
      <c r="O300" s="46"/>
      <c r="P300" s="46"/>
      <c r="Q300" s="46"/>
      <c r="R300" s="46"/>
      <c r="S300" s="46"/>
      <c r="T300" s="46"/>
      <c r="U300" s="46"/>
      <c r="V300" s="46"/>
      <c r="W300" s="46"/>
      <c r="X300" s="46"/>
      <c r="Y300" s="46"/>
      <c r="Z300" s="46"/>
      <c r="AA300" s="46"/>
      <c r="AB300" s="46"/>
      <c r="AC300" s="46"/>
      <c r="AD300" s="46"/>
      <c r="AE300" s="46"/>
      <c r="AF300" s="46"/>
      <c r="AG300" s="127"/>
      <c r="AH300" s="127"/>
      <c r="AI300" s="127"/>
      <c r="AJ300" s="127"/>
      <c r="AK300" s="46"/>
      <c r="AL300" s="46"/>
      <c r="AM300" s="46"/>
      <c r="AN300" s="46"/>
      <c r="AO300" s="46"/>
    </row>
    <row r="301">
      <c r="A301" s="17"/>
      <c r="B301" s="46"/>
      <c r="C301" s="46"/>
      <c r="D301" s="46"/>
      <c r="E301" s="17"/>
      <c r="F301" s="46"/>
      <c r="G301" s="46"/>
      <c r="H301" s="46"/>
      <c r="I301" s="17"/>
      <c r="J301" s="46"/>
      <c r="K301" s="46"/>
      <c r="L301" s="46"/>
      <c r="M301" s="17"/>
      <c r="N301" s="46"/>
      <c r="O301" s="46"/>
      <c r="P301" s="46"/>
      <c r="Q301" s="46"/>
      <c r="R301" s="46"/>
      <c r="S301" s="46"/>
      <c r="T301" s="46"/>
      <c r="U301" s="46"/>
      <c r="V301" s="46"/>
      <c r="W301" s="46"/>
      <c r="X301" s="46"/>
      <c r="Y301" s="46"/>
      <c r="Z301" s="46"/>
      <c r="AA301" s="46"/>
      <c r="AB301" s="46"/>
      <c r="AC301" s="46"/>
      <c r="AD301" s="46"/>
      <c r="AE301" s="46"/>
      <c r="AF301" s="46"/>
      <c r="AG301" s="127"/>
      <c r="AH301" s="127"/>
      <c r="AI301" s="127"/>
      <c r="AJ301" s="127"/>
      <c r="AK301" s="46"/>
      <c r="AL301" s="46"/>
      <c r="AM301" s="46"/>
      <c r="AN301" s="46"/>
      <c r="AO301" s="46"/>
    </row>
    <row r="302">
      <c r="A302" s="17"/>
      <c r="B302" s="46"/>
      <c r="C302" s="46"/>
      <c r="D302" s="46"/>
      <c r="E302" s="17"/>
      <c r="F302" s="46"/>
      <c r="G302" s="46"/>
      <c r="H302" s="46"/>
      <c r="I302" s="17"/>
      <c r="J302" s="46"/>
      <c r="K302" s="46"/>
      <c r="L302" s="46"/>
      <c r="M302" s="17"/>
      <c r="N302" s="46"/>
      <c r="O302" s="46"/>
      <c r="P302" s="46"/>
      <c r="Q302" s="46"/>
      <c r="R302" s="46"/>
      <c r="S302" s="46"/>
      <c r="T302" s="46"/>
      <c r="U302" s="46"/>
      <c r="V302" s="46"/>
      <c r="W302" s="46"/>
      <c r="X302" s="46"/>
      <c r="Y302" s="46"/>
      <c r="Z302" s="46"/>
      <c r="AA302" s="46"/>
      <c r="AB302" s="46"/>
      <c r="AC302" s="46"/>
      <c r="AD302" s="46"/>
      <c r="AE302" s="46"/>
      <c r="AF302" s="46"/>
      <c r="AG302" s="127"/>
      <c r="AH302" s="127"/>
      <c r="AI302" s="127"/>
      <c r="AJ302" s="127"/>
      <c r="AK302" s="46"/>
      <c r="AL302" s="46"/>
      <c r="AM302" s="46"/>
      <c r="AN302" s="46"/>
      <c r="AO302" s="46"/>
    </row>
    <row r="303">
      <c r="A303" s="17"/>
      <c r="B303" s="46"/>
      <c r="C303" s="46"/>
      <c r="D303" s="46"/>
      <c r="E303" s="17"/>
      <c r="F303" s="46"/>
      <c r="G303" s="46"/>
      <c r="H303" s="46"/>
      <c r="I303" s="17"/>
      <c r="J303" s="46"/>
      <c r="K303" s="46"/>
      <c r="L303" s="46"/>
      <c r="M303" s="17"/>
      <c r="N303" s="46"/>
      <c r="O303" s="46"/>
      <c r="P303" s="46"/>
      <c r="Q303" s="46"/>
      <c r="R303" s="46"/>
      <c r="S303" s="46"/>
      <c r="T303" s="46"/>
      <c r="U303" s="46"/>
      <c r="V303" s="46"/>
      <c r="W303" s="46"/>
      <c r="X303" s="46"/>
      <c r="Y303" s="46"/>
      <c r="Z303" s="46"/>
      <c r="AA303" s="46"/>
      <c r="AB303" s="46"/>
      <c r="AC303" s="46"/>
      <c r="AD303" s="46"/>
      <c r="AE303" s="46"/>
      <c r="AF303" s="46"/>
      <c r="AG303" s="127"/>
      <c r="AH303" s="127"/>
      <c r="AI303" s="127"/>
      <c r="AJ303" s="127"/>
      <c r="AK303" s="46"/>
      <c r="AL303" s="46"/>
      <c r="AM303" s="46"/>
      <c r="AN303" s="46"/>
      <c r="AO303" s="46"/>
    </row>
    <row r="304">
      <c r="A304" s="17"/>
      <c r="B304" s="46"/>
      <c r="C304" s="46"/>
      <c r="D304" s="46"/>
      <c r="E304" s="17"/>
      <c r="F304" s="46"/>
      <c r="G304" s="46"/>
      <c r="H304" s="46"/>
      <c r="I304" s="17"/>
      <c r="J304" s="46"/>
      <c r="K304" s="46"/>
      <c r="L304" s="46"/>
      <c r="M304" s="17"/>
      <c r="N304" s="46"/>
      <c r="O304" s="46"/>
      <c r="P304" s="46"/>
      <c r="Q304" s="46"/>
      <c r="R304" s="46"/>
      <c r="S304" s="46"/>
      <c r="T304" s="46"/>
      <c r="U304" s="46"/>
      <c r="V304" s="46"/>
      <c r="W304" s="46"/>
      <c r="X304" s="46"/>
      <c r="Y304" s="46"/>
      <c r="Z304" s="46"/>
      <c r="AA304" s="46"/>
      <c r="AB304" s="46"/>
      <c r="AC304" s="46"/>
      <c r="AD304" s="46"/>
      <c r="AE304" s="46"/>
      <c r="AF304" s="46"/>
      <c r="AG304" s="127"/>
      <c r="AH304" s="127"/>
      <c r="AI304" s="127"/>
      <c r="AJ304" s="127"/>
      <c r="AK304" s="46"/>
      <c r="AL304" s="46"/>
      <c r="AM304" s="46"/>
      <c r="AN304" s="46"/>
      <c r="AO304" s="46"/>
    </row>
    <row r="305">
      <c r="A305" s="17"/>
      <c r="B305" s="46"/>
      <c r="C305" s="46"/>
      <c r="D305" s="46"/>
      <c r="E305" s="17"/>
      <c r="F305" s="46"/>
      <c r="G305" s="46"/>
      <c r="H305" s="46"/>
      <c r="I305" s="17"/>
      <c r="J305" s="46"/>
      <c r="K305" s="46"/>
      <c r="L305" s="46"/>
      <c r="M305" s="17"/>
      <c r="N305" s="46"/>
      <c r="O305" s="46"/>
      <c r="P305" s="46"/>
      <c r="Q305" s="46"/>
      <c r="R305" s="46"/>
      <c r="S305" s="46"/>
      <c r="T305" s="46"/>
      <c r="U305" s="46"/>
      <c r="V305" s="46"/>
      <c r="W305" s="46"/>
      <c r="X305" s="46"/>
      <c r="Y305" s="46"/>
      <c r="Z305" s="46"/>
      <c r="AA305" s="46"/>
      <c r="AB305" s="46"/>
      <c r="AC305" s="46"/>
      <c r="AD305" s="46"/>
      <c r="AE305" s="46"/>
      <c r="AF305" s="46"/>
      <c r="AG305" s="127"/>
      <c r="AH305" s="127"/>
      <c r="AI305" s="127"/>
      <c r="AJ305" s="127"/>
      <c r="AK305" s="46"/>
      <c r="AL305" s="46"/>
      <c r="AM305" s="46"/>
      <c r="AN305" s="46"/>
      <c r="AO305" s="46"/>
    </row>
    <row r="306">
      <c r="A306" s="17"/>
      <c r="B306" s="46"/>
      <c r="C306" s="46"/>
      <c r="D306" s="46"/>
      <c r="E306" s="17"/>
      <c r="F306" s="46"/>
      <c r="G306" s="46"/>
      <c r="H306" s="46"/>
      <c r="I306" s="17"/>
      <c r="J306" s="46"/>
      <c r="K306" s="46"/>
      <c r="L306" s="46"/>
      <c r="M306" s="17"/>
      <c r="N306" s="46"/>
      <c r="O306" s="46"/>
      <c r="P306" s="46"/>
      <c r="Q306" s="46"/>
      <c r="R306" s="46"/>
      <c r="S306" s="46"/>
      <c r="T306" s="46"/>
      <c r="U306" s="46"/>
      <c r="V306" s="46"/>
      <c r="W306" s="46"/>
      <c r="X306" s="46"/>
      <c r="Y306" s="46"/>
      <c r="Z306" s="46"/>
      <c r="AA306" s="46"/>
      <c r="AB306" s="46"/>
      <c r="AC306" s="46"/>
      <c r="AD306" s="46"/>
      <c r="AE306" s="46"/>
      <c r="AF306" s="46"/>
      <c r="AG306" s="127"/>
      <c r="AH306" s="127"/>
      <c r="AI306" s="127"/>
      <c r="AJ306" s="127"/>
      <c r="AK306" s="46"/>
      <c r="AL306" s="46"/>
      <c r="AM306" s="46"/>
      <c r="AN306" s="46"/>
      <c r="AO306" s="46"/>
    </row>
    <row r="307">
      <c r="A307" s="17"/>
      <c r="B307" s="46"/>
      <c r="C307" s="46"/>
      <c r="D307" s="46"/>
      <c r="E307" s="17"/>
      <c r="F307" s="46"/>
      <c r="G307" s="46"/>
      <c r="H307" s="46"/>
      <c r="I307" s="17"/>
      <c r="J307" s="46"/>
      <c r="K307" s="46"/>
      <c r="L307" s="46"/>
      <c r="M307" s="17"/>
      <c r="N307" s="46"/>
      <c r="O307" s="46"/>
      <c r="P307" s="46"/>
      <c r="Q307" s="46"/>
      <c r="R307" s="46"/>
      <c r="S307" s="46"/>
      <c r="T307" s="46"/>
      <c r="U307" s="46"/>
      <c r="V307" s="46"/>
      <c r="W307" s="46"/>
      <c r="X307" s="46"/>
      <c r="Y307" s="46"/>
      <c r="Z307" s="46"/>
      <c r="AA307" s="46"/>
      <c r="AB307" s="46"/>
      <c r="AC307" s="46"/>
      <c r="AD307" s="46"/>
      <c r="AE307" s="46"/>
      <c r="AF307" s="46"/>
      <c r="AG307" s="127"/>
      <c r="AH307" s="127"/>
      <c r="AI307" s="127"/>
      <c r="AJ307" s="127"/>
      <c r="AK307" s="46"/>
      <c r="AL307" s="46"/>
      <c r="AM307" s="46"/>
      <c r="AN307" s="46"/>
      <c r="AO307" s="46"/>
    </row>
    <row r="308">
      <c r="A308" s="17"/>
      <c r="B308" s="46"/>
      <c r="C308" s="46"/>
      <c r="D308" s="46"/>
      <c r="E308" s="17"/>
      <c r="F308" s="46"/>
      <c r="G308" s="46"/>
      <c r="H308" s="46"/>
      <c r="I308" s="17"/>
      <c r="J308" s="46"/>
      <c r="K308" s="46"/>
      <c r="L308" s="46"/>
      <c r="M308" s="17"/>
      <c r="N308" s="46"/>
      <c r="O308" s="46"/>
      <c r="P308" s="46"/>
      <c r="Q308" s="46"/>
      <c r="R308" s="46"/>
      <c r="S308" s="46"/>
      <c r="T308" s="46"/>
      <c r="U308" s="46"/>
      <c r="V308" s="46"/>
      <c r="W308" s="46"/>
      <c r="X308" s="46"/>
      <c r="Y308" s="46"/>
      <c r="Z308" s="46"/>
      <c r="AA308" s="46"/>
      <c r="AB308" s="46"/>
      <c r="AC308" s="46"/>
      <c r="AD308" s="46"/>
      <c r="AE308" s="46"/>
      <c r="AF308" s="46"/>
      <c r="AG308" s="127"/>
      <c r="AH308" s="127"/>
      <c r="AI308" s="127"/>
      <c r="AJ308" s="127"/>
      <c r="AK308" s="46"/>
      <c r="AL308" s="46"/>
      <c r="AM308" s="46"/>
      <c r="AN308" s="46"/>
      <c r="AO308" s="46"/>
    </row>
    <row r="309">
      <c r="A309" s="17"/>
      <c r="B309" s="46"/>
      <c r="C309" s="46"/>
      <c r="D309" s="46"/>
      <c r="E309" s="17"/>
      <c r="F309" s="46"/>
      <c r="G309" s="46"/>
      <c r="H309" s="46"/>
      <c r="I309" s="17"/>
      <c r="J309" s="46"/>
      <c r="K309" s="46"/>
      <c r="L309" s="46"/>
      <c r="M309" s="17"/>
      <c r="N309" s="46"/>
      <c r="O309" s="46"/>
      <c r="P309" s="46"/>
      <c r="Q309" s="46"/>
      <c r="R309" s="46"/>
      <c r="S309" s="46"/>
      <c r="T309" s="46"/>
      <c r="U309" s="46"/>
      <c r="V309" s="46"/>
      <c r="W309" s="46"/>
      <c r="X309" s="46"/>
      <c r="Y309" s="46"/>
      <c r="Z309" s="46"/>
      <c r="AA309" s="46"/>
      <c r="AB309" s="46"/>
      <c r="AC309" s="46"/>
      <c r="AD309" s="46"/>
      <c r="AE309" s="46"/>
      <c r="AF309" s="46"/>
      <c r="AG309" s="127"/>
      <c r="AH309" s="127"/>
      <c r="AI309" s="127"/>
      <c r="AJ309" s="127"/>
      <c r="AK309" s="46"/>
      <c r="AL309" s="46"/>
      <c r="AM309" s="46"/>
      <c r="AN309" s="46"/>
      <c r="AO309" s="46"/>
    </row>
    <row r="310">
      <c r="A310" s="17"/>
      <c r="B310" s="46"/>
      <c r="C310" s="46"/>
      <c r="D310" s="46"/>
      <c r="E310" s="17"/>
      <c r="F310" s="46"/>
      <c r="G310" s="46"/>
      <c r="H310" s="46"/>
      <c r="I310" s="17"/>
      <c r="J310" s="46"/>
      <c r="K310" s="46"/>
      <c r="L310" s="46"/>
      <c r="M310" s="17"/>
      <c r="N310" s="46"/>
      <c r="O310" s="46"/>
      <c r="P310" s="46"/>
      <c r="Q310" s="46"/>
      <c r="R310" s="46"/>
      <c r="S310" s="46"/>
      <c r="T310" s="46"/>
      <c r="U310" s="46"/>
      <c r="V310" s="46"/>
      <c r="W310" s="46"/>
      <c r="X310" s="46"/>
      <c r="Y310" s="46"/>
      <c r="Z310" s="46"/>
      <c r="AA310" s="46"/>
      <c r="AB310" s="46"/>
      <c r="AC310" s="46"/>
      <c r="AD310" s="46"/>
      <c r="AE310" s="46"/>
      <c r="AF310" s="46"/>
      <c r="AG310" s="127"/>
      <c r="AH310" s="127"/>
      <c r="AI310" s="127"/>
      <c r="AJ310" s="127"/>
      <c r="AK310" s="46"/>
      <c r="AL310" s="46"/>
      <c r="AM310" s="46"/>
      <c r="AN310" s="46"/>
      <c r="AO310" s="46"/>
    </row>
    <row r="311">
      <c r="A311" s="17"/>
      <c r="B311" s="46"/>
      <c r="C311" s="46"/>
      <c r="D311" s="46"/>
      <c r="E311" s="17"/>
      <c r="F311" s="46"/>
      <c r="G311" s="46"/>
      <c r="H311" s="46"/>
      <c r="I311" s="17"/>
      <c r="J311" s="46"/>
      <c r="K311" s="46"/>
      <c r="L311" s="46"/>
      <c r="M311" s="17"/>
      <c r="N311" s="46"/>
      <c r="O311" s="46"/>
      <c r="P311" s="46"/>
      <c r="Q311" s="46"/>
      <c r="R311" s="46"/>
      <c r="S311" s="46"/>
      <c r="T311" s="46"/>
      <c r="U311" s="46"/>
      <c r="V311" s="46"/>
      <c r="W311" s="46"/>
      <c r="X311" s="46"/>
      <c r="Y311" s="46"/>
      <c r="Z311" s="46"/>
      <c r="AA311" s="46"/>
      <c r="AB311" s="46"/>
      <c r="AC311" s="46"/>
      <c r="AD311" s="46"/>
      <c r="AE311" s="46"/>
      <c r="AF311" s="46"/>
      <c r="AG311" s="127"/>
      <c r="AH311" s="127"/>
      <c r="AI311" s="127"/>
      <c r="AJ311" s="127"/>
      <c r="AK311" s="46"/>
      <c r="AL311" s="46"/>
      <c r="AM311" s="46"/>
      <c r="AN311" s="46"/>
      <c r="AO311" s="46"/>
    </row>
    <row r="312">
      <c r="A312" s="17"/>
      <c r="B312" s="46"/>
      <c r="C312" s="46"/>
      <c r="D312" s="46"/>
      <c r="E312" s="17"/>
      <c r="F312" s="46"/>
      <c r="G312" s="46"/>
      <c r="H312" s="46"/>
      <c r="I312" s="17"/>
      <c r="J312" s="46"/>
      <c r="K312" s="46"/>
      <c r="L312" s="46"/>
      <c r="M312" s="17"/>
      <c r="N312" s="46"/>
      <c r="O312" s="46"/>
      <c r="P312" s="46"/>
      <c r="Q312" s="46"/>
      <c r="R312" s="46"/>
      <c r="S312" s="46"/>
      <c r="T312" s="46"/>
      <c r="U312" s="46"/>
      <c r="V312" s="46"/>
      <c r="W312" s="46"/>
      <c r="X312" s="46"/>
      <c r="Y312" s="46"/>
      <c r="Z312" s="46"/>
      <c r="AA312" s="46"/>
      <c r="AB312" s="46"/>
      <c r="AC312" s="46"/>
      <c r="AD312" s="46"/>
      <c r="AE312" s="46"/>
      <c r="AF312" s="46"/>
      <c r="AG312" s="127"/>
      <c r="AH312" s="127"/>
      <c r="AI312" s="127"/>
      <c r="AJ312" s="127"/>
      <c r="AK312" s="46"/>
      <c r="AL312" s="46"/>
      <c r="AM312" s="46"/>
      <c r="AN312" s="46"/>
      <c r="AO312" s="46"/>
    </row>
    <row r="313">
      <c r="A313" s="17"/>
      <c r="B313" s="46"/>
      <c r="C313" s="46"/>
      <c r="D313" s="46"/>
      <c r="E313" s="17"/>
      <c r="F313" s="46"/>
      <c r="G313" s="46"/>
      <c r="H313" s="46"/>
      <c r="I313" s="17"/>
      <c r="J313" s="46"/>
      <c r="K313" s="46"/>
      <c r="L313" s="46"/>
      <c r="M313" s="17"/>
      <c r="N313" s="46"/>
      <c r="O313" s="46"/>
      <c r="P313" s="46"/>
      <c r="Q313" s="46"/>
      <c r="R313" s="46"/>
      <c r="S313" s="46"/>
      <c r="T313" s="46"/>
      <c r="U313" s="46"/>
      <c r="V313" s="46"/>
      <c r="W313" s="46"/>
      <c r="X313" s="46"/>
      <c r="Y313" s="46"/>
      <c r="Z313" s="46"/>
      <c r="AA313" s="46"/>
      <c r="AB313" s="46"/>
      <c r="AC313" s="46"/>
      <c r="AD313" s="46"/>
      <c r="AE313" s="46"/>
      <c r="AF313" s="46"/>
      <c r="AG313" s="127"/>
      <c r="AH313" s="127"/>
      <c r="AI313" s="127"/>
      <c r="AJ313" s="127"/>
      <c r="AK313" s="46"/>
      <c r="AL313" s="46"/>
      <c r="AM313" s="46"/>
      <c r="AN313" s="46"/>
      <c r="AO313" s="46"/>
    </row>
    <row r="314">
      <c r="A314" s="17"/>
      <c r="B314" s="46"/>
      <c r="C314" s="46"/>
      <c r="D314" s="46"/>
      <c r="E314" s="17"/>
      <c r="F314" s="46"/>
      <c r="G314" s="46"/>
      <c r="H314" s="46"/>
      <c r="I314" s="17"/>
      <c r="J314" s="46"/>
      <c r="K314" s="46"/>
      <c r="L314" s="46"/>
      <c r="M314" s="17"/>
      <c r="N314" s="46"/>
      <c r="O314" s="46"/>
      <c r="P314" s="46"/>
      <c r="Q314" s="46"/>
      <c r="R314" s="46"/>
      <c r="S314" s="46"/>
      <c r="T314" s="46"/>
      <c r="U314" s="46"/>
      <c r="V314" s="46"/>
      <c r="W314" s="46"/>
      <c r="X314" s="46"/>
      <c r="Y314" s="46"/>
      <c r="Z314" s="46"/>
      <c r="AA314" s="46"/>
      <c r="AB314" s="46"/>
      <c r="AC314" s="46"/>
      <c r="AD314" s="46"/>
      <c r="AE314" s="46"/>
      <c r="AF314" s="46"/>
      <c r="AG314" s="127"/>
      <c r="AH314" s="127"/>
      <c r="AI314" s="127"/>
      <c r="AJ314" s="127"/>
      <c r="AK314" s="46"/>
      <c r="AL314" s="46"/>
      <c r="AM314" s="46"/>
      <c r="AN314" s="46"/>
      <c r="AO314" s="46"/>
    </row>
    <row r="315">
      <c r="A315" s="17"/>
      <c r="B315" s="46"/>
      <c r="C315" s="46"/>
      <c r="D315" s="46"/>
      <c r="E315" s="17"/>
      <c r="F315" s="46"/>
      <c r="G315" s="46"/>
      <c r="H315" s="46"/>
      <c r="I315" s="17"/>
      <c r="J315" s="46"/>
      <c r="K315" s="46"/>
      <c r="L315" s="46"/>
      <c r="M315" s="17"/>
      <c r="N315" s="46"/>
      <c r="O315" s="46"/>
      <c r="P315" s="46"/>
      <c r="Q315" s="46"/>
      <c r="R315" s="46"/>
      <c r="S315" s="46"/>
      <c r="T315" s="46"/>
      <c r="U315" s="46"/>
      <c r="V315" s="46"/>
      <c r="W315" s="46"/>
      <c r="X315" s="46"/>
      <c r="Y315" s="46"/>
      <c r="Z315" s="46"/>
      <c r="AA315" s="46"/>
      <c r="AB315" s="46"/>
      <c r="AC315" s="46"/>
      <c r="AD315" s="46"/>
      <c r="AE315" s="46"/>
      <c r="AF315" s="46"/>
      <c r="AG315" s="127"/>
      <c r="AH315" s="127"/>
      <c r="AI315" s="127"/>
      <c r="AJ315" s="127"/>
      <c r="AK315" s="46"/>
      <c r="AL315" s="46"/>
      <c r="AM315" s="46"/>
      <c r="AN315" s="46"/>
      <c r="AO315" s="46"/>
    </row>
    <row r="316">
      <c r="A316" s="17"/>
      <c r="B316" s="46"/>
      <c r="C316" s="46"/>
      <c r="D316" s="46"/>
      <c r="E316" s="17"/>
      <c r="F316" s="46"/>
      <c r="G316" s="46"/>
      <c r="H316" s="46"/>
      <c r="I316" s="17"/>
      <c r="J316" s="46"/>
      <c r="K316" s="46"/>
      <c r="L316" s="46"/>
      <c r="M316" s="17"/>
      <c r="N316" s="46"/>
      <c r="O316" s="46"/>
      <c r="P316" s="46"/>
      <c r="Q316" s="46"/>
      <c r="R316" s="46"/>
      <c r="S316" s="46"/>
      <c r="T316" s="46"/>
      <c r="U316" s="46"/>
      <c r="V316" s="46"/>
      <c r="W316" s="46"/>
      <c r="X316" s="46"/>
      <c r="Y316" s="46"/>
      <c r="Z316" s="46"/>
      <c r="AA316" s="46"/>
      <c r="AB316" s="46"/>
      <c r="AC316" s="46"/>
      <c r="AD316" s="46"/>
      <c r="AE316" s="46"/>
      <c r="AF316" s="46"/>
      <c r="AG316" s="127"/>
      <c r="AH316" s="127"/>
      <c r="AI316" s="127"/>
      <c r="AJ316" s="127"/>
      <c r="AK316" s="46"/>
      <c r="AL316" s="46"/>
      <c r="AM316" s="46"/>
      <c r="AN316" s="46"/>
      <c r="AO316" s="46"/>
    </row>
    <row r="317">
      <c r="A317" s="17"/>
      <c r="B317" s="46"/>
      <c r="C317" s="46"/>
      <c r="D317" s="46"/>
      <c r="E317" s="17"/>
      <c r="F317" s="46"/>
      <c r="G317" s="46"/>
      <c r="H317" s="46"/>
      <c r="I317" s="17"/>
      <c r="J317" s="46"/>
      <c r="K317" s="46"/>
      <c r="L317" s="46"/>
      <c r="M317" s="17"/>
      <c r="N317" s="46"/>
      <c r="O317" s="46"/>
      <c r="P317" s="46"/>
      <c r="Q317" s="46"/>
      <c r="R317" s="46"/>
      <c r="S317" s="46"/>
      <c r="T317" s="46"/>
      <c r="U317" s="46"/>
      <c r="V317" s="46"/>
      <c r="W317" s="46"/>
      <c r="X317" s="46"/>
      <c r="Y317" s="46"/>
      <c r="Z317" s="46"/>
      <c r="AA317" s="46"/>
      <c r="AB317" s="46"/>
      <c r="AC317" s="46"/>
      <c r="AD317" s="46"/>
      <c r="AE317" s="46"/>
      <c r="AF317" s="46"/>
      <c r="AG317" s="127"/>
      <c r="AH317" s="127"/>
      <c r="AI317" s="127"/>
      <c r="AJ317" s="127"/>
      <c r="AK317" s="46"/>
      <c r="AL317" s="46"/>
      <c r="AM317" s="46"/>
      <c r="AN317" s="46"/>
      <c r="AO317" s="46"/>
    </row>
    <row r="318">
      <c r="A318" s="17"/>
      <c r="B318" s="46"/>
      <c r="C318" s="46"/>
      <c r="D318" s="46"/>
      <c r="E318" s="17"/>
      <c r="F318" s="46"/>
      <c r="G318" s="46"/>
      <c r="H318" s="46"/>
      <c r="I318" s="17"/>
      <c r="J318" s="46"/>
      <c r="K318" s="46"/>
      <c r="L318" s="46"/>
      <c r="M318" s="17"/>
      <c r="N318" s="46"/>
      <c r="O318" s="46"/>
      <c r="P318" s="46"/>
      <c r="Q318" s="46"/>
      <c r="R318" s="46"/>
      <c r="S318" s="46"/>
      <c r="T318" s="46"/>
      <c r="U318" s="46"/>
      <c r="V318" s="46"/>
      <c r="W318" s="46"/>
      <c r="X318" s="46"/>
      <c r="Y318" s="46"/>
      <c r="Z318" s="46"/>
      <c r="AA318" s="46"/>
      <c r="AB318" s="46"/>
      <c r="AC318" s="46"/>
      <c r="AD318" s="46"/>
      <c r="AE318" s="46"/>
      <c r="AF318" s="46"/>
      <c r="AG318" s="127"/>
      <c r="AH318" s="127"/>
      <c r="AI318" s="127"/>
      <c r="AJ318" s="127"/>
      <c r="AK318" s="46"/>
      <c r="AL318" s="46"/>
      <c r="AM318" s="46"/>
      <c r="AN318" s="46"/>
      <c r="AO318" s="46"/>
    </row>
    <row r="319">
      <c r="A319" s="17"/>
      <c r="B319" s="46"/>
      <c r="C319" s="46"/>
      <c r="D319" s="46"/>
      <c r="E319" s="17"/>
      <c r="F319" s="46"/>
      <c r="G319" s="46"/>
      <c r="H319" s="46"/>
      <c r="I319" s="17"/>
      <c r="J319" s="46"/>
      <c r="K319" s="46"/>
      <c r="L319" s="46"/>
      <c r="M319" s="17"/>
      <c r="N319" s="46"/>
      <c r="O319" s="46"/>
      <c r="P319" s="46"/>
      <c r="Q319" s="46"/>
      <c r="R319" s="46"/>
      <c r="S319" s="46"/>
      <c r="T319" s="46"/>
      <c r="U319" s="46"/>
      <c r="V319" s="46"/>
      <c r="W319" s="46"/>
      <c r="X319" s="46"/>
      <c r="Y319" s="46"/>
      <c r="Z319" s="46"/>
      <c r="AA319" s="46"/>
      <c r="AB319" s="46"/>
      <c r="AC319" s="46"/>
      <c r="AD319" s="46"/>
      <c r="AE319" s="46"/>
      <c r="AF319" s="46"/>
      <c r="AG319" s="127"/>
      <c r="AH319" s="127"/>
      <c r="AI319" s="127"/>
      <c r="AJ319" s="127"/>
      <c r="AK319" s="46"/>
      <c r="AL319" s="46"/>
      <c r="AM319" s="46"/>
      <c r="AN319" s="46"/>
      <c r="AO319" s="46"/>
    </row>
    <row r="320">
      <c r="A320" s="17"/>
      <c r="B320" s="46"/>
      <c r="C320" s="46"/>
      <c r="D320" s="46"/>
      <c r="E320" s="17"/>
      <c r="F320" s="46"/>
      <c r="G320" s="46"/>
      <c r="H320" s="46"/>
      <c r="I320" s="17"/>
      <c r="J320" s="46"/>
      <c r="K320" s="46"/>
      <c r="L320" s="46"/>
      <c r="M320" s="17"/>
      <c r="N320" s="46"/>
      <c r="O320" s="46"/>
      <c r="P320" s="46"/>
      <c r="Q320" s="46"/>
      <c r="R320" s="46"/>
      <c r="S320" s="46"/>
      <c r="T320" s="46"/>
      <c r="U320" s="46"/>
      <c r="V320" s="46"/>
      <c r="W320" s="46"/>
      <c r="X320" s="46"/>
      <c r="Y320" s="46"/>
      <c r="Z320" s="46"/>
      <c r="AA320" s="46"/>
      <c r="AB320" s="46"/>
      <c r="AC320" s="46"/>
      <c r="AD320" s="46"/>
      <c r="AE320" s="46"/>
      <c r="AF320" s="46"/>
      <c r="AG320" s="127"/>
      <c r="AH320" s="127"/>
      <c r="AI320" s="127"/>
      <c r="AJ320" s="127"/>
      <c r="AK320" s="46"/>
      <c r="AL320" s="46"/>
      <c r="AM320" s="46"/>
      <c r="AN320" s="46"/>
      <c r="AO320" s="46"/>
    </row>
    <row r="321">
      <c r="A321" s="17"/>
      <c r="B321" s="46"/>
      <c r="C321" s="46"/>
      <c r="D321" s="46"/>
      <c r="E321" s="17"/>
      <c r="F321" s="46"/>
      <c r="G321" s="46"/>
      <c r="H321" s="46"/>
      <c r="I321" s="17"/>
      <c r="J321" s="46"/>
      <c r="K321" s="46"/>
      <c r="L321" s="46"/>
      <c r="M321" s="17"/>
      <c r="N321" s="46"/>
      <c r="O321" s="46"/>
      <c r="P321" s="46"/>
      <c r="Q321" s="46"/>
      <c r="R321" s="46"/>
      <c r="S321" s="46"/>
      <c r="T321" s="46"/>
      <c r="U321" s="46"/>
      <c r="V321" s="46"/>
      <c r="W321" s="46"/>
      <c r="X321" s="46"/>
      <c r="Y321" s="46"/>
      <c r="Z321" s="46"/>
      <c r="AA321" s="46"/>
      <c r="AB321" s="46"/>
      <c r="AC321" s="46"/>
      <c r="AD321" s="46"/>
      <c r="AE321" s="46"/>
      <c r="AF321" s="46"/>
      <c r="AG321" s="127"/>
      <c r="AH321" s="127"/>
      <c r="AI321" s="127"/>
      <c r="AJ321" s="127"/>
      <c r="AK321" s="46"/>
      <c r="AL321" s="46"/>
      <c r="AM321" s="46"/>
      <c r="AN321" s="46"/>
      <c r="AO321" s="46"/>
    </row>
    <row r="322">
      <c r="A322" s="17"/>
      <c r="B322" s="46"/>
      <c r="C322" s="46"/>
      <c r="D322" s="46"/>
      <c r="E322" s="17"/>
      <c r="F322" s="46"/>
      <c r="G322" s="46"/>
      <c r="H322" s="46"/>
      <c r="I322" s="17"/>
      <c r="J322" s="46"/>
      <c r="K322" s="46"/>
      <c r="L322" s="46"/>
      <c r="M322" s="17"/>
      <c r="N322" s="46"/>
      <c r="O322" s="46"/>
      <c r="P322" s="46"/>
      <c r="Q322" s="46"/>
      <c r="R322" s="46"/>
      <c r="S322" s="46"/>
      <c r="T322" s="46"/>
      <c r="U322" s="46"/>
      <c r="V322" s="46"/>
      <c r="W322" s="46"/>
      <c r="X322" s="46"/>
      <c r="Y322" s="46"/>
      <c r="Z322" s="46"/>
      <c r="AA322" s="46"/>
      <c r="AB322" s="46"/>
      <c r="AC322" s="46"/>
      <c r="AD322" s="46"/>
      <c r="AE322" s="46"/>
      <c r="AF322" s="46"/>
      <c r="AG322" s="127"/>
      <c r="AH322" s="127"/>
      <c r="AI322" s="127"/>
      <c r="AJ322" s="127"/>
      <c r="AK322" s="46"/>
      <c r="AL322" s="46"/>
      <c r="AM322" s="46"/>
      <c r="AN322" s="46"/>
      <c r="AO322" s="46"/>
    </row>
    <row r="323">
      <c r="A323" s="17"/>
      <c r="B323" s="46"/>
      <c r="C323" s="46"/>
      <c r="D323" s="46"/>
      <c r="E323" s="17"/>
      <c r="F323" s="46"/>
      <c r="G323" s="46"/>
      <c r="H323" s="46"/>
      <c r="I323" s="17"/>
      <c r="J323" s="46"/>
      <c r="K323" s="46"/>
      <c r="L323" s="46"/>
      <c r="M323" s="17"/>
      <c r="N323" s="46"/>
      <c r="O323" s="46"/>
      <c r="P323" s="46"/>
      <c r="Q323" s="46"/>
      <c r="R323" s="46"/>
      <c r="S323" s="46"/>
      <c r="T323" s="46"/>
      <c r="U323" s="46"/>
      <c r="V323" s="46"/>
      <c r="W323" s="46"/>
      <c r="X323" s="46"/>
      <c r="Y323" s="46"/>
      <c r="Z323" s="46"/>
      <c r="AA323" s="46"/>
      <c r="AB323" s="46"/>
      <c r="AC323" s="46"/>
      <c r="AD323" s="46"/>
      <c r="AE323" s="46"/>
      <c r="AF323" s="46"/>
      <c r="AG323" s="127"/>
      <c r="AH323" s="127"/>
      <c r="AI323" s="127"/>
      <c r="AJ323" s="127"/>
      <c r="AK323" s="46"/>
      <c r="AL323" s="46"/>
      <c r="AM323" s="46"/>
      <c r="AN323" s="46"/>
      <c r="AO323" s="46"/>
    </row>
    <row r="324">
      <c r="A324" s="17"/>
      <c r="B324" s="46"/>
      <c r="C324" s="46"/>
      <c r="D324" s="46"/>
      <c r="E324" s="17"/>
      <c r="F324" s="46"/>
      <c r="G324" s="46"/>
      <c r="H324" s="46"/>
      <c r="I324" s="17"/>
      <c r="J324" s="46"/>
      <c r="K324" s="46"/>
      <c r="L324" s="46"/>
      <c r="M324" s="17"/>
      <c r="N324" s="46"/>
      <c r="O324" s="46"/>
      <c r="P324" s="46"/>
      <c r="Q324" s="46"/>
      <c r="R324" s="46"/>
      <c r="S324" s="46"/>
      <c r="T324" s="46"/>
      <c r="U324" s="46"/>
      <c r="V324" s="46"/>
      <c r="W324" s="46"/>
      <c r="X324" s="46"/>
      <c r="Y324" s="46"/>
      <c r="Z324" s="46"/>
      <c r="AA324" s="46"/>
      <c r="AB324" s="46"/>
      <c r="AC324" s="46"/>
      <c r="AD324" s="46"/>
      <c r="AE324" s="46"/>
      <c r="AF324" s="46"/>
      <c r="AG324" s="127"/>
      <c r="AH324" s="127"/>
      <c r="AI324" s="127"/>
      <c r="AJ324" s="127"/>
      <c r="AK324" s="46"/>
      <c r="AL324" s="46"/>
      <c r="AM324" s="46"/>
      <c r="AN324" s="46"/>
      <c r="AO324" s="46"/>
    </row>
    <row r="325">
      <c r="A325" s="17"/>
      <c r="B325" s="46"/>
      <c r="C325" s="46"/>
      <c r="D325" s="46"/>
      <c r="E325" s="17"/>
      <c r="F325" s="46"/>
      <c r="G325" s="46"/>
      <c r="H325" s="46"/>
      <c r="I325" s="17"/>
      <c r="J325" s="46"/>
      <c r="K325" s="46"/>
      <c r="L325" s="46"/>
      <c r="M325" s="17"/>
      <c r="N325" s="46"/>
      <c r="O325" s="46"/>
      <c r="P325" s="46"/>
      <c r="Q325" s="46"/>
      <c r="R325" s="46"/>
      <c r="S325" s="46"/>
      <c r="T325" s="46"/>
      <c r="U325" s="46"/>
      <c r="V325" s="46"/>
      <c r="W325" s="46"/>
      <c r="X325" s="46"/>
      <c r="Y325" s="46"/>
      <c r="Z325" s="46"/>
      <c r="AA325" s="46"/>
      <c r="AB325" s="46"/>
      <c r="AC325" s="46"/>
      <c r="AD325" s="46"/>
      <c r="AE325" s="46"/>
      <c r="AF325" s="46"/>
      <c r="AG325" s="127"/>
      <c r="AH325" s="127"/>
      <c r="AI325" s="127"/>
      <c r="AJ325" s="127"/>
      <c r="AK325" s="46"/>
      <c r="AL325" s="46"/>
      <c r="AM325" s="46"/>
      <c r="AN325" s="46"/>
      <c r="AO325" s="46"/>
    </row>
    <row r="326">
      <c r="A326" s="17"/>
      <c r="B326" s="46"/>
      <c r="C326" s="46"/>
      <c r="D326" s="46"/>
      <c r="E326" s="17"/>
      <c r="F326" s="46"/>
      <c r="G326" s="46"/>
      <c r="H326" s="46"/>
      <c r="I326" s="17"/>
      <c r="J326" s="46"/>
      <c r="K326" s="46"/>
      <c r="L326" s="46"/>
      <c r="M326" s="17"/>
      <c r="N326" s="46"/>
      <c r="O326" s="46"/>
      <c r="P326" s="46"/>
      <c r="Q326" s="46"/>
      <c r="R326" s="46"/>
      <c r="S326" s="46"/>
      <c r="T326" s="46"/>
      <c r="U326" s="46"/>
      <c r="V326" s="46"/>
      <c r="W326" s="46"/>
      <c r="X326" s="46"/>
      <c r="Y326" s="46"/>
      <c r="Z326" s="46"/>
      <c r="AA326" s="46"/>
      <c r="AB326" s="46"/>
      <c r="AC326" s="46"/>
      <c r="AD326" s="46"/>
      <c r="AE326" s="46"/>
      <c r="AF326" s="46"/>
      <c r="AG326" s="127"/>
      <c r="AH326" s="127"/>
      <c r="AI326" s="127"/>
      <c r="AJ326" s="127"/>
      <c r="AK326" s="46"/>
      <c r="AL326" s="46"/>
      <c r="AM326" s="46"/>
      <c r="AN326" s="46"/>
      <c r="AO326" s="46"/>
    </row>
    <row r="327">
      <c r="A327" s="17"/>
      <c r="B327" s="46"/>
      <c r="C327" s="46"/>
      <c r="D327" s="46"/>
      <c r="E327" s="17"/>
      <c r="F327" s="46"/>
      <c r="G327" s="46"/>
      <c r="H327" s="46"/>
      <c r="I327" s="17"/>
      <c r="J327" s="46"/>
      <c r="K327" s="46"/>
      <c r="L327" s="46"/>
      <c r="M327" s="17"/>
      <c r="N327" s="46"/>
      <c r="O327" s="46"/>
      <c r="P327" s="46"/>
      <c r="Q327" s="46"/>
      <c r="R327" s="46"/>
      <c r="S327" s="46"/>
      <c r="T327" s="46"/>
      <c r="U327" s="46"/>
      <c r="V327" s="46"/>
      <c r="W327" s="46"/>
      <c r="X327" s="46"/>
      <c r="Y327" s="46"/>
      <c r="Z327" s="46"/>
      <c r="AA327" s="46"/>
      <c r="AB327" s="46"/>
      <c r="AC327" s="46"/>
      <c r="AD327" s="46"/>
      <c r="AE327" s="46"/>
      <c r="AF327" s="46"/>
      <c r="AG327" s="127"/>
      <c r="AH327" s="127"/>
      <c r="AI327" s="127"/>
      <c r="AJ327" s="127"/>
      <c r="AK327" s="46"/>
      <c r="AL327" s="46"/>
      <c r="AM327" s="46"/>
      <c r="AN327" s="46"/>
      <c r="AO327" s="46"/>
    </row>
    <row r="328">
      <c r="A328" s="17"/>
      <c r="B328" s="46"/>
      <c r="C328" s="46"/>
      <c r="D328" s="46"/>
      <c r="E328" s="17"/>
      <c r="F328" s="46"/>
      <c r="G328" s="46"/>
      <c r="H328" s="46"/>
      <c r="I328" s="17"/>
      <c r="J328" s="46"/>
      <c r="K328" s="46"/>
      <c r="L328" s="46"/>
      <c r="M328" s="17"/>
      <c r="N328" s="46"/>
      <c r="O328" s="46"/>
      <c r="P328" s="46"/>
      <c r="Q328" s="46"/>
      <c r="R328" s="46"/>
      <c r="S328" s="46"/>
      <c r="T328" s="46"/>
      <c r="U328" s="46"/>
      <c r="V328" s="46"/>
      <c r="W328" s="46"/>
      <c r="X328" s="46"/>
      <c r="Y328" s="46"/>
      <c r="Z328" s="46"/>
      <c r="AA328" s="46"/>
      <c r="AB328" s="46"/>
      <c r="AC328" s="46"/>
      <c r="AD328" s="46"/>
      <c r="AE328" s="46"/>
      <c r="AF328" s="46"/>
      <c r="AG328" s="127"/>
      <c r="AH328" s="127"/>
      <c r="AI328" s="127"/>
      <c r="AJ328" s="127"/>
      <c r="AK328" s="46"/>
      <c r="AL328" s="46"/>
      <c r="AM328" s="46"/>
      <c r="AN328" s="46"/>
      <c r="AO328" s="46"/>
    </row>
    <row r="329">
      <c r="A329" s="17"/>
      <c r="B329" s="46"/>
      <c r="C329" s="46"/>
      <c r="D329" s="46"/>
      <c r="E329" s="17"/>
      <c r="F329" s="46"/>
      <c r="G329" s="46"/>
      <c r="H329" s="46"/>
      <c r="I329" s="17"/>
      <c r="J329" s="46"/>
      <c r="K329" s="46"/>
      <c r="L329" s="46"/>
      <c r="M329" s="17"/>
      <c r="N329" s="46"/>
      <c r="O329" s="46"/>
      <c r="P329" s="46"/>
      <c r="Q329" s="46"/>
      <c r="R329" s="46"/>
      <c r="S329" s="46"/>
      <c r="T329" s="46"/>
      <c r="U329" s="46"/>
      <c r="V329" s="46"/>
      <c r="W329" s="46"/>
      <c r="X329" s="46"/>
      <c r="Y329" s="46"/>
      <c r="Z329" s="46"/>
      <c r="AA329" s="46"/>
      <c r="AB329" s="46"/>
      <c r="AC329" s="46"/>
      <c r="AD329" s="46"/>
      <c r="AE329" s="46"/>
      <c r="AF329" s="46"/>
      <c r="AG329" s="127"/>
      <c r="AH329" s="127"/>
      <c r="AI329" s="127"/>
      <c r="AJ329" s="127"/>
      <c r="AK329" s="46"/>
      <c r="AL329" s="46"/>
      <c r="AM329" s="46"/>
      <c r="AN329" s="46"/>
      <c r="AO329" s="46"/>
    </row>
    <row r="330">
      <c r="A330" s="17"/>
      <c r="B330" s="46"/>
      <c r="C330" s="46"/>
      <c r="D330" s="46"/>
      <c r="E330" s="17"/>
      <c r="F330" s="46"/>
      <c r="G330" s="46"/>
      <c r="H330" s="46"/>
      <c r="I330" s="17"/>
      <c r="J330" s="46"/>
      <c r="K330" s="46"/>
      <c r="L330" s="46"/>
      <c r="M330" s="17"/>
      <c r="N330" s="46"/>
      <c r="O330" s="46"/>
      <c r="P330" s="46"/>
      <c r="Q330" s="46"/>
      <c r="R330" s="46"/>
      <c r="S330" s="46"/>
      <c r="T330" s="46"/>
      <c r="U330" s="46"/>
      <c r="V330" s="46"/>
      <c r="W330" s="46"/>
      <c r="X330" s="46"/>
      <c r="Y330" s="46"/>
      <c r="Z330" s="46"/>
      <c r="AA330" s="46"/>
      <c r="AB330" s="46"/>
      <c r="AC330" s="46"/>
      <c r="AD330" s="46"/>
      <c r="AE330" s="46"/>
      <c r="AF330" s="46"/>
      <c r="AG330" s="127"/>
      <c r="AH330" s="127"/>
      <c r="AI330" s="127"/>
      <c r="AJ330" s="127"/>
      <c r="AK330" s="46"/>
      <c r="AL330" s="46"/>
      <c r="AM330" s="46"/>
      <c r="AN330" s="46"/>
      <c r="AO330" s="46"/>
    </row>
    <row r="331">
      <c r="A331" s="17"/>
      <c r="B331" s="46"/>
      <c r="C331" s="46"/>
      <c r="D331" s="46"/>
      <c r="E331" s="17"/>
      <c r="F331" s="46"/>
      <c r="G331" s="46"/>
      <c r="H331" s="46"/>
      <c r="I331" s="17"/>
      <c r="J331" s="46"/>
      <c r="K331" s="46"/>
      <c r="L331" s="46"/>
      <c r="M331" s="17"/>
      <c r="N331" s="46"/>
      <c r="O331" s="46"/>
      <c r="P331" s="46"/>
      <c r="Q331" s="46"/>
      <c r="R331" s="46"/>
      <c r="S331" s="46"/>
      <c r="T331" s="46"/>
      <c r="U331" s="46"/>
      <c r="V331" s="46"/>
      <c r="W331" s="46"/>
      <c r="X331" s="46"/>
      <c r="Y331" s="46"/>
      <c r="Z331" s="46"/>
      <c r="AA331" s="46"/>
      <c r="AB331" s="46"/>
      <c r="AC331" s="46"/>
      <c r="AD331" s="46"/>
      <c r="AE331" s="46"/>
      <c r="AF331" s="46"/>
      <c r="AG331" s="127"/>
      <c r="AH331" s="127"/>
      <c r="AI331" s="127"/>
      <c r="AJ331" s="127"/>
      <c r="AK331" s="46"/>
      <c r="AL331" s="46"/>
      <c r="AM331" s="46"/>
      <c r="AN331" s="46"/>
      <c r="AO331" s="46"/>
    </row>
    <row r="332">
      <c r="A332" s="17"/>
      <c r="B332" s="46"/>
      <c r="C332" s="46"/>
      <c r="D332" s="46"/>
      <c r="E332" s="17"/>
      <c r="F332" s="46"/>
      <c r="G332" s="46"/>
      <c r="H332" s="46"/>
      <c r="I332" s="17"/>
      <c r="J332" s="46"/>
      <c r="K332" s="46"/>
      <c r="L332" s="46"/>
      <c r="M332" s="17"/>
      <c r="N332" s="46"/>
      <c r="O332" s="46"/>
      <c r="P332" s="46"/>
      <c r="Q332" s="46"/>
      <c r="R332" s="46"/>
      <c r="S332" s="46"/>
      <c r="T332" s="46"/>
      <c r="U332" s="46"/>
      <c r="V332" s="46"/>
      <c r="W332" s="46"/>
      <c r="X332" s="46"/>
      <c r="Y332" s="46"/>
      <c r="Z332" s="46"/>
      <c r="AA332" s="46"/>
      <c r="AB332" s="46"/>
      <c r="AC332" s="46"/>
      <c r="AD332" s="46"/>
      <c r="AE332" s="46"/>
      <c r="AF332" s="46"/>
      <c r="AG332" s="127"/>
      <c r="AH332" s="127"/>
      <c r="AI332" s="127"/>
      <c r="AJ332" s="127"/>
      <c r="AK332" s="46"/>
      <c r="AL332" s="46"/>
      <c r="AM332" s="46"/>
      <c r="AN332" s="46"/>
      <c r="AO332" s="46"/>
    </row>
    <row r="333">
      <c r="A333" s="17"/>
      <c r="B333" s="46"/>
      <c r="C333" s="46"/>
      <c r="D333" s="46"/>
      <c r="E333" s="17"/>
      <c r="F333" s="46"/>
      <c r="G333" s="46"/>
      <c r="H333" s="46"/>
      <c r="I333" s="17"/>
      <c r="J333" s="46"/>
      <c r="K333" s="46"/>
      <c r="L333" s="46"/>
      <c r="M333" s="17"/>
      <c r="N333" s="46"/>
      <c r="O333" s="46"/>
      <c r="P333" s="46"/>
      <c r="Q333" s="46"/>
      <c r="R333" s="46"/>
      <c r="S333" s="46"/>
      <c r="T333" s="46"/>
      <c r="U333" s="46"/>
      <c r="V333" s="46"/>
      <c r="W333" s="46"/>
      <c r="X333" s="46"/>
      <c r="Y333" s="46"/>
      <c r="Z333" s="46"/>
      <c r="AA333" s="46"/>
      <c r="AB333" s="46"/>
      <c r="AC333" s="46"/>
      <c r="AD333" s="46"/>
      <c r="AE333" s="46"/>
      <c r="AF333" s="46"/>
      <c r="AG333" s="127"/>
      <c r="AH333" s="127"/>
      <c r="AI333" s="127"/>
      <c r="AJ333" s="127"/>
      <c r="AK333" s="46"/>
      <c r="AL333" s="46"/>
      <c r="AM333" s="46"/>
      <c r="AN333" s="46"/>
      <c r="AO333" s="46"/>
    </row>
    <row r="334">
      <c r="A334" s="17"/>
      <c r="B334" s="46"/>
      <c r="C334" s="46"/>
      <c r="D334" s="46"/>
      <c r="E334" s="17"/>
      <c r="F334" s="46"/>
      <c r="G334" s="46"/>
      <c r="H334" s="46"/>
      <c r="I334" s="17"/>
      <c r="J334" s="46"/>
      <c r="K334" s="46"/>
      <c r="L334" s="46"/>
      <c r="M334" s="17"/>
      <c r="N334" s="46"/>
      <c r="O334" s="46"/>
      <c r="P334" s="46"/>
      <c r="Q334" s="46"/>
      <c r="R334" s="46"/>
      <c r="S334" s="46"/>
      <c r="T334" s="46"/>
      <c r="U334" s="46"/>
      <c r="V334" s="46"/>
      <c r="W334" s="46"/>
      <c r="X334" s="46"/>
      <c r="Y334" s="46"/>
      <c r="Z334" s="46"/>
      <c r="AA334" s="46"/>
      <c r="AB334" s="46"/>
      <c r="AC334" s="46"/>
      <c r="AD334" s="46"/>
      <c r="AE334" s="46"/>
      <c r="AF334" s="46"/>
      <c r="AG334" s="127"/>
      <c r="AH334" s="127"/>
      <c r="AI334" s="127"/>
      <c r="AJ334" s="127"/>
      <c r="AK334" s="46"/>
      <c r="AL334" s="46"/>
      <c r="AM334" s="46"/>
      <c r="AN334" s="46"/>
      <c r="AO334" s="46"/>
    </row>
    <row r="335">
      <c r="A335" s="17"/>
      <c r="B335" s="46"/>
      <c r="C335" s="46"/>
      <c r="D335" s="46"/>
      <c r="E335" s="17"/>
      <c r="F335" s="46"/>
      <c r="G335" s="46"/>
      <c r="H335" s="46"/>
      <c r="I335" s="17"/>
      <c r="J335" s="46"/>
      <c r="K335" s="46"/>
      <c r="L335" s="46"/>
      <c r="M335" s="17"/>
      <c r="N335" s="46"/>
      <c r="O335" s="46"/>
      <c r="P335" s="46"/>
      <c r="Q335" s="46"/>
      <c r="R335" s="46"/>
      <c r="S335" s="46"/>
      <c r="T335" s="46"/>
      <c r="U335" s="46"/>
      <c r="V335" s="46"/>
      <c r="W335" s="46"/>
      <c r="X335" s="46"/>
      <c r="Y335" s="46"/>
      <c r="Z335" s="46"/>
      <c r="AA335" s="46"/>
      <c r="AB335" s="46"/>
      <c r="AC335" s="46"/>
      <c r="AD335" s="46"/>
      <c r="AE335" s="46"/>
      <c r="AF335" s="46"/>
      <c r="AG335" s="127"/>
      <c r="AH335" s="127"/>
      <c r="AI335" s="127"/>
      <c r="AJ335" s="127"/>
      <c r="AK335" s="46"/>
      <c r="AL335" s="46"/>
      <c r="AM335" s="46"/>
      <c r="AN335" s="46"/>
      <c r="AO335" s="46"/>
    </row>
    <row r="336">
      <c r="A336" s="17"/>
      <c r="B336" s="46"/>
      <c r="C336" s="46"/>
      <c r="D336" s="46"/>
      <c r="E336" s="17"/>
      <c r="F336" s="46"/>
      <c r="G336" s="46"/>
      <c r="H336" s="46"/>
      <c r="I336" s="17"/>
      <c r="J336" s="46"/>
      <c r="K336" s="46"/>
      <c r="L336" s="46"/>
      <c r="M336" s="17"/>
      <c r="N336" s="46"/>
      <c r="O336" s="46"/>
      <c r="P336" s="46"/>
      <c r="Q336" s="46"/>
      <c r="R336" s="46"/>
      <c r="S336" s="46"/>
      <c r="T336" s="46"/>
      <c r="U336" s="46"/>
      <c r="V336" s="46"/>
      <c r="W336" s="46"/>
      <c r="X336" s="46"/>
      <c r="Y336" s="46"/>
      <c r="Z336" s="46"/>
      <c r="AA336" s="46"/>
      <c r="AB336" s="46"/>
      <c r="AC336" s="46"/>
      <c r="AD336" s="46"/>
      <c r="AE336" s="46"/>
      <c r="AF336" s="46"/>
      <c r="AG336" s="127"/>
      <c r="AH336" s="127"/>
      <c r="AI336" s="127"/>
      <c r="AJ336" s="127"/>
      <c r="AK336" s="46"/>
      <c r="AL336" s="46"/>
      <c r="AM336" s="46"/>
      <c r="AN336" s="46"/>
      <c r="AO336" s="46"/>
    </row>
    <row r="337">
      <c r="A337" s="17"/>
      <c r="B337" s="46"/>
      <c r="C337" s="46"/>
      <c r="D337" s="46"/>
      <c r="E337" s="17"/>
      <c r="F337" s="46"/>
      <c r="G337" s="46"/>
      <c r="H337" s="46"/>
      <c r="I337" s="17"/>
      <c r="J337" s="46"/>
      <c r="K337" s="46"/>
      <c r="L337" s="46"/>
      <c r="M337" s="17"/>
      <c r="N337" s="46"/>
      <c r="O337" s="46"/>
      <c r="P337" s="46"/>
      <c r="Q337" s="46"/>
      <c r="R337" s="46"/>
      <c r="S337" s="46"/>
      <c r="T337" s="46"/>
      <c r="U337" s="46"/>
      <c r="V337" s="46"/>
      <c r="W337" s="46"/>
      <c r="X337" s="46"/>
      <c r="Y337" s="46"/>
      <c r="Z337" s="46"/>
      <c r="AA337" s="46"/>
      <c r="AB337" s="46"/>
      <c r="AC337" s="46"/>
      <c r="AD337" s="46"/>
      <c r="AE337" s="46"/>
      <c r="AF337" s="46"/>
      <c r="AG337" s="127"/>
      <c r="AH337" s="127"/>
      <c r="AI337" s="127"/>
      <c r="AJ337" s="127"/>
      <c r="AK337" s="46"/>
      <c r="AL337" s="46"/>
      <c r="AM337" s="46"/>
      <c r="AN337" s="46"/>
      <c r="AO337" s="46"/>
    </row>
    <row r="338">
      <c r="A338" s="17"/>
      <c r="B338" s="46"/>
      <c r="C338" s="46"/>
      <c r="D338" s="46"/>
      <c r="E338" s="17"/>
      <c r="F338" s="46"/>
      <c r="G338" s="46"/>
      <c r="H338" s="46"/>
      <c r="I338" s="17"/>
      <c r="J338" s="46"/>
      <c r="K338" s="46"/>
      <c r="L338" s="46"/>
      <c r="M338" s="17"/>
      <c r="N338" s="46"/>
      <c r="O338" s="46"/>
      <c r="P338" s="46"/>
      <c r="Q338" s="46"/>
      <c r="R338" s="46"/>
      <c r="S338" s="46"/>
      <c r="T338" s="46"/>
      <c r="U338" s="46"/>
      <c r="V338" s="46"/>
      <c r="W338" s="46"/>
      <c r="X338" s="46"/>
      <c r="Y338" s="46"/>
      <c r="Z338" s="46"/>
      <c r="AA338" s="46"/>
      <c r="AB338" s="46"/>
      <c r="AC338" s="46"/>
      <c r="AD338" s="46"/>
      <c r="AE338" s="46"/>
      <c r="AF338" s="46"/>
      <c r="AG338" s="127"/>
      <c r="AH338" s="127"/>
      <c r="AI338" s="127"/>
      <c r="AJ338" s="127"/>
      <c r="AK338" s="46"/>
      <c r="AL338" s="46"/>
      <c r="AM338" s="46"/>
      <c r="AN338" s="46"/>
      <c r="AO338" s="46"/>
    </row>
    <row r="339">
      <c r="A339" s="17"/>
      <c r="B339" s="46"/>
      <c r="C339" s="46"/>
      <c r="D339" s="46"/>
      <c r="E339" s="17"/>
      <c r="F339" s="46"/>
      <c r="G339" s="46"/>
      <c r="H339" s="46"/>
      <c r="I339" s="17"/>
      <c r="J339" s="46"/>
      <c r="K339" s="46"/>
      <c r="L339" s="46"/>
      <c r="M339" s="17"/>
      <c r="N339" s="46"/>
      <c r="O339" s="46"/>
      <c r="P339" s="46"/>
      <c r="Q339" s="46"/>
      <c r="R339" s="46"/>
      <c r="S339" s="46"/>
      <c r="T339" s="46"/>
      <c r="U339" s="46"/>
      <c r="V339" s="46"/>
      <c r="W339" s="46"/>
      <c r="X339" s="46"/>
      <c r="Y339" s="46"/>
      <c r="Z339" s="46"/>
      <c r="AA339" s="46"/>
      <c r="AB339" s="46"/>
      <c r="AC339" s="46"/>
      <c r="AD339" s="46"/>
      <c r="AE339" s="46"/>
      <c r="AF339" s="46"/>
      <c r="AG339" s="127"/>
      <c r="AH339" s="127"/>
      <c r="AI339" s="127"/>
      <c r="AJ339" s="127"/>
      <c r="AK339" s="46"/>
      <c r="AL339" s="46"/>
      <c r="AM339" s="46"/>
      <c r="AN339" s="46"/>
      <c r="AO339" s="46"/>
    </row>
    <row r="340">
      <c r="A340" s="17"/>
      <c r="B340" s="46"/>
      <c r="C340" s="46"/>
      <c r="D340" s="46"/>
      <c r="E340" s="17"/>
      <c r="F340" s="46"/>
      <c r="G340" s="46"/>
      <c r="H340" s="46"/>
      <c r="I340" s="17"/>
      <c r="J340" s="46"/>
      <c r="K340" s="46"/>
      <c r="L340" s="46"/>
      <c r="M340" s="17"/>
      <c r="N340" s="46"/>
      <c r="O340" s="46"/>
      <c r="P340" s="46"/>
      <c r="Q340" s="46"/>
      <c r="R340" s="46"/>
      <c r="S340" s="46"/>
      <c r="T340" s="46"/>
      <c r="U340" s="46"/>
      <c r="V340" s="46"/>
      <c r="W340" s="46"/>
      <c r="X340" s="46"/>
      <c r="Y340" s="46"/>
      <c r="Z340" s="46"/>
      <c r="AA340" s="46"/>
      <c r="AB340" s="46"/>
      <c r="AC340" s="46"/>
      <c r="AD340" s="46"/>
      <c r="AE340" s="46"/>
      <c r="AF340" s="46"/>
      <c r="AG340" s="127"/>
      <c r="AH340" s="127"/>
      <c r="AI340" s="127"/>
      <c r="AJ340" s="127"/>
      <c r="AK340" s="46"/>
      <c r="AL340" s="46"/>
      <c r="AM340" s="46"/>
      <c r="AN340" s="46"/>
      <c r="AO340" s="46"/>
    </row>
    <row r="341">
      <c r="A341" s="17"/>
      <c r="B341" s="46"/>
      <c r="C341" s="46"/>
      <c r="D341" s="46"/>
      <c r="E341" s="17"/>
      <c r="F341" s="46"/>
      <c r="G341" s="46"/>
      <c r="H341" s="46"/>
      <c r="I341" s="17"/>
      <c r="J341" s="46"/>
      <c r="K341" s="46"/>
      <c r="L341" s="46"/>
      <c r="M341" s="17"/>
      <c r="N341" s="46"/>
      <c r="O341" s="46"/>
      <c r="P341" s="46"/>
      <c r="Q341" s="46"/>
      <c r="R341" s="46"/>
      <c r="S341" s="46"/>
      <c r="T341" s="46"/>
      <c r="U341" s="46"/>
      <c r="V341" s="46"/>
      <c r="W341" s="46"/>
      <c r="X341" s="46"/>
      <c r="Y341" s="46"/>
      <c r="Z341" s="46"/>
      <c r="AA341" s="46"/>
      <c r="AB341" s="46"/>
      <c r="AC341" s="46"/>
      <c r="AD341" s="46"/>
      <c r="AE341" s="46"/>
      <c r="AF341" s="46"/>
      <c r="AG341" s="127"/>
      <c r="AH341" s="127"/>
      <c r="AI341" s="127"/>
      <c r="AJ341" s="127"/>
      <c r="AK341" s="46"/>
      <c r="AL341" s="46"/>
      <c r="AM341" s="46"/>
      <c r="AN341" s="46"/>
      <c r="AO341" s="46"/>
    </row>
    <row r="342">
      <c r="A342" s="17"/>
      <c r="B342" s="46"/>
      <c r="C342" s="46"/>
      <c r="D342" s="46"/>
      <c r="E342" s="17"/>
      <c r="F342" s="46"/>
      <c r="G342" s="46"/>
      <c r="H342" s="46"/>
      <c r="I342" s="17"/>
      <c r="J342" s="46"/>
      <c r="K342" s="46"/>
      <c r="L342" s="46"/>
      <c r="M342" s="17"/>
      <c r="N342" s="46"/>
      <c r="O342" s="46"/>
      <c r="P342" s="46"/>
      <c r="Q342" s="46"/>
      <c r="R342" s="46"/>
      <c r="S342" s="46"/>
      <c r="T342" s="46"/>
      <c r="U342" s="46"/>
      <c r="V342" s="46"/>
      <c r="W342" s="46"/>
      <c r="X342" s="46"/>
      <c r="Y342" s="46"/>
      <c r="Z342" s="46"/>
      <c r="AA342" s="46"/>
      <c r="AB342" s="46"/>
      <c r="AC342" s="46"/>
      <c r="AD342" s="46"/>
      <c r="AE342" s="46"/>
      <c r="AF342" s="46"/>
      <c r="AG342" s="127"/>
      <c r="AH342" s="127"/>
      <c r="AI342" s="127"/>
      <c r="AJ342" s="127"/>
      <c r="AK342" s="46"/>
      <c r="AL342" s="46"/>
      <c r="AM342" s="46"/>
      <c r="AN342" s="46"/>
      <c r="AO342" s="46"/>
    </row>
    <row r="343">
      <c r="A343" s="17"/>
      <c r="B343" s="46"/>
      <c r="C343" s="46"/>
      <c r="D343" s="46"/>
      <c r="E343" s="17"/>
      <c r="F343" s="46"/>
      <c r="G343" s="46"/>
      <c r="H343" s="46"/>
      <c r="I343" s="17"/>
      <c r="J343" s="46"/>
      <c r="K343" s="46"/>
      <c r="L343" s="46"/>
      <c r="M343" s="17"/>
      <c r="N343" s="46"/>
      <c r="O343" s="46"/>
      <c r="P343" s="46"/>
      <c r="Q343" s="46"/>
      <c r="R343" s="46"/>
      <c r="S343" s="46"/>
      <c r="T343" s="46"/>
      <c r="U343" s="46"/>
      <c r="V343" s="46"/>
      <c r="W343" s="46"/>
      <c r="X343" s="46"/>
      <c r="Y343" s="46"/>
      <c r="Z343" s="46"/>
      <c r="AA343" s="46"/>
      <c r="AB343" s="46"/>
      <c r="AC343" s="46"/>
      <c r="AD343" s="46"/>
      <c r="AE343" s="46"/>
      <c r="AF343" s="46"/>
      <c r="AG343" s="127"/>
      <c r="AH343" s="127"/>
      <c r="AI343" s="127"/>
      <c r="AJ343" s="127"/>
      <c r="AK343" s="46"/>
      <c r="AL343" s="46"/>
      <c r="AM343" s="46"/>
      <c r="AN343" s="46"/>
      <c r="AO343" s="46"/>
    </row>
    <row r="344">
      <c r="A344" s="17"/>
      <c r="B344" s="46"/>
      <c r="C344" s="46"/>
      <c r="D344" s="46"/>
      <c r="E344" s="17"/>
      <c r="F344" s="46"/>
      <c r="G344" s="46"/>
      <c r="H344" s="46"/>
      <c r="I344" s="17"/>
      <c r="J344" s="46"/>
      <c r="K344" s="46"/>
      <c r="L344" s="46"/>
      <c r="M344" s="17"/>
      <c r="N344" s="46"/>
      <c r="O344" s="46"/>
      <c r="P344" s="46"/>
      <c r="Q344" s="46"/>
      <c r="R344" s="46"/>
      <c r="S344" s="46"/>
      <c r="T344" s="46"/>
      <c r="U344" s="46"/>
      <c r="V344" s="46"/>
      <c r="W344" s="46"/>
      <c r="X344" s="46"/>
      <c r="Y344" s="46"/>
      <c r="Z344" s="46"/>
      <c r="AA344" s="46"/>
      <c r="AB344" s="46"/>
      <c r="AC344" s="46"/>
      <c r="AD344" s="46"/>
      <c r="AE344" s="46"/>
      <c r="AF344" s="46"/>
      <c r="AG344" s="127"/>
      <c r="AH344" s="127"/>
      <c r="AI344" s="127"/>
      <c r="AJ344" s="127"/>
      <c r="AK344" s="46"/>
      <c r="AL344" s="46"/>
      <c r="AM344" s="46"/>
      <c r="AN344" s="46"/>
      <c r="AO344" s="46"/>
    </row>
    <row r="345">
      <c r="A345" s="17"/>
      <c r="B345" s="46"/>
      <c r="C345" s="46"/>
      <c r="D345" s="46"/>
      <c r="E345" s="17"/>
      <c r="F345" s="46"/>
      <c r="G345" s="46"/>
      <c r="H345" s="46"/>
      <c r="I345" s="17"/>
      <c r="J345" s="46"/>
      <c r="K345" s="46"/>
      <c r="L345" s="46"/>
      <c r="M345" s="17"/>
      <c r="N345" s="46"/>
      <c r="O345" s="46"/>
      <c r="P345" s="46"/>
      <c r="Q345" s="46"/>
      <c r="R345" s="46"/>
      <c r="S345" s="46"/>
      <c r="T345" s="46"/>
      <c r="U345" s="46"/>
      <c r="V345" s="46"/>
      <c r="W345" s="46"/>
      <c r="X345" s="46"/>
      <c r="Y345" s="46"/>
      <c r="Z345" s="46"/>
      <c r="AA345" s="46"/>
      <c r="AB345" s="46"/>
      <c r="AC345" s="46"/>
      <c r="AD345" s="46"/>
      <c r="AE345" s="46"/>
      <c r="AF345" s="46"/>
      <c r="AG345" s="127"/>
      <c r="AH345" s="127"/>
      <c r="AI345" s="127"/>
      <c r="AJ345" s="127"/>
      <c r="AK345" s="46"/>
      <c r="AL345" s="46"/>
      <c r="AM345" s="46"/>
      <c r="AN345" s="46"/>
      <c r="AO345" s="46"/>
    </row>
    <row r="346">
      <c r="A346" s="17"/>
      <c r="B346" s="46"/>
      <c r="C346" s="46"/>
      <c r="D346" s="46"/>
      <c r="E346" s="17"/>
      <c r="F346" s="46"/>
      <c r="G346" s="46"/>
      <c r="H346" s="46"/>
      <c r="I346" s="17"/>
      <c r="J346" s="46"/>
      <c r="K346" s="46"/>
      <c r="L346" s="46"/>
      <c r="M346" s="17"/>
      <c r="N346" s="46"/>
      <c r="O346" s="46"/>
      <c r="P346" s="46"/>
      <c r="Q346" s="46"/>
      <c r="R346" s="46"/>
      <c r="S346" s="46"/>
      <c r="T346" s="46"/>
      <c r="U346" s="46"/>
      <c r="V346" s="46"/>
      <c r="W346" s="46"/>
      <c r="X346" s="46"/>
      <c r="Y346" s="46"/>
      <c r="Z346" s="46"/>
      <c r="AA346" s="46"/>
      <c r="AB346" s="46"/>
      <c r="AC346" s="46"/>
      <c r="AD346" s="46"/>
      <c r="AE346" s="46"/>
      <c r="AF346" s="46"/>
      <c r="AG346" s="127"/>
      <c r="AH346" s="127"/>
      <c r="AI346" s="127"/>
      <c r="AJ346" s="127"/>
      <c r="AK346" s="46"/>
      <c r="AL346" s="46"/>
      <c r="AM346" s="46"/>
      <c r="AN346" s="46"/>
      <c r="AO346" s="46"/>
    </row>
    <row r="347">
      <c r="A347" s="17"/>
      <c r="B347" s="46"/>
      <c r="C347" s="46"/>
      <c r="D347" s="46"/>
      <c r="E347" s="17"/>
      <c r="F347" s="46"/>
      <c r="G347" s="46"/>
      <c r="H347" s="46"/>
      <c r="I347" s="17"/>
      <c r="J347" s="46"/>
      <c r="K347" s="46"/>
      <c r="L347" s="46"/>
      <c r="M347" s="17"/>
      <c r="N347" s="46"/>
      <c r="O347" s="46"/>
      <c r="P347" s="46"/>
      <c r="Q347" s="46"/>
      <c r="R347" s="46"/>
      <c r="S347" s="46"/>
      <c r="T347" s="46"/>
      <c r="U347" s="46"/>
      <c r="V347" s="46"/>
      <c r="W347" s="46"/>
      <c r="X347" s="46"/>
      <c r="Y347" s="46"/>
      <c r="Z347" s="46"/>
      <c r="AA347" s="46"/>
      <c r="AB347" s="46"/>
      <c r="AC347" s="46"/>
      <c r="AD347" s="46"/>
      <c r="AE347" s="46"/>
      <c r="AF347" s="46"/>
      <c r="AG347" s="127"/>
      <c r="AH347" s="127"/>
      <c r="AI347" s="127"/>
      <c r="AJ347" s="127"/>
      <c r="AK347" s="46"/>
      <c r="AL347" s="46"/>
      <c r="AM347" s="46"/>
      <c r="AN347" s="46"/>
      <c r="AO347" s="46"/>
    </row>
    <row r="348">
      <c r="A348" s="17"/>
      <c r="B348" s="46"/>
      <c r="C348" s="46"/>
      <c r="D348" s="46"/>
      <c r="E348" s="17"/>
      <c r="F348" s="46"/>
      <c r="G348" s="46"/>
      <c r="H348" s="46"/>
      <c r="I348" s="17"/>
      <c r="J348" s="46"/>
      <c r="K348" s="46"/>
      <c r="L348" s="46"/>
      <c r="M348" s="17"/>
      <c r="N348" s="46"/>
      <c r="O348" s="46"/>
      <c r="P348" s="46"/>
      <c r="Q348" s="46"/>
      <c r="R348" s="46"/>
      <c r="S348" s="46"/>
      <c r="T348" s="46"/>
      <c r="U348" s="46"/>
      <c r="V348" s="46"/>
      <c r="W348" s="46"/>
      <c r="X348" s="46"/>
      <c r="Y348" s="46"/>
      <c r="Z348" s="46"/>
      <c r="AA348" s="46"/>
      <c r="AB348" s="46"/>
      <c r="AC348" s="46"/>
      <c r="AD348" s="46"/>
      <c r="AE348" s="46"/>
      <c r="AF348" s="46"/>
      <c r="AG348" s="127"/>
      <c r="AH348" s="127"/>
      <c r="AI348" s="127"/>
      <c r="AJ348" s="127"/>
      <c r="AK348" s="46"/>
      <c r="AL348" s="46"/>
      <c r="AM348" s="46"/>
      <c r="AN348" s="46"/>
      <c r="AO348" s="46"/>
    </row>
    <row r="349">
      <c r="A349" s="17"/>
      <c r="B349" s="46"/>
      <c r="C349" s="46"/>
      <c r="D349" s="46"/>
      <c r="E349" s="17"/>
      <c r="F349" s="46"/>
      <c r="G349" s="46"/>
      <c r="H349" s="46"/>
      <c r="I349" s="17"/>
      <c r="J349" s="46"/>
      <c r="K349" s="46"/>
      <c r="L349" s="46"/>
      <c r="M349" s="17"/>
      <c r="N349" s="46"/>
      <c r="O349" s="46"/>
      <c r="P349" s="46"/>
      <c r="Q349" s="46"/>
      <c r="R349" s="46"/>
      <c r="S349" s="46"/>
      <c r="T349" s="46"/>
      <c r="U349" s="46"/>
      <c r="V349" s="46"/>
      <c r="W349" s="46"/>
      <c r="X349" s="46"/>
      <c r="Y349" s="46"/>
      <c r="Z349" s="46"/>
      <c r="AA349" s="46"/>
      <c r="AB349" s="46"/>
      <c r="AC349" s="46"/>
      <c r="AD349" s="46"/>
      <c r="AE349" s="46"/>
      <c r="AF349" s="46"/>
      <c r="AG349" s="127"/>
      <c r="AH349" s="127"/>
      <c r="AI349" s="127"/>
      <c r="AJ349" s="127"/>
      <c r="AK349" s="46"/>
      <c r="AL349" s="46"/>
      <c r="AM349" s="46"/>
      <c r="AN349" s="46"/>
      <c r="AO349" s="46"/>
    </row>
    <row r="350">
      <c r="A350" s="17"/>
      <c r="B350" s="46"/>
      <c r="C350" s="46"/>
      <c r="D350" s="46"/>
      <c r="E350" s="17"/>
      <c r="F350" s="46"/>
      <c r="G350" s="46"/>
      <c r="H350" s="46"/>
      <c r="I350" s="17"/>
      <c r="J350" s="46"/>
      <c r="K350" s="46"/>
      <c r="L350" s="46"/>
      <c r="M350" s="17"/>
      <c r="N350" s="46"/>
      <c r="O350" s="46"/>
      <c r="P350" s="46"/>
      <c r="Q350" s="46"/>
      <c r="R350" s="46"/>
      <c r="S350" s="46"/>
      <c r="T350" s="46"/>
      <c r="U350" s="46"/>
      <c r="V350" s="46"/>
      <c r="W350" s="46"/>
      <c r="X350" s="46"/>
      <c r="Y350" s="46"/>
      <c r="Z350" s="46"/>
      <c r="AA350" s="46"/>
      <c r="AB350" s="46"/>
      <c r="AC350" s="46"/>
      <c r="AD350" s="46"/>
      <c r="AE350" s="46"/>
      <c r="AF350" s="46"/>
      <c r="AG350" s="127"/>
      <c r="AH350" s="127"/>
      <c r="AI350" s="127"/>
      <c r="AJ350" s="127"/>
      <c r="AK350" s="46"/>
      <c r="AL350" s="46"/>
      <c r="AM350" s="46"/>
      <c r="AN350" s="46"/>
      <c r="AO350" s="46"/>
    </row>
    <row r="351">
      <c r="A351" s="17"/>
      <c r="B351" s="46"/>
      <c r="C351" s="46"/>
      <c r="D351" s="46"/>
      <c r="E351" s="17"/>
      <c r="F351" s="46"/>
      <c r="G351" s="46"/>
      <c r="H351" s="46"/>
      <c r="I351" s="17"/>
      <c r="J351" s="46"/>
      <c r="K351" s="46"/>
      <c r="L351" s="46"/>
      <c r="M351" s="17"/>
      <c r="N351" s="46"/>
      <c r="O351" s="46"/>
      <c r="P351" s="46"/>
      <c r="Q351" s="46"/>
      <c r="R351" s="46"/>
      <c r="S351" s="46"/>
      <c r="T351" s="46"/>
      <c r="U351" s="46"/>
      <c r="V351" s="46"/>
      <c r="W351" s="46"/>
      <c r="X351" s="46"/>
      <c r="Y351" s="46"/>
      <c r="Z351" s="46"/>
      <c r="AA351" s="46"/>
      <c r="AB351" s="46"/>
      <c r="AC351" s="46"/>
      <c r="AD351" s="46"/>
      <c r="AE351" s="46"/>
      <c r="AF351" s="46"/>
      <c r="AG351" s="127"/>
      <c r="AH351" s="127"/>
      <c r="AI351" s="127"/>
      <c r="AJ351" s="127"/>
      <c r="AK351" s="46"/>
      <c r="AL351" s="46"/>
      <c r="AM351" s="46"/>
      <c r="AN351" s="46"/>
      <c r="AO351" s="46"/>
    </row>
    <row r="352">
      <c r="A352" s="17"/>
      <c r="B352" s="46"/>
      <c r="C352" s="46"/>
      <c r="D352" s="46"/>
      <c r="E352" s="17"/>
      <c r="F352" s="46"/>
      <c r="G352" s="46"/>
      <c r="H352" s="46"/>
      <c r="I352" s="17"/>
      <c r="J352" s="46"/>
      <c r="K352" s="46"/>
      <c r="L352" s="46"/>
      <c r="M352" s="17"/>
      <c r="N352" s="46"/>
      <c r="O352" s="46"/>
      <c r="P352" s="46"/>
      <c r="Q352" s="46"/>
      <c r="R352" s="46"/>
      <c r="S352" s="46"/>
      <c r="T352" s="46"/>
      <c r="U352" s="46"/>
      <c r="V352" s="46"/>
      <c r="W352" s="46"/>
      <c r="X352" s="46"/>
      <c r="Y352" s="46"/>
      <c r="Z352" s="46"/>
      <c r="AA352" s="46"/>
      <c r="AB352" s="46"/>
      <c r="AC352" s="46"/>
      <c r="AD352" s="46"/>
      <c r="AE352" s="46"/>
      <c r="AF352" s="46"/>
      <c r="AG352" s="127"/>
      <c r="AH352" s="127"/>
      <c r="AI352" s="127"/>
      <c r="AJ352" s="127"/>
      <c r="AK352" s="46"/>
      <c r="AL352" s="46"/>
      <c r="AM352" s="46"/>
      <c r="AN352" s="46"/>
      <c r="AO352" s="46"/>
    </row>
    <row r="353">
      <c r="A353" s="17"/>
      <c r="B353" s="46"/>
      <c r="C353" s="46"/>
      <c r="D353" s="46"/>
      <c r="E353" s="17"/>
      <c r="F353" s="46"/>
      <c r="G353" s="46"/>
      <c r="H353" s="46"/>
      <c r="I353" s="17"/>
      <c r="J353" s="46"/>
      <c r="K353" s="46"/>
      <c r="L353" s="46"/>
      <c r="M353" s="17"/>
      <c r="N353" s="46"/>
      <c r="O353" s="46"/>
      <c r="P353" s="46"/>
      <c r="Q353" s="46"/>
      <c r="R353" s="46"/>
      <c r="S353" s="46"/>
      <c r="T353" s="46"/>
      <c r="U353" s="46"/>
      <c r="V353" s="46"/>
      <c r="W353" s="46"/>
      <c r="X353" s="46"/>
      <c r="Y353" s="46"/>
      <c r="Z353" s="46"/>
      <c r="AA353" s="46"/>
      <c r="AB353" s="46"/>
      <c r="AC353" s="46"/>
      <c r="AD353" s="46"/>
      <c r="AE353" s="46"/>
      <c r="AF353" s="46"/>
      <c r="AG353" s="127"/>
      <c r="AH353" s="127"/>
      <c r="AI353" s="127"/>
      <c r="AJ353" s="127"/>
      <c r="AK353" s="46"/>
      <c r="AL353" s="46"/>
      <c r="AM353" s="46"/>
      <c r="AN353" s="46"/>
      <c r="AO353" s="46"/>
    </row>
    <row r="354">
      <c r="A354" s="17"/>
      <c r="B354" s="46"/>
      <c r="C354" s="46"/>
      <c r="D354" s="46"/>
      <c r="E354" s="17"/>
      <c r="F354" s="46"/>
      <c r="G354" s="46"/>
      <c r="H354" s="46"/>
      <c r="I354" s="17"/>
      <c r="J354" s="46"/>
      <c r="K354" s="46"/>
      <c r="L354" s="46"/>
      <c r="M354" s="17"/>
      <c r="N354" s="46"/>
      <c r="O354" s="46"/>
      <c r="P354" s="46"/>
      <c r="Q354" s="46"/>
      <c r="R354" s="46"/>
      <c r="S354" s="46"/>
      <c r="T354" s="46"/>
      <c r="U354" s="46"/>
      <c r="V354" s="46"/>
      <c r="W354" s="46"/>
      <c r="X354" s="46"/>
      <c r="Y354" s="46"/>
      <c r="Z354" s="46"/>
      <c r="AA354" s="46"/>
      <c r="AB354" s="46"/>
      <c r="AC354" s="46"/>
      <c r="AD354" s="46"/>
      <c r="AE354" s="46"/>
      <c r="AF354" s="46"/>
      <c r="AG354" s="127"/>
      <c r="AH354" s="127"/>
      <c r="AI354" s="127"/>
      <c r="AJ354" s="127"/>
      <c r="AK354" s="46"/>
      <c r="AL354" s="46"/>
      <c r="AM354" s="46"/>
      <c r="AN354" s="46"/>
      <c r="AO354" s="46"/>
    </row>
    <row r="355">
      <c r="A355" s="17"/>
      <c r="B355" s="46"/>
      <c r="C355" s="46"/>
      <c r="D355" s="46"/>
      <c r="E355" s="17"/>
      <c r="F355" s="46"/>
      <c r="G355" s="46"/>
      <c r="H355" s="46"/>
      <c r="I355" s="17"/>
      <c r="J355" s="46"/>
      <c r="K355" s="46"/>
      <c r="L355" s="46"/>
      <c r="M355" s="17"/>
      <c r="N355" s="46"/>
      <c r="O355" s="46"/>
      <c r="P355" s="46"/>
      <c r="Q355" s="46"/>
      <c r="R355" s="46"/>
      <c r="S355" s="46"/>
      <c r="T355" s="46"/>
      <c r="U355" s="46"/>
      <c r="V355" s="46"/>
      <c r="W355" s="46"/>
      <c r="X355" s="46"/>
      <c r="Y355" s="46"/>
      <c r="Z355" s="46"/>
      <c r="AA355" s="46"/>
      <c r="AB355" s="46"/>
      <c r="AC355" s="46"/>
      <c r="AD355" s="46"/>
      <c r="AE355" s="46"/>
      <c r="AF355" s="46"/>
      <c r="AG355" s="127"/>
      <c r="AH355" s="127"/>
      <c r="AI355" s="127"/>
      <c r="AJ355" s="127"/>
      <c r="AK355" s="46"/>
      <c r="AL355" s="46"/>
      <c r="AM355" s="46"/>
      <c r="AN355" s="46"/>
      <c r="AO355" s="46"/>
    </row>
    <row r="356">
      <c r="A356" s="17"/>
      <c r="B356" s="46"/>
      <c r="C356" s="46"/>
      <c r="D356" s="46"/>
      <c r="E356" s="17"/>
      <c r="F356" s="46"/>
      <c r="G356" s="46"/>
      <c r="H356" s="46"/>
      <c r="I356" s="17"/>
      <c r="J356" s="46"/>
      <c r="K356" s="46"/>
      <c r="L356" s="46"/>
      <c r="M356" s="17"/>
      <c r="N356" s="46"/>
      <c r="O356" s="46"/>
      <c r="P356" s="46"/>
      <c r="Q356" s="46"/>
      <c r="R356" s="46"/>
      <c r="S356" s="46"/>
      <c r="T356" s="46"/>
      <c r="U356" s="46"/>
      <c r="V356" s="46"/>
      <c r="W356" s="46"/>
      <c r="X356" s="46"/>
      <c r="Y356" s="46"/>
      <c r="Z356" s="46"/>
      <c r="AA356" s="46"/>
      <c r="AB356" s="46"/>
      <c r="AC356" s="46"/>
      <c r="AD356" s="46"/>
      <c r="AE356" s="46"/>
      <c r="AF356" s="46"/>
      <c r="AG356" s="127"/>
      <c r="AH356" s="127"/>
      <c r="AI356" s="127"/>
      <c r="AJ356" s="127"/>
      <c r="AK356" s="46"/>
      <c r="AL356" s="46"/>
      <c r="AM356" s="46"/>
      <c r="AN356" s="46"/>
      <c r="AO356" s="46"/>
    </row>
    <row r="357">
      <c r="A357" s="17"/>
      <c r="B357" s="46"/>
      <c r="C357" s="46"/>
      <c r="D357" s="46"/>
      <c r="E357" s="17"/>
      <c r="F357" s="46"/>
      <c r="G357" s="46"/>
      <c r="H357" s="46"/>
      <c r="I357" s="17"/>
      <c r="J357" s="46"/>
      <c r="K357" s="46"/>
      <c r="L357" s="46"/>
      <c r="M357" s="17"/>
      <c r="N357" s="46"/>
      <c r="O357" s="46"/>
      <c r="P357" s="46"/>
      <c r="Q357" s="46"/>
      <c r="R357" s="46"/>
      <c r="S357" s="46"/>
      <c r="T357" s="46"/>
      <c r="U357" s="46"/>
      <c r="V357" s="46"/>
      <c r="W357" s="46"/>
      <c r="X357" s="46"/>
      <c r="Y357" s="46"/>
      <c r="Z357" s="46"/>
      <c r="AA357" s="46"/>
      <c r="AB357" s="46"/>
      <c r="AC357" s="46"/>
      <c r="AD357" s="46"/>
      <c r="AE357" s="46"/>
      <c r="AF357" s="46"/>
      <c r="AG357" s="127"/>
      <c r="AH357" s="127"/>
      <c r="AI357" s="127"/>
      <c r="AJ357" s="127"/>
      <c r="AK357" s="46"/>
      <c r="AL357" s="46"/>
      <c r="AM357" s="46"/>
      <c r="AN357" s="46"/>
      <c r="AO357" s="46"/>
    </row>
    <row r="358">
      <c r="A358" s="17"/>
      <c r="B358" s="46"/>
      <c r="C358" s="46"/>
      <c r="D358" s="46"/>
      <c r="E358" s="17"/>
      <c r="F358" s="46"/>
      <c r="G358" s="46"/>
      <c r="H358" s="46"/>
      <c r="I358" s="17"/>
      <c r="J358" s="46"/>
      <c r="K358" s="46"/>
      <c r="L358" s="46"/>
      <c r="M358" s="17"/>
      <c r="N358" s="46"/>
      <c r="O358" s="46"/>
      <c r="P358" s="46"/>
      <c r="Q358" s="46"/>
      <c r="R358" s="46"/>
      <c r="S358" s="46"/>
      <c r="T358" s="46"/>
      <c r="U358" s="46"/>
      <c r="V358" s="46"/>
      <c r="W358" s="46"/>
      <c r="X358" s="46"/>
      <c r="Y358" s="46"/>
      <c r="Z358" s="46"/>
      <c r="AA358" s="46"/>
      <c r="AB358" s="46"/>
      <c r="AC358" s="46"/>
      <c r="AD358" s="46"/>
      <c r="AE358" s="46"/>
      <c r="AF358" s="46"/>
      <c r="AG358" s="127"/>
      <c r="AH358" s="127"/>
      <c r="AI358" s="127"/>
      <c r="AJ358" s="127"/>
      <c r="AK358" s="46"/>
      <c r="AL358" s="46"/>
      <c r="AM358" s="46"/>
      <c r="AN358" s="46"/>
      <c r="AO358" s="46"/>
    </row>
    <row r="359">
      <c r="A359" s="17"/>
      <c r="B359" s="46"/>
      <c r="C359" s="46"/>
      <c r="D359" s="46"/>
      <c r="E359" s="17"/>
      <c r="F359" s="46"/>
      <c r="G359" s="46"/>
      <c r="H359" s="46"/>
      <c r="I359" s="17"/>
      <c r="J359" s="46"/>
      <c r="K359" s="46"/>
      <c r="L359" s="46"/>
      <c r="M359" s="17"/>
      <c r="N359" s="46"/>
      <c r="O359" s="46"/>
      <c r="P359" s="46"/>
      <c r="Q359" s="46"/>
      <c r="R359" s="46"/>
      <c r="S359" s="46"/>
      <c r="T359" s="46"/>
      <c r="U359" s="46"/>
      <c r="V359" s="46"/>
      <c r="W359" s="46"/>
      <c r="X359" s="46"/>
      <c r="Y359" s="46"/>
      <c r="Z359" s="46"/>
      <c r="AA359" s="46"/>
      <c r="AB359" s="46"/>
      <c r="AC359" s="46"/>
      <c r="AD359" s="46"/>
      <c r="AE359" s="46"/>
      <c r="AF359" s="46"/>
      <c r="AG359" s="127"/>
      <c r="AH359" s="127"/>
      <c r="AI359" s="127"/>
      <c r="AJ359" s="127"/>
      <c r="AK359" s="46"/>
      <c r="AL359" s="46"/>
      <c r="AM359" s="46"/>
      <c r="AN359" s="46"/>
      <c r="AO359" s="46"/>
    </row>
    <row r="360">
      <c r="A360" s="17"/>
      <c r="B360" s="46"/>
      <c r="C360" s="46"/>
      <c r="D360" s="46"/>
      <c r="E360" s="17"/>
      <c r="F360" s="46"/>
      <c r="G360" s="46"/>
      <c r="H360" s="46"/>
      <c r="I360" s="17"/>
      <c r="J360" s="46"/>
      <c r="K360" s="46"/>
      <c r="L360" s="46"/>
      <c r="M360" s="17"/>
      <c r="N360" s="46"/>
      <c r="O360" s="46"/>
      <c r="P360" s="46"/>
      <c r="Q360" s="46"/>
      <c r="R360" s="46"/>
      <c r="S360" s="46"/>
      <c r="T360" s="46"/>
      <c r="U360" s="46"/>
      <c r="V360" s="46"/>
      <c r="W360" s="46"/>
      <c r="X360" s="46"/>
      <c r="Y360" s="46"/>
      <c r="Z360" s="46"/>
      <c r="AA360" s="46"/>
      <c r="AB360" s="46"/>
      <c r="AC360" s="46"/>
      <c r="AD360" s="46"/>
      <c r="AE360" s="46"/>
      <c r="AF360" s="46"/>
      <c r="AG360" s="127"/>
      <c r="AH360" s="127"/>
      <c r="AI360" s="127"/>
      <c r="AJ360" s="127"/>
      <c r="AK360" s="46"/>
      <c r="AL360" s="46"/>
      <c r="AM360" s="46"/>
      <c r="AN360" s="46"/>
      <c r="AO360" s="46"/>
    </row>
    <row r="361">
      <c r="A361" s="17"/>
      <c r="B361" s="46"/>
      <c r="C361" s="46"/>
      <c r="D361" s="46"/>
      <c r="E361" s="17"/>
      <c r="F361" s="46"/>
      <c r="G361" s="46"/>
      <c r="H361" s="46"/>
      <c r="I361" s="17"/>
      <c r="J361" s="46"/>
      <c r="K361" s="46"/>
      <c r="L361" s="46"/>
      <c r="M361" s="17"/>
      <c r="N361" s="46"/>
      <c r="O361" s="46"/>
      <c r="P361" s="46"/>
      <c r="Q361" s="46"/>
      <c r="R361" s="46"/>
      <c r="S361" s="46"/>
      <c r="T361" s="46"/>
      <c r="U361" s="46"/>
      <c r="V361" s="46"/>
      <c r="W361" s="46"/>
      <c r="X361" s="46"/>
      <c r="Y361" s="46"/>
      <c r="Z361" s="46"/>
      <c r="AA361" s="46"/>
      <c r="AB361" s="46"/>
      <c r="AC361" s="46"/>
      <c r="AD361" s="46"/>
      <c r="AE361" s="46"/>
      <c r="AF361" s="46"/>
      <c r="AG361" s="127"/>
      <c r="AH361" s="127"/>
      <c r="AI361" s="127"/>
      <c r="AJ361" s="127"/>
      <c r="AK361" s="46"/>
      <c r="AL361" s="46"/>
      <c r="AM361" s="46"/>
      <c r="AN361" s="46"/>
      <c r="AO361" s="46"/>
    </row>
    <row r="362">
      <c r="A362" s="17"/>
      <c r="B362" s="46"/>
      <c r="C362" s="46"/>
      <c r="D362" s="46"/>
      <c r="E362" s="17"/>
      <c r="F362" s="46"/>
      <c r="G362" s="46"/>
      <c r="H362" s="46"/>
      <c r="I362" s="17"/>
      <c r="J362" s="46"/>
      <c r="K362" s="46"/>
      <c r="L362" s="46"/>
      <c r="M362" s="17"/>
      <c r="N362" s="46"/>
      <c r="O362" s="46"/>
      <c r="P362" s="46"/>
      <c r="Q362" s="46"/>
      <c r="R362" s="46"/>
      <c r="S362" s="46"/>
      <c r="T362" s="46"/>
      <c r="U362" s="46"/>
      <c r="V362" s="46"/>
      <c r="W362" s="46"/>
      <c r="X362" s="46"/>
      <c r="Y362" s="46"/>
      <c r="Z362" s="46"/>
      <c r="AA362" s="46"/>
      <c r="AB362" s="46"/>
      <c r="AC362" s="46"/>
      <c r="AD362" s="46"/>
      <c r="AE362" s="46"/>
      <c r="AF362" s="46"/>
      <c r="AG362" s="127"/>
      <c r="AH362" s="127"/>
      <c r="AI362" s="127"/>
      <c r="AJ362" s="127"/>
      <c r="AK362" s="46"/>
      <c r="AL362" s="46"/>
      <c r="AM362" s="46"/>
      <c r="AN362" s="46"/>
      <c r="AO362" s="46"/>
    </row>
    <row r="363">
      <c r="A363" s="17"/>
      <c r="B363" s="46"/>
      <c r="C363" s="46"/>
      <c r="D363" s="46"/>
      <c r="E363" s="17"/>
      <c r="F363" s="46"/>
      <c r="G363" s="46"/>
      <c r="H363" s="46"/>
      <c r="I363" s="17"/>
      <c r="J363" s="46"/>
      <c r="K363" s="46"/>
      <c r="L363" s="46"/>
      <c r="M363" s="17"/>
      <c r="N363" s="46"/>
      <c r="O363" s="46"/>
      <c r="P363" s="46"/>
      <c r="Q363" s="46"/>
      <c r="R363" s="46"/>
      <c r="S363" s="46"/>
      <c r="T363" s="46"/>
      <c r="U363" s="46"/>
      <c r="V363" s="46"/>
      <c r="W363" s="46"/>
      <c r="X363" s="46"/>
      <c r="Y363" s="46"/>
      <c r="Z363" s="46"/>
      <c r="AA363" s="46"/>
      <c r="AB363" s="46"/>
      <c r="AC363" s="46"/>
      <c r="AD363" s="46"/>
      <c r="AE363" s="46"/>
      <c r="AF363" s="46"/>
      <c r="AG363" s="127"/>
      <c r="AH363" s="127"/>
      <c r="AI363" s="127"/>
      <c r="AJ363" s="127"/>
      <c r="AK363" s="46"/>
      <c r="AL363" s="46"/>
      <c r="AM363" s="46"/>
      <c r="AN363" s="46"/>
      <c r="AO363" s="46"/>
    </row>
    <row r="364">
      <c r="A364" s="17"/>
      <c r="B364" s="46"/>
      <c r="C364" s="46"/>
      <c r="D364" s="46"/>
      <c r="E364" s="17"/>
      <c r="F364" s="46"/>
      <c r="G364" s="46"/>
      <c r="H364" s="46"/>
      <c r="I364" s="17"/>
      <c r="J364" s="46"/>
      <c r="K364" s="46"/>
      <c r="L364" s="46"/>
      <c r="M364" s="17"/>
      <c r="N364" s="46"/>
      <c r="O364" s="46"/>
      <c r="P364" s="46"/>
      <c r="Q364" s="46"/>
      <c r="R364" s="46"/>
      <c r="S364" s="46"/>
      <c r="T364" s="46"/>
      <c r="U364" s="46"/>
      <c r="V364" s="46"/>
      <c r="W364" s="46"/>
      <c r="X364" s="46"/>
      <c r="Y364" s="46"/>
      <c r="Z364" s="46"/>
      <c r="AA364" s="46"/>
      <c r="AB364" s="46"/>
      <c r="AC364" s="46"/>
      <c r="AD364" s="46"/>
      <c r="AE364" s="46"/>
      <c r="AF364" s="46"/>
      <c r="AG364" s="127"/>
      <c r="AH364" s="127"/>
      <c r="AI364" s="127"/>
      <c r="AJ364" s="127"/>
      <c r="AK364" s="46"/>
      <c r="AL364" s="46"/>
      <c r="AM364" s="46"/>
      <c r="AN364" s="46"/>
      <c r="AO364" s="46"/>
    </row>
    <row r="365">
      <c r="A365" s="17"/>
      <c r="B365" s="46"/>
      <c r="C365" s="46"/>
      <c r="D365" s="46"/>
      <c r="E365" s="17"/>
      <c r="F365" s="46"/>
      <c r="G365" s="46"/>
      <c r="H365" s="46"/>
      <c r="I365" s="17"/>
      <c r="J365" s="46"/>
      <c r="K365" s="46"/>
      <c r="L365" s="46"/>
      <c r="M365" s="17"/>
      <c r="N365" s="46"/>
      <c r="O365" s="46"/>
      <c r="P365" s="46"/>
      <c r="Q365" s="46"/>
      <c r="R365" s="46"/>
      <c r="S365" s="46"/>
      <c r="T365" s="46"/>
      <c r="U365" s="46"/>
      <c r="V365" s="46"/>
      <c r="W365" s="46"/>
      <c r="X365" s="46"/>
      <c r="Y365" s="46"/>
      <c r="Z365" s="46"/>
      <c r="AA365" s="46"/>
      <c r="AB365" s="46"/>
      <c r="AC365" s="46"/>
      <c r="AD365" s="46"/>
      <c r="AE365" s="46"/>
      <c r="AF365" s="46"/>
      <c r="AG365" s="127"/>
      <c r="AH365" s="127"/>
      <c r="AI365" s="127"/>
      <c r="AJ365" s="127"/>
      <c r="AK365" s="46"/>
      <c r="AL365" s="46"/>
      <c r="AM365" s="46"/>
      <c r="AN365" s="46"/>
      <c r="AO365" s="46"/>
    </row>
    <row r="366">
      <c r="A366" s="17"/>
      <c r="B366" s="46"/>
      <c r="C366" s="46"/>
      <c r="D366" s="46"/>
      <c r="E366" s="17"/>
      <c r="F366" s="46"/>
      <c r="G366" s="46"/>
      <c r="H366" s="46"/>
      <c r="I366" s="17"/>
      <c r="J366" s="46"/>
      <c r="K366" s="46"/>
      <c r="L366" s="46"/>
      <c r="M366" s="17"/>
      <c r="N366" s="46"/>
      <c r="O366" s="46"/>
      <c r="P366" s="46"/>
      <c r="Q366" s="46"/>
      <c r="R366" s="46"/>
      <c r="S366" s="46"/>
      <c r="T366" s="46"/>
      <c r="U366" s="46"/>
      <c r="V366" s="46"/>
      <c r="W366" s="46"/>
      <c r="X366" s="46"/>
      <c r="Y366" s="46"/>
      <c r="Z366" s="46"/>
      <c r="AA366" s="46"/>
      <c r="AB366" s="46"/>
      <c r="AC366" s="46"/>
      <c r="AD366" s="46"/>
      <c r="AE366" s="46"/>
      <c r="AF366" s="46"/>
      <c r="AG366" s="127"/>
      <c r="AH366" s="127"/>
      <c r="AI366" s="127"/>
      <c r="AJ366" s="127"/>
      <c r="AK366" s="46"/>
      <c r="AL366" s="46"/>
      <c r="AM366" s="46"/>
      <c r="AN366" s="46"/>
      <c r="AO366" s="46"/>
    </row>
    <row r="367">
      <c r="A367" s="17"/>
      <c r="B367" s="46"/>
      <c r="C367" s="46"/>
      <c r="D367" s="46"/>
      <c r="E367" s="17"/>
      <c r="F367" s="46"/>
      <c r="G367" s="46"/>
      <c r="H367" s="46"/>
      <c r="I367" s="17"/>
      <c r="J367" s="46"/>
      <c r="K367" s="46"/>
      <c r="L367" s="46"/>
      <c r="M367" s="17"/>
      <c r="N367" s="46"/>
      <c r="O367" s="46"/>
      <c r="P367" s="46"/>
      <c r="Q367" s="46"/>
      <c r="R367" s="46"/>
      <c r="S367" s="46"/>
      <c r="T367" s="46"/>
      <c r="U367" s="46"/>
      <c r="V367" s="46"/>
      <c r="W367" s="46"/>
      <c r="X367" s="46"/>
      <c r="Y367" s="46"/>
      <c r="Z367" s="46"/>
      <c r="AA367" s="46"/>
      <c r="AB367" s="46"/>
      <c r="AC367" s="46"/>
      <c r="AD367" s="46"/>
      <c r="AE367" s="46"/>
      <c r="AF367" s="46"/>
      <c r="AG367" s="127"/>
      <c r="AH367" s="127"/>
      <c r="AI367" s="127"/>
      <c r="AJ367" s="127"/>
      <c r="AK367" s="46"/>
      <c r="AL367" s="46"/>
      <c r="AM367" s="46"/>
      <c r="AN367" s="46"/>
      <c r="AO367" s="46"/>
    </row>
    <row r="368">
      <c r="A368" s="17"/>
      <c r="B368" s="46"/>
      <c r="C368" s="46"/>
      <c r="D368" s="46"/>
      <c r="E368" s="17"/>
      <c r="F368" s="46"/>
      <c r="G368" s="46"/>
      <c r="H368" s="46"/>
      <c r="I368" s="17"/>
      <c r="J368" s="46"/>
      <c r="K368" s="46"/>
      <c r="L368" s="46"/>
      <c r="M368" s="17"/>
      <c r="N368" s="46"/>
      <c r="O368" s="46"/>
      <c r="P368" s="46"/>
      <c r="Q368" s="46"/>
      <c r="R368" s="46"/>
      <c r="S368" s="46"/>
      <c r="T368" s="46"/>
      <c r="U368" s="46"/>
      <c r="V368" s="46"/>
      <c r="W368" s="46"/>
      <c r="X368" s="46"/>
      <c r="Y368" s="46"/>
      <c r="Z368" s="46"/>
      <c r="AA368" s="46"/>
      <c r="AB368" s="46"/>
      <c r="AC368" s="46"/>
      <c r="AD368" s="46"/>
      <c r="AE368" s="46"/>
      <c r="AF368" s="46"/>
      <c r="AG368" s="127"/>
      <c r="AH368" s="127"/>
      <c r="AI368" s="127"/>
      <c r="AJ368" s="127"/>
      <c r="AK368" s="46"/>
      <c r="AL368" s="46"/>
      <c r="AM368" s="46"/>
      <c r="AN368" s="46"/>
      <c r="AO368" s="46"/>
    </row>
    <row r="369">
      <c r="A369" s="17"/>
      <c r="B369" s="46"/>
      <c r="C369" s="46"/>
      <c r="D369" s="46"/>
      <c r="E369" s="17"/>
      <c r="F369" s="46"/>
      <c r="G369" s="46"/>
      <c r="H369" s="46"/>
      <c r="I369" s="17"/>
      <c r="J369" s="46"/>
      <c r="K369" s="46"/>
      <c r="L369" s="46"/>
      <c r="M369" s="17"/>
      <c r="N369" s="46"/>
      <c r="O369" s="46"/>
      <c r="P369" s="46"/>
      <c r="Q369" s="46"/>
      <c r="R369" s="46"/>
      <c r="S369" s="46"/>
      <c r="T369" s="46"/>
      <c r="U369" s="46"/>
      <c r="V369" s="46"/>
      <c r="W369" s="46"/>
      <c r="X369" s="46"/>
      <c r="Y369" s="46"/>
      <c r="Z369" s="46"/>
      <c r="AA369" s="46"/>
      <c r="AB369" s="46"/>
      <c r="AC369" s="46"/>
      <c r="AD369" s="46"/>
      <c r="AE369" s="46"/>
      <c r="AF369" s="46"/>
      <c r="AG369" s="127"/>
      <c r="AH369" s="127"/>
      <c r="AI369" s="127"/>
      <c r="AJ369" s="127"/>
      <c r="AK369" s="46"/>
      <c r="AL369" s="46"/>
      <c r="AM369" s="46"/>
      <c r="AN369" s="46"/>
      <c r="AO369" s="46"/>
    </row>
    <row r="370">
      <c r="A370" s="17"/>
      <c r="B370" s="46"/>
      <c r="C370" s="46"/>
      <c r="D370" s="46"/>
      <c r="E370" s="17"/>
      <c r="F370" s="46"/>
      <c r="G370" s="46"/>
      <c r="H370" s="46"/>
      <c r="I370" s="17"/>
      <c r="J370" s="46"/>
      <c r="K370" s="46"/>
      <c r="L370" s="46"/>
      <c r="M370" s="17"/>
      <c r="N370" s="46"/>
      <c r="O370" s="46"/>
      <c r="P370" s="46"/>
      <c r="Q370" s="46"/>
      <c r="R370" s="46"/>
      <c r="S370" s="46"/>
      <c r="T370" s="46"/>
      <c r="U370" s="46"/>
      <c r="V370" s="46"/>
      <c r="W370" s="46"/>
      <c r="X370" s="46"/>
      <c r="Y370" s="46"/>
      <c r="Z370" s="46"/>
      <c r="AA370" s="46"/>
      <c r="AB370" s="46"/>
      <c r="AC370" s="46"/>
      <c r="AD370" s="46"/>
      <c r="AE370" s="46"/>
      <c r="AF370" s="46"/>
      <c r="AG370" s="127"/>
      <c r="AH370" s="127"/>
      <c r="AI370" s="127"/>
      <c r="AJ370" s="127"/>
      <c r="AK370" s="46"/>
      <c r="AL370" s="46"/>
      <c r="AM370" s="46"/>
      <c r="AN370" s="46"/>
      <c r="AO370" s="46"/>
    </row>
    <row r="371">
      <c r="A371" s="17"/>
      <c r="B371" s="46"/>
      <c r="C371" s="46"/>
      <c r="D371" s="46"/>
      <c r="E371" s="17"/>
      <c r="F371" s="46"/>
      <c r="G371" s="46"/>
      <c r="H371" s="46"/>
      <c r="I371" s="17"/>
      <c r="J371" s="46"/>
      <c r="K371" s="46"/>
      <c r="L371" s="46"/>
      <c r="M371" s="17"/>
      <c r="N371" s="46"/>
      <c r="O371" s="46"/>
      <c r="P371" s="46"/>
      <c r="Q371" s="46"/>
      <c r="R371" s="46"/>
      <c r="S371" s="46"/>
      <c r="T371" s="46"/>
      <c r="U371" s="46"/>
      <c r="V371" s="46"/>
      <c r="W371" s="46"/>
      <c r="X371" s="46"/>
      <c r="Y371" s="46"/>
      <c r="Z371" s="46"/>
      <c r="AA371" s="46"/>
      <c r="AB371" s="46"/>
      <c r="AC371" s="46"/>
      <c r="AD371" s="46"/>
      <c r="AE371" s="46"/>
      <c r="AF371" s="46"/>
      <c r="AG371" s="127"/>
      <c r="AH371" s="127"/>
      <c r="AI371" s="127"/>
      <c r="AJ371" s="127"/>
      <c r="AK371" s="46"/>
      <c r="AL371" s="46"/>
      <c r="AM371" s="46"/>
      <c r="AN371" s="46"/>
      <c r="AO371" s="46"/>
    </row>
    <row r="372">
      <c r="A372" s="17"/>
      <c r="B372" s="46"/>
      <c r="C372" s="46"/>
      <c r="D372" s="46"/>
      <c r="E372" s="17"/>
      <c r="F372" s="46"/>
      <c r="G372" s="46"/>
      <c r="H372" s="46"/>
      <c r="I372" s="17"/>
      <c r="J372" s="46"/>
      <c r="K372" s="46"/>
      <c r="L372" s="46"/>
      <c r="M372" s="17"/>
      <c r="N372" s="46"/>
      <c r="O372" s="46"/>
      <c r="P372" s="46"/>
      <c r="Q372" s="46"/>
      <c r="R372" s="46"/>
      <c r="S372" s="46"/>
      <c r="T372" s="46"/>
      <c r="U372" s="46"/>
      <c r="V372" s="46"/>
      <c r="W372" s="46"/>
      <c r="X372" s="46"/>
      <c r="Y372" s="46"/>
      <c r="Z372" s="46"/>
      <c r="AA372" s="46"/>
      <c r="AB372" s="46"/>
      <c r="AC372" s="46"/>
      <c r="AD372" s="46"/>
      <c r="AE372" s="46"/>
      <c r="AF372" s="46"/>
      <c r="AG372" s="127"/>
      <c r="AH372" s="127"/>
      <c r="AI372" s="127"/>
      <c r="AJ372" s="127"/>
      <c r="AK372" s="46"/>
      <c r="AL372" s="46"/>
      <c r="AM372" s="46"/>
      <c r="AN372" s="46"/>
      <c r="AO372" s="46"/>
    </row>
    <row r="373">
      <c r="A373" s="17"/>
      <c r="B373" s="46"/>
      <c r="C373" s="46"/>
      <c r="D373" s="46"/>
      <c r="E373" s="17"/>
      <c r="F373" s="46"/>
      <c r="G373" s="46"/>
      <c r="H373" s="46"/>
      <c r="I373" s="17"/>
      <c r="J373" s="46"/>
      <c r="K373" s="46"/>
      <c r="L373" s="46"/>
      <c r="M373" s="17"/>
      <c r="N373" s="46"/>
      <c r="O373" s="46"/>
      <c r="P373" s="46"/>
      <c r="Q373" s="46"/>
      <c r="R373" s="46"/>
      <c r="S373" s="46"/>
      <c r="T373" s="46"/>
      <c r="U373" s="46"/>
      <c r="V373" s="46"/>
      <c r="W373" s="46"/>
      <c r="X373" s="46"/>
      <c r="Y373" s="46"/>
      <c r="Z373" s="46"/>
      <c r="AA373" s="46"/>
      <c r="AB373" s="46"/>
      <c r="AC373" s="46"/>
      <c r="AD373" s="46"/>
      <c r="AE373" s="46"/>
      <c r="AF373" s="46"/>
      <c r="AG373" s="127"/>
      <c r="AH373" s="127"/>
      <c r="AI373" s="127"/>
      <c r="AJ373" s="127"/>
      <c r="AK373" s="46"/>
      <c r="AL373" s="46"/>
      <c r="AM373" s="46"/>
      <c r="AN373" s="46"/>
      <c r="AO373" s="46"/>
    </row>
    <row r="374">
      <c r="A374" s="17"/>
      <c r="B374" s="46"/>
      <c r="C374" s="46"/>
      <c r="D374" s="46"/>
      <c r="E374" s="17"/>
      <c r="F374" s="46"/>
      <c r="G374" s="46"/>
      <c r="H374" s="46"/>
      <c r="I374" s="17"/>
      <c r="J374" s="46"/>
      <c r="K374" s="46"/>
      <c r="L374" s="46"/>
      <c r="M374" s="17"/>
      <c r="N374" s="46"/>
      <c r="O374" s="46"/>
      <c r="P374" s="46"/>
      <c r="Q374" s="46"/>
      <c r="R374" s="46"/>
      <c r="S374" s="46"/>
      <c r="T374" s="46"/>
      <c r="U374" s="46"/>
      <c r="V374" s="46"/>
      <c r="W374" s="46"/>
      <c r="X374" s="46"/>
      <c r="Y374" s="46"/>
      <c r="Z374" s="46"/>
      <c r="AA374" s="46"/>
      <c r="AB374" s="46"/>
      <c r="AC374" s="46"/>
      <c r="AD374" s="46"/>
      <c r="AE374" s="46"/>
      <c r="AF374" s="46"/>
      <c r="AG374" s="127"/>
      <c r="AH374" s="127"/>
      <c r="AI374" s="127"/>
      <c r="AJ374" s="127"/>
      <c r="AK374" s="46"/>
      <c r="AL374" s="46"/>
      <c r="AM374" s="46"/>
      <c r="AN374" s="46"/>
      <c r="AO374" s="46"/>
    </row>
    <row r="375">
      <c r="A375" s="17"/>
      <c r="B375" s="46"/>
      <c r="C375" s="46"/>
      <c r="D375" s="46"/>
      <c r="E375" s="17"/>
      <c r="F375" s="46"/>
      <c r="G375" s="46"/>
      <c r="H375" s="46"/>
      <c r="I375" s="17"/>
      <c r="J375" s="46"/>
      <c r="K375" s="46"/>
      <c r="L375" s="46"/>
      <c r="M375" s="17"/>
      <c r="N375" s="46"/>
      <c r="O375" s="46"/>
      <c r="P375" s="46"/>
      <c r="Q375" s="46"/>
      <c r="R375" s="46"/>
      <c r="S375" s="46"/>
      <c r="T375" s="46"/>
      <c r="U375" s="46"/>
      <c r="V375" s="46"/>
      <c r="W375" s="46"/>
      <c r="X375" s="46"/>
      <c r="Y375" s="46"/>
      <c r="Z375" s="46"/>
      <c r="AA375" s="46"/>
      <c r="AB375" s="46"/>
      <c r="AC375" s="46"/>
      <c r="AD375" s="46"/>
      <c r="AE375" s="46"/>
      <c r="AF375" s="46"/>
      <c r="AG375" s="127"/>
      <c r="AH375" s="127"/>
      <c r="AI375" s="127"/>
      <c r="AJ375" s="127"/>
      <c r="AK375" s="46"/>
      <c r="AL375" s="46"/>
      <c r="AM375" s="46"/>
      <c r="AN375" s="46"/>
      <c r="AO375" s="46"/>
    </row>
    <row r="376">
      <c r="A376" s="17"/>
      <c r="B376" s="46"/>
      <c r="C376" s="46"/>
      <c r="D376" s="46"/>
      <c r="E376" s="17"/>
      <c r="F376" s="46"/>
      <c r="G376" s="46"/>
      <c r="H376" s="46"/>
      <c r="I376" s="17"/>
      <c r="J376" s="46"/>
      <c r="K376" s="46"/>
      <c r="L376" s="46"/>
      <c r="M376" s="17"/>
      <c r="N376" s="46"/>
      <c r="O376" s="46"/>
      <c r="P376" s="46"/>
      <c r="Q376" s="46"/>
      <c r="R376" s="46"/>
      <c r="S376" s="46"/>
      <c r="T376" s="46"/>
      <c r="U376" s="46"/>
      <c r="V376" s="46"/>
      <c r="W376" s="46"/>
      <c r="X376" s="46"/>
      <c r="Y376" s="46"/>
      <c r="Z376" s="46"/>
      <c r="AA376" s="46"/>
      <c r="AB376" s="46"/>
      <c r="AC376" s="46"/>
      <c r="AD376" s="46"/>
      <c r="AE376" s="46"/>
      <c r="AF376" s="46"/>
      <c r="AG376" s="127"/>
      <c r="AH376" s="127"/>
      <c r="AI376" s="127"/>
      <c r="AJ376" s="127"/>
      <c r="AK376" s="46"/>
      <c r="AL376" s="46"/>
      <c r="AM376" s="46"/>
      <c r="AN376" s="46"/>
      <c r="AO376" s="46"/>
    </row>
    <row r="377">
      <c r="A377" s="17"/>
      <c r="B377" s="46"/>
      <c r="C377" s="46"/>
      <c r="D377" s="46"/>
      <c r="E377" s="17"/>
      <c r="F377" s="46"/>
      <c r="G377" s="46"/>
      <c r="H377" s="46"/>
      <c r="I377" s="17"/>
      <c r="J377" s="46"/>
      <c r="K377" s="46"/>
      <c r="L377" s="46"/>
      <c r="M377" s="17"/>
      <c r="N377" s="46"/>
      <c r="O377" s="46"/>
      <c r="P377" s="46"/>
      <c r="Q377" s="46"/>
      <c r="R377" s="46"/>
      <c r="S377" s="46"/>
      <c r="T377" s="46"/>
      <c r="U377" s="46"/>
      <c r="V377" s="46"/>
      <c r="W377" s="46"/>
      <c r="X377" s="46"/>
      <c r="Y377" s="46"/>
      <c r="Z377" s="46"/>
      <c r="AA377" s="46"/>
      <c r="AB377" s="46"/>
      <c r="AC377" s="46"/>
      <c r="AD377" s="46"/>
      <c r="AE377" s="46"/>
      <c r="AF377" s="46"/>
      <c r="AG377" s="127"/>
      <c r="AH377" s="127"/>
      <c r="AI377" s="127"/>
      <c r="AJ377" s="127"/>
      <c r="AK377" s="46"/>
      <c r="AL377" s="46"/>
      <c r="AM377" s="46"/>
      <c r="AN377" s="46"/>
      <c r="AO377" s="46"/>
    </row>
    <row r="378">
      <c r="A378" s="17"/>
      <c r="B378" s="46"/>
      <c r="C378" s="46"/>
      <c r="D378" s="46"/>
      <c r="E378" s="17"/>
      <c r="F378" s="46"/>
      <c r="G378" s="46"/>
      <c r="H378" s="46"/>
      <c r="I378" s="17"/>
      <c r="J378" s="46"/>
      <c r="K378" s="46"/>
      <c r="L378" s="46"/>
      <c r="M378" s="17"/>
      <c r="N378" s="46"/>
      <c r="O378" s="46"/>
      <c r="P378" s="46"/>
      <c r="Q378" s="46"/>
      <c r="R378" s="46"/>
      <c r="S378" s="46"/>
      <c r="T378" s="46"/>
      <c r="U378" s="46"/>
      <c r="V378" s="46"/>
      <c r="W378" s="46"/>
      <c r="X378" s="46"/>
      <c r="Y378" s="46"/>
      <c r="Z378" s="46"/>
      <c r="AA378" s="46"/>
      <c r="AB378" s="46"/>
      <c r="AC378" s="46"/>
      <c r="AD378" s="46"/>
      <c r="AE378" s="46"/>
      <c r="AF378" s="46"/>
      <c r="AG378" s="127"/>
      <c r="AH378" s="127"/>
      <c r="AI378" s="127"/>
      <c r="AJ378" s="127"/>
      <c r="AK378" s="46"/>
      <c r="AL378" s="46"/>
      <c r="AM378" s="46"/>
      <c r="AN378" s="46"/>
      <c r="AO378" s="46"/>
    </row>
    <row r="379">
      <c r="A379" s="17"/>
      <c r="B379" s="46"/>
      <c r="C379" s="46"/>
      <c r="D379" s="46"/>
      <c r="E379" s="17"/>
      <c r="F379" s="46"/>
      <c r="G379" s="46"/>
      <c r="H379" s="46"/>
      <c r="I379" s="17"/>
      <c r="J379" s="46"/>
      <c r="K379" s="46"/>
      <c r="L379" s="46"/>
      <c r="M379" s="17"/>
      <c r="N379" s="46"/>
      <c r="O379" s="46"/>
      <c r="P379" s="46"/>
      <c r="Q379" s="46"/>
      <c r="R379" s="46"/>
      <c r="S379" s="46"/>
      <c r="T379" s="46"/>
      <c r="U379" s="46"/>
      <c r="V379" s="46"/>
      <c r="W379" s="46"/>
      <c r="X379" s="46"/>
      <c r="Y379" s="46"/>
      <c r="Z379" s="46"/>
      <c r="AA379" s="46"/>
      <c r="AB379" s="46"/>
      <c r="AC379" s="46"/>
      <c r="AD379" s="46"/>
      <c r="AE379" s="46"/>
      <c r="AF379" s="46"/>
      <c r="AG379" s="127"/>
      <c r="AH379" s="127"/>
      <c r="AI379" s="127"/>
      <c r="AJ379" s="127"/>
      <c r="AK379" s="46"/>
      <c r="AL379" s="46"/>
      <c r="AM379" s="46"/>
      <c r="AN379" s="46"/>
      <c r="AO379" s="46"/>
    </row>
    <row r="380">
      <c r="A380" s="17"/>
      <c r="B380" s="46"/>
      <c r="C380" s="46"/>
      <c r="D380" s="46"/>
      <c r="E380" s="17"/>
      <c r="F380" s="46"/>
      <c r="G380" s="46"/>
      <c r="H380" s="46"/>
      <c r="I380" s="17"/>
      <c r="J380" s="46"/>
      <c r="K380" s="46"/>
      <c r="L380" s="46"/>
      <c r="M380" s="17"/>
      <c r="N380" s="46"/>
      <c r="O380" s="46"/>
      <c r="P380" s="46"/>
      <c r="Q380" s="46"/>
      <c r="R380" s="46"/>
      <c r="S380" s="46"/>
      <c r="T380" s="46"/>
      <c r="U380" s="46"/>
      <c r="V380" s="46"/>
      <c r="W380" s="46"/>
      <c r="X380" s="46"/>
      <c r="Y380" s="46"/>
      <c r="Z380" s="46"/>
      <c r="AA380" s="46"/>
      <c r="AB380" s="46"/>
      <c r="AC380" s="46"/>
      <c r="AD380" s="46"/>
      <c r="AE380" s="46"/>
      <c r="AF380" s="46"/>
      <c r="AG380" s="127"/>
      <c r="AH380" s="127"/>
      <c r="AI380" s="127"/>
      <c r="AJ380" s="127"/>
      <c r="AK380" s="46"/>
      <c r="AL380" s="46"/>
      <c r="AM380" s="46"/>
      <c r="AN380" s="46"/>
      <c r="AO380" s="46"/>
    </row>
    <row r="381">
      <c r="A381" s="17"/>
      <c r="B381" s="46"/>
      <c r="C381" s="46"/>
      <c r="D381" s="46"/>
      <c r="E381" s="17"/>
      <c r="F381" s="46"/>
      <c r="G381" s="46"/>
      <c r="H381" s="46"/>
      <c r="I381" s="17"/>
      <c r="J381" s="46"/>
      <c r="K381" s="46"/>
      <c r="L381" s="46"/>
      <c r="M381" s="17"/>
      <c r="N381" s="46"/>
      <c r="O381" s="46"/>
      <c r="P381" s="46"/>
      <c r="Q381" s="46"/>
      <c r="R381" s="46"/>
      <c r="S381" s="46"/>
      <c r="T381" s="46"/>
      <c r="U381" s="46"/>
      <c r="V381" s="46"/>
      <c r="W381" s="46"/>
      <c r="X381" s="46"/>
      <c r="Y381" s="46"/>
      <c r="Z381" s="46"/>
      <c r="AA381" s="46"/>
      <c r="AB381" s="46"/>
      <c r="AC381" s="46"/>
      <c r="AD381" s="46"/>
      <c r="AE381" s="46"/>
      <c r="AF381" s="46"/>
      <c r="AG381" s="127"/>
      <c r="AH381" s="127"/>
      <c r="AI381" s="127"/>
      <c r="AJ381" s="127"/>
      <c r="AK381" s="46"/>
      <c r="AL381" s="46"/>
      <c r="AM381" s="46"/>
      <c r="AN381" s="46"/>
      <c r="AO381" s="46"/>
    </row>
    <row r="382">
      <c r="A382" s="17"/>
      <c r="B382" s="46"/>
      <c r="C382" s="46"/>
      <c r="D382" s="46"/>
      <c r="E382" s="17"/>
      <c r="F382" s="46"/>
      <c r="G382" s="46"/>
      <c r="H382" s="46"/>
      <c r="I382" s="17"/>
      <c r="J382" s="46"/>
      <c r="K382" s="46"/>
      <c r="L382" s="46"/>
      <c r="M382" s="17"/>
      <c r="N382" s="46"/>
      <c r="O382" s="46"/>
      <c r="P382" s="46"/>
      <c r="Q382" s="46"/>
      <c r="R382" s="46"/>
      <c r="S382" s="46"/>
      <c r="T382" s="46"/>
      <c r="U382" s="46"/>
      <c r="V382" s="46"/>
      <c r="W382" s="46"/>
      <c r="X382" s="46"/>
      <c r="Y382" s="46"/>
      <c r="Z382" s="46"/>
      <c r="AA382" s="46"/>
      <c r="AB382" s="46"/>
      <c r="AC382" s="46"/>
      <c r="AD382" s="46"/>
      <c r="AE382" s="46"/>
      <c r="AF382" s="46"/>
      <c r="AG382" s="127"/>
      <c r="AH382" s="127"/>
      <c r="AI382" s="127"/>
      <c r="AJ382" s="127"/>
      <c r="AK382" s="46"/>
      <c r="AL382" s="46"/>
      <c r="AM382" s="46"/>
      <c r="AN382" s="46"/>
      <c r="AO382" s="46"/>
    </row>
    <row r="383">
      <c r="A383" s="17"/>
      <c r="B383" s="46"/>
      <c r="C383" s="46"/>
      <c r="D383" s="46"/>
      <c r="E383" s="17"/>
      <c r="F383" s="46"/>
      <c r="G383" s="46"/>
      <c r="H383" s="46"/>
      <c r="I383" s="17"/>
      <c r="J383" s="46"/>
      <c r="K383" s="46"/>
      <c r="L383" s="46"/>
      <c r="M383" s="17"/>
      <c r="N383" s="46"/>
      <c r="O383" s="46"/>
      <c r="P383" s="46"/>
      <c r="Q383" s="46"/>
      <c r="R383" s="46"/>
      <c r="S383" s="46"/>
      <c r="T383" s="46"/>
      <c r="U383" s="46"/>
      <c r="V383" s="46"/>
      <c r="W383" s="46"/>
      <c r="X383" s="46"/>
      <c r="Y383" s="46"/>
      <c r="Z383" s="46"/>
      <c r="AA383" s="46"/>
      <c r="AB383" s="46"/>
      <c r="AC383" s="46"/>
      <c r="AD383" s="46"/>
      <c r="AE383" s="46"/>
      <c r="AF383" s="46"/>
      <c r="AG383" s="127"/>
      <c r="AH383" s="127"/>
      <c r="AI383" s="127"/>
      <c r="AJ383" s="127"/>
      <c r="AK383" s="46"/>
      <c r="AL383" s="46"/>
      <c r="AM383" s="46"/>
      <c r="AN383" s="46"/>
      <c r="AO383" s="46"/>
    </row>
    <row r="384">
      <c r="A384" s="17"/>
      <c r="B384" s="46"/>
      <c r="C384" s="46"/>
      <c r="D384" s="46"/>
      <c r="E384" s="17"/>
      <c r="F384" s="46"/>
      <c r="G384" s="46"/>
      <c r="H384" s="46"/>
      <c r="I384" s="17"/>
      <c r="J384" s="46"/>
      <c r="K384" s="46"/>
      <c r="L384" s="46"/>
      <c r="M384" s="17"/>
      <c r="N384" s="46"/>
      <c r="O384" s="46"/>
      <c r="P384" s="46"/>
      <c r="Q384" s="46"/>
      <c r="R384" s="46"/>
      <c r="S384" s="46"/>
      <c r="T384" s="46"/>
      <c r="U384" s="46"/>
      <c r="V384" s="46"/>
      <c r="W384" s="46"/>
      <c r="X384" s="46"/>
      <c r="Y384" s="46"/>
      <c r="Z384" s="46"/>
      <c r="AA384" s="46"/>
      <c r="AB384" s="46"/>
      <c r="AC384" s="46"/>
      <c r="AD384" s="46"/>
      <c r="AE384" s="46"/>
      <c r="AF384" s="46"/>
      <c r="AG384" s="127"/>
      <c r="AH384" s="127"/>
      <c r="AI384" s="127"/>
      <c r="AJ384" s="127"/>
      <c r="AK384" s="46"/>
      <c r="AL384" s="46"/>
      <c r="AM384" s="46"/>
      <c r="AN384" s="46"/>
      <c r="AO384" s="46"/>
    </row>
    <row r="385">
      <c r="A385" s="17"/>
      <c r="B385" s="46"/>
      <c r="C385" s="46"/>
      <c r="D385" s="46"/>
      <c r="E385" s="17"/>
      <c r="F385" s="46"/>
      <c r="G385" s="46"/>
      <c r="H385" s="46"/>
      <c r="I385" s="17"/>
      <c r="J385" s="46"/>
      <c r="K385" s="46"/>
      <c r="L385" s="46"/>
      <c r="M385" s="17"/>
      <c r="N385" s="46"/>
      <c r="O385" s="46"/>
      <c r="P385" s="46"/>
      <c r="Q385" s="46"/>
      <c r="R385" s="46"/>
      <c r="S385" s="46"/>
      <c r="T385" s="46"/>
      <c r="U385" s="46"/>
      <c r="V385" s="46"/>
      <c r="W385" s="46"/>
      <c r="X385" s="46"/>
      <c r="Y385" s="46"/>
      <c r="Z385" s="46"/>
      <c r="AA385" s="46"/>
      <c r="AB385" s="46"/>
      <c r="AC385" s="46"/>
      <c r="AD385" s="46"/>
      <c r="AE385" s="46"/>
      <c r="AF385" s="46"/>
      <c r="AG385" s="127"/>
      <c r="AH385" s="127"/>
      <c r="AI385" s="127"/>
      <c r="AJ385" s="127"/>
      <c r="AK385" s="46"/>
      <c r="AL385" s="46"/>
      <c r="AM385" s="46"/>
      <c r="AN385" s="46"/>
      <c r="AO385" s="46"/>
    </row>
    <row r="386">
      <c r="A386" s="17"/>
      <c r="B386" s="46"/>
      <c r="C386" s="46"/>
      <c r="D386" s="46"/>
      <c r="E386" s="17"/>
      <c r="F386" s="46"/>
      <c r="G386" s="46"/>
      <c r="H386" s="46"/>
      <c r="I386" s="17"/>
      <c r="J386" s="46"/>
      <c r="K386" s="46"/>
      <c r="L386" s="46"/>
      <c r="M386" s="17"/>
      <c r="N386" s="46"/>
      <c r="O386" s="46"/>
      <c r="P386" s="46"/>
      <c r="Q386" s="46"/>
      <c r="R386" s="46"/>
      <c r="S386" s="46"/>
      <c r="T386" s="46"/>
      <c r="U386" s="46"/>
      <c r="V386" s="46"/>
      <c r="W386" s="46"/>
      <c r="X386" s="46"/>
      <c r="Y386" s="46"/>
      <c r="Z386" s="46"/>
      <c r="AA386" s="46"/>
      <c r="AB386" s="46"/>
      <c r="AC386" s="46"/>
      <c r="AD386" s="46"/>
      <c r="AE386" s="46"/>
      <c r="AF386" s="46"/>
      <c r="AG386" s="127"/>
      <c r="AH386" s="127"/>
      <c r="AI386" s="127"/>
      <c r="AJ386" s="127"/>
      <c r="AK386" s="46"/>
      <c r="AL386" s="46"/>
      <c r="AM386" s="46"/>
      <c r="AN386" s="46"/>
      <c r="AO386" s="46"/>
    </row>
    <row r="387">
      <c r="A387" s="17"/>
      <c r="B387" s="46"/>
      <c r="C387" s="46"/>
      <c r="D387" s="46"/>
      <c r="E387" s="17"/>
      <c r="F387" s="46"/>
      <c r="G387" s="46"/>
      <c r="H387" s="46"/>
      <c r="I387" s="17"/>
      <c r="J387" s="46"/>
      <c r="K387" s="46"/>
      <c r="L387" s="46"/>
      <c r="M387" s="17"/>
      <c r="N387" s="46"/>
      <c r="O387" s="46"/>
      <c r="P387" s="46"/>
      <c r="Q387" s="46"/>
      <c r="R387" s="46"/>
      <c r="S387" s="46"/>
      <c r="T387" s="46"/>
      <c r="U387" s="46"/>
      <c r="V387" s="46"/>
      <c r="W387" s="46"/>
      <c r="X387" s="46"/>
      <c r="Y387" s="46"/>
      <c r="Z387" s="46"/>
      <c r="AA387" s="46"/>
      <c r="AB387" s="46"/>
      <c r="AC387" s="46"/>
      <c r="AD387" s="46"/>
      <c r="AE387" s="46"/>
      <c r="AF387" s="46"/>
      <c r="AG387" s="127"/>
      <c r="AH387" s="127"/>
      <c r="AI387" s="127"/>
      <c r="AJ387" s="127"/>
      <c r="AK387" s="46"/>
      <c r="AL387" s="46"/>
      <c r="AM387" s="46"/>
      <c r="AN387" s="46"/>
      <c r="AO387" s="46"/>
    </row>
    <row r="388">
      <c r="A388" s="17"/>
      <c r="B388" s="46"/>
      <c r="C388" s="46"/>
      <c r="D388" s="46"/>
      <c r="E388" s="17"/>
      <c r="F388" s="46"/>
      <c r="G388" s="46"/>
      <c r="H388" s="46"/>
      <c r="I388" s="17"/>
      <c r="J388" s="46"/>
      <c r="K388" s="46"/>
      <c r="L388" s="46"/>
      <c r="M388" s="17"/>
      <c r="N388" s="46"/>
      <c r="O388" s="46"/>
      <c r="P388" s="46"/>
      <c r="Q388" s="46"/>
      <c r="R388" s="46"/>
      <c r="S388" s="46"/>
      <c r="T388" s="46"/>
      <c r="U388" s="46"/>
      <c r="V388" s="46"/>
      <c r="W388" s="46"/>
      <c r="X388" s="46"/>
      <c r="Y388" s="46"/>
      <c r="Z388" s="46"/>
      <c r="AA388" s="46"/>
      <c r="AB388" s="46"/>
      <c r="AC388" s="46"/>
      <c r="AD388" s="46"/>
      <c r="AE388" s="46"/>
      <c r="AF388" s="46"/>
      <c r="AG388" s="127"/>
      <c r="AH388" s="127"/>
      <c r="AI388" s="127"/>
      <c r="AJ388" s="127"/>
      <c r="AK388" s="46"/>
      <c r="AL388" s="46"/>
      <c r="AM388" s="46"/>
      <c r="AN388" s="46"/>
      <c r="AO388" s="46"/>
    </row>
    <row r="389">
      <c r="A389" s="17"/>
      <c r="B389" s="46"/>
      <c r="C389" s="46"/>
      <c r="D389" s="46"/>
      <c r="E389" s="17"/>
      <c r="F389" s="46"/>
      <c r="G389" s="46"/>
      <c r="H389" s="46"/>
      <c r="I389" s="17"/>
      <c r="J389" s="46"/>
      <c r="K389" s="46"/>
      <c r="L389" s="46"/>
      <c r="M389" s="17"/>
      <c r="N389" s="46"/>
      <c r="O389" s="46"/>
      <c r="P389" s="46"/>
      <c r="Q389" s="46"/>
      <c r="R389" s="46"/>
      <c r="S389" s="46"/>
      <c r="T389" s="46"/>
      <c r="U389" s="46"/>
      <c r="V389" s="46"/>
      <c r="W389" s="46"/>
      <c r="X389" s="46"/>
      <c r="Y389" s="46"/>
      <c r="Z389" s="46"/>
      <c r="AA389" s="46"/>
      <c r="AB389" s="46"/>
      <c r="AC389" s="46"/>
      <c r="AD389" s="46"/>
      <c r="AE389" s="46"/>
      <c r="AF389" s="46"/>
      <c r="AG389" s="127"/>
      <c r="AH389" s="127"/>
      <c r="AI389" s="127"/>
      <c r="AJ389" s="127"/>
      <c r="AK389" s="46"/>
      <c r="AL389" s="46"/>
      <c r="AM389" s="46"/>
      <c r="AN389" s="46"/>
      <c r="AO389" s="46"/>
    </row>
    <row r="390">
      <c r="A390" s="17"/>
      <c r="B390" s="46"/>
      <c r="C390" s="46"/>
      <c r="D390" s="46"/>
      <c r="E390" s="17"/>
      <c r="F390" s="46"/>
      <c r="G390" s="46"/>
      <c r="H390" s="46"/>
      <c r="I390" s="17"/>
      <c r="J390" s="46"/>
      <c r="K390" s="46"/>
      <c r="L390" s="46"/>
      <c r="M390" s="17"/>
      <c r="N390" s="46"/>
      <c r="O390" s="46"/>
      <c r="P390" s="46"/>
      <c r="Q390" s="46"/>
      <c r="R390" s="46"/>
      <c r="S390" s="46"/>
      <c r="T390" s="46"/>
      <c r="U390" s="46"/>
      <c r="V390" s="46"/>
      <c r="W390" s="46"/>
      <c r="X390" s="46"/>
      <c r="Y390" s="46"/>
      <c r="Z390" s="46"/>
      <c r="AA390" s="46"/>
      <c r="AB390" s="46"/>
      <c r="AC390" s="46"/>
      <c r="AD390" s="46"/>
      <c r="AE390" s="46"/>
      <c r="AF390" s="46"/>
      <c r="AG390" s="127"/>
      <c r="AH390" s="127"/>
      <c r="AI390" s="127"/>
      <c r="AJ390" s="127"/>
      <c r="AK390" s="46"/>
      <c r="AL390" s="46"/>
      <c r="AM390" s="46"/>
      <c r="AN390" s="46"/>
      <c r="AO390" s="46"/>
    </row>
    <row r="391">
      <c r="A391" s="17"/>
      <c r="B391" s="46"/>
      <c r="C391" s="46"/>
      <c r="D391" s="46"/>
      <c r="E391" s="17"/>
      <c r="F391" s="46"/>
      <c r="G391" s="46"/>
      <c r="H391" s="46"/>
      <c r="I391" s="17"/>
      <c r="J391" s="46"/>
      <c r="K391" s="46"/>
      <c r="L391" s="46"/>
      <c r="M391" s="17"/>
      <c r="N391" s="46"/>
      <c r="O391" s="46"/>
      <c r="P391" s="46"/>
      <c r="Q391" s="46"/>
      <c r="R391" s="46"/>
      <c r="S391" s="46"/>
      <c r="T391" s="46"/>
      <c r="U391" s="46"/>
      <c r="V391" s="46"/>
      <c r="W391" s="46"/>
      <c r="X391" s="46"/>
      <c r="Y391" s="46"/>
      <c r="Z391" s="46"/>
      <c r="AA391" s="46"/>
      <c r="AB391" s="46"/>
      <c r="AC391" s="46"/>
      <c r="AD391" s="46"/>
      <c r="AE391" s="46"/>
      <c r="AF391" s="46"/>
      <c r="AG391" s="127"/>
      <c r="AH391" s="127"/>
      <c r="AI391" s="127"/>
      <c r="AJ391" s="127"/>
      <c r="AK391" s="46"/>
      <c r="AL391" s="46"/>
      <c r="AM391" s="46"/>
      <c r="AN391" s="46"/>
      <c r="AO391" s="46"/>
    </row>
    <row r="392">
      <c r="A392" s="17"/>
      <c r="B392" s="46"/>
      <c r="C392" s="46"/>
      <c r="D392" s="46"/>
      <c r="E392" s="17"/>
      <c r="F392" s="46"/>
      <c r="G392" s="46"/>
      <c r="H392" s="46"/>
      <c r="I392" s="17"/>
      <c r="J392" s="46"/>
      <c r="K392" s="46"/>
      <c r="L392" s="46"/>
      <c r="M392" s="17"/>
      <c r="N392" s="46"/>
      <c r="O392" s="46"/>
      <c r="P392" s="46"/>
      <c r="Q392" s="46"/>
      <c r="R392" s="46"/>
      <c r="S392" s="46"/>
      <c r="T392" s="46"/>
      <c r="U392" s="46"/>
      <c r="V392" s="46"/>
      <c r="W392" s="46"/>
      <c r="X392" s="46"/>
      <c r="Y392" s="46"/>
      <c r="Z392" s="46"/>
      <c r="AA392" s="46"/>
      <c r="AB392" s="46"/>
      <c r="AC392" s="46"/>
      <c r="AD392" s="46"/>
      <c r="AE392" s="46"/>
      <c r="AF392" s="46"/>
      <c r="AG392" s="127"/>
      <c r="AH392" s="127"/>
      <c r="AI392" s="127"/>
      <c r="AJ392" s="127"/>
      <c r="AK392" s="46"/>
      <c r="AL392" s="46"/>
      <c r="AM392" s="46"/>
      <c r="AN392" s="46"/>
      <c r="AO392" s="46"/>
    </row>
    <row r="393">
      <c r="A393" s="17"/>
      <c r="B393" s="46"/>
      <c r="C393" s="46"/>
      <c r="D393" s="46"/>
      <c r="E393" s="17"/>
      <c r="F393" s="46"/>
      <c r="G393" s="46"/>
      <c r="H393" s="46"/>
      <c r="I393" s="17"/>
      <c r="J393" s="46"/>
      <c r="K393" s="46"/>
      <c r="L393" s="46"/>
      <c r="M393" s="17"/>
      <c r="N393" s="46"/>
      <c r="O393" s="46"/>
      <c r="P393" s="46"/>
      <c r="Q393" s="46"/>
      <c r="R393" s="46"/>
      <c r="S393" s="46"/>
      <c r="T393" s="46"/>
      <c r="U393" s="46"/>
      <c r="V393" s="46"/>
      <c r="W393" s="46"/>
      <c r="X393" s="46"/>
      <c r="Y393" s="46"/>
      <c r="Z393" s="46"/>
      <c r="AA393" s="46"/>
      <c r="AB393" s="46"/>
      <c r="AC393" s="46"/>
      <c r="AD393" s="46"/>
      <c r="AE393" s="46"/>
      <c r="AF393" s="46"/>
      <c r="AG393" s="127"/>
      <c r="AH393" s="127"/>
      <c r="AI393" s="127"/>
      <c r="AJ393" s="127"/>
      <c r="AK393" s="46"/>
      <c r="AL393" s="46"/>
      <c r="AM393" s="46"/>
      <c r="AN393" s="46"/>
      <c r="AO393" s="46"/>
    </row>
    <row r="394">
      <c r="A394" s="17"/>
      <c r="B394" s="46"/>
      <c r="C394" s="46"/>
      <c r="D394" s="46"/>
      <c r="E394" s="17"/>
      <c r="F394" s="46"/>
      <c r="G394" s="46"/>
      <c r="H394" s="46"/>
      <c r="I394" s="17"/>
      <c r="J394" s="46"/>
      <c r="K394" s="46"/>
      <c r="L394" s="46"/>
      <c r="M394" s="17"/>
      <c r="N394" s="46"/>
      <c r="O394" s="46"/>
      <c r="P394" s="46"/>
      <c r="Q394" s="46"/>
      <c r="R394" s="46"/>
      <c r="S394" s="46"/>
      <c r="T394" s="46"/>
      <c r="U394" s="46"/>
      <c r="V394" s="46"/>
      <c r="W394" s="46"/>
      <c r="X394" s="46"/>
      <c r="Y394" s="46"/>
      <c r="Z394" s="46"/>
      <c r="AA394" s="46"/>
      <c r="AB394" s="46"/>
      <c r="AC394" s="46"/>
      <c r="AD394" s="46"/>
      <c r="AE394" s="46"/>
      <c r="AF394" s="46"/>
      <c r="AG394" s="127"/>
      <c r="AH394" s="127"/>
      <c r="AI394" s="127"/>
      <c r="AJ394" s="127"/>
      <c r="AK394" s="46"/>
      <c r="AL394" s="46"/>
      <c r="AM394" s="46"/>
      <c r="AN394" s="46"/>
      <c r="AO394" s="46"/>
    </row>
    <row r="395">
      <c r="A395" s="17"/>
      <c r="B395" s="46"/>
      <c r="C395" s="46"/>
      <c r="D395" s="46"/>
      <c r="E395" s="17"/>
      <c r="F395" s="46"/>
      <c r="G395" s="46"/>
      <c r="H395" s="46"/>
      <c r="I395" s="17"/>
      <c r="J395" s="46"/>
      <c r="K395" s="46"/>
      <c r="L395" s="46"/>
      <c r="M395" s="17"/>
      <c r="N395" s="46"/>
      <c r="O395" s="46"/>
      <c r="P395" s="46"/>
      <c r="Q395" s="46"/>
      <c r="R395" s="46"/>
      <c r="S395" s="46"/>
      <c r="T395" s="46"/>
      <c r="U395" s="46"/>
      <c r="V395" s="46"/>
      <c r="W395" s="46"/>
      <c r="X395" s="46"/>
      <c r="Y395" s="46"/>
      <c r="Z395" s="46"/>
      <c r="AA395" s="46"/>
      <c r="AB395" s="46"/>
      <c r="AC395" s="46"/>
      <c r="AD395" s="46"/>
      <c r="AE395" s="46"/>
      <c r="AF395" s="46"/>
      <c r="AG395" s="127"/>
      <c r="AH395" s="127"/>
      <c r="AI395" s="127"/>
      <c r="AJ395" s="127"/>
      <c r="AK395" s="46"/>
      <c r="AL395" s="46"/>
      <c r="AM395" s="46"/>
      <c r="AN395" s="46"/>
      <c r="AO395" s="46"/>
    </row>
    <row r="396">
      <c r="A396" s="17"/>
      <c r="B396" s="46"/>
      <c r="C396" s="46"/>
      <c r="D396" s="46"/>
      <c r="E396" s="17"/>
      <c r="F396" s="46"/>
      <c r="G396" s="46"/>
      <c r="H396" s="46"/>
      <c r="I396" s="17"/>
      <c r="J396" s="46"/>
      <c r="K396" s="46"/>
      <c r="L396" s="46"/>
      <c r="M396" s="17"/>
      <c r="N396" s="46"/>
      <c r="O396" s="46"/>
      <c r="P396" s="46"/>
      <c r="Q396" s="46"/>
      <c r="R396" s="46"/>
      <c r="S396" s="46"/>
      <c r="T396" s="46"/>
      <c r="U396" s="46"/>
      <c r="V396" s="46"/>
      <c r="W396" s="46"/>
      <c r="X396" s="46"/>
      <c r="Y396" s="46"/>
      <c r="Z396" s="46"/>
      <c r="AA396" s="46"/>
      <c r="AB396" s="46"/>
      <c r="AC396" s="46"/>
      <c r="AD396" s="46"/>
      <c r="AE396" s="46"/>
      <c r="AF396" s="46"/>
      <c r="AG396" s="127"/>
      <c r="AH396" s="127"/>
      <c r="AI396" s="127"/>
      <c r="AJ396" s="127"/>
      <c r="AK396" s="46"/>
      <c r="AL396" s="46"/>
      <c r="AM396" s="46"/>
      <c r="AN396" s="46"/>
      <c r="AO396" s="46"/>
    </row>
    <row r="397">
      <c r="A397" s="17"/>
      <c r="B397" s="46"/>
      <c r="C397" s="46"/>
      <c r="D397" s="46"/>
      <c r="E397" s="17"/>
      <c r="F397" s="46"/>
      <c r="G397" s="46"/>
      <c r="H397" s="46"/>
      <c r="I397" s="17"/>
      <c r="J397" s="46"/>
      <c r="K397" s="46"/>
      <c r="L397" s="46"/>
      <c r="M397" s="17"/>
      <c r="N397" s="46"/>
      <c r="O397" s="46"/>
      <c r="P397" s="46"/>
      <c r="Q397" s="46"/>
      <c r="R397" s="46"/>
      <c r="S397" s="46"/>
      <c r="T397" s="46"/>
      <c r="U397" s="46"/>
      <c r="V397" s="46"/>
      <c r="W397" s="46"/>
      <c r="X397" s="46"/>
      <c r="Y397" s="46"/>
      <c r="Z397" s="46"/>
      <c r="AA397" s="46"/>
      <c r="AB397" s="46"/>
      <c r="AC397" s="46"/>
      <c r="AD397" s="46"/>
      <c r="AE397" s="46"/>
      <c r="AF397" s="46"/>
      <c r="AG397" s="127"/>
      <c r="AH397" s="127"/>
      <c r="AI397" s="127"/>
      <c r="AJ397" s="127"/>
      <c r="AK397" s="46"/>
      <c r="AL397" s="46"/>
      <c r="AM397" s="46"/>
      <c r="AN397" s="46"/>
      <c r="AO397" s="46"/>
    </row>
    <row r="398">
      <c r="A398" s="17"/>
      <c r="B398" s="46"/>
      <c r="C398" s="46"/>
      <c r="D398" s="46"/>
      <c r="E398" s="17"/>
      <c r="F398" s="46"/>
      <c r="G398" s="46"/>
      <c r="H398" s="46"/>
      <c r="I398" s="17"/>
      <c r="J398" s="46"/>
      <c r="K398" s="46"/>
      <c r="L398" s="46"/>
      <c r="M398" s="17"/>
      <c r="N398" s="46"/>
      <c r="O398" s="46"/>
      <c r="P398" s="46"/>
      <c r="Q398" s="46"/>
      <c r="R398" s="46"/>
      <c r="S398" s="46"/>
      <c r="T398" s="46"/>
      <c r="U398" s="46"/>
      <c r="V398" s="46"/>
      <c r="W398" s="46"/>
      <c r="X398" s="46"/>
      <c r="Y398" s="46"/>
      <c r="Z398" s="46"/>
      <c r="AA398" s="46"/>
      <c r="AB398" s="46"/>
      <c r="AC398" s="46"/>
      <c r="AD398" s="46"/>
      <c r="AE398" s="46"/>
      <c r="AF398" s="46"/>
      <c r="AG398" s="127"/>
      <c r="AH398" s="127"/>
      <c r="AI398" s="127"/>
      <c r="AJ398" s="127"/>
      <c r="AK398" s="46"/>
      <c r="AL398" s="46"/>
      <c r="AM398" s="46"/>
      <c r="AN398" s="46"/>
      <c r="AO398" s="46"/>
    </row>
    <row r="399">
      <c r="A399" s="17"/>
      <c r="B399" s="46"/>
      <c r="C399" s="46"/>
      <c r="D399" s="46"/>
      <c r="E399" s="17"/>
      <c r="F399" s="46"/>
      <c r="G399" s="46"/>
      <c r="H399" s="46"/>
      <c r="I399" s="17"/>
      <c r="J399" s="46"/>
      <c r="K399" s="46"/>
      <c r="L399" s="46"/>
      <c r="M399" s="17"/>
      <c r="N399" s="46"/>
      <c r="O399" s="46"/>
      <c r="P399" s="46"/>
      <c r="Q399" s="46"/>
      <c r="R399" s="46"/>
      <c r="S399" s="46"/>
      <c r="T399" s="46"/>
      <c r="U399" s="46"/>
      <c r="V399" s="46"/>
      <c r="W399" s="46"/>
      <c r="X399" s="46"/>
      <c r="Y399" s="46"/>
      <c r="Z399" s="46"/>
      <c r="AA399" s="46"/>
      <c r="AB399" s="46"/>
      <c r="AC399" s="46"/>
      <c r="AD399" s="46"/>
      <c r="AE399" s="46"/>
      <c r="AF399" s="46"/>
      <c r="AG399" s="127"/>
      <c r="AH399" s="127"/>
      <c r="AI399" s="127"/>
      <c r="AJ399" s="127"/>
      <c r="AK399" s="46"/>
      <c r="AL399" s="46"/>
      <c r="AM399" s="46"/>
      <c r="AN399" s="46"/>
      <c r="AO399" s="46"/>
    </row>
    <row r="400">
      <c r="A400" s="17"/>
      <c r="B400" s="46"/>
      <c r="C400" s="46"/>
      <c r="D400" s="46"/>
      <c r="E400" s="17"/>
      <c r="F400" s="46"/>
      <c r="G400" s="46"/>
      <c r="H400" s="46"/>
      <c r="I400" s="17"/>
      <c r="J400" s="46"/>
      <c r="K400" s="46"/>
      <c r="L400" s="46"/>
      <c r="M400" s="17"/>
      <c r="N400" s="46"/>
      <c r="O400" s="46"/>
      <c r="P400" s="46"/>
      <c r="Q400" s="46"/>
      <c r="R400" s="46"/>
      <c r="S400" s="46"/>
      <c r="T400" s="46"/>
      <c r="U400" s="46"/>
      <c r="V400" s="46"/>
      <c r="W400" s="46"/>
      <c r="X400" s="46"/>
      <c r="Y400" s="46"/>
      <c r="Z400" s="46"/>
      <c r="AA400" s="46"/>
      <c r="AB400" s="46"/>
      <c r="AC400" s="46"/>
      <c r="AD400" s="46"/>
      <c r="AE400" s="46"/>
      <c r="AF400" s="46"/>
      <c r="AG400" s="127"/>
      <c r="AH400" s="127"/>
      <c r="AI400" s="127"/>
      <c r="AJ400" s="127"/>
      <c r="AK400" s="46"/>
      <c r="AL400" s="46"/>
      <c r="AM400" s="46"/>
      <c r="AN400" s="46"/>
      <c r="AO400" s="46"/>
    </row>
    <row r="401">
      <c r="A401" s="17"/>
      <c r="B401" s="46"/>
      <c r="C401" s="46"/>
      <c r="D401" s="46"/>
      <c r="E401" s="17"/>
      <c r="F401" s="46"/>
      <c r="G401" s="46"/>
      <c r="H401" s="46"/>
      <c r="I401" s="17"/>
      <c r="J401" s="46"/>
      <c r="K401" s="46"/>
      <c r="L401" s="46"/>
      <c r="M401" s="17"/>
      <c r="N401" s="46"/>
      <c r="O401" s="46"/>
      <c r="P401" s="46"/>
      <c r="Q401" s="46"/>
      <c r="R401" s="46"/>
      <c r="S401" s="46"/>
      <c r="T401" s="46"/>
      <c r="U401" s="46"/>
      <c r="V401" s="46"/>
      <c r="W401" s="46"/>
      <c r="X401" s="46"/>
      <c r="Y401" s="46"/>
      <c r="Z401" s="46"/>
      <c r="AA401" s="46"/>
      <c r="AB401" s="46"/>
      <c r="AC401" s="46"/>
      <c r="AD401" s="46"/>
      <c r="AE401" s="46"/>
      <c r="AF401" s="46"/>
      <c r="AG401" s="127"/>
      <c r="AH401" s="127"/>
      <c r="AI401" s="127"/>
      <c r="AJ401" s="127"/>
      <c r="AK401" s="46"/>
      <c r="AL401" s="46"/>
      <c r="AM401" s="46"/>
      <c r="AN401" s="46"/>
      <c r="AO401" s="46"/>
    </row>
    <row r="402">
      <c r="A402" s="17"/>
      <c r="B402" s="46"/>
      <c r="C402" s="46"/>
      <c r="D402" s="46"/>
      <c r="E402" s="17"/>
      <c r="F402" s="46"/>
      <c r="G402" s="46"/>
      <c r="H402" s="46"/>
      <c r="I402" s="17"/>
      <c r="J402" s="46"/>
      <c r="K402" s="46"/>
      <c r="L402" s="46"/>
      <c r="M402" s="17"/>
      <c r="N402" s="46"/>
      <c r="O402" s="46"/>
      <c r="P402" s="46"/>
      <c r="Q402" s="46"/>
      <c r="R402" s="46"/>
      <c r="S402" s="46"/>
      <c r="T402" s="46"/>
      <c r="U402" s="46"/>
      <c r="V402" s="46"/>
      <c r="W402" s="46"/>
      <c r="X402" s="46"/>
      <c r="Y402" s="46"/>
      <c r="Z402" s="46"/>
      <c r="AA402" s="46"/>
      <c r="AB402" s="46"/>
      <c r="AC402" s="46"/>
      <c r="AD402" s="46"/>
      <c r="AE402" s="46"/>
      <c r="AF402" s="46"/>
      <c r="AG402" s="127"/>
      <c r="AH402" s="127"/>
      <c r="AI402" s="127"/>
      <c r="AJ402" s="127"/>
      <c r="AK402" s="46"/>
      <c r="AL402" s="46"/>
      <c r="AM402" s="46"/>
      <c r="AN402" s="46"/>
      <c r="AO402" s="46"/>
    </row>
    <row r="403">
      <c r="A403" s="17"/>
      <c r="B403" s="46"/>
      <c r="C403" s="46"/>
      <c r="D403" s="46"/>
      <c r="E403" s="17"/>
      <c r="F403" s="46"/>
      <c r="G403" s="46"/>
      <c r="H403" s="46"/>
      <c r="I403" s="17"/>
      <c r="J403" s="46"/>
      <c r="K403" s="46"/>
      <c r="L403" s="46"/>
      <c r="M403" s="17"/>
      <c r="N403" s="46"/>
      <c r="O403" s="46"/>
      <c r="P403" s="46"/>
      <c r="Q403" s="46"/>
      <c r="R403" s="46"/>
      <c r="S403" s="46"/>
      <c r="T403" s="46"/>
      <c r="U403" s="46"/>
      <c r="V403" s="46"/>
      <c r="W403" s="46"/>
      <c r="X403" s="46"/>
      <c r="Y403" s="46"/>
      <c r="Z403" s="46"/>
      <c r="AA403" s="46"/>
      <c r="AB403" s="46"/>
      <c r="AC403" s="46"/>
      <c r="AD403" s="46"/>
      <c r="AE403" s="46"/>
      <c r="AF403" s="46"/>
      <c r="AG403" s="127"/>
      <c r="AH403" s="127"/>
      <c r="AI403" s="127"/>
      <c r="AJ403" s="127"/>
      <c r="AK403" s="46"/>
      <c r="AL403" s="46"/>
      <c r="AM403" s="46"/>
      <c r="AN403" s="46"/>
      <c r="AO403" s="46"/>
    </row>
    <row r="404">
      <c r="A404" s="17"/>
      <c r="B404" s="46"/>
      <c r="C404" s="46"/>
      <c r="D404" s="46"/>
      <c r="E404" s="17"/>
      <c r="F404" s="46"/>
      <c r="G404" s="46"/>
      <c r="H404" s="46"/>
      <c r="I404" s="17"/>
      <c r="J404" s="46"/>
      <c r="K404" s="46"/>
      <c r="L404" s="46"/>
      <c r="M404" s="17"/>
      <c r="N404" s="46"/>
      <c r="O404" s="46"/>
      <c r="P404" s="46"/>
      <c r="Q404" s="46"/>
      <c r="R404" s="46"/>
      <c r="S404" s="46"/>
      <c r="T404" s="46"/>
      <c r="U404" s="46"/>
      <c r="V404" s="46"/>
      <c r="W404" s="46"/>
      <c r="X404" s="46"/>
      <c r="Y404" s="46"/>
      <c r="Z404" s="46"/>
      <c r="AA404" s="46"/>
      <c r="AB404" s="46"/>
      <c r="AC404" s="46"/>
      <c r="AD404" s="46"/>
      <c r="AE404" s="46"/>
      <c r="AF404" s="46"/>
      <c r="AG404" s="127"/>
      <c r="AH404" s="127"/>
      <c r="AI404" s="127"/>
      <c r="AJ404" s="127"/>
      <c r="AK404" s="46"/>
      <c r="AL404" s="46"/>
      <c r="AM404" s="46"/>
      <c r="AN404" s="46"/>
      <c r="AO404" s="46"/>
    </row>
    <row r="405">
      <c r="A405" s="17"/>
      <c r="B405" s="46"/>
      <c r="C405" s="46"/>
      <c r="D405" s="46"/>
      <c r="E405" s="17"/>
      <c r="F405" s="46"/>
      <c r="G405" s="46"/>
      <c r="H405" s="46"/>
      <c r="I405" s="17"/>
      <c r="J405" s="46"/>
      <c r="K405" s="46"/>
      <c r="L405" s="46"/>
      <c r="M405" s="17"/>
      <c r="N405" s="46"/>
      <c r="O405" s="46"/>
      <c r="P405" s="46"/>
      <c r="Q405" s="46"/>
      <c r="R405" s="46"/>
      <c r="S405" s="46"/>
      <c r="T405" s="46"/>
      <c r="U405" s="46"/>
      <c r="V405" s="46"/>
      <c r="W405" s="46"/>
      <c r="X405" s="46"/>
      <c r="Y405" s="46"/>
      <c r="Z405" s="46"/>
      <c r="AA405" s="46"/>
      <c r="AB405" s="46"/>
      <c r="AC405" s="46"/>
      <c r="AD405" s="46"/>
      <c r="AE405" s="46"/>
      <c r="AF405" s="46"/>
      <c r="AG405" s="127"/>
      <c r="AH405" s="127"/>
      <c r="AI405" s="127"/>
      <c r="AJ405" s="127"/>
      <c r="AK405" s="46"/>
      <c r="AL405" s="46"/>
      <c r="AM405" s="46"/>
      <c r="AN405" s="46"/>
      <c r="AO405" s="46"/>
    </row>
    <row r="406">
      <c r="A406" s="17"/>
      <c r="B406" s="46"/>
      <c r="C406" s="46"/>
      <c r="D406" s="46"/>
      <c r="E406" s="17"/>
      <c r="F406" s="46"/>
      <c r="G406" s="46"/>
      <c r="H406" s="46"/>
      <c r="I406" s="17"/>
      <c r="J406" s="46"/>
      <c r="K406" s="46"/>
      <c r="L406" s="46"/>
      <c r="M406" s="17"/>
      <c r="N406" s="46"/>
      <c r="O406" s="46"/>
      <c r="P406" s="46"/>
      <c r="Q406" s="46"/>
      <c r="R406" s="46"/>
      <c r="S406" s="46"/>
      <c r="T406" s="46"/>
      <c r="U406" s="46"/>
      <c r="V406" s="46"/>
      <c r="W406" s="46"/>
      <c r="X406" s="46"/>
      <c r="Y406" s="46"/>
      <c r="Z406" s="46"/>
      <c r="AA406" s="46"/>
      <c r="AB406" s="46"/>
      <c r="AC406" s="46"/>
      <c r="AD406" s="46"/>
      <c r="AE406" s="46"/>
      <c r="AF406" s="46"/>
      <c r="AG406" s="127"/>
      <c r="AH406" s="127"/>
      <c r="AI406" s="127"/>
      <c r="AJ406" s="127"/>
      <c r="AK406" s="46"/>
      <c r="AL406" s="46"/>
      <c r="AM406" s="46"/>
      <c r="AN406" s="46"/>
      <c r="AO406" s="46"/>
    </row>
    <row r="407">
      <c r="A407" s="17"/>
      <c r="B407" s="46"/>
      <c r="C407" s="46"/>
      <c r="D407" s="46"/>
      <c r="E407" s="17"/>
      <c r="F407" s="46"/>
      <c r="G407" s="46"/>
      <c r="H407" s="46"/>
      <c r="I407" s="17"/>
      <c r="J407" s="46"/>
      <c r="K407" s="46"/>
      <c r="L407" s="46"/>
      <c r="M407" s="17"/>
      <c r="N407" s="46"/>
      <c r="O407" s="46"/>
      <c r="P407" s="46"/>
      <c r="Q407" s="46"/>
      <c r="R407" s="46"/>
      <c r="S407" s="46"/>
      <c r="T407" s="46"/>
      <c r="U407" s="46"/>
      <c r="V407" s="46"/>
      <c r="W407" s="46"/>
      <c r="X407" s="46"/>
      <c r="Y407" s="46"/>
      <c r="Z407" s="46"/>
      <c r="AA407" s="46"/>
      <c r="AB407" s="46"/>
      <c r="AC407" s="46"/>
      <c r="AD407" s="46"/>
      <c r="AE407" s="46"/>
      <c r="AF407" s="46"/>
      <c r="AG407" s="127"/>
      <c r="AH407" s="127"/>
      <c r="AI407" s="127"/>
      <c r="AJ407" s="127"/>
      <c r="AK407" s="46"/>
      <c r="AL407" s="46"/>
      <c r="AM407" s="46"/>
      <c r="AN407" s="46"/>
      <c r="AO407" s="46"/>
    </row>
    <row r="408">
      <c r="A408" s="17"/>
      <c r="B408" s="46"/>
      <c r="C408" s="46"/>
      <c r="D408" s="46"/>
      <c r="E408" s="17"/>
      <c r="F408" s="46"/>
      <c r="G408" s="46"/>
      <c r="H408" s="46"/>
      <c r="I408" s="17"/>
      <c r="J408" s="46"/>
      <c r="K408" s="46"/>
      <c r="L408" s="46"/>
      <c r="M408" s="17"/>
      <c r="N408" s="46"/>
      <c r="O408" s="46"/>
      <c r="P408" s="46"/>
      <c r="Q408" s="46"/>
      <c r="R408" s="46"/>
      <c r="S408" s="46"/>
      <c r="T408" s="46"/>
      <c r="U408" s="46"/>
      <c r="V408" s="46"/>
      <c r="W408" s="46"/>
      <c r="X408" s="46"/>
      <c r="Y408" s="46"/>
      <c r="Z408" s="46"/>
      <c r="AA408" s="46"/>
      <c r="AB408" s="46"/>
      <c r="AC408" s="46"/>
      <c r="AD408" s="46"/>
      <c r="AE408" s="46"/>
      <c r="AF408" s="46"/>
      <c r="AG408" s="127"/>
      <c r="AH408" s="127"/>
      <c r="AI408" s="127"/>
      <c r="AJ408" s="127"/>
      <c r="AK408" s="46"/>
      <c r="AL408" s="46"/>
      <c r="AM408" s="46"/>
      <c r="AN408" s="46"/>
      <c r="AO408" s="46"/>
    </row>
    <row r="409">
      <c r="A409" s="17"/>
      <c r="B409" s="46"/>
      <c r="C409" s="46"/>
      <c r="D409" s="46"/>
      <c r="E409" s="17"/>
      <c r="F409" s="46"/>
      <c r="G409" s="46"/>
      <c r="H409" s="46"/>
      <c r="I409" s="17"/>
      <c r="J409" s="46"/>
      <c r="K409" s="46"/>
      <c r="L409" s="46"/>
      <c r="M409" s="17"/>
      <c r="N409" s="46"/>
      <c r="O409" s="46"/>
      <c r="P409" s="46"/>
      <c r="Q409" s="46"/>
      <c r="R409" s="46"/>
      <c r="S409" s="46"/>
      <c r="T409" s="46"/>
      <c r="U409" s="46"/>
      <c r="V409" s="46"/>
      <c r="W409" s="46"/>
      <c r="X409" s="46"/>
      <c r="Y409" s="46"/>
      <c r="Z409" s="46"/>
      <c r="AA409" s="46"/>
      <c r="AB409" s="46"/>
      <c r="AC409" s="46"/>
      <c r="AD409" s="46"/>
      <c r="AE409" s="46"/>
      <c r="AF409" s="46"/>
      <c r="AG409" s="127"/>
      <c r="AH409" s="127"/>
      <c r="AI409" s="127"/>
      <c r="AJ409" s="127"/>
      <c r="AK409" s="46"/>
      <c r="AL409" s="46"/>
      <c r="AM409" s="46"/>
      <c r="AN409" s="46"/>
      <c r="AO409" s="46"/>
    </row>
    <row r="410">
      <c r="A410" s="17"/>
      <c r="B410" s="46"/>
      <c r="C410" s="46"/>
      <c r="D410" s="46"/>
      <c r="E410" s="17"/>
      <c r="F410" s="46"/>
      <c r="G410" s="46"/>
      <c r="H410" s="46"/>
      <c r="I410" s="17"/>
      <c r="J410" s="46"/>
      <c r="K410" s="46"/>
      <c r="L410" s="46"/>
      <c r="M410" s="17"/>
      <c r="N410" s="46"/>
      <c r="O410" s="46"/>
      <c r="P410" s="46"/>
      <c r="Q410" s="46"/>
      <c r="R410" s="46"/>
      <c r="S410" s="46"/>
      <c r="T410" s="46"/>
      <c r="U410" s="46"/>
      <c r="V410" s="46"/>
      <c r="W410" s="46"/>
      <c r="X410" s="46"/>
      <c r="Y410" s="46"/>
      <c r="Z410" s="46"/>
      <c r="AA410" s="46"/>
      <c r="AB410" s="46"/>
      <c r="AC410" s="46"/>
      <c r="AD410" s="46"/>
      <c r="AE410" s="46"/>
      <c r="AF410" s="46"/>
      <c r="AG410" s="127"/>
      <c r="AH410" s="127"/>
      <c r="AI410" s="127"/>
      <c r="AJ410" s="127"/>
      <c r="AK410" s="46"/>
      <c r="AL410" s="46"/>
      <c r="AM410" s="46"/>
      <c r="AN410" s="46"/>
      <c r="AO410" s="46"/>
    </row>
    <row r="411">
      <c r="A411" s="17"/>
      <c r="B411" s="46"/>
      <c r="C411" s="46"/>
      <c r="D411" s="46"/>
      <c r="E411" s="17"/>
      <c r="F411" s="46"/>
      <c r="G411" s="46"/>
      <c r="H411" s="46"/>
      <c r="I411" s="17"/>
      <c r="J411" s="46"/>
      <c r="K411" s="46"/>
      <c r="L411" s="46"/>
      <c r="M411" s="17"/>
      <c r="N411" s="46"/>
      <c r="O411" s="46"/>
      <c r="P411" s="46"/>
      <c r="Q411" s="46"/>
      <c r="R411" s="46"/>
      <c r="S411" s="46"/>
      <c r="T411" s="46"/>
      <c r="U411" s="46"/>
      <c r="V411" s="46"/>
      <c r="W411" s="46"/>
      <c r="X411" s="46"/>
      <c r="Y411" s="46"/>
      <c r="Z411" s="46"/>
      <c r="AA411" s="46"/>
      <c r="AB411" s="46"/>
      <c r="AC411" s="46"/>
      <c r="AD411" s="46"/>
      <c r="AE411" s="46"/>
      <c r="AF411" s="46"/>
      <c r="AG411" s="127"/>
      <c r="AH411" s="127"/>
      <c r="AI411" s="127"/>
      <c r="AJ411" s="127"/>
      <c r="AK411" s="46"/>
      <c r="AL411" s="46"/>
      <c r="AM411" s="46"/>
      <c r="AN411" s="46"/>
      <c r="AO411" s="46"/>
    </row>
    <row r="412">
      <c r="A412" s="17"/>
      <c r="B412" s="46"/>
      <c r="C412" s="46"/>
      <c r="D412" s="46"/>
      <c r="E412" s="17"/>
      <c r="F412" s="46"/>
      <c r="G412" s="46"/>
      <c r="H412" s="46"/>
      <c r="I412" s="17"/>
      <c r="J412" s="46"/>
      <c r="K412" s="46"/>
      <c r="L412" s="46"/>
      <c r="M412" s="17"/>
      <c r="N412" s="46"/>
      <c r="O412" s="46"/>
      <c r="P412" s="46"/>
      <c r="Q412" s="46"/>
      <c r="R412" s="46"/>
      <c r="S412" s="46"/>
      <c r="T412" s="46"/>
      <c r="U412" s="46"/>
      <c r="V412" s="46"/>
      <c r="W412" s="46"/>
      <c r="X412" s="46"/>
      <c r="Y412" s="46"/>
      <c r="Z412" s="46"/>
      <c r="AA412" s="46"/>
      <c r="AB412" s="46"/>
      <c r="AC412" s="46"/>
      <c r="AD412" s="46"/>
      <c r="AE412" s="46"/>
      <c r="AF412" s="46"/>
      <c r="AG412" s="127"/>
      <c r="AH412" s="127"/>
      <c r="AI412" s="127"/>
      <c r="AJ412" s="127"/>
      <c r="AK412" s="46"/>
      <c r="AL412" s="46"/>
      <c r="AM412" s="46"/>
      <c r="AN412" s="46"/>
      <c r="AO412" s="46"/>
    </row>
    <row r="413">
      <c r="A413" s="17"/>
      <c r="B413" s="46"/>
      <c r="C413" s="46"/>
      <c r="D413" s="46"/>
      <c r="E413" s="17"/>
      <c r="F413" s="46"/>
      <c r="G413" s="46"/>
      <c r="H413" s="46"/>
      <c r="I413" s="17"/>
      <c r="J413" s="46"/>
      <c r="K413" s="46"/>
      <c r="L413" s="46"/>
      <c r="M413" s="17"/>
      <c r="N413" s="46"/>
      <c r="O413" s="46"/>
      <c r="P413" s="46"/>
      <c r="Q413" s="46"/>
      <c r="R413" s="46"/>
      <c r="S413" s="46"/>
      <c r="T413" s="46"/>
      <c r="U413" s="46"/>
      <c r="V413" s="46"/>
      <c r="W413" s="46"/>
      <c r="X413" s="46"/>
      <c r="Y413" s="46"/>
      <c r="Z413" s="46"/>
      <c r="AA413" s="46"/>
      <c r="AB413" s="46"/>
      <c r="AC413" s="46"/>
      <c r="AD413" s="46"/>
      <c r="AE413" s="46"/>
      <c r="AF413" s="46"/>
      <c r="AG413" s="127"/>
      <c r="AH413" s="127"/>
      <c r="AI413" s="127"/>
      <c r="AJ413" s="127"/>
      <c r="AK413" s="46"/>
      <c r="AL413" s="46"/>
      <c r="AM413" s="46"/>
      <c r="AN413" s="46"/>
      <c r="AO413" s="46"/>
    </row>
    <row r="414">
      <c r="A414" s="17"/>
      <c r="B414" s="46"/>
      <c r="C414" s="46"/>
      <c r="D414" s="46"/>
      <c r="E414" s="17"/>
      <c r="F414" s="46"/>
      <c r="G414" s="46"/>
      <c r="H414" s="46"/>
      <c r="I414" s="17"/>
      <c r="J414" s="46"/>
      <c r="K414" s="46"/>
      <c r="L414" s="46"/>
      <c r="M414" s="17"/>
      <c r="N414" s="46"/>
      <c r="O414" s="46"/>
      <c r="P414" s="46"/>
      <c r="Q414" s="46"/>
      <c r="R414" s="46"/>
      <c r="S414" s="46"/>
      <c r="T414" s="46"/>
      <c r="U414" s="46"/>
      <c r="V414" s="46"/>
      <c r="W414" s="46"/>
      <c r="X414" s="46"/>
      <c r="Y414" s="46"/>
      <c r="Z414" s="46"/>
      <c r="AA414" s="46"/>
      <c r="AB414" s="46"/>
      <c r="AC414" s="46"/>
      <c r="AD414" s="46"/>
      <c r="AE414" s="46"/>
      <c r="AF414" s="46"/>
      <c r="AG414" s="127"/>
      <c r="AH414" s="127"/>
      <c r="AI414" s="127"/>
      <c r="AJ414" s="127"/>
      <c r="AK414" s="46"/>
      <c r="AL414" s="46"/>
      <c r="AM414" s="46"/>
      <c r="AN414" s="46"/>
      <c r="AO414" s="46"/>
    </row>
    <row r="415">
      <c r="A415" s="17"/>
      <c r="B415" s="46"/>
      <c r="C415" s="46"/>
      <c r="D415" s="46"/>
      <c r="E415" s="17"/>
      <c r="F415" s="46"/>
      <c r="G415" s="46"/>
      <c r="H415" s="46"/>
      <c r="I415" s="17"/>
      <c r="J415" s="46"/>
      <c r="K415" s="46"/>
      <c r="L415" s="46"/>
      <c r="M415" s="17"/>
      <c r="N415" s="46"/>
      <c r="O415" s="46"/>
      <c r="P415" s="46"/>
      <c r="Q415" s="46"/>
      <c r="R415" s="46"/>
      <c r="S415" s="46"/>
      <c r="T415" s="46"/>
      <c r="U415" s="46"/>
      <c r="V415" s="46"/>
      <c r="W415" s="46"/>
      <c r="X415" s="46"/>
      <c r="Y415" s="46"/>
      <c r="Z415" s="46"/>
      <c r="AA415" s="46"/>
      <c r="AB415" s="46"/>
      <c r="AC415" s="46"/>
      <c r="AD415" s="46"/>
      <c r="AE415" s="46"/>
      <c r="AF415" s="46"/>
      <c r="AG415" s="127"/>
      <c r="AH415" s="127"/>
      <c r="AI415" s="127"/>
      <c r="AJ415" s="127"/>
      <c r="AK415" s="46"/>
      <c r="AL415" s="46"/>
      <c r="AM415" s="46"/>
      <c r="AN415" s="46"/>
      <c r="AO415" s="46"/>
    </row>
    <row r="416">
      <c r="A416" s="17"/>
      <c r="B416" s="46"/>
      <c r="C416" s="46"/>
      <c r="D416" s="46"/>
      <c r="E416" s="17"/>
      <c r="F416" s="46"/>
      <c r="G416" s="46"/>
      <c r="H416" s="46"/>
      <c r="I416" s="17"/>
      <c r="J416" s="46"/>
      <c r="K416" s="46"/>
      <c r="L416" s="46"/>
      <c r="M416" s="17"/>
      <c r="N416" s="46"/>
      <c r="O416" s="46"/>
      <c r="P416" s="46"/>
      <c r="Q416" s="46"/>
      <c r="R416" s="46"/>
      <c r="S416" s="46"/>
      <c r="T416" s="46"/>
      <c r="U416" s="46"/>
      <c r="V416" s="46"/>
      <c r="W416" s="46"/>
      <c r="X416" s="46"/>
      <c r="Y416" s="46"/>
      <c r="Z416" s="46"/>
      <c r="AA416" s="46"/>
      <c r="AB416" s="46"/>
      <c r="AC416" s="46"/>
      <c r="AD416" s="46"/>
      <c r="AE416" s="46"/>
      <c r="AF416" s="46"/>
      <c r="AG416" s="127"/>
      <c r="AH416" s="127"/>
      <c r="AI416" s="127"/>
      <c r="AJ416" s="127"/>
      <c r="AK416" s="46"/>
      <c r="AL416" s="46"/>
      <c r="AM416" s="46"/>
      <c r="AN416" s="46"/>
      <c r="AO416" s="46"/>
    </row>
    <row r="417">
      <c r="A417" s="17"/>
      <c r="B417" s="46"/>
      <c r="C417" s="46"/>
      <c r="D417" s="46"/>
      <c r="E417" s="17"/>
      <c r="F417" s="46"/>
      <c r="G417" s="46"/>
      <c r="H417" s="46"/>
      <c r="I417" s="17"/>
      <c r="J417" s="46"/>
      <c r="K417" s="46"/>
      <c r="L417" s="46"/>
      <c r="M417" s="17"/>
      <c r="N417" s="46"/>
      <c r="O417" s="46"/>
      <c r="P417" s="46"/>
      <c r="Q417" s="46"/>
      <c r="R417" s="46"/>
      <c r="S417" s="46"/>
      <c r="T417" s="46"/>
      <c r="U417" s="46"/>
      <c r="V417" s="46"/>
      <c r="W417" s="46"/>
      <c r="X417" s="46"/>
      <c r="Y417" s="46"/>
      <c r="Z417" s="46"/>
      <c r="AA417" s="46"/>
      <c r="AB417" s="46"/>
      <c r="AC417" s="46"/>
      <c r="AD417" s="46"/>
      <c r="AE417" s="46"/>
      <c r="AF417" s="46"/>
      <c r="AG417" s="127"/>
      <c r="AH417" s="127"/>
      <c r="AI417" s="127"/>
      <c r="AJ417" s="127"/>
      <c r="AK417" s="46"/>
      <c r="AL417" s="46"/>
      <c r="AM417" s="46"/>
      <c r="AN417" s="46"/>
      <c r="AO417" s="46"/>
    </row>
    <row r="418">
      <c r="A418" s="17"/>
      <c r="B418" s="46"/>
      <c r="C418" s="46"/>
      <c r="D418" s="46"/>
      <c r="E418" s="17"/>
      <c r="F418" s="46"/>
      <c r="G418" s="46"/>
      <c r="H418" s="46"/>
      <c r="I418" s="17"/>
      <c r="J418" s="46"/>
      <c r="K418" s="46"/>
      <c r="L418" s="46"/>
      <c r="M418" s="17"/>
      <c r="N418" s="46"/>
      <c r="O418" s="46"/>
      <c r="P418" s="46"/>
      <c r="Q418" s="46"/>
      <c r="R418" s="46"/>
      <c r="S418" s="46"/>
      <c r="T418" s="46"/>
      <c r="U418" s="46"/>
      <c r="V418" s="46"/>
      <c r="W418" s="46"/>
      <c r="X418" s="46"/>
      <c r="Y418" s="46"/>
      <c r="Z418" s="46"/>
      <c r="AA418" s="46"/>
      <c r="AB418" s="46"/>
      <c r="AC418" s="46"/>
      <c r="AD418" s="46"/>
      <c r="AE418" s="46"/>
      <c r="AF418" s="46"/>
      <c r="AG418" s="127"/>
      <c r="AH418" s="127"/>
      <c r="AI418" s="127"/>
      <c r="AJ418" s="127"/>
      <c r="AK418" s="46"/>
      <c r="AL418" s="46"/>
      <c r="AM418" s="46"/>
      <c r="AN418" s="46"/>
      <c r="AO418" s="46"/>
    </row>
    <row r="419">
      <c r="A419" s="17"/>
      <c r="B419" s="46"/>
      <c r="C419" s="46"/>
      <c r="D419" s="46"/>
      <c r="E419" s="17"/>
      <c r="F419" s="46"/>
      <c r="G419" s="46"/>
      <c r="H419" s="46"/>
      <c r="I419" s="17"/>
      <c r="J419" s="46"/>
      <c r="K419" s="46"/>
      <c r="L419" s="46"/>
      <c r="M419" s="17"/>
      <c r="N419" s="46"/>
      <c r="O419" s="46"/>
      <c r="P419" s="46"/>
      <c r="Q419" s="46"/>
      <c r="R419" s="46"/>
      <c r="S419" s="46"/>
      <c r="T419" s="46"/>
      <c r="U419" s="46"/>
      <c r="V419" s="46"/>
      <c r="W419" s="46"/>
      <c r="X419" s="46"/>
      <c r="Y419" s="46"/>
      <c r="Z419" s="46"/>
      <c r="AA419" s="46"/>
      <c r="AB419" s="46"/>
      <c r="AC419" s="46"/>
      <c r="AD419" s="46"/>
      <c r="AE419" s="46"/>
      <c r="AF419" s="46"/>
      <c r="AG419" s="127"/>
      <c r="AH419" s="127"/>
      <c r="AI419" s="127"/>
      <c r="AJ419" s="127"/>
      <c r="AK419" s="46"/>
      <c r="AL419" s="46"/>
      <c r="AM419" s="46"/>
      <c r="AN419" s="46"/>
      <c r="AO419" s="46"/>
    </row>
    <row r="420">
      <c r="A420" s="17"/>
      <c r="B420" s="46"/>
      <c r="C420" s="46"/>
      <c r="D420" s="46"/>
      <c r="E420" s="17"/>
      <c r="F420" s="46"/>
      <c r="G420" s="46"/>
      <c r="H420" s="46"/>
      <c r="I420" s="17"/>
      <c r="J420" s="46"/>
      <c r="K420" s="46"/>
      <c r="L420" s="46"/>
      <c r="M420" s="17"/>
      <c r="N420" s="46"/>
      <c r="O420" s="46"/>
      <c r="P420" s="46"/>
      <c r="Q420" s="46"/>
      <c r="R420" s="46"/>
      <c r="S420" s="46"/>
      <c r="T420" s="46"/>
      <c r="U420" s="46"/>
      <c r="V420" s="46"/>
      <c r="W420" s="46"/>
      <c r="X420" s="46"/>
      <c r="Y420" s="46"/>
      <c r="Z420" s="46"/>
      <c r="AA420" s="46"/>
      <c r="AB420" s="46"/>
      <c r="AC420" s="46"/>
      <c r="AD420" s="46"/>
      <c r="AE420" s="46"/>
      <c r="AF420" s="46"/>
      <c r="AG420" s="127"/>
      <c r="AH420" s="127"/>
      <c r="AI420" s="127"/>
      <c r="AJ420" s="127"/>
      <c r="AK420" s="46"/>
      <c r="AL420" s="46"/>
      <c r="AM420" s="46"/>
      <c r="AN420" s="46"/>
      <c r="AO420" s="46"/>
    </row>
    <row r="421">
      <c r="A421" s="17"/>
      <c r="B421" s="46"/>
      <c r="C421" s="46"/>
      <c r="D421" s="46"/>
      <c r="E421" s="17"/>
      <c r="F421" s="46"/>
      <c r="G421" s="46"/>
      <c r="H421" s="46"/>
      <c r="I421" s="17"/>
      <c r="J421" s="46"/>
      <c r="K421" s="46"/>
      <c r="L421" s="46"/>
      <c r="M421" s="17"/>
      <c r="N421" s="46"/>
      <c r="O421" s="46"/>
      <c r="P421" s="46"/>
      <c r="Q421" s="46"/>
      <c r="R421" s="46"/>
      <c r="S421" s="46"/>
      <c r="T421" s="46"/>
      <c r="U421" s="46"/>
      <c r="V421" s="46"/>
      <c r="W421" s="46"/>
      <c r="X421" s="46"/>
      <c r="Y421" s="46"/>
      <c r="Z421" s="46"/>
      <c r="AA421" s="46"/>
      <c r="AB421" s="46"/>
      <c r="AC421" s="46"/>
      <c r="AD421" s="46"/>
      <c r="AE421" s="46"/>
      <c r="AF421" s="46"/>
      <c r="AG421" s="127"/>
      <c r="AH421" s="127"/>
      <c r="AI421" s="127"/>
      <c r="AJ421" s="127"/>
      <c r="AK421" s="46"/>
      <c r="AL421" s="46"/>
      <c r="AM421" s="46"/>
      <c r="AN421" s="46"/>
      <c r="AO421" s="46"/>
    </row>
    <row r="422">
      <c r="A422" s="17"/>
      <c r="B422" s="46"/>
      <c r="C422" s="46"/>
      <c r="D422" s="46"/>
      <c r="E422" s="17"/>
      <c r="F422" s="46"/>
      <c r="G422" s="46"/>
      <c r="H422" s="46"/>
      <c r="I422" s="17"/>
      <c r="J422" s="46"/>
      <c r="K422" s="46"/>
      <c r="L422" s="46"/>
      <c r="M422" s="17"/>
      <c r="N422" s="46"/>
      <c r="O422" s="46"/>
      <c r="P422" s="46"/>
      <c r="Q422" s="46"/>
      <c r="R422" s="46"/>
      <c r="S422" s="46"/>
      <c r="T422" s="46"/>
      <c r="U422" s="46"/>
      <c r="V422" s="46"/>
      <c r="W422" s="46"/>
      <c r="X422" s="46"/>
      <c r="Y422" s="46"/>
      <c r="Z422" s="46"/>
      <c r="AA422" s="46"/>
      <c r="AB422" s="46"/>
      <c r="AC422" s="46"/>
      <c r="AD422" s="46"/>
      <c r="AE422" s="46"/>
      <c r="AF422" s="46"/>
      <c r="AG422" s="127"/>
      <c r="AH422" s="127"/>
      <c r="AI422" s="127"/>
      <c r="AJ422" s="127"/>
      <c r="AK422" s="46"/>
      <c r="AL422" s="46"/>
      <c r="AM422" s="46"/>
      <c r="AN422" s="46"/>
      <c r="AO422" s="46"/>
    </row>
    <row r="423">
      <c r="A423" s="17"/>
      <c r="B423" s="46"/>
      <c r="C423" s="46"/>
      <c r="D423" s="46"/>
      <c r="E423" s="17"/>
      <c r="F423" s="46"/>
      <c r="G423" s="46"/>
      <c r="H423" s="46"/>
      <c r="I423" s="17"/>
      <c r="J423" s="46"/>
      <c r="K423" s="46"/>
      <c r="L423" s="46"/>
      <c r="M423" s="17"/>
      <c r="N423" s="46"/>
      <c r="O423" s="46"/>
      <c r="P423" s="46"/>
      <c r="Q423" s="46"/>
      <c r="R423" s="46"/>
      <c r="S423" s="46"/>
      <c r="T423" s="46"/>
      <c r="U423" s="46"/>
      <c r="V423" s="46"/>
      <c r="W423" s="46"/>
      <c r="X423" s="46"/>
      <c r="Y423" s="46"/>
      <c r="Z423" s="46"/>
      <c r="AA423" s="46"/>
      <c r="AB423" s="46"/>
      <c r="AC423" s="46"/>
      <c r="AD423" s="46"/>
      <c r="AE423" s="46"/>
      <c r="AF423" s="46"/>
      <c r="AG423" s="127"/>
      <c r="AH423" s="127"/>
      <c r="AI423" s="127"/>
      <c r="AJ423" s="127"/>
      <c r="AK423" s="46"/>
      <c r="AL423" s="46"/>
      <c r="AM423" s="46"/>
      <c r="AN423" s="46"/>
      <c r="AO423" s="46"/>
    </row>
    <row r="424">
      <c r="A424" s="17"/>
      <c r="B424" s="46"/>
      <c r="C424" s="46"/>
      <c r="D424" s="46"/>
      <c r="E424" s="17"/>
      <c r="F424" s="46"/>
      <c r="G424" s="46"/>
      <c r="H424" s="46"/>
      <c r="I424" s="17"/>
      <c r="J424" s="46"/>
      <c r="K424" s="46"/>
      <c r="L424" s="46"/>
      <c r="M424" s="17"/>
      <c r="N424" s="46"/>
      <c r="O424" s="46"/>
      <c r="P424" s="46"/>
      <c r="Q424" s="46"/>
      <c r="R424" s="46"/>
      <c r="S424" s="46"/>
      <c r="T424" s="46"/>
      <c r="U424" s="46"/>
      <c r="V424" s="46"/>
      <c r="W424" s="46"/>
      <c r="X424" s="46"/>
      <c r="Y424" s="46"/>
      <c r="Z424" s="46"/>
      <c r="AA424" s="46"/>
      <c r="AB424" s="46"/>
      <c r="AC424" s="46"/>
      <c r="AD424" s="46"/>
      <c r="AE424" s="46"/>
      <c r="AF424" s="46"/>
      <c r="AG424" s="127"/>
      <c r="AH424" s="127"/>
      <c r="AI424" s="127"/>
      <c r="AJ424" s="127"/>
      <c r="AK424" s="46"/>
      <c r="AL424" s="46"/>
      <c r="AM424" s="46"/>
      <c r="AN424" s="46"/>
      <c r="AO424" s="46"/>
    </row>
    <row r="425">
      <c r="A425" s="17"/>
      <c r="B425" s="46"/>
      <c r="C425" s="46"/>
      <c r="D425" s="46"/>
      <c r="E425" s="17"/>
      <c r="F425" s="46"/>
      <c r="G425" s="46"/>
      <c r="H425" s="46"/>
      <c r="I425" s="17"/>
      <c r="J425" s="46"/>
      <c r="K425" s="46"/>
      <c r="L425" s="46"/>
      <c r="M425" s="17"/>
      <c r="N425" s="46"/>
      <c r="O425" s="46"/>
      <c r="P425" s="46"/>
      <c r="Q425" s="46"/>
      <c r="R425" s="46"/>
      <c r="S425" s="46"/>
      <c r="T425" s="46"/>
      <c r="U425" s="46"/>
      <c r="V425" s="46"/>
      <c r="W425" s="46"/>
      <c r="X425" s="46"/>
      <c r="Y425" s="46"/>
      <c r="Z425" s="46"/>
      <c r="AA425" s="46"/>
      <c r="AB425" s="46"/>
      <c r="AC425" s="46"/>
      <c r="AD425" s="46"/>
      <c r="AE425" s="46"/>
      <c r="AF425" s="46"/>
      <c r="AG425" s="127"/>
      <c r="AH425" s="127"/>
      <c r="AI425" s="127"/>
      <c r="AJ425" s="127"/>
      <c r="AK425" s="46"/>
      <c r="AL425" s="46"/>
      <c r="AM425" s="46"/>
      <c r="AN425" s="46"/>
      <c r="AO425" s="46"/>
    </row>
    <row r="426">
      <c r="A426" s="17"/>
      <c r="B426" s="46"/>
      <c r="C426" s="46"/>
      <c r="D426" s="46"/>
      <c r="E426" s="17"/>
      <c r="F426" s="46"/>
      <c r="G426" s="46"/>
      <c r="H426" s="46"/>
      <c r="I426" s="17"/>
      <c r="J426" s="46"/>
      <c r="K426" s="46"/>
      <c r="L426" s="46"/>
      <c r="M426" s="17"/>
      <c r="N426" s="46"/>
      <c r="O426" s="46"/>
      <c r="P426" s="46"/>
      <c r="Q426" s="46"/>
      <c r="R426" s="46"/>
      <c r="S426" s="46"/>
      <c r="T426" s="46"/>
      <c r="U426" s="46"/>
      <c r="V426" s="46"/>
      <c r="W426" s="46"/>
      <c r="X426" s="46"/>
      <c r="Y426" s="46"/>
      <c r="Z426" s="46"/>
      <c r="AA426" s="46"/>
      <c r="AB426" s="46"/>
      <c r="AC426" s="46"/>
      <c r="AD426" s="46"/>
      <c r="AE426" s="46"/>
      <c r="AF426" s="46"/>
      <c r="AG426" s="127"/>
      <c r="AH426" s="127"/>
      <c r="AI426" s="127"/>
      <c r="AJ426" s="127"/>
      <c r="AK426" s="46"/>
      <c r="AL426" s="46"/>
      <c r="AM426" s="46"/>
      <c r="AN426" s="46"/>
      <c r="AO426" s="46"/>
    </row>
    <row r="427">
      <c r="A427" s="17"/>
      <c r="B427" s="46"/>
      <c r="C427" s="46"/>
      <c r="D427" s="46"/>
      <c r="E427" s="17"/>
      <c r="F427" s="46"/>
      <c r="G427" s="46"/>
      <c r="H427" s="46"/>
      <c r="I427" s="17"/>
      <c r="J427" s="46"/>
      <c r="K427" s="46"/>
      <c r="L427" s="46"/>
      <c r="M427" s="17"/>
      <c r="N427" s="46"/>
      <c r="O427" s="46"/>
      <c r="P427" s="46"/>
      <c r="Q427" s="46"/>
      <c r="R427" s="46"/>
      <c r="S427" s="46"/>
      <c r="T427" s="46"/>
      <c r="U427" s="46"/>
      <c r="V427" s="46"/>
      <c r="W427" s="46"/>
      <c r="X427" s="46"/>
      <c r="Y427" s="46"/>
      <c r="Z427" s="46"/>
      <c r="AA427" s="46"/>
      <c r="AB427" s="46"/>
      <c r="AC427" s="46"/>
      <c r="AD427" s="46"/>
      <c r="AE427" s="46"/>
      <c r="AF427" s="46"/>
      <c r="AG427" s="127"/>
      <c r="AH427" s="127"/>
      <c r="AI427" s="127"/>
      <c r="AJ427" s="127"/>
      <c r="AK427" s="46"/>
      <c r="AL427" s="46"/>
      <c r="AM427" s="46"/>
      <c r="AN427" s="46"/>
      <c r="AO427" s="46"/>
    </row>
    <row r="428">
      <c r="A428" s="17"/>
      <c r="B428" s="46"/>
      <c r="C428" s="46"/>
      <c r="D428" s="46"/>
      <c r="E428" s="17"/>
      <c r="F428" s="46"/>
      <c r="G428" s="46"/>
      <c r="H428" s="46"/>
      <c r="I428" s="17"/>
      <c r="J428" s="46"/>
      <c r="K428" s="46"/>
      <c r="L428" s="46"/>
      <c r="M428" s="17"/>
      <c r="N428" s="46"/>
      <c r="O428" s="46"/>
      <c r="P428" s="46"/>
      <c r="Q428" s="46"/>
      <c r="R428" s="46"/>
      <c r="S428" s="46"/>
      <c r="T428" s="46"/>
      <c r="U428" s="46"/>
      <c r="V428" s="46"/>
      <c r="W428" s="46"/>
      <c r="X428" s="46"/>
      <c r="Y428" s="46"/>
      <c r="Z428" s="46"/>
      <c r="AA428" s="46"/>
      <c r="AB428" s="46"/>
      <c r="AC428" s="46"/>
      <c r="AD428" s="46"/>
      <c r="AE428" s="46"/>
      <c r="AF428" s="46"/>
      <c r="AG428" s="127"/>
      <c r="AH428" s="127"/>
      <c r="AI428" s="127"/>
      <c r="AJ428" s="127"/>
      <c r="AK428" s="46"/>
      <c r="AL428" s="46"/>
      <c r="AM428" s="46"/>
      <c r="AN428" s="46"/>
      <c r="AO428" s="46"/>
    </row>
    <row r="429">
      <c r="A429" s="17"/>
      <c r="B429" s="46"/>
      <c r="C429" s="46"/>
      <c r="D429" s="46"/>
      <c r="E429" s="17"/>
      <c r="F429" s="46"/>
      <c r="G429" s="46"/>
      <c r="H429" s="46"/>
      <c r="I429" s="17"/>
      <c r="J429" s="46"/>
      <c r="K429" s="46"/>
      <c r="L429" s="46"/>
      <c r="M429" s="17"/>
      <c r="N429" s="46"/>
      <c r="O429" s="46"/>
      <c r="P429" s="46"/>
      <c r="Q429" s="46"/>
      <c r="R429" s="46"/>
      <c r="S429" s="46"/>
      <c r="T429" s="46"/>
      <c r="U429" s="46"/>
      <c r="V429" s="46"/>
      <c r="W429" s="46"/>
      <c r="X429" s="46"/>
      <c r="Y429" s="46"/>
      <c r="Z429" s="46"/>
      <c r="AA429" s="46"/>
      <c r="AB429" s="46"/>
      <c r="AC429" s="46"/>
      <c r="AD429" s="46"/>
      <c r="AE429" s="46"/>
      <c r="AF429" s="46"/>
      <c r="AG429" s="127"/>
      <c r="AH429" s="127"/>
      <c r="AI429" s="127"/>
      <c r="AJ429" s="127"/>
      <c r="AK429" s="46"/>
      <c r="AL429" s="46"/>
      <c r="AM429" s="46"/>
      <c r="AN429" s="46"/>
      <c r="AO429" s="46"/>
    </row>
    <row r="430">
      <c r="A430" s="17"/>
      <c r="B430" s="46"/>
      <c r="C430" s="46"/>
      <c r="D430" s="46"/>
      <c r="E430" s="17"/>
      <c r="F430" s="46"/>
      <c r="G430" s="46"/>
      <c r="H430" s="46"/>
      <c r="I430" s="17"/>
      <c r="J430" s="46"/>
      <c r="K430" s="46"/>
      <c r="L430" s="46"/>
      <c r="M430" s="17"/>
      <c r="N430" s="46"/>
      <c r="O430" s="46"/>
      <c r="P430" s="46"/>
      <c r="Q430" s="46"/>
      <c r="R430" s="46"/>
      <c r="S430" s="46"/>
      <c r="T430" s="46"/>
      <c r="U430" s="46"/>
      <c r="V430" s="46"/>
      <c r="W430" s="46"/>
      <c r="X430" s="46"/>
      <c r="Y430" s="46"/>
      <c r="Z430" s="46"/>
      <c r="AA430" s="46"/>
      <c r="AB430" s="46"/>
      <c r="AC430" s="46"/>
      <c r="AD430" s="46"/>
      <c r="AE430" s="46"/>
      <c r="AF430" s="46"/>
      <c r="AG430" s="127"/>
      <c r="AH430" s="127"/>
      <c r="AI430" s="127"/>
      <c r="AJ430" s="127"/>
      <c r="AK430" s="46"/>
      <c r="AL430" s="46"/>
      <c r="AM430" s="46"/>
      <c r="AN430" s="46"/>
      <c r="AO430" s="46"/>
    </row>
    <row r="431">
      <c r="A431" s="17"/>
      <c r="B431" s="46"/>
      <c r="C431" s="46"/>
      <c r="D431" s="46"/>
      <c r="E431" s="17"/>
      <c r="F431" s="46"/>
      <c r="G431" s="46"/>
      <c r="H431" s="46"/>
      <c r="I431" s="17"/>
      <c r="J431" s="46"/>
      <c r="K431" s="46"/>
      <c r="L431" s="46"/>
      <c r="M431" s="17"/>
      <c r="N431" s="46"/>
      <c r="O431" s="46"/>
      <c r="P431" s="46"/>
      <c r="Q431" s="46"/>
      <c r="R431" s="46"/>
      <c r="S431" s="46"/>
      <c r="T431" s="46"/>
      <c r="U431" s="46"/>
      <c r="V431" s="46"/>
      <c r="W431" s="46"/>
      <c r="X431" s="46"/>
      <c r="Y431" s="46"/>
      <c r="Z431" s="46"/>
      <c r="AA431" s="46"/>
      <c r="AB431" s="46"/>
      <c r="AC431" s="46"/>
      <c r="AD431" s="46"/>
      <c r="AE431" s="46"/>
      <c r="AF431" s="46"/>
      <c r="AG431" s="127"/>
      <c r="AH431" s="127"/>
      <c r="AI431" s="127"/>
      <c r="AJ431" s="127"/>
      <c r="AK431" s="46"/>
      <c r="AL431" s="46"/>
      <c r="AM431" s="46"/>
      <c r="AN431" s="46"/>
      <c r="AO431" s="46"/>
    </row>
    <row r="432">
      <c r="A432" s="17"/>
      <c r="B432" s="46"/>
      <c r="C432" s="46"/>
      <c r="D432" s="46"/>
      <c r="E432" s="17"/>
      <c r="F432" s="46"/>
      <c r="G432" s="46"/>
      <c r="H432" s="46"/>
      <c r="I432" s="17"/>
      <c r="J432" s="46"/>
      <c r="K432" s="46"/>
      <c r="L432" s="46"/>
      <c r="M432" s="17"/>
      <c r="N432" s="46"/>
      <c r="O432" s="46"/>
      <c r="P432" s="46"/>
      <c r="Q432" s="46"/>
      <c r="R432" s="46"/>
      <c r="S432" s="46"/>
      <c r="T432" s="46"/>
      <c r="U432" s="46"/>
      <c r="V432" s="46"/>
      <c r="W432" s="46"/>
      <c r="X432" s="46"/>
      <c r="Y432" s="46"/>
      <c r="Z432" s="46"/>
      <c r="AA432" s="46"/>
      <c r="AB432" s="46"/>
      <c r="AC432" s="46"/>
      <c r="AD432" s="46"/>
      <c r="AE432" s="46"/>
      <c r="AF432" s="46"/>
      <c r="AG432" s="127"/>
      <c r="AH432" s="127"/>
      <c r="AI432" s="127"/>
      <c r="AJ432" s="127"/>
      <c r="AK432" s="46"/>
      <c r="AL432" s="46"/>
      <c r="AM432" s="46"/>
      <c r="AN432" s="46"/>
      <c r="AO432" s="46"/>
    </row>
    <row r="433">
      <c r="A433" s="17"/>
      <c r="B433" s="46"/>
      <c r="C433" s="46"/>
      <c r="D433" s="46"/>
      <c r="E433" s="17"/>
      <c r="F433" s="46"/>
      <c r="G433" s="46"/>
      <c r="H433" s="46"/>
      <c r="I433" s="17"/>
      <c r="J433" s="46"/>
      <c r="K433" s="46"/>
      <c r="L433" s="46"/>
      <c r="M433" s="17"/>
      <c r="N433" s="46"/>
      <c r="O433" s="46"/>
      <c r="P433" s="46"/>
      <c r="Q433" s="46"/>
      <c r="R433" s="46"/>
      <c r="S433" s="46"/>
      <c r="T433" s="46"/>
      <c r="U433" s="46"/>
      <c r="V433" s="46"/>
      <c r="W433" s="46"/>
      <c r="X433" s="46"/>
      <c r="Y433" s="46"/>
      <c r="Z433" s="46"/>
      <c r="AA433" s="46"/>
      <c r="AB433" s="46"/>
      <c r="AC433" s="46"/>
      <c r="AD433" s="46"/>
      <c r="AE433" s="46"/>
      <c r="AF433" s="46"/>
      <c r="AG433" s="127"/>
      <c r="AH433" s="127"/>
      <c r="AI433" s="127"/>
      <c r="AJ433" s="127"/>
      <c r="AK433" s="46"/>
      <c r="AL433" s="46"/>
      <c r="AM433" s="46"/>
      <c r="AN433" s="46"/>
      <c r="AO433" s="46"/>
    </row>
    <row r="434">
      <c r="A434" s="17"/>
      <c r="B434" s="46"/>
      <c r="C434" s="46"/>
      <c r="D434" s="46"/>
      <c r="E434" s="17"/>
      <c r="F434" s="46"/>
      <c r="G434" s="46"/>
      <c r="H434" s="46"/>
      <c r="I434" s="17"/>
      <c r="J434" s="46"/>
      <c r="K434" s="46"/>
      <c r="L434" s="46"/>
      <c r="M434" s="17"/>
      <c r="N434" s="46"/>
      <c r="O434" s="46"/>
      <c r="P434" s="46"/>
      <c r="Q434" s="46"/>
      <c r="R434" s="46"/>
      <c r="S434" s="46"/>
      <c r="T434" s="46"/>
      <c r="U434" s="46"/>
      <c r="V434" s="46"/>
      <c r="W434" s="46"/>
      <c r="X434" s="46"/>
      <c r="Y434" s="46"/>
      <c r="Z434" s="46"/>
      <c r="AA434" s="46"/>
      <c r="AB434" s="46"/>
      <c r="AC434" s="46"/>
      <c r="AD434" s="46"/>
      <c r="AE434" s="46"/>
      <c r="AF434" s="46"/>
      <c r="AG434" s="127"/>
      <c r="AH434" s="127"/>
      <c r="AI434" s="127"/>
      <c r="AJ434" s="127"/>
      <c r="AK434" s="46"/>
      <c r="AL434" s="46"/>
      <c r="AM434" s="46"/>
      <c r="AN434" s="46"/>
      <c r="AO434" s="46"/>
    </row>
    <row r="435">
      <c r="A435" s="17"/>
      <c r="B435" s="46"/>
      <c r="C435" s="46"/>
      <c r="D435" s="46"/>
      <c r="E435" s="17"/>
      <c r="F435" s="46"/>
      <c r="G435" s="46"/>
      <c r="H435" s="46"/>
      <c r="I435" s="17"/>
      <c r="J435" s="46"/>
      <c r="K435" s="46"/>
      <c r="L435" s="46"/>
      <c r="M435" s="17"/>
      <c r="N435" s="46"/>
      <c r="O435" s="46"/>
      <c r="P435" s="46"/>
      <c r="Q435" s="46"/>
      <c r="R435" s="46"/>
      <c r="S435" s="46"/>
      <c r="T435" s="46"/>
      <c r="U435" s="46"/>
      <c r="V435" s="46"/>
      <c r="W435" s="46"/>
      <c r="X435" s="46"/>
      <c r="Y435" s="46"/>
      <c r="Z435" s="46"/>
      <c r="AA435" s="46"/>
      <c r="AB435" s="46"/>
      <c r="AC435" s="46"/>
      <c r="AD435" s="46"/>
      <c r="AE435" s="46"/>
      <c r="AF435" s="46"/>
      <c r="AG435" s="127"/>
      <c r="AH435" s="127"/>
      <c r="AI435" s="127"/>
      <c r="AJ435" s="127"/>
      <c r="AK435" s="46"/>
      <c r="AL435" s="46"/>
      <c r="AM435" s="46"/>
      <c r="AN435" s="46"/>
      <c r="AO435" s="46"/>
    </row>
    <row r="436">
      <c r="A436" s="17"/>
      <c r="B436" s="46"/>
      <c r="C436" s="46"/>
      <c r="D436" s="46"/>
      <c r="E436" s="17"/>
      <c r="F436" s="46"/>
      <c r="G436" s="46"/>
      <c r="H436" s="46"/>
      <c r="I436" s="17"/>
      <c r="J436" s="46"/>
      <c r="K436" s="46"/>
      <c r="L436" s="46"/>
      <c r="M436" s="17"/>
      <c r="N436" s="46"/>
      <c r="O436" s="46"/>
      <c r="P436" s="46"/>
      <c r="Q436" s="46"/>
      <c r="R436" s="46"/>
      <c r="S436" s="46"/>
      <c r="T436" s="46"/>
      <c r="U436" s="46"/>
      <c r="V436" s="46"/>
      <c r="W436" s="46"/>
      <c r="X436" s="46"/>
      <c r="Y436" s="46"/>
      <c r="Z436" s="46"/>
      <c r="AA436" s="46"/>
      <c r="AB436" s="46"/>
      <c r="AC436" s="46"/>
      <c r="AD436" s="46"/>
      <c r="AE436" s="46"/>
      <c r="AF436" s="46"/>
      <c r="AG436" s="127"/>
      <c r="AH436" s="127"/>
      <c r="AI436" s="127"/>
      <c r="AJ436" s="127"/>
      <c r="AK436" s="46"/>
      <c r="AL436" s="46"/>
      <c r="AM436" s="46"/>
      <c r="AN436" s="46"/>
      <c r="AO436" s="46"/>
    </row>
    <row r="437">
      <c r="A437" s="17"/>
      <c r="B437" s="46"/>
      <c r="C437" s="46"/>
      <c r="D437" s="46"/>
      <c r="E437" s="17"/>
      <c r="F437" s="46"/>
      <c r="G437" s="46"/>
      <c r="H437" s="46"/>
      <c r="I437" s="17"/>
      <c r="J437" s="46"/>
      <c r="K437" s="46"/>
      <c r="L437" s="46"/>
      <c r="M437" s="17"/>
      <c r="N437" s="46"/>
      <c r="O437" s="46"/>
      <c r="P437" s="46"/>
      <c r="Q437" s="46"/>
      <c r="R437" s="46"/>
      <c r="S437" s="46"/>
      <c r="T437" s="46"/>
      <c r="U437" s="46"/>
      <c r="V437" s="46"/>
      <c r="W437" s="46"/>
      <c r="X437" s="46"/>
      <c r="Y437" s="46"/>
      <c r="Z437" s="46"/>
      <c r="AA437" s="46"/>
      <c r="AB437" s="46"/>
      <c r="AC437" s="46"/>
      <c r="AD437" s="46"/>
      <c r="AE437" s="46"/>
      <c r="AF437" s="46"/>
      <c r="AG437" s="127"/>
      <c r="AH437" s="127"/>
      <c r="AI437" s="127"/>
      <c r="AJ437" s="127"/>
      <c r="AK437" s="46"/>
      <c r="AL437" s="46"/>
      <c r="AM437" s="46"/>
      <c r="AN437" s="46"/>
      <c r="AO437" s="46"/>
    </row>
    <row r="438">
      <c r="A438" s="17"/>
      <c r="B438" s="46"/>
      <c r="C438" s="46"/>
      <c r="D438" s="46"/>
      <c r="E438" s="17"/>
      <c r="F438" s="46"/>
      <c r="G438" s="46"/>
      <c r="H438" s="46"/>
      <c r="I438" s="17"/>
      <c r="J438" s="46"/>
      <c r="K438" s="46"/>
      <c r="L438" s="46"/>
      <c r="M438" s="17"/>
      <c r="N438" s="46"/>
      <c r="O438" s="46"/>
      <c r="P438" s="46"/>
      <c r="Q438" s="46"/>
      <c r="R438" s="46"/>
      <c r="S438" s="46"/>
      <c r="T438" s="46"/>
      <c r="U438" s="46"/>
      <c r="V438" s="46"/>
      <c r="W438" s="46"/>
      <c r="X438" s="46"/>
      <c r="Y438" s="46"/>
      <c r="Z438" s="46"/>
      <c r="AA438" s="46"/>
      <c r="AB438" s="46"/>
      <c r="AC438" s="46"/>
      <c r="AD438" s="46"/>
      <c r="AE438" s="46"/>
      <c r="AF438" s="46"/>
      <c r="AG438" s="127"/>
      <c r="AH438" s="127"/>
      <c r="AI438" s="127"/>
      <c r="AJ438" s="127"/>
      <c r="AK438" s="46"/>
      <c r="AL438" s="46"/>
      <c r="AM438" s="46"/>
      <c r="AN438" s="46"/>
      <c r="AO438" s="46"/>
    </row>
    <row r="439">
      <c r="A439" s="17"/>
      <c r="B439" s="46"/>
      <c r="C439" s="46"/>
      <c r="D439" s="46"/>
      <c r="E439" s="17"/>
      <c r="F439" s="46"/>
      <c r="G439" s="46"/>
      <c r="H439" s="46"/>
      <c r="I439" s="17"/>
      <c r="J439" s="46"/>
      <c r="K439" s="46"/>
      <c r="L439" s="46"/>
      <c r="M439" s="17"/>
      <c r="N439" s="46"/>
      <c r="O439" s="46"/>
      <c r="P439" s="46"/>
      <c r="Q439" s="46"/>
      <c r="R439" s="46"/>
      <c r="S439" s="46"/>
      <c r="T439" s="46"/>
      <c r="U439" s="46"/>
      <c r="V439" s="46"/>
      <c r="W439" s="46"/>
      <c r="X439" s="46"/>
      <c r="Y439" s="46"/>
      <c r="Z439" s="46"/>
      <c r="AA439" s="46"/>
      <c r="AB439" s="46"/>
      <c r="AC439" s="46"/>
      <c r="AD439" s="46"/>
      <c r="AE439" s="46"/>
      <c r="AF439" s="46"/>
      <c r="AG439" s="127"/>
      <c r="AH439" s="127"/>
      <c r="AI439" s="127"/>
      <c r="AJ439" s="127"/>
      <c r="AK439" s="46"/>
      <c r="AL439" s="46"/>
      <c r="AM439" s="46"/>
      <c r="AN439" s="46"/>
      <c r="AO439" s="46"/>
    </row>
    <row r="440">
      <c r="A440" s="17"/>
      <c r="B440" s="46"/>
      <c r="C440" s="46"/>
      <c r="D440" s="46"/>
      <c r="E440" s="17"/>
      <c r="F440" s="46"/>
      <c r="G440" s="46"/>
      <c r="H440" s="46"/>
      <c r="I440" s="17"/>
      <c r="J440" s="46"/>
      <c r="K440" s="46"/>
      <c r="L440" s="46"/>
      <c r="M440" s="17"/>
      <c r="N440" s="46"/>
      <c r="O440" s="46"/>
      <c r="P440" s="46"/>
      <c r="Q440" s="46"/>
      <c r="R440" s="46"/>
      <c r="S440" s="46"/>
      <c r="T440" s="46"/>
      <c r="U440" s="46"/>
      <c r="V440" s="46"/>
      <c r="W440" s="46"/>
      <c r="X440" s="46"/>
      <c r="Y440" s="46"/>
      <c r="Z440" s="46"/>
      <c r="AA440" s="46"/>
      <c r="AB440" s="46"/>
      <c r="AC440" s="46"/>
      <c r="AD440" s="46"/>
      <c r="AE440" s="46"/>
      <c r="AF440" s="46"/>
      <c r="AG440" s="127"/>
      <c r="AH440" s="127"/>
      <c r="AI440" s="127"/>
      <c r="AJ440" s="127"/>
      <c r="AK440" s="46"/>
      <c r="AL440" s="46"/>
      <c r="AM440" s="46"/>
      <c r="AN440" s="46"/>
      <c r="AO440" s="46"/>
    </row>
    <row r="441">
      <c r="A441" s="17"/>
      <c r="B441" s="46"/>
      <c r="C441" s="46"/>
      <c r="D441" s="46"/>
      <c r="E441" s="17"/>
      <c r="F441" s="46"/>
      <c r="G441" s="46"/>
      <c r="H441" s="46"/>
      <c r="I441" s="17"/>
      <c r="J441" s="46"/>
      <c r="K441" s="46"/>
      <c r="L441" s="46"/>
      <c r="M441" s="17"/>
      <c r="N441" s="46"/>
      <c r="O441" s="46"/>
      <c r="P441" s="46"/>
      <c r="Q441" s="46"/>
      <c r="R441" s="46"/>
      <c r="S441" s="46"/>
      <c r="T441" s="46"/>
      <c r="U441" s="46"/>
      <c r="V441" s="46"/>
      <c r="W441" s="46"/>
      <c r="X441" s="46"/>
      <c r="Y441" s="46"/>
      <c r="Z441" s="46"/>
      <c r="AA441" s="46"/>
      <c r="AB441" s="46"/>
      <c r="AC441" s="46"/>
      <c r="AD441" s="46"/>
      <c r="AE441" s="46"/>
      <c r="AF441" s="46"/>
      <c r="AG441" s="127"/>
      <c r="AH441" s="127"/>
      <c r="AI441" s="127"/>
      <c r="AJ441" s="127"/>
      <c r="AK441" s="46"/>
      <c r="AL441" s="46"/>
      <c r="AM441" s="46"/>
      <c r="AN441" s="46"/>
      <c r="AO441" s="46"/>
    </row>
    <row r="442">
      <c r="A442" s="17"/>
      <c r="B442" s="46"/>
      <c r="C442" s="46"/>
      <c r="D442" s="46"/>
      <c r="E442" s="17"/>
      <c r="F442" s="46"/>
      <c r="G442" s="46"/>
      <c r="H442" s="46"/>
      <c r="I442" s="17"/>
      <c r="J442" s="46"/>
      <c r="K442" s="46"/>
      <c r="L442" s="46"/>
      <c r="M442" s="17"/>
      <c r="N442" s="46"/>
      <c r="O442" s="46"/>
      <c r="P442" s="46"/>
      <c r="Q442" s="46"/>
      <c r="R442" s="46"/>
      <c r="S442" s="46"/>
      <c r="T442" s="46"/>
      <c r="U442" s="46"/>
      <c r="V442" s="46"/>
      <c r="W442" s="46"/>
      <c r="X442" s="46"/>
      <c r="Y442" s="46"/>
      <c r="Z442" s="46"/>
      <c r="AA442" s="46"/>
      <c r="AB442" s="46"/>
      <c r="AC442" s="46"/>
      <c r="AD442" s="46"/>
      <c r="AE442" s="46"/>
      <c r="AF442" s="46"/>
      <c r="AG442" s="127"/>
      <c r="AH442" s="127"/>
      <c r="AI442" s="127"/>
      <c r="AJ442" s="127"/>
      <c r="AK442" s="46"/>
      <c r="AL442" s="46"/>
      <c r="AM442" s="46"/>
      <c r="AN442" s="46"/>
      <c r="AO442" s="46"/>
    </row>
    <row r="443">
      <c r="A443" s="17"/>
      <c r="B443" s="46"/>
      <c r="C443" s="46"/>
      <c r="D443" s="46"/>
      <c r="E443" s="17"/>
      <c r="F443" s="46"/>
      <c r="G443" s="46"/>
      <c r="H443" s="46"/>
      <c r="I443" s="17"/>
      <c r="J443" s="46"/>
      <c r="K443" s="46"/>
      <c r="L443" s="46"/>
      <c r="M443" s="17"/>
      <c r="N443" s="46"/>
      <c r="O443" s="46"/>
      <c r="P443" s="46"/>
      <c r="Q443" s="46"/>
      <c r="R443" s="46"/>
      <c r="S443" s="46"/>
      <c r="T443" s="46"/>
      <c r="U443" s="46"/>
      <c r="V443" s="46"/>
      <c r="W443" s="46"/>
      <c r="X443" s="46"/>
      <c r="Y443" s="46"/>
      <c r="Z443" s="46"/>
      <c r="AA443" s="46"/>
      <c r="AB443" s="46"/>
      <c r="AC443" s="46"/>
      <c r="AD443" s="46"/>
      <c r="AE443" s="46"/>
      <c r="AF443" s="46"/>
      <c r="AG443" s="127"/>
      <c r="AH443" s="127"/>
      <c r="AI443" s="127"/>
      <c r="AJ443" s="127"/>
      <c r="AK443" s="46"/>
      <c r="AL443" s="46"/>
      <c r="AM443" s="46"/>
      <c r="AN443" s="46"/>
      <c r="AO443" s="46"/>
    </row>
    <row r="444">
      <c r="A444" s="17"/>
      <c r="B444" s="46"/>
      <c r="C444" s="46"/>
      <c r="D444" s="46"/>
      <c r="E444" s="17"/>
      <c r="F444" s="46"/>
      <c r="G444" s="46"/>
      <c r="H444" s="46"/>
      <c r="I444" s="17"/>
      <c r="J444" s="46"/>
      <c r="K444" s="46"/>
      <c r="L444" s="46"/>
      <c r="M444" s="17"/>
      <c r="N444" s="46"/>
      <c r="O444" s="46"/>
      <c r="P444" s="46"/>
      <c r="Q444" s="46"/>
      <c r="R444" s="46"/>
      <c r="S444" s="46"/>
      <c r="T444" s="46"/>
      <c r="U444" s="46"/>
      <c r="V444" s="46"/>
      <c r="W444" s="46"/>
      <c r="X444" s="46"/>
      <c r="Y444" s="46"/>
      <c r="Z444" s="46"/>
      <c r="AA444" s="46"/>
      <c r="AB444" s="46"/>
      <c r="AC444" s="46"/>
      <c r="AD444" s="46"/>
      <c r="AE444" s="46"/>
      <c r="AF444" s="46"/>
      <c r="AG444" s="127"/>
      <c r="AH444" s="127"/>
      <c r="AI444" s="127"/>
      <c r="AJ444" s="127"/>
      <c r="AK444" s="46"/>
      <c r="AL444" s="46"/>
      <c r="AM444" s="46"/>
      <c r="AN444" s="46"/>
      <c r="AO444" s="46"/>
    </row>
    <row r="445">
      <c r="A445" s="17"/>
      <c r="B445" s="46"/>
      <c r="C445" s="46"/>
      <c r="D445" s="46"/>
      <c r="E445" s="17"/>
      <c r="F445" s="46"/>
      <c r="G445" s="46"/>
      <c r="H445" s="46"/>
      <c r="I445" s="17"/>
      <c r="J445" s="46"/>
      <c r="K445" s="46"/>
      <c r="L445" s="46"/>
      <c r="M445" s="17"/>
      <c r="N445" s="46"/>
      <c r="O445" s="46"/>
      <c r="P445" s="46"/>
      <c r="Q445" s="46"/>
      <c r="R445" s="46"/>
      <c r="S445" s="46"/>
      <c r="T445" s="46"/>
      <c r="U445" s="46"/>
      <c r="V445" s="46"/>
      <c r="W445" s="46"/>
      <c r="X445" s="46"/>
      <c r="Y445" s="46"/>
      <c r="Z445" s="46"/>
      <c r="AA445" s="46"/>
      <c r="AB445" s="46"/>
      <c r="AC445" s="46"/>
      <c r="AD445" s="46"/>
      <c r="AE445" s="46"/>
      <c r="AF445" s="46"/>
      <c r="AG445" s="127"/>
      <c r="AH445" s="127"/>
      <c r="AI445" s="127"/>
      <c r="AJ445" s="127"/>
      <c r="AK445" s="46"/>
      <c r="AL445" s="46"/>
      <c r="AM445" s="46"/>
      <c r="AN445" s="46"/>
      <c r="AO445" s="46"/>
    </row>
    <row r="446">
      <c r="A446" s="17"/>
      <c r="B446" s="46"/>
      <c r="C446" s="46"/>
      <c r="D446" s="46"/>
      <c r="E446" s="17"/>
      <c r="F446" s="46"/>
      <c r="G446" s="46"/>
      <c r="H446" s="46"/>
      <c r="I446" s="17"/>
      <c r="J446" s="46"/>
      <c r="K446" s="46"/>
      <c r="L446" s="46"/>
      <c r="M446" s="17"/>
      <c r="N446" s="46"/>
      <c r="O446" s="46"/>
      <c r="P446" s="46"/>
      <c r="Q446" s="46"/>
      <c r="R446" s="46"/>
      <c r="S446" s="46"/>
      <c r="T446" s="46"/>
      <c r="U446" s="46"/>
      <c r="V446" s="46"/>
      <c r="W446" s="46"/>
      <c r="X446" s="46"/>
      <c r="Y446" s="46"/>
      <c r="Z446" s="46"/>
      <c r="AA446" s="46"/>
      <c r="AB446" s="46"/>
      <c r="AC446" s="46"/>
      <c r="AD446" s="46"/>
      <c r="AE446" s="46"/>
      <c r="AF446" s="46"/>
      <c r="AG446" s="127"/>
      <c r="AH446" s="127"/>
      <c r="AI446" s="127"/>
      <c r="AJ446" s="127"/>
      <c r="AK446" s="46"/>
      <c r="AL446" s="46"/>
      <c r="AM446" s="46"/>
      <c r="AN446" s="46"/>
      <c r="AO446" s="46"/>
    </row>
    <row r="447">
      <c r="A447" s="17"/>
      <c r="B447" s="46"/>
      <c r="C447" s="46"/>
      <c r="D447" s="46"/>
      <c r="E447" s="17"/>
      <c r="F447" s="46"/>
      <c r="G447" s="46"/>
      <c r="H447" s="46"/>
      <c r="I447" s="17"/>
      <c r="J447" s="46"/>
      <c r="K447" s="46"/>
      <c r="L447" s="46"/>
      <c r="M447" s="17"/>
      <c r="N447" s="46"/>
      <c r="O447" s="46"/>
      <c r="P447" s="46"/>
      <c r="Q447" s="46"/>
      <c r="R447" s="46"/>
      <c r="S447" s="46"/>
      <c r="T447" s="46"/>
      <c r="U447" s="46"/>
      <c r="V447" s="46"/>
      <c r="W447" s="46"/>
      <c r="X447" s="46"/>
      <c r="Y447" s="46"/>
      <c r="Z447" s="46"/>
      <c r="AA447" s="46"/>
      <c r="AB447" s="46"/>
      <c r="AC447" s="46"/>
      <c r="AD447" s="46"/>
      <c r="AE447" s="46"/>
      <c r="AF447" s="46"/>
      <c r="AG447" s="127"/>
      <c r="AH447" s="127"/>
      <c r="AI447" s="127"/>
      <c r="AJ447" s="127"/>
      <c r="AK447" s="46"/>
      <c r="AL447" s="46"/>
      <c r="AM447" s="46"/>
      <c r="AN447" s="46"/>
      <c r="AO447" s="46"/>
    </row>
    <row r="448">
      <c r="A448" s="17"/>
      <c r="B448" s="46"/>
      <c r="C448" s="46"/>
      <c r="D448" s="46"/>
      <c r="E448" s="17"/>
      <c r="F448" s="46"/>
      <c r="G448" s="46"/>
      <c r="H448" s="46"/>
      <c r="I448" s="17"/>
      <c r="J448" s="46"/>
      <c r="K448" s="46"/>
      <c r="L448" s="46"/>
      <c r="M448" s="17"/>
      <c r="N448" s="46"/>
      <c r="O448" s="46"/>
      <c r="P448" s="46"/>
      <c r="Q448" s="46"/>
      <c r="R448" s="46"/>
      <c r="S448" s="46"/>
      <c r="T448" s="46"/>
      <c r="U448" s="46"/>
      <c r="V448" s="46"/>
      <c r="W448" s="46"/>
      <c r="X448" s="46"/>
      <c r="Y448" s="46"/>
      <c r="Z448" s="46"/>
      <c r="AA448" s="46"/>
      <c r="AB448" s="46"/>
      <c r="AC448" s="46"/>
      <c r="AD448" s="46"/>
      <c r="AE448" s="46"/>
      <c r="AF448" s="46"/>
      <c r="AG448" s="127"/>
      <c r="AH448" s="127"/>
      <c r="AI448" s="127"/>
      <c r="AJ448" s="127"/>
      <c r="AK448" s="46"/>
      <c r="AL448" s="46"/>
      <c r="AM448" s="46"/>
      <c r="AN448" s="46"/>
      <c r="AO448" s="46"/>
    </row>
    <row r="449">
      <c r="A449" s="17"/>
      <c r="B449" s="46"/>
      <c r="C449" s="46"/>
      <c r="D449" s="46"/>
      <c r="E449" s="17"/>
      <c r="F449" s="46"/>
      <c r="G449" s="46"/>
      <c r="H449" s="46"/>
      <c r="I449" s="17"/>
      <c r="J449" s="46"/>
      <c r="K449" s="46"/>
      <c r="L449" s="46"/>
      <c r="M449" s="17"/>
      <c r="N449" s="46"/>
      <c r="O449" s="46"/>
      <c r="P449" s="46"/>
      <c r="Q449" s="46"/>
      <c r="R449" s="46"/>
      <c r="S449" s="46"/>
      <c r="T449" s="46"/>
      <c r="U449" s="46"/>
      <c r="V449" s="46"/>
      <c r="W449" s="46"/>
      <c r="X449" s="46"/>
      <c r="Y449" s="46"/>
      <c r="Z449" s="46"/>
      <c r="AA449" s="46"/>
      <c r="AB449" s="46"/>
      <c r="AC449" s="46"/>
      <c r="AD449" s="46"/>
      <c r="AE449" s="46"/>
      <c r="AF449" s="46"/>
      <c r="AG449" s="127"/>
      <c r="AH449" s="127"/>
      <c r="AI449" s="127"/>
      <c r="AJ449" s="127"/>
      <c r="AK449" s="46"/>
      <c r="AL449" s="46"/>
      <c r="AM449" s="46"/>
      <c r="AN449" s="46"/>
      <c r="AO449" s="46"/>
    </row>
    <row r="450">
      <c r="A450" s="17"/>
      <c r="B450" s="46"/>
      <c r="C450" s="46"/>
      <c r="D450" s="46"/>
      <c r="E450" s="17"/>
      <c r="F450" s="46"/>
      <c r="G450" s="46"/>
      <c r="H450" s="46"/>
      <c r="I450" s="17"/>
      <c r="J450" s="46"/>
      <c r="K450" s="46"/>
      <c r="L450" s="46"/>
      <c r="M450" s="17"/>
      <c r="N450" s="46"/>
      <c r="O450" s="46"/>
      <c r="P450" s="46"/>
      <c r="Q450" s="46"/>
      <c r="R450" s="46"/>
      <c r="S450" s="46"/>
      <c r="T450" s="46"/>
      <c r="U450" s="46"/>
      <c r="V450" s="46"/>
      <c r="W450" s="46"/>
      <c r="X450" s="46"/>
      <c r="Y450" s="46"/>
      <c r="Z450" s="46"/>
      <c r="AA450" s="46"/>
      <c r="AB450" s="46"/>
      <c r="AC450" s="46"/>
      <c r="AD450" s="46"/>
      <c r="AE450" s="46"/>
      <c r="AF450" s="46"/>
      <c r="AG450" s="127"/>
      <c r="AH450" s="127"/>
      <c r="AI450" s="127"/>
      <c r="AJ450" s="127"/>
      <c r="AK450" s="46"/>
      <c r="AL450" s="46"/>
      <c r="AM450" s="46"/>
      <c r="AN450" s="46"/>
      <c r="AO450" s="46"/>
    </row>
    <row r="451">
      <c r="A451" s="17"/>
      <c r="B451" s="46"/>
      <c r="C451" s="46"/>
      <c r="D451" s="46"/>
      <c r="E451" s="17"/>
      <c r="F451" s="46"/>
      <c r="G451" s="46"/>
      <c r="H451" s="46"/>
      <c r="I451" s="17"/>
      <c r="J451" s="46"/>
      <c r="K451" s="46"/>
      <c r="L451" s="46"/>
      <c r="M451" s="17"/>
      <c r="N451" s="46"/>
      <c r="O451" s="46"/>
      <c r="P451" s="46"/>
      <c r="Q451" s="46"/>
      <c r="R451" s="46"/>
      <c r="S451" s="46"/>
      <c r="T451" s="46"/>
      <c r="U451" s="46"/>
      <c r="V451" s="46"/>
      <c r="W451" s="46"/>
      <c r="X451" s="46"/>
      <c r="Y451" s="46"/>
      <c r="Z451" s="46"/>
      <c r="AA451" s="46"/>
      <c r="AB451" s="46"/>
      <c r="AC451" s="46"/>
      <c r="AD451" s="46"/>
      <c r="AE451" s="46"/>
      <c r="AF451" s="46"/>
      <c r="AG451" s="127"/>
      <c r="AH451" s="127"/>
      <c r="AI451" s="127"/>
      <c r="AJ451" s="127"/>
      <c r="AK451" s="46"/>
      <c r="AL451" s="46"/>
      <c r="AM451" s="46"/>
      <c r="AN451" s="46"/>
      <c r="AO451" s="46"/>
    </row>
    <row r="452">
      <c r="A452" s="17"/>
      <c r="B452" s="46"/>
      <c r="C452" s="46"/>
      <c r="D452" s="46"/>
      <c r="E452" s="17"/>
      <c r="F452" s="46"/>
      <c r="G452" s="46"/>
      <c r="H452" s="46"/>
      <c r="I452" s="17"/>
      <c r="J452" s="46"/>
      <c r="K452" s="46"/>
      <c r="L452" s="46"/>
      <c r="M452" s="17"/>
      <c r="N452" s="46"/>
      <c r="O452" s="46"/>
      <c r="P452" s="46"/>
      <c r="Q452" s="46"/>
      <c r="R452" s="46"/>
      <c r="S452" s="46"/>
      <c r="T452" s="46"/>
      <c r="U452" s="46"/>
      <c r="V452" s="46"/>
      <c r="W452" s="46"/>
      <c r="X452" s="46"/>
      <c r="Y452" s="46"/>
      <c r="Z452" s="46"/>
      <c r="AA452" s="46"/>
      <c r="AB452" s="46"/>
      <c r="AC452" s="46"/>
      <c r="AD452" s="46"/>
      <c r="AE452" s="46"/>
      <c r="AF452" s="46"/>
      <c r="AG452" s="127"/>
      <c r="AH452" s="127"/>
      <c r="AI452" s="127"/>
      <c r="AJ452" s="127"/>
      <c r="AK452" s="46"/>
      <c r="AL452" s="46"/>
      <c r="AM452" s="46"/>
      <c r="AN452" s="46"/>
      <c r="AO452" s="46"/>
    </row>
    <row r="453">
      <c r="A453" s="17"/>
      <c r="B453" s="46"/>
      <c r="C453" s="46"/>
      <c r="D453" s="46"/>
      <c r="E453" s="17"/>
      <c r="F453" s="46"/>
      <c r="G453" s="46"/>
      <c r="H453" s="46"/>
      <c r="I453" s="17"/>
      <c r="J453" s="46"/>
      <c r="K453" s="46"/>
      <c r="L453" s="46"/>
      <c r="M453" s="17"/>
      <c r="N453" s="46"/>
      <c r="O453" s="46"/>
      <c r="P453" s="46"/>
      <c r="Q453" s="46"/>
      <c r="R453" s="46"/>
      <c r="S453" s="46"/>
      <c r="T453" s="46"/>
      <c r="U453" s="46"/>
      <c r="V453" s="46"/>
      <c r="W453" s="46"/>
      <c r="X453" s="46"/>
      <c r="Y453" s="46"/>
      <c r="Z453" s="46"/>
      <c r="AA453" s="46"/>
      <c r="AB453" s="46"/>
      <c r="AC453" s="46"/>
      <c r="AD453" s="46"/>
      <c r="AE453" s="46"/>
      <c r="AF453" s="46"/>
      <c r="AG453" s="127"/>
      <c r="AH453" s="127"/>
      <c r="AI453" s="127"/>
      <c r="AJ453" s="127"/>
      <c r="AK453" s="46"/>
      <c r="AL453" s="46"/>
      <c r="AM453" s="46"/>
      <c r="AN453" s="46"/>
      <c r="AO453" s="46"/>
    </row>
    <row r="454">
      <c r="A454" s="17"/>
      <c r="B454" s="46"/>
      <c r="C454" s="46"/>
      <c r="D454" s="46"/>
      <c r="E454" s="17"/>
      <c r="F454" s="46"/>
      <c r="G454" s="46"/>
      <c r="H454" s="46"/>
      <c r="I454" s="17"/>
      <c r="J454" s="46"/>
      <c r="K454" s="46"/>
      <c r="L454" s="46"/>
      <c r="M454" s="17"/>
      <c r="N454" s="46"/>
      <c r="O454" s="46"/>
      <c r="P454" s="46"/>
      <c r="Q454" s="46"/>
      <c r="R454" s="46"/>
      <c r="S454" s="46"/>
      <c r="T454" s="46"/>
      <c r="U454" s="46"/>
      <c r="V454" s="46"/>
      <c r="W454" s="46"/>
      <c r="X454" s="46"/>
      <c r="Y454" s="46"/>
      <c r="Z454" s="46"/>
      <c r="AA454" s="46"/>
      <c r="AB454" s="46"/>
      <c r="AC454" s="46"/>
      <c r="AD454" s="46"/>
      <c r="AE454" s="46"/>
      <c r="AF454" s="46"/>
      <c r="AG454" s="127"/>
      <c r="AH454" s="127"/>
      <c r="AI454" s="127"/>
      <c r="AJ454" s="127"/>
      <c r="AK454" s="46"/>
      <c r="AL454" s="46"/>
      <c r="AM454" s="46"/>
      <c r="AN454" s="46"/>
      <c r="AO454" s="46"/>
    </row>
    <row r="455">
      <c r="A455" s="17"/>
      <c r="B455" s="46"/>
      <c r="C455" s="46"/>
      <c r="D455" s="46"/>
      <c r="E455" s="17"/>
      <c r="F455" s="46"/>
      <c r="G455" s="46"/>
      <c r="H455" s="46"/>
      <c r="I455" s="17"/>
      <c r="J455" s="46"/>
      <c r="K455" s="46"/>
      <c r="L455" s="46"/>
      <c r="M455" s="17"/>
      <c r="N455" s="46"/>
      <c r="O455" s="46"/>
      <c r="P455" s="46"/>
      <c r="Q455" s="46"/>
      <c r="R455" s="46"/>
      <c r="S455" s="46"/>
      <c r="T455" s="46"/>
      <c r="U455" s="46"/>
      <c r="V455" s="46"/>
      <c r="W455" s="46"/>
      <c r="X455" s="46"/>
      <c r="Y455" s="46"/>
      <c r="Z455" s="46"/>
      <c r="AA455" s="46"/>
      <c r="AB455" s="46"/>
      <c r="AC455" s="46"/>
      <c r="AD455" s="46"/>
      <c r="AE455" s="46"/>
      <c r="AF455" s="46"/>
      <c r="AG455" s="127"/>
      <c r="AH455" s="127"/>
      <c r="AI455" s="127"/>
      <c r="AJ455" s="127"/>
      <c r="AK455" s="46"/>
      <c r="AL455" s="46"/>
      <c r="AM455" s="46"/>
      <c r="AN455" s="46"/>
      <c r="AO455" s="46"/>
    </row>
    <row r="456">
      <c r="A456" s="17"/>
      <c r="B456" s="46"/>
      <c r="C456" s="46"/>
      <c r="D456" s="46"/>
      <c r="E456" s="17"/>
      <c r="F456" s="46"/>
      <c r="G456" s="46"/>
      <c r="H456" s="46"/>
      <c r="I456" s="17"/>
      <c r="J456" s="46"/>
      <c r="K456" s="46"/>
      <c r="L456" s="46"/>
      <c r="M456" s="17"/>
      <c r="N456" s="46"/>
      <c r="O456" s="46"/>
      <c r="P456" s="46"/>
      <c r="Q456" s="46"/>
      <c r="R456" s="46"/>
      <c r="S456" s="46"/>
      <c r="T456" s="46"/>
      <c r="U456" s="46"/>
      <c r="V456" s="46"/>
      <c r="W456" s="46"/>
      <c r="X456" s="46"/>
      <c r="Y456" s="46"/>
      <c r="Z456" s="46"/>
      <c r="AA456" s="46"/>
      <c r="AB456" s="46"/>
      <c r="AC456" s="46"/>
      <c r="AD456" s="46"/>
      <c r="AE456" s="46"/>
      <c r="AF456" s="46"/>
      <c r="AG456" s="127"/>
      <c r="AH456" s="127"/>
      <c r="AI456" s="127"/>
      <c r="AJ456" s="127"/>
      <c r="AK456" s="46"/>
      <c r="AL456" s="46"/>
      <c r="AM456" s="46"/>
      <c r="AN456" s="46"/>
      <c r="AO456" s="46"/>
    </row>
    <row r="457">
      <c r="A457" s="17"/>
      <c r="B457" s="46"/>
      <c r="C457" s="46"/>
      <c r="D457" s="46"/>
      <c r="E457" s="17"/>
      <c r="F457" s="46"/>
      <c r="G457" s="46"/>
      <c r="H457" s="46"/>
      <c r="I457" s="17"/>
      <c r="J457" s="46"/>
      <c r="K457" s="46"/>
      <c r="L457" s="46"/>
      <c r="M457" s="17"/>
      <c r="N457" s="46"/>
      <c r="O457" s="46"/>
      <c r="P457" s="46"/>
      <c r="Q457" s="46"/>
      <c r="R457" s="46"/>
      <c r="S457" s="46"/>
      <c r="T457" s="46"/>
      <c r="U457" s="46"/>
      <c r="V457" s="46"/>
      <c r="W457" s="46"/>
      <c r="X457" s="46"/>
      <c r="Y457" s="46"/>
      <c r="Z457" s="46"/>
      <c r="AA457" s="46"/>
      <c r="AB457" s="46"/>
      <c r="AC457" s="46"/>
      <c r="AD457" s="46"/>
      <c r="AE457" s="46"/>
      <c r="AF457" s="46"/>
      <c r="AG457" s="127"/>
      <c r="AH457" s="127"/>
      <c r="AI457" s="127"/>
      <c r="AJ457" s="127"/>
      <c r="AK457" s="46"/>
      <c r="AL457" s="46"/>
      <c r="AM457" s="46"/>
      <c r="AN457" s="46"/>
      <c r="AO457" s="46"/>
    </row>
    <row r="458">
      <c r="A458" s="17"/>
      <c r="B458" s="46"/>
      <c r="C458" s="46"/>
      <c r="D458" s="46"/>
      <c r="E458" s="17"/>
      <c r="F458" s="46"/>
      <c r="G458" s="46"/>
      <c r="H458" s="46"/>
      <c r="I458" s="17"/>
      <c r="J458" s="46"/>
      <c r="K458" s="46"/>
      <c r="L458" s="46"/>
      <c r="M458" s="17"/>
      <c r="N458" s="46"/>
      <c r="O458" s="46"/>
      <c r="P458" s="46"/>
      <c r="Q458" s="46"/>
      <c r="R458" s="46"/>
      <c r="S458" s="46"/>
      <c r="T458" s="46"/>
      <c r="U458" s="46"/>
      <c r="V458" s="46"/>
      <c r="W458" s="46"/>
      <c r="X458" s="46"/>
      <c r="Y458" s="46"/>
      <c r="Z458" s="46"/>
      <c r="AA458" s="46"/>
      <c r="AB458" s="46"/>
      <c r="AC458" s="46"/>
      <c r="AD458" s="46"/>
      <c r="AE458" s="46"/>
      <c r="AF458" s="46"/>
      <c r="AG458" s="127"/>
      <c r="AH458" s="127"/>
      <c r="AI458" s="127"/>
      <c r="AJ458" s="127"/>
      <c r="AK458" s="46"/>
      <c r="AL458" s="46"/>
      <c r="AM458" s="46"/>
      <c r="AN458" s="46"/>
      <c r="AO458" s="46"/>
    </row>
    <row r="459">
      <c r="A459" s="17"/>
      <c r="B459" s="46"/>
      <c r="C459" s="46"/>
      <c r="D459" s="46"/>
      <c r="E459" s="17"/>
      <c r="F459" s="46"/>
      <c r="G459" s="46"/>
      <c r="H459" s="46"/>
      <c r="I459" s="17"/>
      <c r="J459" s="46"/>
      <c r="K459" s="46"/>
      <c r="L459" s="46"/>
      <c r="M459" s="17"/>
      <c r="N459" s="46"/>
      <c r="O459" s="46"/>
      <c r="P459" s="46"/>
      <c r="Q459" s="46"/>
      <c r="R459" s="46"/>
      <c r="S459" s="46"/>
      <c r="T459" s="46"/>
      <c r="U459" s="46"/>
      <c r="V459" s="46"/>
      <c r="W459" s="46"/>
      <c r="X459" s="46"/>
      <c r="Y459" s="46"/>
      <c r="Z459" s="46"/>
      <c r="AA459" s="46"/>
      <c r="AB459" s="46"/>
      <c r="AC459" s="46"/>
      <c r="AD459" s="46"/>
      <c r="AE459" s="46"/>
      <c r="AF459" s="46"/>
      <c r="AG459" s="127"/>
      <c r="AH459" s="127"/>
      <c r="AI459" s="127"/>
      <c r="AJ459" s="127"/>
      <c r="AK459" s="46"/>
      <c r="AL459" s="46"/>
      <c r="AM459" s="46"/>
      <c r="AN459" s="46"/>
      <c r="AO459" s="46"/>
    </row>
    <row r="460">
      <c r="A460" s="17"/>
      <c r="B460" s="46"/>
      <c r="C460" s="46"/>
      <c r="D460" s="46"/>
      <c r="E460" s="17"/>
      <c r="F460" s="46"/>
      <c r="G460" s="46"/>
      <c r="H460" s="46"/>
      <c r="I460" s="17"/>
      <c r="J460" s="46"/>
      <c r="K460" s="46"/>
      <c r="L460" s="46"/>
      <c r="M460" s="17"/>
      <c r="N460" s="46"/>
      <c r="O460" s="46"/>
      <c r="P460" s="46"/>
      <c r="Q460" s="46"/>
      <c r="R460" s="46"/>
      <c r="S460" s="46"/>
      <c r="T460" s="46"/>
      <c r="U460" s="46"/>
      <c r="V460" s="46"/>
      <c r="W460" s="46"/>
      <c r="X460" s="46"/>
      <c r="Y460" s="46"/>
      <c r="Z460" s="46"/>
      <c r="AA460" s="46"/>
      <c r="AB460" s="46"/>
      <c r="AC460" s="46"/>
      <c r="AD460" s="46"/>
      <c r="AE460" s="46"/>
      <c r="AF460" s="46"/>
      <c r="AG460" s="127"/>
      <c r="AH460" s="127"/>
      <c r="AI460" s="127"/>
      <c r="AJ460" s="127"/>
      <c r="AK460" s="46"/>
      <c r="AL460" s="46"/>
      <c r="AM460" s="46"/>
      <c r="AN460" s="46"/>
      <c r="AO460" s="46"/>
    </row>
    <row r="461">
      <c r="A461" s="17"/>
      <c r="B461" s="46"/>
      <c r="C461" s="46"/>
      <c r="D461" s="46"/>
      <c r="E461" s="17"/>
      <c r="F461" s="46"/>
      <c r="G461" s="46"/>
      <c r="H461" s="46"/>
      <c r="I461" s="17"/>
      <c r="J461" s="46"/>
      <c r="K461" s="46"/>
      <c r="L461" s="46"/>
      <c r="M461" s="17"/>
      <c r="N461" s="46"/>
      <c r="O461" s="46"/>
      <c r="P461" s="46"/>
      <c r="Q461" s="46"/>
      <c r="R461" s="46"/>
      <c r="S461" s="46"/>
      <c r="T461" s="46"/>
      <c r="U461" s="46"/>
      <c r="V461" s="46"/>
      <c r="W461" s="46"/>
      <c r="X461" s="46"/>
      <c r="Y461" s="46"/>
      <c r="Z461" s="46"/>
      <c r="AA461" s="46"/>
      <c r="AB461" s="46"/>
      <c r="AC461" s="46"/>
      <c r="AD461" s="46"/>
      <c r="AE461" s="46"/>
      <c r="AF461" s="46"/>
      <c r="AG461" s="127"/>
      <c r="AH461" s="127"/>
      <c r="AI461" s="127"/>
      <c r="AJ461" s="127"/>
      <c r="AK461" s="46"/>
      <c r="AL461" s="46"/>
      <c r="AM461" s="46"/>
      <c r="AN461" s="46"/>
      <c r="AO461" s="46"/>
    </row>
    <row r="462">
      <c r="A462" s="17"/>
      <c r="B462" s="46"/>
      <c r="C462" s="46"/>
      <c r="D462" s="46"/>
      <c r="E462" s="17"/>
      <c r="F462" s="46"/>
      <c r="G462" s="46"/>
      <c r="H462" s="46"/>
      <c r="I462" s="17"/>
      <c r="J462" s="46"/>
      <c r="K462" s="46"/>
      <c r="L462" s="46"/>
      <c r="M462" s="17"/>
      <c r="N462" s="46"/>
      <c r="O462" s="46"/>
      <c r="P462" s="46"/>
      <c r="Q462" s="46"/>
      <c r="R462" s="46"/>
      <c r="S462" s="46"/>
      <c r="T462" s="46"/>
      <c r="U462" s="46"/>
      <c r="V462" s="46"/>
      <c r="W462" s="46"/>
      <c r="X462" s="46"/>
      <c r="Y462" s="46"/>
      <c r="Z462" s="46"/>
      <c r="AA462" s="46"/>
      <c r="AB462" s="46"/>
      <c r="AC462" s="46"/>
      <c r="AD462" s="46"/>
      <c r="AE462" s="46"/>
      <c r="AF462" s="46"/>
      <c r="AG462" s="127"/>
      <c r="AH462" s="127"/>
      <c r="AI462" s="127"/>
      <c r="AJ462" s="127"/>
      <c r="AK462" s="46"/>
      <c r="AL462" s="46"/>
      <c r="AM462" s="46"/>
      <c r="AN462" s="46"/>
      <c r="AO462" s="46"/>
    </row>
    <row r="463">
      <c r="A463" s="17"/>
      <c r="B463" s="46"/>
      <c r="C463" s="46"/>
      <c r="D463" s="46"/>
      <c r="E463" s="17"/>
      <c r="F463" s="46"/>
      <c r="G463" s="46"/>
      <c r="H463" s="46"/>
      <c r="I463" s="17"/>
      <c r="J463" s="46"/>
      <c r="K463" s="46"/>
      <c r="L463" s="46"/>
      <c r="M463" s="17"/>
      <c r="N463" s="46"/>
      <c r="O463" s="46"/>
      <c r="P463" s="46"/>
      <c r="Q463" s="46"/>
      <c r="R463" s="46"/>
      <c r="S463" s="46"/>
      <c r="T463" s="46"/>
      <c r="U463" s="46"/>
      <c r="V463" s="46"/>
      <c r="W463" s="46"/>
      <c r="X463" s="46"/>
      <c r="Y463" s="46"/>
      <c r="Z463" s="46"/>
      <c r="AA463" s="46"/>
      <c r="AB463" s="46"/>
      <c r="AC463" s="46"/>
      <c r="AD463" s="46"/>
      <c r="AE463" s="46"/>
      <c r="AF463" s="46"/>
      <c r="AG463" s="127"/>
      <c r="AH463" s="127"/>
      <c r="AI463" s="127"/>
      <c r="AJ463" s="127"/>
      <c r="AK463" s="46"/>
      <c r="AL463" s="46"/>
      <c r="AM463" s="46"/>
      <c r="AN463" s="46"/>
      <c r="AO463" s="46"/>
    </row>
    <row r="464">
      <c r="A464" s="17"/>
      <c r="B464" s="46"/>
      <c r="C464" s="46"/>
      <c r="D464" s="46"/>
      <c r="E464" s="17"/>
      <c r="F464" s="46"/>
      <c r="G464" s="46"/>
      <c r="H464" s="46"/>
      <c r="I464" s="17"/>
      <c r="J464" s="46"/>
      <c r="K464" s="46"/>
      <c r="L464" s="46"/>
      <c r="M464" s="17"/>
      <c r="N464" s="46"/>
      <c r="O464" s="46"/>
      <c r="P464" s="46"/>
      <c r="Q464" s="46"/>
      <c r="R464" s="46"/>
      <c r="S464" s="46"/>
      <c r="T464" s="46"/>
      <c r="U464" s="46"/>
      <c r="V464" s="46"/>
      <c r="W464" s="46"/>
      <c r="X464" s="46"/>
      <c r="Y464" s="46"/>
      <c r="Z464" s="46"/>
      <c r="AA464" s="46"/>
      <c r="AB464" s="46"/>
      <c r="AC464" s="46"/>
      <c r="AD464" s="46"/>
      <c r="AE464" s="46"/>
      <c r="AF464" s="46"/>
      <c r="AG464" s="127"/>
      <c r="AH464" s="127"/>
      <c r="AI464" s="127"/>
      <c r="AJ464" s="127"/>
      <c r="AK464" s="46"/>
      <c r="AL464" s="46"/>
      <c r="AM464" s="46"/>
      <c r="AN464" s="46"/>
      <c r="AO464" s="46"/>
    </row>
    <row r="465">
      <c r="A465" s="17"/>
      <c r="B465" s="46"/>
      <c r="C465" s="46"/>
      <c r="D465" s="46"/>
      <c r="E465" s="17"/>
      <c r="F465" s="46"/>
      <c r="G465" s="46"/>
      <c r="H465" s="46"/>
      <c r="I465" s="17"/>
      <c r="J465" s="46"/>
      <c r="K465" s="46"/>
      <c r="L465" s="46"/>
      <c r="M465" s="17"/>
      <c r="N465" s="46"/>
      <c r="O465" s="46"/>
      <c r="P465" s="46"/>
      <c r="Q465" s="46"/>
      <c r="R465" s="46"/>
      <c r="S465" s="46"/>
      <c r="T465" s="46"/>
      <c r="U465" s="46"/>
      <c r="V465" s="46"/>
      <c r="W465" s="46"/>
      <c r="X465" s="46"/>
      <c r="Y465" s="46"/>
      <c r="Z465" s="46"/>
      <c r="AA465" s="46"/>
      <c r="AB465" s="46"/>
      <c r="AC465" s="46"/>
      <c r="AD465" s="46"/>
      <c r="AE465" s="46"/>
      <c r="AF465" s="46"/>
      <c r="AG465" s="127"/>
      <c r="AH465" s="127"/>
      <c r="AI465" s="127"/>
      <c r="AJ465" s="127"/>
      <c r="AK465" s="46"/>
      <c r="AL465" s="46"/>
      <c r="AM465" s="46"/>
      <c r="AN465" s="46"/>
      <c r="AO465" s="46"/>
    </row>
    <row r="466">
      <c r="A466" s="17"/>
      <c r="B466" s="46"/>
      <c r="C466" s="46"/>
      <c r="D466" s="46"/>
      <c r="E466" s="17"/>
      <c r="F466" s="46"/>
      <c r="G466" s="46"/>
      <c r="H466" s="46"/>
      <c r="I466" s="17"/>
      <c r="J466" s="46"/>
      <c r="K466" s="46"/>
      <c r="L466" s="46"/>
      <c r="M466" s="17"/>
      <c r="N466" s="46"/>
      <c r="O466" s="46"/>
      <c r="P466" s="46"/>
      <c r="Q466" s="46"/>
      <c r="R466" s="46"/>
      <c r="S466" s="46"/>
      <c r="T466" s="46"/>
      <c r="U466" s="46"/>
      <c r="V466" s="46"/>
      <c r="W466" s="46"/>
      <c r="X466" s="46"/>
      <c r="Y466" s="46"/>
      <c r="Z466" s="46"/>
      <c r="AA466" s="46"/>
      <c r="AB466" s="46"/>
      <c r="AC466" s="46"/>
      <c r="AD466" s="46"/>
      <c r="AE466" s="46"/>
      <c r="AF466" s="46"/>
      <c r="AG466" s="127"/>
      <c r="AH466" s="127"/>
      <c r="AI466" s="127"/>
      <c r="AJ466" s="127"/>
      <c r="AK466" s="46"/>
      <c r="AL466" s="46"/>
      <c r="AM466" s="46"/>
      <c r="AN466" s="46"/>
      <c r="AO466" s="46"/>
    </row>
    <row r="467">
      <c r="A467" s="17"/>
      <c r="B467" s="46"/>
      <c r="C467" s="46"/>
      <c r="D467" s="46"/>
      <c r="E467" s="17"/>
      <c r="F467" s="46"/>
      <c r="G467" s="46"/>
      <c r="H467" s="46"/>
      <c r="I467" s="17"/>
      <c r="J467" s="46"/>
      <c r="K467" s="46"/>
      <c r="L467" s="46"/>
      <c r="M467" s="17"/>
      <c r="N467" s="46"/>
      <c r="O467" s="46"/>
      <c r="P467" s="46"/>
      <c r="Q467" s="46"/>
      <c r="R467" s="46"/>
      <c r="S467" s="46"/>
      <c r="T467" s="46"/>
      <c r="U467" s="46"/>
      <c r="V467" s="46"/>
      <c r="W467" s="46"/>
      <c r="X467" s="46"/>
      <c r="Y467" s="46"/>
      <c r="Z467" s="46"/>
      <c r="AA467" s="46"/>
      <c r="AB467" s="46"/>
      <c r="AC467" s="46"/>
      <c r="AD467" s="46"/>
      <c r="AE467" s="46"/>
      <c r="AF467" s="46"/>
      <c r="AG467" s="127"/>
      <c r="AH467" s="127"/>
      <c r="AI467" s="127"/>
      <c r="AJ467" s="127"/>
      <c r="AK467" s="46"/>
      <c r="AL467" s="46"/>
      <c r="AM467" s="46"/>
      <c r="AN467" s="46"/>
      <c r="AO467" s="46"/>
    </row>
    <row r="468">
      <c r="A468" s="17"/>
      <c r="B468" s="46"/>
      <c r="C468" s="46"/>
      <c r="D468" s="46"/>
      <c r="E468" s="17"/>
      <c r="F468" s="46"/>
      <c r="G468" s="46"/>
      <c r="H468" s="46"/>
      <c r="I468" s="17"/>
      <c r="J468" s="46"/>
      <c r="K468" s="46"/>
      <c r="L468" s="46"/>
      <c r="M468" s="17"/>
      <c r="N468" s="46"/>
      <c r="O468" s="46"/>
      <c r="P468" s="46"/>
      <c r="Q468" s="46"/>
      <c r="R468" s="46"/>
      <c r="S468" s="46"/>
      <c r="T468" s="46"/>
      <c r="U468" s="46"/>
      <c r="V468" s="46"/>
      <c r="W468" s="46"/>
      <c r="X468" s="46"/>
      <c r="Y468" s="46"/>
      <c r="Z468" s="46"/>
      <c r="AA468" s="46"/>
      <c r="AB468" s="46"/>
      <c r="AC468" s="46"/>
      <c r="AD468" s="46"/>
      <c r="AE468" s="46"/>
      <c r="AF468" s="46"/>
      <c r="AG468" s="127"/>
      <c r="AH468" s="127"/>
      <c r="AI468" s="127"/>
      <c r="AJ468" s="127"/>
      <c r="AK468" s="46"/>
      <c r="AL468" s="46"/>
      <c r="AM468" s="46"/>
      <c r="AN468" s="46"/>
      <c r="AO468" s="46"/>
    </row>
    <row r="469">
      <c r="A469" s="17"/>
      <c r="B469" s="46"/>
      <c r="C469" s="46"/>
      <c r="D469" s="46"/>
      <c r="E469" s="17"/>
      <c r="F469" s="46"/>
      <c r="G469" s="46"/>
      <c r="H469" s="46"/>
      <c r="I469" s="17"/>
      <c r="J469" s="46"/>
      <c r="K469" s="46"/>
      <c r="L469" s="46"/>
      <c r="M469" s="17"/>
      <c r="N469" s="46"/>
      <c r="O469" s="46"/>
      <c r="P469" s="46"/>
      <c r="Q469" s="46"/>
      <c r="R469" s="46"/>
      <c r="S469" s="46"/>
      <c r="T469" s="46"/>
      <c r="U469" s="46"/>
      <c r="V469" s="46"/>
      <c r="W469" s="46"/>
      <c r="X469" s="46"/>
      <c r="Y469" s="46"/>
      <c r="Z469" s="46"/>
      <c r="AA469" s="46"/>
      <c r="AB469" s="46"/>
      <c r="AC469" s="46"/>
      <c r="AD469" s="46"/>
      <c r="AE469" s="46"/>
      <c r="AF469" s="46"/>
      <c r="AG469" s="127"/>
      <c r="AH469" s="127"/>
      <c r="AI469" s="127"/>
      <c r="AJ469" s="127"/>
      <c r="AK469" s="46"/>
      <c r="AL469" s="46"/>
      <c r="AM469" s="46"/>
      <c r="AN469" s="46"/>
      <c r="AO469" s="46"/>
    </row>
    <row r="470">
      <c r="A470" s="17"/>
      <c r="B470" s="46"/>
      <c r="C470" s="46"/>
      <c r="D470" s="46"/>
      <c r="E470" s="17"/>
      <c r="F470" s="46"/>
      <c r="G470" s="46"/>
      <c r="H470" s="46"/>
      <c r="I470" s="17"/>
      <c r="J470" s="46"/>
      <c r="K470" s="46"/>
      <c r="L470" s="46"/>
      <c r="M470" s="17"/>
      <c r="N470" s="46"/>
      <c r="O470" s="46"/>
      <c r="P470" s="46"/>
      <c r="Q470" s="46"/>
      <c r="R470" s="46"/>
      <c r="S470" s="46"/>
      <c r="T470" s="46"/>
      <c r="U470" s="46"/>
      <c r="V470" s="46"/>
      <c r="W470" s="46"/>
      <c r="X470" s="46"/>
      <c r="Y470" s="46"/>
      <c r="Z470" s="46"/>
      <c r="AA470" s="46"/>
      <c r="AB470" s="46"/>
      <c r="AC470" s="46"/>
      <c r="AD470" s="46"/>
      <c r="AE470" s="46"/>
      <c r="AF470" s="46"/>
      <c r="AG470" s="127"/>
      <c r="AH470" s="127"/>
      <c r="AI470" s="127"/>
      <c r="AJ470" s="127"/>
      <c r="AK470" s="46"/>
      <c r="AL470" s="46"/>
      <c r="AM470" s="46"/>
      <c r="AN470" s="46"/>
      <c r="AO470" s="46"/>
    </row>
    <row r="471">
      <c r="A471" s="17"/>
      <c r="B471" s="46"/>
      <c r="C471" s="46"/>
      <c r="D471" s="46"/>
      <c r="E471" s="17"/>
      <c r="F471" s="46"/>
      <c r="G471" s="46"/>
      <c r="H471" s="46"/>
      <c r="I471" s="17"/>
      <c r="J471" s="46"/>
      <c r="K471" s="46"/>
      <c r="L471" s="46"/>
      <c r="M471" s="17"/>
      <c r="N471" s="46"/>
      <c r="O471" s="46"/>
      <c r="P471" s="46"/>
      <c r="Q471" s="46"/>
      <c r="R471" s="46"/>
      <c r="S471" s="46"/>
      <c r="T471" s="46"/>
      <c r="U471" s="46"/>
      <c r="V471" s="46"/>
      <c r="W471" s="46"/>
      <c r="X471" s="46"/>
      <c r="Y471" s="46"/>
      <c r="Z471" s="46"/>
      <c r="AA471" s="46"/>
      <c r="AB471" s="46"/>
      <c r="AC471" s="46"/>
      <c r="AD471" s="46"/>
      <c r="AE471" s="46"/>
      <c r="AF471" s="46"/>
      <c r="AG471" s="127"/>
      <c r="AH471" s="127"/>
      <c r="AI471" s="127"/>
      <c r="AJ471" s="127"/>
      <c r="AK471" s="46"/>
      <c r="AL471" s="46"/>
      <c r="AM471" s="46"/>
      <c r="AN471" s="46"/>
      <c r="AO471" s="46"/>
    </row>
    <row r="472">
      <c r="A472" s="17"/>
      <c r="B472" s="46"/>
      <c r="C472" s="46"/>
      <c r="D472" s="46"/>
      <c r="E472" s="17"/>
      <c r="F472" s="46"/>
      <c r="G472" s="46"/>
      <c r="H472" s="46"/>
      <c r="I472" s="17"/>
      <c r="J472" s="46"/>
      <c r="K472" s="46"/>
      <c r="L472" s="46"/>
      <c r="M472" s="17"/>
      <c r="N472" s="46"/>
      <c r="O472" s="46"/>
      <c r="P472" s="46"/>
      <c r="Q472" s="46"/>
      <c r="R472" s="46"/>
      <c r="S472" s="46"/>
      <c r="T472" s="46"/>
      <c r="U472" s="46"/>
      <c r="V472" s="46"/>
      <c r="W472" s="46"/>
      <c r="X472" s="46"/>
      <c r="Y472" s="46"/>
      <c r="Z472" s="46"/>
      <c r="AA472" s="46"/>
      <c r="AB472" s="46"/>
      <c r="AC472" s="46"/>
      <c r="AD472" s="46"/>
      <c r="AE472" s="46"/>
      <c r="AF472" s="46"/>
      <c r="AG472" s="127"/>
      <c r="AH472" s="127"/>
      <c r="AI472" s="127"/>
      <c r="AJ472" s="127"/>
      <c r="AK472" s="46"/>
      <c r="AL472" s="46"/>
      <c r="AM472" s="46"/>
      <c r="AN472" s="46"/>
      <c r="AO472" s="46"/>
    </row>
    <row r="473">
      <c r="A473" s="17"/>
      <c r="B473" s="46"/>
      <c r="C473" s="46"/>
      <c r="D473" s="46"/>
      <c r="E473" s="17"/>
      <c r="F473" s="46"/>
      <c r="G473" s="46"/>
      <c r="H473" s="46"/>
      <c r="I473" s="17"/>
      <c r="J473" s="46"/>
      <c r="K473" s="46"/>
      <c r="L473" s="46"/>
      <c r="M473" s="17"/>
      <c r="N473" s="46"/>
      <c r="O473" s="46"/>
      <c r="P473" s="46"/>
      <c r="Q473" s="46"/>
      <c r="R473" s="46"/>
      <c r="S473" s="46"/>
      <c r="T473" s="46"/>
      <c r="U473" s="46"/>
      <c r="V473" s="46"/>
      <c r="W473" s="46"/>
      <c r="X473" s="46"/>
      <c r="Y473" s="46"/>
      <c r="Z473" s="46"/>
      <c r="AA473" s="46"/>
      <c r="AB473" s="46"/>
      <c r="AC473" s="46"/>
      <c r="AD473" s="46"/>
      <c r="AE473" s="46"/>
      <c r="AF473" s="46"/>
      <c r="AG473" s="127"/>
      <c r="AH473" s="127"/>
      <c r="AI473" s="127"/>
      <c r="AJ473" s="127"/>
      <c r="AK473" s="46"/>
      <c r="AL473" s="46"/>
      <c r="AM473" s="46"/>
      <c r="AN473" s="46"/>
      <c r="AO473" s="46"/>
    </row>
    <row r="474">
      <c r="A474" s="17"/>
      <c r="B474" s="46"/>
      <c r="C474" s="46"/>
      <c r="D474" s="46"/>
      <c r="E474" s="17"/>
      <c r="F474" s="46"/>
      <c r="G474" s="46"/>
      <c r="H474" s="46"/>
      <c r="I474" s="17"/>
      <c r="J474" s="46"/>
      <c r="K474" s="46"/>
      <c r="L474" s="46"/>
      <c r="M474" s="17"/>
      <c r="N474" s="46"/>
      <c r="O474" s="46"/>
      <c r="P474" s="46"/>
      <c r="Q474" s="46"/>
      <c r="R474" s="46"/>
      <c r="S474" s="46"/>
      <c r="T474" s="46"/>
      <c r="U474" s="46"/>
      <c r="V474" s="46"/>
      <c r="W474" s="46"/>
      <c r="X474" s="46"/>
      <c r="Y474" s="46"/>
      <c r="Z474" s="46"/>
      <c r="AA474" s="46"/>
      <c r="AB474" s="46"/>
      <c r="AC474" s="46"/>
      <c r="AD474" s="46"/>
      <c r="AE474" s="46"/>
      <c r="AF474" s="46"/>
      <c r="AG474" s="127"/>
      <c r="AH474" s="127"/>
      <c r="AI474" s="127"/>
      <c r="AJ474" s="127"/>
      <c r="AK474" s="46"/>
      <c r="AL474" s="46"/>
      <c r="AM474" s="46"/>
      <c r="AN474" s="46"/>
      <c r="AO474" s="46"/>
    </row>
    <row r="475">
      <c r="A475" s="17"/>
      <c r="B475" s="46"/>
      <c r="C475" s="46"/>
      <c r="D475" s="46"/>
      <c r="E475" s="17"/>
      <c r="F475" s="46"/>
      <c r="G475" s="46"/>
      <c r="H475" s="46"/>
      <c r="I475" s="17"/>
      <c r="J475" s="46"/>
      <c r="K475" s="46"/>
      <c r="L475" s="46"/>
      <c r="M475" s="17"/>
      <c r="N475" s="46"/>
      <c r="O475" s="46"/>
      <c r="P475" s="46"/>
      <c r="Q475" s="46"/>
      <c r="R475" s="46"/>
      <c r="S475" s="46"/>
      <c r="T475" s="46"/>
      <c r="U475" s="46"/>
      <c r="V475" s="46"/>
      <c r="W475" s="46"/>
      <c r="X475" s="46"/>
      <c r="Y475" s="46"/>
      <c r="Z475" s="46"/>
      <c r="AA475" s="46"/>
      <c r="AB475" s="46"/>
      <c r="AC475" s="46"/>
      <c r="AD475" s="46"/>
      <c r="AE475" s="46"/>
      <c r="AF475" s="46"/>
      <c r="AG475" s="127"/>
      <c r="AH475" s="127"/>
      <c r="AI475" s="127"/>
      <c r="AJ475" s="127"/>
      <c r="AK475" s="46"/>
      <c r="AL475" s="46"/>
      <c r="AM475" s="46"/>
      <c r="AN475" s="46"/>
      <c r="AO475" s="46"/>
    </row>
    <row r="476">
      <c r="A476" s="17"/>
      <c r="B476" s="46"/>
      <c r="C476" s="46"/>
      <c r="D476" s="46"/>
      <c r="E476" s="17"/>
      <c r="F476" s="46"/>
      <c r="G476" s="46"/>
      <c r="H476" s="46"/>
      <c r="I476" s="17"/>
      <c r="J476" s="46"/>
      <c r="K476" s="46"/>
      <c r="L476" s="46"/>
      <c r="M476" s="17"/>
      <c r="N476" s="46"/>
      <c r="O476" s="46"/>
      <c r="P476" s="46"/>
      <c r="Q476" s="46"/>
      <c r="R476" s="46"/>
      <c r="S476" s="46"/>
      <c r="T476" s="46"/>
      <c r="U476" s="46"/>
      <c r="V476" s="46"/>
      <c r="W476" s="46"/>
      <c r="X476" s="46"/>
      <c r="Y476" s="46"/>
      <c r="Z476" s="46"/>
      <c r="AA476" s="46"/>
      <c r="AB476" s="46"/>
      <c r="AC476" s="46"/>
      <c r="AD476" s="46"/>
      <c r="AE476" s="46"/>
      <c r="AF476" s="46"/>
      <c r="AG476" s="127"/>
      <c r="AH476" s="127"/>
      <c r="AI476" s="127"/>
      <c r="AJ476" s="127"/>
      <c r="AK476" s="46"/>
      <c r="AL476" s="46"/>
      <c r="AM476" s="46"/>
      <c r="AN476" s="46"/>
      <c r="AO476" s="46"/>
    </row>
    <row r="477">
      <c r="A477" s="17"/>
      <c r="B477" s="46"/>
      <c r="C477" s="46"/>
      <c r="D477" s="46"/>
      <c r="E477" s="17"/>
      <c r="F477" s="46"/>
      <c r="G477" s="46"/>
      <c r="H477" s="46"/>
      <c r="I477" s="17"/>
      <c r="J477" s="46"/>
      <c r="K477" s="46"/>
      <c r="L477" s="46"/>
      <c r="M477" s="17"/>
      <c r="N477" s="46"/>
      <c r="O477" s="46"/>
      <c r="P477" s="46"/>
      <c r="Q477" s="46"/>
      <c r="R477" s="46"/>
      <c r="S477" s="46"/>
      <c r="T477" s="46"/>
      <c r="U477" s="46"/>
      <c r="V477" s="46"/>
      <c r="W477" s="46"/>
      <c r="X477" s="46"/>
      <c r="Y477" s="46"/>
      <c r="Z477" s="46"/>
      <c r="AA477" s="46"/>
      <c r="AB477" s="46"/>
      <c r="AC477" s="46"/>
      <c r="AD477" s="46"/>
      <c r="AE477" s="46"/>
      <c r="AF477" s="46"/>
      <c r="AG477" s="127"/>
      <c r="AH477" s="127"/>
      <c r="AI477" s="127"/>
      <c r="AJ477" s="127"/>
      <c r="AK477" s="46"/>
      <c r="AL477" s="46"/>
      <c r="AM477" s="46"/>
      <c r="AN477" s="46"/>
      <c r="AO477" s="46"/>
    </row>
    <row r="478">
      <c r="A478" s="17"/>
      <c r="B478" s="46"/>
      <c r="C478" s="46"/>
      <c r="D478" s="46"/>
      <c r="E478" s="17"/>
      <c r="F478" s="46"/>
      <c r="G478" s="46"/>
      <c r="H478" s="46"/>
      <c r="I478" s="17"/>
      <c r="J478" s="46"/>
      <c r="K478" s="46"/>
      <c r="L478" s="46"/>
      <c r="M478" s="17"/>
      <c r="N478" s="46"/>
      <c r="O478" s="46"/>
      <c r="P478" s="46"/>
      <c r="Q478" s="46"/>
      <c r="R478" s="46"/>
      <c r="S478" s="46"/>
      <c r="T478" s="46"/>
      <c r="U478" s="46"/>
      <c r="V478" s="46"/>
      <c r="W478" s="46"/>
      <c r="X478" s="46"/>
      <c r="Y478" s="46"/>
      <c r="Z478" s="46"/>
      <c r="AA478" s="46"/>
      <c r="AB478" s="46"/>
      <c r="AC478" s="46"/>
      <c r="AD478" s="46"/>
      <c r="AE478" s="46"/>
      <c r="AF478" s="46"/>
      <c r="AG478" s="127"/>
      <c r="AH478" s="127"/>
      <c r="AI478" s="127"/>
      <c r="AJ478" s="127"/>
      <c r="AK478" s="46"/>
      <c r="AL478" s="46"/>
      <c r="AM478" s="46"/>
      <c r="AN478" s="46"/>
      <c r="AO478" s="46"/>
    </row>
    <row r="479">
      <c r="A479" s="17"/>
      <c r="B479" s="46"/>
      <c r="C479" s="46"/>
      <c r="D479" s="46"/>
      <c r="E479" s="17"/>
      <c r="F479" s="46"/>
      <c r="G479" s="46"/>
      <c r="H479" s="46"/>
      <c r="I479" s="17"/>
      <c r="J479" s="46"/>
      <c r="K479" s="46"/>
      <c r="L479" s="46"/>
      <c r="M479" s="17"/>
      <c r="N479" s="46"/>
      <c r="O479" s="46"/>
      <c r="P479" s="46"/>
      <c r="Q479" s="46"/>
      <c r="R479" s="46"/>
      <c r="S479" s="46"/>
      <c r="T479" s="46"/>
      <c r="U479" s="46"/>
      <c r="V479" s="46"/>
      <c r="W479" s="46"/>
      <c r="X479" s="46"/>
      <c r="Y479" s="46"/>
      <c r="Z479" s="46"/>
      <c r="AA479" s="46"/>
      <c r="AB479" s="46"/>
      <c r="AC479" s="46"/>
      <c r="AD479" s="46"/>
      <c r="AE479" s="46"/>
      <c r="AF479" s="46"/>
      <c r="AG479" s="127"/>
      <c r="AH479" s="127"/>
      <c r="AI479" s="127"/>
      <c r="AJ479" s="127"/>
      <c r="AK479" s="46"/>
      <c r="AL479" s="46"/>
      <c r="AM479" s="46"/>
      <c r="AN479" s="46"/>
      <c r="AO479" s="46"/>
    </row>
    <row r="480">
      <c r="A480" s="17"/>
      <c r="B480" s="46"/>
      <c r="C480" s="46"/>
      <c r="D480" s="46"/>
      <c r="E480" s="17"/>
      <c r="F480" s="46"/>
      <c r="G480" s="46"/>
      <c r="H480" s="46"/>
      <c r="I480" s="17"/>
      <c r="J480" s="46"/>
      <c r="K480" s="46"/>
      <c r="L480" s="46"/>
      <c r="M480" s="17"/>
      <c r="N480" s="46"/>
      <c r="O480" s="46"/>
      <c r="P480" s="46"/>
      <c r="Q480" s="46"/>
      <c r="R480" s="46"/>
      <c r="S480" s="46"/>
      <c r="T480" s="46"/>
      <c r="U480" s="46"/>
      <c r="V480" s="46"/>
      <c r="W480" s="46"/>
      <c r="X480" s="46"/>
      <c r="Y480" s="46"/>
      <c r="Z480" s="46"/>
      <c r="AA480" s="46"/>
      <c r="AB480" s="46"/>
      <c r="AC480" s="46"/>
      <c r="AD480" s="46"/>
      <c r="AE480" s="46"/>
      <c r="AF480" s="46"/>
      <c r="AG480" s="127"/>
      <c r="AH480" s="127"/>
      <c r="AI480" s="127"/>
      <c r="AJ480" s="127"/>
      <c r="AK480" s="46"/>
      <c r="AL480" s="46"/>
      <c r="AM480" s="46"/>
      <c r="AN480" s="46"/>
      <c r="AO480" s="46"/>
    </row>
    <row r="481">
      <c r="A481" s="17"/>
      <c r="B481" s="46"/>
      <c r="C481" s="46"/>
      <c r="D481" s="46"/>
      <c r="E481" s="17"/>
      <c r="F481" s="46"/>
      <c r="G481" s="46"/>
      <c r="H481" s="46"/>
      <c r="I481" s="17"/>
      <c r="J481" s="46"/>
      <c r="K481" s="46"/>
      <c r="L481" s="46"/>
      <c r="M481" s="17"/>
      <c r="N481" s="46"/>
      <c r="O481" s="46"/>
      <c r="P481" s="46"/>
      <c r="Q481" s="46"/>
      <c r="R481" s="46"/>
      <c r="S481" s="46"/>
      <c r="T481" s="46"/>
      <c r="U481" s="46"/>
      <c r="V481" s="46"/>
      <c r="W481" s="46"/>
      <c r="X481" s="46"/>
      <c r="Y481" s="46"/>
      <c r="Z481" s="46"/>
      <c r="AA481" s="46"/>
      <c r="AB481" s="46"/>
      <c r="AC481" s="46"/>
      <c r="AD481" s="46"/>
      <c r="AE481" s="46"/>
      <c r="AF481" s="46"/>
      <c r="AG481" s="127"/>
      <c r="AH481" s="127"/>
      <c r="AI481" s="127"/>
      <c r="AJ481" s="127"/>
      <c r="AK481" s="46"/>
      <c r="AL481" s="46"/>
      <c r="AM481" s="46"/>
      <c r="AN481" s="46"/>
      <c r="AO481" s="46"/>
    </row>
    <row r="482">
      <c r="A482" s="17"/>
      <c r="B482" s="46"/>
      <c r="C482" s="46"/>
      <c r="D482" s="46"/>
      <c r="E482" s="17"/>
      <c r="F482" s="46"/>
      <c r="G482" s="46"/>
      <c r="H482" s="46"/>
      <c r="I482" s="17"/>
      <c r="J482" s="46"/>
      <c r="K482" s="46"/>
      <c r="L482" s="46"/>
      <c r="M482" s="17"/>
      <c r="N482" s="46"/>
      <c r="O482" s="46"/>
      <c r="P482" s="46"/>
      <c r="Q482" s="46"/>
      <c r="R482" s="46"/>
      <c r="S482" s="46"/>
      <c r="T482" s="46"/>
      <c r="U482" s="46"/>
      <c r="V482" s="46"/>
      <c r="W482" s="46"/>
      <c r="X482" s="46"/>
      <c r="Y482" s="46"/>
      <c r="Z482" s="46"/>
      <c r="AA482" s="46"/>
      <c r="AB482" s="46"/>
      <c r="AC482" s="46"/>
      <c r="AD482" s="46"/>
      <c r="AE482" s="46"/>
      <c r="AF482" s="46"/>
      <c r="AG482" s="127"/>
      <c r="AH482" s="127"/>
      <c r="AI482" s="127"/>
      <c r="AJ482" s="127"/>
      <c r="AK482" s="46"/>
      <c r="AL482" s="46"/>
      <c r="AM482" s="46"/>
      <c r="AN482" s="46"/>
      <c r="AO482" s="46"/>
    </row>
    <row r="483">
      <c r="A483" s="17"/>
      <c r="B483" s="46"/>
      <c r="C483" s="46"/>
      <c r="D483" s="46"/>
      <c r="E483" s="17"/>
      <c r="F483" s="46"/>
      <c r="G483" s="46"/>
      <c r="H483" s="46"/>
      <c r="I483" s="17"/>
      <c r="J483" s="46"/>
      <c r="K483" s="46"/>
      <c r="L483" s="46"/>
      <c r="M483" s="17"/>
      <c r="N483" s="46"/>
      <c r="O483" s="46"/>
      <c r="P483" s="46"/>
      <c r="Q483" s="46"/>
      <c r="R483" s="46"/>
      <c r="S483" s="46"/>
      <c r="T483" s="46"/>
      <c r="U483" s="46"/>
      <c r="V483" s="46"/>
      <c r="W483" s="46"/>
      <c r="X483" s="46"/>
      <c r="Y483" s="46"/>
      <c r="Z483" s="46"/>
      <c r="AA483" s="46"/>
      <c r="AB483" s="46"/>
      <c r="AC483" s="46"/>
      <c r="AD483" s="46"/>
      <c r="AE483" s="46"/>
      <c r="AF483" s="46"/>
      <c r="AG483" s="127"/>
      <c r="AH483" s="127"/>
      <c r="AI483" s="127"/>
      <c r="AJ483" s="127"/>
      <c r="AK483" s="46"/>
      <c r="AL483" s="46"/>
      <c r="AM483" s="46"/>
      <c r="AN483" s="46"/>
      <c r="AO483" s="46"/>
    </row>
    <row r="484">
      <c r="A484" s="17"/>
      <c r="B484" s="46"/>
      <c r="C484" s="46"/>
      <c r="D484" s="46"/>
      <c r="E484" s="17"/>
      <c r="F484" s="46"/>
      <c r="G484" s="46"/>
      <c r="H484" s="46"/>
      <c r="I484" s="17"/>
      <c r="J484" s="46"/>
      <c r="K484" s="46"/>
      <c r="L484" s="46"/>
      <c r="M484" s="17"/>
      <c r="N484" s="46"/>
      <c r="O484" s="46"/>
      <c r="P484" s="46"/>
      <c r="Q484" s="46"/>
      <c r="R484" s="46"/>
      <c r="S484" s="46"/>
      <c r="T484" s="46"/>
      <c r="U484" s="46"/>
      <c r="V484" s="46"/>
      <c r="W484" s="46"/>
      <c r="X484" s="46"/>
      <c r="Y484" s="46"/>
      <c r="Z484" s="46"/>
      <c r="AA484" s="46"/>
      <c r="AB484" s="46"/>
      <c r="AC484" s="46"/>
      <c r="AD484" s="46"/>
      <c r="AE484" s="46"/>
      <c r="AF484" s="46"/>
      <c r="AG484" s="127"/>
      <c r="AH484" s="127"/>
      <c r="AI484" s="127"/>
      <c r="AJ484" s="127"/>
      <c r="AK484" s="46"/>
      <c r="AL484" s="46"/>
      <c r="AM484" s="46"/>
      <c r="AN484" s="46"/>
      <c r="AO484" s="46"/>
    </row>
    <row r="485">
      <c r="A485" s="17"/>
      <c r="B485" s="46"/>
      <c r="C485" s="46"/>
      <c r="D485" s="46"/>
      <c r="E485" s="17"/>
      <c r="F485" s="46"/>
      <c r="G485" s="46"/>
      <c r="H485" s="46"/>
      <c r="I485" s="17"/>
      <c r="J485" s="46"/>
      <c r="K485" s="46"/>
      <c r="L485" s="46"/>
      <c r="M485" s="17"/>
      <c r="N485" s="46"/>
      <c r="O485" s="46"/>
      <c r="P485" s="46"/>
      <c r="Q485" s="46"/>
      <c r="R485" s="46"/>
      <c r="S485" s="46"/>
      <c r="T485" s="46"/>
      <c r="U485" s="46"/>
      <c r="V485" s="46"/>
      <c r="W485" s="46"/>
      <c r="X485" s="46"/>
      <c r="Y485" s="46"/>
      <c r="Z485" s="46"/>
      <c r="AA485" s="46"/>
      <c r="AB485" s="46"/>
      <c r="AC485" s="46"/>
      <c r="AD485" s="46"/>
      <c r="AE485" s="46"/>
      <c r="AF485" s="46"/>
      <c r="AG485" s="127"/>
      <c r="AH485" s="127"/>
      <c r="AI485" s="127"/>
      <c r="AJ485" s="127"/>
      <c r="AK485" s="46"/>
      <c r="AL485" s="46"/>
      <c r="AM485" s="46"/>
      <c r="AN485" s="46"/>
      <c r="AO485" s="46"/>
    </row>
    <row r="486">
      <c r="A486" s="17"/>
      <c r="B486" s="46"/>
      <c r="C486" s="46"/>
      <c r="D486" s="46"/>
      <c r="E486" s="17"/>
      <c r="F486" s="46"/>
      <c r="G486" s="46"/>
      <c r="H486" s="46"/>
      <c r="I486" s="17"/>
      <c r="J486" s="46"/>
      <c r="K486" s="46"/>
      <c r="L486" s="46"/>
      <c r="M486" s="17"/>
      <c r="N486" s="46"/>
      <c r="O486" s="46"/>
      <c r="P486" s="46"/>
      <c r="Q486" s="46"/>
      <c r="R486" s="46"/>
      <c r="S486" s="46"/>
      <c r="T486" s="46"/>
      <c r="U486" s="46"/>
      <c r="V486" s="46"/>
      <c r="W486" s="46"/>
      <c r="X486" s="46"/>
      <c r="Y486" s="46"/>
      <c r="Z486" s="46"/>
      <c r="AA486" s="46"/>
      <c r="AB486" s="46"/>
      <c r="AC486" s="46"/>
      <c r="AD486" s="46"/>
      <c r="AE486" s="46"/>
      <c r="AF486" s="46"/>
      <c r="AG486" s="127"/>
      <c r="AH486" s="127"/>
      <c r="AI486" s="127"/>
      <c r="AJ486" s="127"/>
      <c r="AK486" s="46"/>
      <c r="AL486" s="46"/>
      <c r="AM486" s="46"/>
      <c r="AN486" s="46"/>
      <c r="AO486" s="46"/>
    </row>
    <row r="487">
      <c r="A487" s="17"/>
      <c r="B487" s="46"/>
      <c r="C487" s="46"/>
      <c r="D487" s="46"/>
      <c r="E487" s="17"/>
      <c r="F487" s="46"/>
      <c r="G487" s="46"/>
      <c r="H487" s="46"/>
      <c r="I487" s="17"/>
      <c r="J487" s="46"/>
      <c r="K487" s="46"/>
      <c r="L487" s="46"/>
      <c r="M487" s="17"/>
      <c r="N487" s="46"/>
      <c r="O487" s="46"/>
      <c r="P487" s="46"/>
      <c r="Q487" s="46"/>
      <c r="R487" s="46"/>
      <c r="S487" s="46"/>
      <c r="T487" s="46"/>
      <c r="U487" s="46"/>
      <c r="V487" s="46"/>
      <c r="W487" s="46"/>
      <c r="X487" s="46"/>
      <c r="Y487" s="46"/>
      <c r="Z487" s="46"/>
      <c r="AA487" s="46"/>
      <c r="AB487" s="46"/>
      <c r="AC487" s="46"/>
      <c r="AD487" s="46"/>
      <c r="AE487" s="46"/>
      <c r="AF487" s="46"/>
      <c r="AG487" s="127"/>
      <c r="AH487" s="127"/>
      <c r="AI487" s="127"/>
      <c r="AJ487" s="127"/>
      <c r="AK487" s="46"/>
      <c r="AL487" s="46"/>
      <c r="AM487" s="46"/>
      <c r="AN487" s="46"/>
      <c r="AO487" s="46"/>
    </row>
    <row r="488">
      <c r="A488" s="17"/>
      <c r="B488" s="46"/>
      <c r="C488" s="46"/>
      <c r="D488" s="46"/>
      <c r="E488" s="17"/>
      <c r="F488" s="46"/>
      <c r="G488" s="46"/>
      <c r="H488" s="46"/>
      <c r="I488" s="17"/>
      <c r="J488" s="46"/>
      <c r="K488" s="46"/>
      <c r="L488" s="46"/>
      <c r="M488" s="17"/>
      <c r="N488" s="46"/>
      <c r="O488" s="46"/>
      <c r="P488" s="46"/>
      <c r="Q488" s="46"/>
      <c r="R488" s="46"/>
      <c r="S488" s="46"/>
      <c r="T488" s="46"/>
      <c r="U488" s="46"/>
      <c r="V488" s="46"/>
      <c r="W488" s="46"/>
      <c r="X488" s="46"/>
      <c r="Y488" s="46"/>
      <c r="Z488" s="46"/>
      <c r="AA488" s="46"/>
      <c r="AB488" s="46"/>
      <c r="AC488" s="46"/>
      <c r="AD488" s="46"/>
      <c r="AE488" s="46"/>
      <c r="AF488" s="46"/>
      <c r="AG488" s="127"/>
      <c r="AH488" s="127"/>
      <c r="AI488" s="127"/>
      <c r="AJ488" s="127"/>
      <c r="AK488" s="46"/>
      <c r="AL488" s="46"/>
      <c r="AM488" s="46"/>
      <c r="AN488" s="46"/>
      <c r="AO488" s="46"/>
    </row>
    <row r="489">
      <c r="A489" s="17"/>
      <c r="B489" s="46"/>
      <c r="C489" s="46"/>
      <c r="D489" s="46"/>
      <c r="E489" s="17"/>
      <c r="F489" s="46"/>
      <c r="G489" s="46"/>
      <c r="H489" s="46"/>
      <c r="I489" s="17"/>
      <c r="J489" s="46"/>
      <c r="K489" s="46"/>
      <c r="L489" s="46"/>
      <c r="M489" s="17"/>
      <c r="N489" s="46"/>
      <c r="O489" s="46"/>
      <c r="P489" s="46"/>
      <c r="Q489" s="46"/>
      <c r="R489" s="46"/>
      <c r="S489" s="46"/>
      <c r="T489" s="46"/>
      <c r="U489" s="46"/>
      <c r="V489" s="46"/>
      <c r="W489" s="46"/>
      <c r="X489" s="46"/>
      <c r="Y489" s="46"/>
      <c r="Z489" s="46"/>
      <c r="AA489" s="46"/>
      <c r="AB489" s="46"/>
      <c r="AC489" s="46"/>
      <c r="AD489" s="46"/>
      <c r="AE489" s="46"/>
      <c r="AF489" s="46"/>
      <c r="AG489" s="127"/>
      <c r="AH489" s="127"/>
      <c r="AI489" s="127"/>
      <c r="AJ489" s="127"/>
      <c r="AK489" s="46"/>
      <c r="AL489" s="46"/>
      <c r="AM489" s="46"/>
      <c r="AN489" s="46"/>
      <c r="AO489" s="46"/>
    </row>
    <row r="490">
      <c r="A490" s="17"/>
      <c r="B490" s="46"/>
      <c r="C490" s="46"/>
      <c r="D490" s="46"/>
      <c r="E490" s="17"/>
      <c r="F490" s="46"/>
      <c r="G490" s="46"/>
      <c r="H490" s="46"/>
      <c r="I490" s="17"/>
      <c r="J490" s="46"/>
      <c r="K490" s="46"/>
      <c r="L490" s="46"/>
      <c r="M490" s="17"/>
      <c r="N490" s="46"/>
      <c r="O490" s="46"/>
      <c r="P490" s="46"/>
      <c r="Q490" s="46"/>
      <c r="R490" s="46"/>
      <c r="S490" s="46"/>
      <c r="T490" s="46"/>
      <c r="U490" s="46"/>
      <c r="V490" s="46"/>
      <c r="W490" s="46"/>
      <c r="X490" s="46"/>
      <c r="Y490" s="46"/>
      <c r="Z490" s="46"/>
      <c r="AA490" s="46"/>
      <c r="AB490" s="46"/>
      <c r="AC490" s="46"/>
      <c r="AD490" s="46"/>
      <c r="AE490" s="46"/>
      <c r="AF490" s="46"/>
      <c r="AG490" s="127"/>
      <c r="AH490" s="127"/>
      <c r="AI490" s="127"/>
      <c r="AJ490" s="127"/>
      <c r="AK490" s="46"/>
      <c r="AL490" s="46"/>
      <c r="AM490" s="46"/>
      <c r="AN490" s="46"/>
      <c r="AO490" s="46"/>
    </row>
    <row r="491">
      <c r="A491" s="17"/>
      <c r="B491" s="46"/>
      <c r="C491" s="46"/>
      <c r="D491" s="46"/>
      <c r="E491" s="17"/>
      <c r="F491" s="46"/>
      <c r="G491" s="46"/>
      <c r="H491" s="46"/>
      <c r="I491" s="17"/>
      <c r="J491" s="46"/>
      <c r="K491" s="46"/>
      <c r="L491" s="46"/>
      <c r="M491" s="17"/>
      <c r="N491" s="46"/>
      <c r="O491" s="46"/>
      <c r="P491" s="46"/>
      <c r="Q491" s="46"/>
      <c r="R491" s="46"/>
      <c r="S491" s="46"/>
      <c r="T491" s="46"/>
      <c r="U491" s="46"/>
      <c r="V491" s="46"/>
      <c r="W491" s="46"/>
      <c r="X491" s="46"/>
      <c r="Y491" s="46"/>
      <c r="Z491" s="46"/>
      <c r="AA491" s="46"/>
      <c r="AB491" s="46"/>
      <c r="AC491" s="46"/>
      <c r="AD491" s="46"/>
      <c r="AE491" s="46"/>
      <c r="AF491" s="46"/>
      <c r="AG491" s="127"/>
      <c r="AH491" s="127"/>
      <c r="AI491" s="127"/>
      <c r="AJ491" s="127"/>
      <c r="AK491" s="46"/>
      <c r="AL491" s="46"/>
      <c r="AM491" s="46"/>
      <c r="AN491" s="46"/>
      <c r="AO491" s="46"/>
    </row>
    <row r="492">
      <c r="A492" s="17"/>
      <c r="B492" s="46"/>
      <c r="C492" s="46"/>
      <c r="D492" s="46"/>
      <c r="E492" s="17"/>
      <c r="F492" s="46"/>
      <c r="G492" s="46"/>
      <c r="H492" s="46"/>
      <c r="I492" s="17"/>
      <c r="J492" s="46"/>
      <c r="K492" s="46"/>
      <c r="L492" s="46"/>
      <c r="M492" s="17"/>
      <c r="N492" s="46"/>
      <c r="O492" s="46"/>
      <c r="P492" s="46"/>
      <c r="Q492" s="46"/>
      <c r="R492" s="46"/>
      <c r="S492" s="46"/>
      <c r="T492" s="46"/>
      <c r="U492" s="46"/>
      <c r="V492" s="46"/>
      <c r="W492" s="46"/>
      <c r="X492" s="46"/>
      <c r="Y492" s="46"/>
      <c r="Z492" s="46"/>
      <c r="AA492" s="46"/>
      <c r="AB492" s="46"/>
      <c r="AC492" s="46"/>
      <c r="AD492" s="46"/>
      <c r="AE492" s="46"/>
      <c r="AF492" s="46"/>
      <c r="AG492" s="127"/>
      <c r="AH492" s="127"/>
      <c r="AI492" s="127"/>
      <c r="AJ492" s="127"/>
      <c r="AK492" s="46"/>
      <c r="AL492" s="46"/>
      <c r="AM492" s="46"/>
      <c r="AN492" s="46"/>
      <c r="AO492" s="46"/>
    </row>
    <row r="493">
      <c r="A493" s="17"/>
      <c r="B493" s="46"/>
      <c r="C493" s="46"/>
      <c r="D493" s="46"/>
      <c r="E493" s="17"/>
      <c r="F493" s="46"/>
      <c r="G493" s="46"/>
      <c r="H493" s="46"/>
      <c r="I493" s="17"/>
      <c r="J493" s="46"/>
      <c r="K493" s="46"/>
      <c r="L493" s="46"/>
      <c r="M493" s="17"/>
      <c r="N493" s="46"/>
      <c r="O493" s="46"/>
      <c r="P493" s="46"/>
      <c r="Q493" s="46"/>
      <c r="R493" s="46"/>
      <c r="S493" s="46"/>
      <c r="T493" s="46"/>
      <c r="U493" s="46"/>
      <c r="V493" s="46"/>
      <c r="W493" s="46"/>
      <c r="X493" s="46"/>
      <c r="Y493" s="46"/>
      <c r="Z493" s="46"/>
      <c r="AA493" s="46"/>
      <c r="AB493" s="46"/>
      <c r="AC493" s="46"/>
      <c r="AD493" s="46"/>
      <c r="AE493" s="46"/>
      <c r="AF493" s="46"/>
      <c r="AG493" s="127"/>
      <c r="AH493" s="127"/>
      <c r="AI493" s="127"/>
      <c r="AJ493" s="127"/>
      <c r="AK493" s="46"/>
      <c r="AL493" s="46"/>
      <c r="AM493" s="46"/>
      <c r="AN493" s="46"/>
      <c r="AO493" s="46"/>
    </row>
    <row r="494">
      <c r="A494" s="17"/>
      <c r="B494" s="46"/>
      <c r="C494" s="46"/>
      <c r="D494" s="46"/>
      <c r="E494" s="17"/>
      <c r="F494" s="46"/>
      <c r="G494" s="46"/>
      <c r="H494" s="46"/>
      <c r="I494" s="17"/>
      <c r="J494" s="46"/>
      <c r="K494" s="46"/>
      <c r="L494" s="46"/>
      <c r="M494" s="17"/>
      <c r="N494" s="46"/>
      <c r="O494" s="46"/>
      <c r="P494" s="46"/>
      <c r="Q494" s="46"/>
      <c r="R494" s="46"/>
      <c r="S494" s="46"/>
      <c r="T494" s="46"/>
      <c r="U494" s="46"/>
      <c r="V494" s="46"/>
      <c r="W494" s="46"/>
      <c r="X494" s="46"/>
      <c r="Y494" s="46"/>
      <c r="Z494" s="46"/>
      <c r="AA494" s="46"/>
      <c r="AB494" s="46"/>
      <c r="AC494" s="46"/>
      <c r="AD494" s="46"/>
      <c r="AE494" s="46"/>
      <c r="AF494" s="46"/>
      <c r="AG494" s="127"/>
      <c r="AH494" s="127"/>
      <c r="AI494" s="127"/>
      <c r="AJ494" s="127"/>
      <c r="AK494" s="46"/>
      <c r="AL494" s="46"/>
      <c r="AM494" s="46"/>
      <c r="AN494" s="46"/>
      <c r="AO494" s="46"/>
    </row>
    <row r="495">
      <c r="A495" s="17"/>
      <c r="B495" s="46"/>
      <c r="C495" s="46"/>
      <c r="D495" s="46"/>
      <c r="E495" s="17"/>
      <c r="F495" s="46"/>
      <c r="G495" s="46"/>
      <c r="H495" s="46"/>
      <c r="I495" s="17"/>
      <c r="J495" s="46"/>
      <c r="K495" s="46"/>
      <c r="L495" s="46"/>
      <c r="M495" s="17"/>
      <c r="N495" s="46"/>
      <c r="O495" s="46"/>
      <c r="P495" s="46"/>
      <c r="Q495" s="46"/>
      <c r="R495" s="46"/>
      <c r="S495" s="46"/>
      <c r="T495" s="46"/>
      <c r="U495" s="46"/>
      <c r="V495" s="46"/>
      <c r="W495" s="46"/>
      <c r="X495" s="46"/>
      <c r="Y495" s="46"/>
      <c r="Z495" s="46"/>
      <c r="AA495" s="46"/>
      <c r="AB495" s="46"/>
      <c r="AC495" s="46"/>
      <c r="AD495" s="46"/>
      <c r="AE495" s="46"/>
      <c r="AF495" s="46"/>
      <c r="AG495" s="127"/>
      <c r="AH495" s="127"/>
      <c r="AI495" s="127"/>
      <c r="AJ495" s="127"/>
      <c r="AK495" s="46"/>
      <c r="AL495" s="46"/>
      <c r="AM495" s="46"/>
      <c r="AN495" s="46"/>
      <c r="AO495" s="46"/>
    </row>
    <row r="496">
      <c r="A496" s="17"/>
      <c r="B496" s="46"/>
      <c r="C496" s="46"/>
      <c r="D496" s="46"/>
      <c r="E496" s="17"/>
      <c r="F496" s="46"/>
      <c r="G496" s="46"/>
      <c r="H496" s="46"/>
      <c r="I496" s="17"/>
      <c r="J496" s="46"/>
      <c r="K496" s="46"/>
      <c r="L496" s="46"/>
      <c r="M496" s="17"/>
      <c r="N496" s="46"/>
      <c r="O496" s="46"/>
      <c r="P496" s="46"/>
      <c r="Q496" s="46"/>
      <c r="R496" s="46"/>
      <c r="S496" s="46"/>
      <c r="T496" s="46"/>
      <c r="U496" s="46"/>
      <c r="V496" s="46"/>
      <c r="W496" s="46"/>
      <c r="X496" s="46"/>
      <c r="Y496" s="46"/>
      <c r="Z496" s="46"/>
      <c r="AA496" s="46"/>
      <c r="AB496" s="46"/>
      <c r="AC496" s="46"/>
      <c r="AD496" s="46"/>
      <c r="AE496" s="46"/>
      <c r="AF496" s="46"/>
      <c r="AG496" s="127"/>
      <c r="AH496" s="127"/>
      <c r="AI496" s="127"/>
      <c r="AJ496" s="127"/>
      <c r="AK496" s="46"/>
      <c r="AL496" s="46"/>
      <c r="AM496" s="46"/>
      <c r="AN496" s="46"/>
      <c r="AO496" s="46"/>
    </row>
    <row r="497">
      <c r="A497" s="17"/>
      <c r="B497" s="46"/>
      <c r="C497" s="46"/>
      <c r="D497" s="46"/>
      <c r="E497" s="17"/>
      <c r="F497" s="46"/>
      <c r="G497" s="46"/>
      <c r="H497" s="46"/>
      <c r="I497" s="17"/>
      <c r="J497" s="46"/>
      <c r="K497" s="46"/>
      <c r="L497" s="46"/>
      <c r="M497" s="17"/>
      <c r="N497" s="46"/>
      <c r="O497" s="46"/>
      <c r="P497" s="46"/>
      <c r="Q497" s="46"/>
      <c r="R497" s="46"/>
      <c r="S497" s="46"/>
      <c r="T497" s="46"/>
      <c r="U497" s="46"/>
      <c r="V497" s="46"/>
      <c r="W497" s="46"/>
      <c r="X497" s="46"/>
      <c r="Y497" s="46"/>
      <c r="Z497" s="46"/>
      <c r="AA497" s="46"/>
      <c r="AB497" s="46"/>
      <c r="AC497" s="46"/>
      <c r="AD497" s="46"/>
      <c r="AE497" s="46"/>
      <c r="AF497" s="46"/>
      <c r="AG497" s="127"/>
      <c r="AH497" s="127"/>
      <c r="AI497" s="127"/>
      <c r="AJ497" s="127"/>
      <c r="AK497" s="46"/>
      <c r="AL497" s="46"/>
      <c r="AM497" s="46"/>
      <c r="AN497" s="46"/>
      <c r="AO497" s="46"/>
    </row>
    <row r="498">
      <c r="A498" s="17"/>
      <c r="B498" s="46"/>
      <c r="C498" s="46"/>
      <c r="D498" s="46"/>
      <c r="E498" s="17"/>
      <c r="F498" s="46"/>
      <c r="G498" s="46"/>
      <c r="H498" s="46"/>
      <c r="I498" s="17"/>
      <c r="J498" s="46"/>
      <c r="K498" s="46"/>
      <c r="L498" s="46"/>
      <c r="M498" s="17"/>
      <c r="N498" s="46"/>
      <c r="O498" s="46"/>
      <c r="P498" s="46"/>
      <c r="Q498" s="46"/>
      <c r="R498" s="46"/>
      <c r="S498" s="46"/>
      <c r="T498" s="46"/>
      <c r="U498" s="46"/>
      <c r="V498" s="46"/>
      <c r="W498" s="46"/>
      <c r="X498" s="46"/>
      <c r="Y498" s="46"/>
      <c r="Z498" s="46"/>
      <c r="AA498" s="46"/>
      <c r="AB498" s="46"/>
      <c r="AC498" s="46"/>
      <c r="AD498" s="46"/>
      <c r="AE498" s="46"/>
      <c r="AF498" s="46"/>
      <c r="AG498" s="127"/>
      <c r="AH498" s="127"/>
      <c r="AI498" s="127"/>
      <c r="AJ498" s="127"/>
      <c r="AK498" s="46"/>
      <c r="AL498" s="46"/>
      <c r="AM498" s="46"/>
      <c r="AN498" s="46"/>
      <c r="AO498" s="46"/>
    </row>
    <row r="499">
      <c r="A499" s="17"/>
      <c r="B499" s="46"/>
      <c r="C499" s="46"/>
      <c r="D499" s="46"/>
      <c r="E499" s="17"/>
      <c r="F499" s="46"/>
      <c r="G499" s="46"/>
      <c r="H499" s="46"/>
      <c r="I499" s="17"/>
      <c r="J499" s="46"/>
      <c r="K499" s="46"/>
      <c r="L499" s="46"/>
      <c r="M499" s="17"/>
      <c r="N499" s="46"/>
      <c r="O499" s="46"/>
      <c r="P499" s="46"/>
      <c r="Q499" s="46"/>
      <c r="R499" s="46"/>
      <c r="S499" s="46"/>
      <c r="T499" s="46"/>
      <c r="U499" s="46"/>
      <c r="V499" s="46"/>
      <c r="W499" s="46"/>
      <c r="X499" s="46"/>
      <c r="Y499" s="46"/>
      <c r="Z499" s="46"/>
      <c r="AA499" s="46"/>
      <c r="AB499" s="46"/>
      <c r="AC499" s="46"/>
      <c r="AD499" s="46"/>
      <c r="AE499" s="46"/>
      <c r="AF499" s="46"/>
      <c r="AG499" s="127"/>
      <c r="AH499" s="127"/>
      <c r="AI499" s="127"/>
      <c r="AJ499" s="127"/>
      <c r="AK499" s="46"/>
      <c r="AL499" s="46"/>
      <c r="AM499" s="46"/>
      <c r="AN499" s="46"/>
      <c r="AO499" s="46"/>
    </row>
    <row r="500">
      <c r="A500" s="17"/>
      <c r="B500" s="46"/>
      <c r="C500" s="46"/>
      <c r="D500" s="46"/>
      <c r="E500" s="17"/>
      <c r="F500" s="46"/>
      <c r="G500" s="46"/>
      <c r="H500" s="46"/>
      <c r="I500" s="17"/>
      <c r="J500" s="46"/>
      <c r="K500" s="46"/>
      <c r="L500" s="46"/>
      <c r="M500" s="17"/>
      <c r="N500" s="46"/>
      <c r="O500" s="46"/>
      <c r="P500" s="46"/>
      <c r="Q500" s="46"/>
      <c r="R500" s="46"/>
      <c r="S500" s="46"/>
      <c r="T500" s="46"/>
      <c r="U500" s="46"/>
      <c r="V500" s="46"/>
      <c r="W500" s="46"/>
      <c r="X500" s="46"/>
      <c r="Y500" s="46"/>
      <c r="Z500" s="46"/>
      <c r="AA500" s="46"/>
      <c r="AB500" s="46"/>
      <c r="AC500" s="46"/>
      <c r="AD500" s="46"/>
      <c r="AE500" s="46"/>
      <c r="AF500" s="46"/>
      <c r="AG500" s="127"/>
      <c r="AH500" s="127"/>
      <c r="AI500" s="127"/>
      <c r="AJ500" s="127"/>
      <c r="AK500" s="46"/>
      <c r="AL500" s="46"/>
      <c r="AM500" s="46"/>
      <c r="AN500" s="46"/>
      <c r="AO500" s="46"/>
    </row>
    <row r="501">
      <c r="A501" s="17"/>
      <c r="B501" s="46"/>
      <c r="C501" s="46"/>
      <c r="D501" s="46"/>
      <c r="E501" s="17"/>
      <c r="F501" s="46"/>
      <c r="G501" s="46"/>
      <c r="H501" s="46"/>
      <c r="I501" s="17"/>
      <c r="J501" s="46"/>
      <c r="K501" s="46"/>
      <c r="L501" s="46"/>
      <c r="M501" s="17"/>
      <c r="N501" s="46"/>
      <c r="O501" s="46"/>
      <c r="P501" s="46"/>
      <c r="Q501" s="46"/>
      <c r="R501" s="46"/>
      <c r="S501" s="46"/>
      <c r="T501" s="46"/>
      <c r="U501" s="46"/>
      <c r="V501" s="46"/>
      <c r="W501" s="46"/>
      <c r="X501" s="46"/>
      <c r="Y501" s="46"/>
      <c r="Z501" s="46"/>
      <c r="AA501" s="46"/>
      <c r="AB501" s="46"/>
      <c r="AC501" s="46"/>
      <c r="AD501" s="46"/>
      <c r="AE501" s="46"/>
      <c r="AF501" s="46"/>
      <c r="AG501" s="127"/>
      <c r="AH501" s="127"/>
      <c r="AI501" s="127"/>
      <c r="AJ501" s="127"/>
      <c r="AK501" s="46"/>
      <c r="AL501" s="46"/>
      <c r="AM501" s="46"/>
      <c r="AN501" s="46"/>
      <c r="AO501" s="46"/>
    </row>
    <row r="502">
      <c r="A502" s="17"/>
      <c r="B502" s="46"/>
      <c r="C502" s="46"/>
      <c r="D502" s="46"/>
      <c r="E502" s="17"/>
      <c r="F502" s="46"/>
      <c r="G502" s="46"/>
      <c r="H502" s="46"/>
      <c r="I502" s="17"/>
      <c r="J502" s="46"/>
      <c r="K502" s="46"/>
      <c r="L502" s="46"/>
      <c r="M502" s="17"/>
      <c r="N502" s="46"/>
      <c r="O502" s="46"/>
      <c r="P502" s="46"/>
      <c r="Q502" s="46"/>
      <c r="R502" s="46"/>
      <c r="S502" s="46"/>
      <c r="T502" s="46"/>
      <c r="U502" s="46"/>
      <c r="V502" s="46"/>
      <c r="W502" s="46"/>
      <c r="X502" s="46"/>
      <c r="Y502" s="46"/>
      <c r="Z502" s="46"/>
      <c r="AA502" s="46"/>
      <c r="AB502" s="46"/>
      <c r="AC502" s="46"/>
      <c r="AD502" s="46"/>
      <c r="AE502" s="46"/>
      <c r="AF502" s="46"/>
      <c r="AG502" s="127"/>
      <c r="AH502" s="127"/>
      <c r="AI502" s="127"/>
      <c r="AJ502" s="127"/>
      <c r="AK502" s="46"/>
      <c r="AL502" s="46"/>
      <c r="AM502" s="46"/>
      <c r="AN502" s="46"/>
      <c r="AO502" s="46"/>
    </row>
    <row r="503">
      <c r="A503" s="17"/>
      <c r="B503" s="46"/>
      <c r="C503" s="46"/>
      <c r="D503" s="46"/>
      <c r="E503" s="17"/>
      <c r="F503" s="46"/>
      <c r="G503" s="46"/>
      <c r="H503" s="46"/>
      <c r="I503" s="17"/>
      <c r="J503" s="46"/>
      <c r="K503" s="46"/>
      <c r="L503" s="46"/>
      <c r="M503" s="17"/>
      <c r="N503" s="46"/>
      <c r="O503" s="46"/>
      <c r="P503" s="46"/>
      <c r="Q503" s="46"/>
      <c r="R503" s="46"/>
      <c r="S503" s="46"/>
      <c r="T503" s="46"/>
      <c r="U503" s="46"/>
      <c r="V503" s="46"/>
      <c r="W503" s="46"/>
      <c r="X503" s="46"/>
      <c r="Y503" s="46"/>
      <c r="Z503" s="46"/>
      <c r="AA503" s="46"/>
      <c r="AB503" s="46"/>
      <c r="AC503" s="46"/>
      <c r="AD503" s="46"/>
      <c r="AE503" s="46"/>
      <c r="AF503" s="46"/>
      <c r="AG503" s="127"/>
      <c r="AH503" s="127"/>
      <c r="AI503" s="127"/>
      <c r="AJ503" s="127"/>
      <c r="AK503" s="46"/>
      <c r="AL503" s="46"/>
      <c r="AM503" s="46"/>
      <c r="AN503" s="46"/>
      <c r="AO503" s="46"/>
    </row>
    <row r="504">
      <c r="A504" s="17"/>
      <c r="B504" s="46"/>
      <c r="C504" s="46"/>
      <c r="D504" s="46"/>
      <c r="E504" s="17"/>
      <c r="F504" s="46"/>
      <c r="G504" s="46"/>
      <c r="H504" s="46"/>
      <c r="I504" s="17"/>
      <c r="J504" s="46"/>
      <c r="K504" s="46"/>
      <c r="L504" s="46"/>
      <c r="M504" s="17"/>
      <c r="N504" s="46"/>
      <c r="O504" s="46"/>
      <c r="P504" s="46"/>
      <c r="Q504" s="46"/>
      <c r="R504" s="46"/>
      <c r="S504" s="46"/>
      <c r="T504" s="46"/>
      <c r="U504" s="46"/>
      <c r="V504" s="46"/>
      <c r="W504" s="46"/>
      <c r="X504" s="46"/>
      <c r="Y504" s="46"/>
      <c r="Z504" s="46"/>
      <c r="AA504" s="46"/>
      <c r="AB504" s="46"/>
      <c r="AC504" s="46"/>
      <c r="AD504" s="46"/>
      <c r="AE504" s="46"/>
      <c r="AF504" s="46"/>
      <c r="AG504" s="127"/>
      <c r="AH504" s="127"/>
      <c r="AI504" s="127"/>
      <c r="AJ504" s="127"/>
      <c r="AK504" s="46"/>
      <c r="AL504" s="46"/>
      <c r="AM504" s="46"/>
      <c r="AN504" s="46"/>
      <c r="AO504" s="46"/>
    </row>
    <row r="505">
      <c r="A505" s="17"/>
      <c r="B505" s="46"/>
      <c r="C505" s="46"/>
      <c r="D505" s="46"/>
      <c r="E505" s="17"/>
      <c r="F505" s="46"/>
      <c r="G505" s="46"/>
      <c r="H505" s="46"/>
      <c r="I505" s="17"/>
      <c r="J505" s="46"/>
      <c r="K505" s="46"/>
      <c r="L505" s="46"/>
      <c r="M505" s="17"/>
      <c r="N505" s="46"/>
      <c r="O505" s="46"/>
      <c r="P505" s="46"/>
      <c r="Q505" s="46"/>
      <c r="R505" s="46"/>
      <c r="S505" s="46"/>
      <c r="T505" s="46"/>
      <c r="U505" s="46"/>
      <c r="V505" s="46"/>
      <c r="W505" s="46"/>
      <c r="X505" s="46"/>
      <c r="Y505" s="46"/>
      <c r="Z505" s="46"/>
      <c r="AA505" s="46"/>
      <c r="AB505" s="46"/>
      <c r="AC505" s="46"/>
      <c r="AD505" s="46"/>
      <c r="AE505" s="46"/>
      <c r="AF505" s="46"/>
      <c r="AG505" s="127"/>
      <c r="AH505" s="127"/>
      <c r="AI505" s="127"/>
      <c r="AJ505" s="127"/>
      <c r="AK505" s="46"/>
      <c r="AL505" s="46"/>
      <c r="AM505" s="46"/>
      <c r="AN505" s="46"/>
      <c r="AO505" s="46"/>
    </row>
    <row r="506">
      <c r="A506" s="17"/>
      <c r="B506" s="46"/>
      <c r="C506" s="46"/>
      <c r="D506" s="46"/>
      <c r="E506" s="17"/>
      <c r="F506" s="46"/>
      <c r="G506" s="46"/>
      <c r="H506" s="46"/>
      <c r="I506" s="17"/>
      <c r="J506" s="46"/>
      <c r="K506" s="46"/>
      <c r="L506" s="46"/>
      <c r="M506" s="17"/>
      <c r="N506" s="46"/>
      <c r="O506" s="46"/>
      <c r="P506" s="46"/>
      <c r="Q506" s="46"/>
      <c r="R506" s="46"/>
      <c r="S506" s="46"/>
      <c r="T506" s="46"/>
      <c r="U506" s="46"/>
      <c r="V506" s="46"/>
      <c r="W506" s="46"/>
      <c r="X506" s="46"/>
      <c r="Y506" s="46"/>
      <c r="Z506" s="46"/>
      <c r="AA506" s="46"/>
      <c r="AB506" s="46"/>
      <c r="AC506" s="46"/>
      <c r="AD506" s="46"/>
      <c r="AE506" s="46"/>
      <c r="AF506" s="46"/>
      <c r="AG506" s="127"/>
      <c r="AH506" s="127"/>
      <c r="AI506" s="127"/>
      <c r="AJ506" s="127"/>
      <c r="AK506" s="46"/>
      <c r="AL506" s="46"/>
      <c r="AM506" s="46"/>
      <c r="AN506" s="46"/>
      <c r="AO506" s="46"/>
    </row>
    <row r="507">
      <c r="A507" s="17"/>
      <c r="B507" s="46"/>
      <c r="C507" s="46"/>
      <c r="D507" s="46"/>
      <c r="E507" s="17"/>
      <c r="F507" s="46"/>
      <c r="G507" s="46"/>
      <c r="H507" s="46"/>
      <c r="I507" s="17"/>
      <c r="J507" s="46"/>
      <c r="K507" s="46"/>
      <c r="L507" s="46"/>
      <c r="M507" s="17"/>
      <c r="N507" s="46"/>
      <c r="O507" s="46"/>
      <c r="P507" s="46"/>
      <c r="Q507" s="46"/>
      <c r="R507" s="46"/>
      <c r="S507" s="46"/>
      <c r="T507" s="46"/>
      <c r="U507" s="46"/>
      <c r="V507" s="46"/>
      <c r="W507" s="46"/>
      <c r="X507" s="46"/>
      <c r="Y507" s="46"/>
      <c r="Z507" s="46"/>
      <c r="AA507" s="46"/>
      <c r="AB507" s="46"/>
      <c r="AC507" s="46"/>
      <c r="AD507" s="46"/>
      <c r="AE507" s="46"/>
      <c r="AF507" s="46"/>
      <c r="AG507" s="127"/>
      <c r="AH507" s="127"/>
      <c r="AI507" s="127"/>
      <c r="AJ507" s="127"/>
      <c r="AK507" s="46"/>
      <c r="AL507" s="46"/>
      <c r="AM507" s="46"/>
      <c r="AN507" s="46"/>
      <c r="AO507" s="46"/>
    </row>
    <row r="508">
      <c r="A508" s="17"/>
      <c r="B508" s="46"/>
      <c r="C508" s="46"/>
      <c r="D508" s="46"/>
      <c r="E508" s="17"/>
      <c r="F508" s="46"/>
      <c r="G508" s="46"/>
      <c r="H508" s="46"/>
      <c r="I508" s="17"/>
      <c r="J508" s="46"/>
      <c r="K508" s="46"/>
      <c r="L508" s="46"/>
      <c r="M508" s="17"/>
      <c r="N508" s="46"/>
      <c r="O508" s="46"/>
      <c r="P508" s="46"/>
      <c r="Q508" s="46"/>
      <c r="R508" s="46"/>
      <c r="S508" s="46"/>
      <c r="T508" s="46"/>
      <c r="U508" s="46"/>
      <c r="V508" s="46"/>
      <c r="W508" s="46"/>
      <c r="X508" s="46"/>
      <c r="Y508" s="46"/>
      <c r="Z508" s="46"/>
      <c r="AA508" s="46"/>
      <c r="AB508" s="46"/>
      <c r="AC508" s="46"/>
      <c r="AD508" s="46"/>
      <c r="AE508" s="46"/>
      <c r="AF508" s="46"/>
      <c r="AG508" s="127"/>
      <c r="AH508" s="127"/>
      <c r="AI508" s="127"/>
      <c r="AJ508" s="127"/>
      <c r="AK508" s="46"/>
      <c r="AL508" s="46"/>
      <c r="AM508" s="46"/>
      <c r="AN508" s="46"/>
      <c r="AO508" s="46"/>
    </row>
    <row r="509">
      <c r="A509" s="17"/>
      <c r="B509" s="46"/>
      <c r="C509" s="46"/>
      <c r="D509" s="46"/>
      <c r="E509" s="17"/>
      <c r="F509" s="46"/>
      <c r="G509" s="46"/>
      <c r="H509" s="46"/>
      <c r="I509" s="17"/>
      <c r="J509" s="46"/>
      <c r="K509" s="46"/>
      <c r="L509" s="46"/>
      <c r="M509" s="17"/>
      <c r="N509" s="46"/>
      <c r="O509" s="46"/>
      <c r="P509" s="46"/>
      <c r="Q509" s="46"/>
      <c r="R509" s="46"/>
      <c r="S509" s="46"/>
      <c r="T509" s="46"/>
      <c r="U509" s="46"/>
      <c r="V509" s="46"/>
      <c r="W509" s="46"/>
      <c r="X509" s="46"/>
      <c r="Y509" s="46"/>
      <c r="Z509" s="46"/>
      <c r="AA509" s="46"/>
      <c r="AB509" s="46"/>
      <c r="AC509" s="46"/>
      <c r="AD509" s="46"/>
      <c r="AE509" s="46"/>
      <c r="AF509" s="46"/>
      <c r="AG509" s="127"/>
      <c r="AH509" s="127"/>
      <c r="AI509" s="127"/>
      <c r="AJ509" s="127"/>
      <c r="AK509" s="46"/>
      <c r="AL509" s="46"/>
      <c r="AM509" s="46"/>
      <c r="AN509" s="46"/>
      <c r="AO509" s="46"/>
    </row>
    <row r="510">
      <c r="A510" s="17"/>
      <c r="B510" s="46"/>
      <c r="C510" s="46"/>
      <c r="D510" s="46"/>
      <c r="E510" s="17"/>
      <c r="F510" s="46"/>
      <c r="G510" s="46"/>
      <c r="H510" s="46"/>
      <c r="I510" s="17"/>
      <c r="J510" s="46"/>
      <c r="K510" s="46"/>
      <c r="L510" s="46"/>
      <c r="M510" s="17"/>
      <c r="N510" s="46"/>
      <c r="O510" s="46"/>
      <c r="P510" s="46"/>
      <c r="Q510" s="46"/>
      <c r="R510" s="46"/>
      <c r="S510" s="46"/>
      <c r="T510" s="46"/>
      <c r="U510" s="46"/>
      <c r="V510" s="46"/>
      <c r="W510" s="46"/>
      <c r="X510" s="46"/>
      <c r="Y510" s="46"/>
      <c r="Z510" s="46"/>
      <c r="AA510" s="46"/>
      <c r="AB510" s="46"/>
      <c r="AC510" s="46"/>
      <c r="AD510" s="46"/>
      <c r="AE510" s="46"/>
      <c r="AF510" s="46"/>
      <c r="AG510" s="127"/>
      <c r="AH510" s="127"/>
      <c r="AI510" s="127"/>
      <c r="AJ510" s="127"/>
      <c r="AK510" s="46"/>
      <c r="AL510" s="46"/>
      <c r="AM510" s="46"/>
      <c r="AN510" s="46"/>
      <c r="AO510" s="46"/>
    </row>
    <row r="511">
      <c r="A511" s="17"/>
      <c r="B511" s="46"/>
      <c r="C511" s="46"/>
      <c r="D511" s="46"/>
      <c r="E511" s="17"/>
      <c r="F511" s="46"/>
      <c r="G511" s="46"/>
      <c r="H511" s="46"/>
      <c r="I511" s="17"/>
      <c r="J511" s="46"/>
      <c r="K511" s="46"/>
      <c r="L511" s="46"/>
      <c r="M511" s="17"/>
      <c r="N511" s="46"/>
      <c r="O511" s="46"/>
      <c r="P511" s="46"/>
      <c r="Q511" s="46"/>
      <c r="R511" s="46"/>
      <c r="S511" s="46"/>
      <c r="T511" s="46"/>
      <c r="U511" s="46"/>
      <c r="V511" s="46"/>
      <c r="W511" s="46"/>
      <c r="X511" s="46"/>
      <c r="Y511" s="46"/>
      <c r="Z511" s="46"/>
      <c r="AA511" s="46"/>
      <c r="AB511" s="46"/>
      <c r="AC511" s="46"/>
      <c r="AD511" s="46"/>
      <c r="AE511" s="46"/>
      <c r="AF511" s="46"/>
      <c r="AG511" s="127"/>
      <c r="AH511" s="127"/>
      <c r="AI511" s="127"/>
      <c r="AJ511" s="127"/>
      <c r="AK511" s="46"/>
      <c r="AL511" s="46"/>
      <c r="AM511" s="46"/>
      <c r="AN511" s="46"/>
      <c r="AO511" s="46"/>
    </row>
    <row r="512">
      <c r="A512" s="17"/>
      <c r="B512" s="46"/>
      <c r="C512" s="46"/>
      <c r="D512" s="46"/>
      <c r="E512" s="17"/>
      <c r="F512" s="46"/>
      <c r="G512" s="46"/>
      <c r="H512" s="46"/>
      <c r="I512" s="17"/>
      <c r="J512" s="46"/>
      <c r="K512" s="46"/>
      <c r="L512" s="46"/>
      <c r="M512" s="17"/>
      <c r="N512" s="46"/>
      <c r="O512" s="46"/>
      <c r="P512" s="46"/>
      <c r="Q512" s="46"/>
      <c r="R512" s="46"/>
      <c r="S512" s="46"/>
      <c r="T512" s="46"/>
      <c r="U512" s="46"/>
      <c r="V512" s="46"/>
      <c r="W512" s="46"/>
      <c r="X512" s="46"/>
      <c r="Y512" s="46"/>
      <c r="Z512" s="46"/>
      <c r="AA512" s="46"/>
      <c r="AB512" s="46"/>
      <c r="AC512" s="46"/>
      <c r="AD512" s="46"/>
      <c r="AE512" s="46"/>
      <c r="AF512" s="46"/>
      <c r="AG512" s="127"/>
      <c r="AH512" s="127"/>
      <c r="AI512" s="127"/>
      <c r="AJ512" s="127"/>
      <c r="AK512" s="46"/>
      <c r="AL512" s="46"/>
      <c r="AM512" s="46"/>
      <c r="AN512" s="46"/>
      <c r="AO512" s="46"/>
    </row>
    <row r="513">
      <c r="A513" s="17"/>
      <c r="B513" s="46"/>
      <c r="C513" s="46"/>
      <c r="D513" s="46"/>
      <c r="E513" s="17"/>
      <c r="F513" s="46"/>
      <c r="G513" s="46"/>
      <c r="H513" s="46"/>
      <c r="I513" s="17"/>
      <c r="J513" s="46"/>
      <c r="K513" s="46"/>
      <c r="L513" s="46"/>
      <c r="M513" s="17"/>
      <c r="N513" s="46"/>
      <c r="O513" s="46"/>
      <c r="P513" s="46"/>
      <c r="Q513" s="46"/>
      <c r="R513" s="46"/>
      <c r="S513" s="46"/>
      <c r="T513" s="46"/>
      <c r="U513" s="46"/>
      <c r="V513" s="46"/>
      <c r="W513" s="46"/>
      <c r="X513" s="46"/>
      <c r="Y513" s="46"/>
      <c r="Z513" s="46"/>
      <c r="AA513" s="46"/>
      <c r="AB513" s="46"/>
      <c r="AC513" s="46"/>
      <c r="AD513" s="46"/>
      <c r="AE513" s="46"/>
      <c r="AF513" s="46"/>
      <c r="AG513" s="127"/>
      <c r="AH513" s="127"/>
      <c r="AI513" s="127"/>
      <c r="AJ513" s="127"/>
      <c r="AK513" s="46"/>
      <c r="AL513" s="46"/>
      <c r="AM513" s="46"/>
      <c r="AN513" s="46"/>
      <c r="AO513" s="46"/>
    </row>
    <row r="514">
      <c r="A514" s="17"/>
      <c r="B514" s="46"/>
      <c r="C514" s="46"/>
      <c r="D514" s="46"/>
      <c r="E514" s="17"/>
      <c r="F514" s="46"/>
      <c r="G514" s="46"/>
      <c r="H514" s="46"/>
      <c r="I514" s="17"/>
      <c r="J514" s="46"/>
      <c r="K514" s="46"/>
      <c r="L514" s="46"/>
      <c r="M514" s="17"/>
      <c r="N514" s="46"/>
      <c r="O514" s="46"/>
      <c r="P514" s="46"/>
      <c r="Q514" s="46"/>
      <c r="R514" s="46"/>
      <c r="S514" s="46"/>
      <c r="T514" s="46"/>
      <c r="U514" s="46"/>
      <c r="V514" s="46"/>
      <c r="W514" s="46"/>
      <c r="X514" s="46"/>
      <c r="Y514" s="46"/>
      <c r="Z514" s="46"/>
      <c r="AA514" s="46"/>
      <c r="AB514" s="46"/>
      <c r="AC514" s="46"/>
      <c r="AD514" s="46"/>
      <c r="AE514" s="46"/>
      <c r="AF514" s="46"/>
      <c r="AG514" s="127"/>
      <c r="AH514" s="127"/>
      <c r="AI514" s="127"/>
      <c r="AJ514" s="127"/>
      <c r="AK514" s="46"/>
      <c r="AL514" s="46"/>
      <c r="AM514" s="46"/>
      <c r="AN514" s="46"/>
      <c r="AO514" s="46"/>
    </row>
    <row r="515">
      <c r="A515" s="17"/>
      <c r="B515" s="46"/>
      <c r="C515" s="46"/>
      <c r="D515" s="46"/>
      <c r="E515" s="17"/>
      <c r="F515" s="46"/>
      <c r="G515" s="46"/>
      <c r="H515" s="46"/>
      <c r="I515" s="17"/>
      <c r="J515" s="46"/>
      <c r="K515" s="46"/>
      <c r="L515" s="46"/>
      <c r="M515" s="17"/>
      <c r="N515" s="46"/>
      <c r="O515" s="46"/>
      <c r="P515" s="46"/>
      <c r="Q515" s="46"/>
      <c r="R515" s="46"/>
      <c r="S515" s="46"/>
      <c r="T515" s="46"/>
      <c r="U515" s="46"/>
      <c r="V515" s="46"/>
      <c r="W515" s="46"/>
      <c r="X515" s="46"/>
      <c r="Y515" s="46"/>
      <c r="Z515" s="46"/>
      <c r="AA515" s="46"/>
      <c r="AB515" s="46"/>
      <c r="AC515" s="46"/>
      <c r="AD515" s="46"/>
      <c r="AE515" s="46"/>
      <c r="AF515" s="46"/>
      <c r="AG515" s="127"/>
      <c r="AH515" s="127"/>
      <c r="AI515" s="127"/>
      <c r="AJ515" s="127"/>
      <c r="AK515" s="46"/>
      <c r="AL515" s="46"/>
      <c r="AM515" s="46"/>
      <c r="AN515" s="46"/>
      <c r="AO515" s="46"/>
    </row>
    <row r="516">
      <c r="A516" s="17"/>
      <c r="B516" s="46"/>
      <c r="C516" s="46"/>
      <c r="D516" s="46"/>
      <c r="E516" s="17"/>
      <c r="F516" s="46"/>
      <c r="G516" s="46"/>
      <c r="H516" s="46"/>
      <c r="I516" s="17"/>
      <c r="J516" s="46"/>
      <c r="K516" s="46"/>
      <c r="L516" s="46"/>
      <c r="M516" s="17"/>
      <c r="N516" s="46"/>
      <c r="O516" s="46"/>
      <c r="P516" s="46"/>
      <c r="Q516" s="46"/>
      <c r="R516" s="46"/>
      <c r="S516" s="46"/>
      <c r="T516" s="46"/>
      <c r="U516" s="46"/>
      <c r="V516" s="46"/>
      <c r="W516" s="46"/>
      <c r="X516" s="46"/>
      <c r="Y516" s="46"/>
      <c r="Z516" s="46"/>
      <c r="AA516" s="46"/>
      <c r="AB516" s="46"/>
      <c r="AC516" s="46"/>
      <c r="AD516" s="46"/>
      <c r="AE516" s="46"/>
      <c r="AF516" s="46"/>
      <c r="AG516" s="127"/>
      <c r="AH516" s="127"/>
      <c r="AI516" s="127"/>
      <c r="AJ516" s="127"/>
      <c r="AK516" s="46"/>
      <c r="AL516" s="46"/>
      <c r="AM516" s="46"/>
      <c r="AN516" s="46"/>
      <c r="AO516" s="46"/>
    </row>
    <row r="517">
      <c r="A517" s="17"/>
      <c r="B517" s="46"/>
      <c r="C517" s="46"/>
      <c r="D517" s="46"/>
      <c r="E517" s="17"/>
      <c r="F517" s="46"/>
      <c r="G517" s="46"/>
      <c r="H517" s="46"/>
      <c r="I517" s="17"/>
      <c r="J517" s="46"/>
      <c r="K517" s="46"/>
      <c r="L517" s="46"/>
      <c r="M517" s="17"/>
      <c r="N517" s="46"/>
      <c r="O517" s="46"/>
      <c r="P517" s="46"/>
      <c r="Q517" s="46"/>
      <c r="R517" s="46"/>
      <c r="S517" s="46"/>
      <c r="T517" s="46"/>
      <c r="U517" s="46"/>
      <c r="V517" s="46"/>
      <c r="W517" s="46"/>
      <c r="X517" s="46"/>
      <c r="Y517" s="46"/>
      <c r="Z517" s="46"/>
      <c r="AA517" s="46"/>
      <c r="AB517" s="46"/>
      <c r="AC517" s="46"/>
      <c r="AD517" s="46"/>
      <c r="AE517" s="46"/>
      <c r="AF517" s="46"/>
      <c r="AG517" s="127"/>
      <c r="AH517" s="127"/>
      <c r="AI517" s="127"/>
      <c r="AJ517" s="127"/>
      <c r="AK517" s="46"/>
      <c r="AL517" s="46"/>
      <c r="AM517" s="46"/>
      <c r="AN517" s="46"/>
      <c r="AO517" s="46"/>
    </row>
    <row r="518">
      <c r="A518" s="17"/>
      <c r="B518" s="46"/>
      <c r="C518" s="46"/>
      <c r="D518" s="46"/>
      <c r="E518" s="17"/>
      <c r="F518" s="46"/>
      <c r="G518" s="46"/>
      <c r="H518" s="46"/>
      <c r="I518" s="17"/>
      <c r="J518" s="46"/>
      <c r="K518" s="46"/>
      <c r="L518" s="46"/>
      <c r="M518" s="17"/>
      <c r="N518" s="46"/>
      <c r="O518" s="46"/>
      <c r="P518" s="46"/>
      <c r="Q518" s="46"/>
      <c r="R518" s="46"/>
      <c r="S518" s="46"/>
      <c r="T518" s="46"/>
      <c r="U518" s="46"/>
      <c r="V518" s="46"/>
      <c r="W518" s="46"/>
      <c r="X518" s="46"/>
      <c r="Y518" s="46"/>
      <c r="Z518" s="46"/>
      <c r="AA518" s="46"/>
      <c r="AB518" s="46"/>
      <c r="AC518" s="46"/>
      <c r="AD518" s="46"/>
      <c r="AE518" s="46"/>
      <c r="AF518" s="46"/>
      <c r="AG518" s="127"/>
      <c r="AH518" s="127"/>
      <c r="AI518" s="127"/>
      <c r="AJ518" s="127"/>
      <c r="AK518" s="46"/>
      <c r="AL518" s="46"/>
      <c r="AM518" s="46"/>
      <c r="AN518" s="46"/>
      <c r="AO518" s="46"/>
    </row>
    <row r="519">
      <c r="A519" s="17"/>
      <c r="B519" s="46"/>
      <c r="C519" s="46"/>
      <c r="D519" s="46"/>
      <c r="E519" s="17"/>
      <c r="F519" s="46"/>
      <c r="G519" s="46"/>
      <c r="H519" s="46"/>
      <c r="I519" s="17"/>
      <c r="J519" s="46"/>
      <c r="K519" s="46"/>
      <c r="L519" s="46"/>
      <c r="M519" s="17"/>
      <c r="N519" s="46"/>
      <c r="O519" s="46"/>
      <c r="P519" s="46"/>
      <c r="Q519" s="46"/>
      <c r="R519" s="46"/>
      <c r="S519" s="46"/>
      <c r="T519" s="46"/>
      <c r="U519" s="46"/>
      <c r="V519" s="46"/>
      <c r="W519" s="46"/>
      <c r="X519" s="46"/>
      <c r="Y519" s="46"/>
      <c r="Z519" s="46"/>
      <c r="AA519" s="46"/>
      <c r="AB519" s="46"/>
      <c r="AC519" s="46"/>
      <c r="AD519" s="46"/>
      <c r="AE519" s="46"/>
      <c r="AF519" s="46"/>
      <c r="AG519" s="127"/>
      <c r="AH519" s="127"/>
      <c r="AI519" s="127"/>
      <c r="AJ519" s="127"/>
      <c r="AK519" s="46"/>
      <c r="AL519" s="46"/>
      <c r="AM519" s="46"/>
      <c r="AN519" s="46"/>
      <c r="AO519" s="46"/>
    </row>
    <row r="520">
      <c r="A520" s="17"/>
      <c r="B520" s="46"/>
      <c r="C520" s="46"/>
      <c r="D520" s="46"/>
      <c r="E520" s="17"/>
      <c r="F520" s="46"/>
      <c r="G520" s="46"/>
      <c r="H520" s="46"/>
      <c r="I520" s="17"/>
      <c r="J520" s="46"/>
      <c r="K520" s="46"/>
      <c r="L520" s="46"/>
      <c r="M520" s="17"/>
      <c r="N520" s="46"/>
      <c r="O520" s="46"/>
      <c r="P520" s="46"/>
      <c r="Q520" s="46"/>
      <c r="R520" s="46"/>
      <c r="S520" s="46"/>
      <c r="T520" s="46"/>
      <c r="U520" s="46"/>
      <c r="V520" s="46"/>
      <c r="W520" s="46"/>
      <c r="X520" s="46"/>
      <c r="Y520" s="46"/>
      <c r="Z520" s="46"/>
      <c r="AA520" s="46"/>
      <c r="AB520" s="46"/>
      <c r="AC520" s="46"/>
      <c r="AD520" s="46"/>
      <c r="AE520" s="46"/>
      <c r="AF520" s="46"/>
      <c r="AG520" s="127"/>
      <c r="AH520" s="127"/>
      <c r="AI520" s="127"/>
      <c r="AJ520" s="127"/>
      <c r="AK520" s="46"/>
      <c r="AL520" s="46"/>
      <c r="AM520" s="46"/>
      <c r="AN520" s="46"/>
      <c r="AO520" s="46"/>
    </row>
    <row r="521">
      <c r="A521" s="17"/>
      <c r="B521" s="46"/>
      <c r="C521" s="46"/>
      <c r="D521" s="46"/>
      <c r="E521" s="17"/>
      <c r="F521" s="46"/>
      <c r="G521" s="46"/>
      <c r="H521" s="46"/>
      <c r="I521" s="17"/>
      <c r="J521" s="46"/>
      <c r="K521" s="46"/>
      <c r="L521" s="46"/>
      <c r="M521" s="17"/>
      <c r="N521" s="46"/>
      <c r="O521" s="46"/>
      <c r="P521" s="46"/>
      <c r="Q521" s="46"/>
      <c r="R521" s="46"/>
      <c r="S521" s="46"/>
      <c r="T521" s="46"/>
      <c r="U521" s="46"/>
      <c r="V521" s="46"/>
      <c r="W521" s="46"/>
      <c r="X521" s="46"/>
      <c r="Y521" s="46"/>
      <c r="Z521" s="46"/>
      <c r="AA521" s="46"/>
      <c r="AB521" s="46"/>
      <c r="AC521" s="46"/>
      <c r="AD521" s="46"/>
      <c r="AE521" s="46"/>
      <c r="AF521" s="46"/>
      <c r="AG521" s="127"/>
      <c r="AH521" s="127"/>
      <c r="AI521" s="127"/>
      <c r="AJ521" s="127"/>
      <c r="AK521" s="46"/>
      <c r="AL521" s="46"/>
      <c r="AM521" s="46"/>
      <c r="AN521" s="46"/>
      <c r="AO521" s="46"/>
    </row>
    <row r="522">
      <c r="A522" s="17"/>
      <c r="B522" s="46"/>
      <c r="C522" s="46"/>
      <c r="D522" s="46"/>
      <c r="E522" s="17"/>
      <c r="F522" s="46"/>
      <c r="G522" s="46"/>
      <c r="H522" s="46"/>
      <c r="I522" s="17"/>
      <c r="J522" s="46"/>
      <c r="K522" s="46"/>
      <c r="L522" s="46"/>
      <c r="M522" s="17"/>
      <c r="N522" s="46"/>
      <c r="O522" s="46"/>
      <c r="P522" s="46"/>
      <c r="Q522" s="46"/>
      <c r="R522" s="46"/>
      <c r="S522" s="46"/>
      <c r="T522" s="46"/>
      <c r="U522" s="46"/>
      <c r="V522" s="46"/>
      <c r="W522" s="46"/>
      <c r="X522" s="46"/>
      <c r="Y522" s="46"/>
      <c r="Z522" s="46"/>
      <c r="AA522" s="46"/>
      <c r="AB522" s="46"/>
      <c r="AC522" s="46"/>
      <c r="AD522" s="46"/>
      <c r="AE522" s="46"/>
      <c r="AF522" s="46"/>
      <c r="AG522" s="127"/>
      <c r="AH522" s="127"/>
      <c r="AI522" s="127"/>
      <c r="AJ522" s="127"/>
      <c r="AK522" s="46"/>
      <c r="AL522" s="46"/>
      <c r="AM522" s="46"/>
      <c r="AN522" s="46"/>
      <c r="AO522" s="46"/>
    </row>
    <row r="523">
      <c r="A523" s="17"/>
      <c r="B523" s="46"/>
      <c r="C523" s="46"/>
      <c r="D523" s="46"/>
      <c r="E523" s="17"/>
      <c r="F523" s="46"/>
      <c r="G523" s="46"/>
      <c r="H523" s="46"/>
      <c r="I523" s="17"/>
      <c r="J523" s="46"/>
      <c r="K523" s="46"/>
      <c r="L523" s="46"/>
      <c r="M523" s="17"/>
      <c r="N523" s="46"/>
      <c r="O523" s="46"/>
      <c r="P523" s="46"/>
      <c r="Q523" s="46"/>
      <c r="R523" s="46"/>
      <c r="S523" s="46"/>
      <c r="T523" s="46"/>
      <c r="U523" s="46"/>
      <c r="V523" s="46"/>
      <c r="W523" s="46"/>
      <c r="X523" s="46"/>
      <c r="Y523" s="46"/>
      <c r="Z523" s="46"/>
      <c r="AA523" s="46"/>
      <c r="AB523" s="46"/>
      <c r="AC523" s="46"/>
      <c r="AD523" s="46"/>
      <c r="AE523" s="46"/>
      <c r="AF523" s="46"/>
      <c r="AG523" s="127"/>
      <c r="AH523" s="127"/>
      <c r="AI523" s="127"/>
      <c r="AJ523" s="127"/>
      <c r="AK523" s="46"/>
      <c r="AL523" s="46"/>
      <c r="AM523" s="46"/>
      <c r="AN523" s="46"/>
      <c r="AO523" s="46"/>
    </row>
    <row r="524">
      <c r="A524" s="17"/>
      <c r="B524" s="46"/>
      <c r="C524" s="46"/>
      <c r="D524" s="46"/>
      <c r="E524" s="17"/>
      <c r="F524" s="46"/>
      <c r="G524" s="46"/>
      <c r="H524" s="46"/>
      <c r="I524" s="17"/>
      <c r="J524" s="46"/>
      <c r="K524" s="46"/>
      <c r="L524" s="46"/>
      <c r="M524" s="17"/>
      <c r="N524" s="46"/>
      <c r="O524" s="46"/>
      <c r="P524" s="46"/>
      <c r="Q524" s="46"/>
      <c r="R524" s="46"/>
      <c r="S524" s="46"/>
      <c r="T524" s="46"/>
      <c r="U524" s="46"/>
      <c r="V524" s="46"/>
      <c r="W524" s="46"/>
      <c r="X524" s="46"/>
      <c r="Y524" s="46"/>
      <c r="Z524" s="46"/>
      <c r="AA524" s="46"/>
      <c r="AB524" s="46"/>
      <c r="AC524" s="46"/>
      <c r="AD524" s="46"/>
      <c r="AE524" s="46"/>
      <c r="AF524" s="46"/>
      <c r="AG524" s="127"/>
      <c r="AH524" s="127"/>
      <c r="AI524" s="127"/>
      <c r="AJ524" s="127"/>
      <c r="AK524" s="46"/>
      <c r="AL524" s="46"/>
      <c r="AM524" s="46"/>
      <c r="AN524" s="46"/>
      <c r="AO524" s="46"/>
    </row>
    <row r="525">
      <c r="A525" s="17"/>
      <c r="B525" s="46"/>
      <c r="C525" s="46"/>
      <c r="D525" s="46"/>
      <c r="E525" s="17"/>
      <c r="F525" s="46"/>
      <c r="G525" s="46"/>
      <c r="H525" s="46"/>
      <c r="I525" s="17"/>
      <c r="J525" s="46"/>
      <c r="K525" s="46"/>
      <c r="L525" s="46"/>
      <c r="M525" s="17"/>
      <c r="N525" s="46"/>
      <c r="O525" s="46"/>
      <c r="P525" s="46"/>
      <c r="Q525" s="46"/>
      <c r="R525" s="46"/>
      <c r="S525" s="46"/>
      <c r="T525" s="46"/>
      <c r="U525" s="46"/>
      <c r="V525" s="46"/>
      <c r="W525" s="46"/>
      <c r="X525" s="46"/>
      <c r="Y525" s="46"/>
      <c r="Z525" s="46"/>
      <c r="AA525" s="46"/>
      <c r="AB525" s="46"/>
      <c r="AC525" s="46"/>
      <c r="AD525" s="46"/>
      <c r="AE525" s="46"/>
      <c r="AF525" s="46"/>
      <c r="AG525" s="127"/>
      <c r="AH525" s="127"/>
      <c r="AI525" s="127"/>
      <c r="AJ525" s="127"/>
      <c r="AK525" s="46"/>
      <c r="AL525" s="46"/>
      <c r="AM525" s="46"/>
      <c r="AN525" s="46"/>
      <c r="AO525" s="46"/>
    </row>
    <row r="526">
      <c r="A526" s="17"/>
      <c r="B526" s="46"/>
      <c r="C526" s="46"/>
      <c r="D526" s="46"/>
      <c r="E526" s="17"/>
      <c r="F526" s="46"/>
      <c r="G526" s="46"/>
      <c r="H526" s="46"/>
      <c r="I526" s="17"/>
      <c r="J526" s="46"/>
      <c r="K526" s="46"/>
      <c r="L526" s="46"/>
      <c r="M526" s="17"/>
      <c r="N526" s="46"/>
      <c r="O526" s="46"/>
      <c r="P526" s="46"/>
      <c r="Q526" s="46"/>
      <c r="R526" s="46"/>
      <c r="S526" s="46"/>
      <c r="T526" s="46"/>
      <c r="U526" s="46"/>
      <c r="V526" s="46"/>
      <c r="W526" s="46"/>
      <c r="X526" s="46"/>
      <c r="Y526" s="46"/>
      <c r="Z526" s="46"/>
      <c r="AA526" s="46"/>
      <c r="AB526" s="46"/>
      <c r="AC526" s="46"/>
      <c r="AD526" s="46"/>
      <c r="AE526" s="46"/>
      <c r="AF526" s="46"/>
      <c r="AG526" s="127"/>
      <c r="AH526" s="127"/>
      <c r="AI526" s="127"/>
      <c r="AJ526" s="127"/>
      <c r="AK526" s="46"/>
      <c r="AL526" s="46"/>
      <c r="AM526" s="46"/>
      <c r="AN526" s="46"/>
      <c r="AO526" s="46"/>
    </row>
    <row r="527">
      <c r="A527" s="17"/>
      <c r="B527" s="46"/>
      <c r="C527" s="46"/>
      <c r="D527" s="46"/>
      <c r="E527" s="17"/>
      <c r="F527" s="46"/>
      <c r="G527" s="46"/>
      <c r="H527" s="46"/>
      <c r="I527" s="17"/>
      <c r="J527" s="46"/>
      <c r="K527" s="46"/>
      <c r="L527" s="46"/>
      <c r="M527" s="17"/>
      <c r="N527" s="46"/>
      <c r="O527" s="46"/>
      <c r="P527" s="46"/>
      <c r="Q527" s="46"/>
      <c r="R527" s="46"/>
      <c r="S527" s="46"/>
      <c r="T527" s="46"/>
      <c r="U527" s="46"/>
      <c r="V527" s="46"/>
      <c r="W527" s="46"/>
      <c r="X527" s="46"/>
      <c r="Y527" s="46"/>
      <c r="Z527" s="46"/>
      <c r="AA527" s="46"/>
      <c r="AB527" s="46"/>
      <c r="AC527" s="46"/>
      <c r="AD527" s="46"/>
      <c r="AE527" s="46"/>
      <c r="AF527" s="46"/>
      <c r="AG527" s="127"/>
      <c r="AH527" s="127"/>
      <c r="AI527" s="127"/>
      <c r="AJ527" s="127"/>
      <c r="AK527" s="46"/>
      <c r="AL527" s="46"/>
      <c r="AM527" s="46"/>
      <c r="AN527" s="46"/>
      <c r="AO527" s="46"/>
    </row>
    <row r="528">
      <c r="A528" s="17"/>
      <c r="B528" s="46"/>
      <c r="C528" s="46"/>
      <c r="D528" s="46"/>
      <c r="E528" s="17"/>
      <c r="F528" s="46"/>
      <c r="G528" s="46"/>
      <c r="H528" s="46"/>
      <c r="I528" s="17"/>
      <c r="J528" s="46"/>
      <c r="K528" s="46"/>
      <c r="L528" s="46"/>
      <c r="M528" s="17"/>
      <c r="N528" s="46"/>
      <c r="O528" s="46"/>
      <c r="P528" s="46"/>
      <c r="Q528" s="46"/>
      <c r="R528" s="46"/>
      <c r="S528" s="46"/>
      <c r="T528" s="46"/>
      <c r="U528" s="46"/>
      <c r="V528" s="46"/>
      <c r="W528" s="46"/>
      <c r="X528" s="46"/>
      <c r="Y528" s="46"/>
      <c r="Z528" s="46"/>
      <c r="AA528" s="46"/>
      <c r="AB528" s="46"/>
      <c r="AC528" s="46"/>
      <c r="AD528" s="46"/>
      <c r="AE528" s="46"/>
      <c r="AF528" s="46"/>
      <c r="AG528" s="127"/>
      <c r="AH528" s="127"/>
      <c r="AI528" s="127"/>
      <c r="AJ528" s="127"/>
      <c r="AK528" s="46"/>
      <c r="AL528" s="46"/>
      <c r="AM528" s="46"/>
      <c r="AN528" s="46"/>
      <c r="AO528" s="46"/>
    </row>
    <row r="529">
      <c r="A529" s="17"/>
      <c r="B529" s="46"/>
      <c r="C529" s="46"/>
      <c r="D529" s="46"/>
      <c r="E529" s="17"/>
      <c r="F529" s="46"/>
      <c r="G529" s="46"/>
      <c r="H529" s="46"/>
      <c r="I529" s="17"/>
      <c r="J529" s="46"/>
      <c r="K529" s="46"/>
      <c r="L529" s="46"/>
      <c r="M529" s="17"/>
      <c r="N529" s="46"/>
      <c r="O529" s="46"/>
      <c r="P529" s="46"/>
      <c r="Q529" s="46"/>
      <c r="R529" s="46"/>
      <c r="S529" s="46"/>
      <c r="T529" s="46"/>
      <c r="U529" s="46"/>
      <c r="V529" s="46"/>
      <c r="W529" s="46"/>
      <c r="X529" s="46"/>
      <c r="Y529" s="46"/>
      <c r="Z529" s="46"/>
      <c r="AA529" s="46"/>
      <c r="AB529" s="46"/>
      <c r="AC529" s="46"/>
      <c r="AD529" s="46"/>
      <c r="AE529" s="46"/>
      <c r="AF529" s="46"/>
      <c r="AG529" s="127"/>
      <c r="AH529" s="127"/>
      <c r="AI529" s="127"/>
      <c r="AJ529" s="127"/>
      <c r="AK529" s="46"/>
      <c r="AL529" s="46"/>
      <c r="AM529" s="46"/>
      <c r="AN529" s="46"/>
      <c r="AO529" s="46"/>
    </row>
    <row r="530">
      <c r="A530" s="17"/>
      <c r="B530" s="46"/>
      <c r="C530" s="46"/>
      <c r="D530" s="46"/>
      <c r="E530" s="17"/>
      <c r="F530" s="46"/>
      <c r="G530" s="46"/>
      <c r="H530" s="46"/>
      <c r="I530" s="17"/>
      <c r="J530" s="46"/>
      <c r="K530" s="46"/>
      <c r="L530" s="46"/>
      <c r="M530" s="17"/>
      <c r="N530" s="46"/>
      <c r="O530" s="46"/>
      <c r="P530" s="46"/>
      <c r="Q530" s="46"/>
      <c r="R530" s="46"/>
      <c r="S530" s="46"/>
      <c r="T530" s="46"/>
      <c r="U530" s="46"/>
      <c r="V530" s="46"/>
      <c r="W530" s="46"/>
      <c r="X530" s="46"/>
      <c r="Y530" s="46"/>
      <c r="Z530" s="46"/>
      <c r="AA530" s="46"/>
      <c r="AB530" s="46"/>
      <c r="AC530" s="46"/>
      <c r="AD530" s="46"/>
      <c r="AE530" s="46"/>
      <c r="AF530" s="46"/>
      <c r="AG530" s="127"/>
      <c r="AH530" s="127"/>
      <c r="AI530" s="127"/>
      <c r="AJ530" s="127"/>
      <c r="AK530" s="46"/>
      <c r="AL530" s="46"/>
      <c r="AM530" s="46"/>
      <c r="AN530" s="46"/>
      <c r="AO530" s="46"/>
    </row>
    <row r="531">
      <c r="A531" s="17"/>
      <c r="B531" s="46"/>
      <c r="C531" s="46"/>
      <c r="D531" s="46"/>
      <c r="E531" s="17"/>
      <c r="F531" s="46"/>
      <c r="G531" s="46"/>
      <c r="H531" s="46"/>
      <c r="I531" s="17"/>
      <c r="J531" s="46"/>
      <c r="K531" s="46"/>
      <c r="L531" s="46"/>
      <c r="M531" s="17"/>
      <c r="N531" s="46"/>
      <c r="O531" s="46"/>
      <c r="P531" s="46"/>
      <c r="Q531" s="46"/>
      <c r="R531" s="46"/>
      <c r="S531" s="46"/>
      <c r="T531" s="46"/>
      <c r="U531" s="46"/>
      <c r="V531" s="46"/>
      <c r="W531" s="46"/>
      <c r="X531" s="46"/>
      <c r="Y531" s="46"/>
      <c r="Z531" s="46"/>
      <c r="AA531" s="46"/>
      <c r="AB531" s="46"/>
      <c r="AC531" s="46"/>
      <c r="AD531" s="46"/>
      <c r="AE531" s="46"/>
      <c r="AF531" s="46"/>
      <c r="AG531" s="127"/>
      <c r="AH531" s="127"/>
      <c r="AI531" s="127"/>
      <c r="AJ531" s="127"/>
      <c r="AK531" s="46"/>
      <c r="AL531" s="46"/>
      <c r="AM531" s="46"/>
      <c r="AN531" s="46"/>
      <c r="AO531" s="46"/>
    </row>
    <row r="532">
      <c r="A532" s="17"/>
      <c r="B532" s="46"/>
      <c r="C532" s="46"/>
      <c r="D532" s="46"/>
      <c r="E532" s="17"/>
      <c r="F532" s="46"/>
      <c r="G532" s="46"/>
      <c r="H532" s="46"/>
      <c r="I532" s="17"/>
      <c r="J532" s="46"/>
      <c r="K532" s="46"/>
      <c r="L532" s="46"/>
      <c r="M532" s="17"/>
      <c r="N532" s="46"/>
      <c r="O532" s="46"/>
      <c r="P532" s="46"/>
      <c r="Q532" s="46"/>
      <c r="R532" s="46"/>
      <c r="S532" s="46"/>
      <c r="T532" s="46"/>
      <c r="U532" s="46"/>
      <c r="V532" s="46"/>
      <c r="W532" s="46"/>
      <c r="X532" s="46"/>
      <c r="Y532" s="46"/>
      <c r="Z532" s="46"/>
      <c r="AA532" s="46"/>
      <c r="AB532" s="46"/>
      <c r="AC532" s="46"/>
      <c r="AD532" s="46"/>
      <c r="AE532" s="46"/>
      <c r="AF532" s="46"/>
      <c r="AG532" s="127"/>
      <c r="AH532" s="127"/>
      <c r="AI532" s="127"/>
      <c r="AJ532" s="127"/>
      <c r="AK532" s="46"/>
      <c r="AL532" s="46"/>
      <c r="AM532" s="46"/>
      <c r="AN532" s="46"/>
      <c r="AO532" s="46"/>
    </row>
    <row r="533">
      <c r="A533" s="17"/>
      <c r="B533" s="46"/>
      <c r="C533" s="46"/>
      <c r="D533" s="46"/>
      <c r="E533" s="17"/>
      <c r="F533" s="46"/>
      <c r="G533" s="46"/>
      <c r="H533" s="46"/>
      <c r="I533" s="17"/>
      <c r="J533" s="46"/>
      <c r="K533" s="46"/>
      <c r="L533" s="46"/>
      <c r="M533" s="17"/>
      <c r="N533" s="46"/>
      <c r="O533" s="46"/>
      <c r="P533" s="46"/>
      <c r="Q533" s="46"/>
      <c r="R533" s="46"/>
      <c r="S533" s="46"/>
      <c r="T533" s="46"/>
      <c r="U533" s="46"/>
      <c r="V533" s="46"/>
      <c r="W533" s="46"/>
      <c r="X533" s="46"/>
      <c r="Y533" s="46"/>
      <c r="Z533" s="46"/>
      <c r="AA533" s="46"/>
      <c r="AB533" s="46"/>
      <c r="AC533" s="46"/>
      <c r="AD533" s="46"/>
      <c r="AE533" s="46"/>
      <c r="AF533" s="46"/>
      <c r="AG533" s="127"/>
      <c r="AH533" s="127"/>
      <c r="AI533" s="127"/>
      <c r="AJ533" s="127"/>
      <c r="AK533" s="46"/>
      <c r="AL533" s="46"/>
      <c r="AM533" s="46"/>
      <c r="AN533" s="46"/>
      <c r="AO533" s="46"/>
    </row>
    <row r="534">
      <c r="A534" s="17"/>
      <c r="B534" s="46"/>
      <c r="C534" s="46"/>
      <c r="D534" s="46"/>
      <c r="E534" s="17"/>
      <c r="F534" s="46"/>
      <c r="G534" s="46"/>
      <c r="H534" s="46"/>
      <c r="I534" s="17"/>
      <c r="J534" s="46"/>
      <c r="K534" s="46"/>
      <c r="L534" s="46"/>
      <c r="M534" s="17"/>
      <c r="N534" s="46"/>
      <c r="O534" s="46"/>
      <c r="P534" s="46"/>
      <c r="Q534" s="46"/>
      <c r="R534" s="46"/>
      <c r="S534" s="46"/>
      <c r="T534" s="46"/>
      <c r="U534" s="46"/>
      <c r="V534" s="46"/>
      <c r="W534" s="46"/>
      <c r="X534" s="46"/>
      <c r="Y534" s="46"/>
      <c r="Z534" s="46"/>
      <c r="AA534" s="46"/>
      <c r="AB534" s="46"/>
      <c r="AC534" s="46"/>
      <c r="AD534" s="46"/>
      <c r="AE534" s="46"/>
      <c r="AF534" s="46"/>
      <c r="AG534" s="127"/>
      <c r="AH534" s="127"/>
      <c r="AI534" s="127"/>
      <c r="AJ534" s="127"/>
      <c r="AK534" s="46"/>
      <c r="AL534" s="46"/>
      <c r="AM534" s="46"/>
      <c r="AN534" s="46"/>
      <c r="AO534" s="46"/>
    </row>
    <row r="535">
      <c r="A535" s="17"/>
      <c r="B535" s="46"/>
      <c r="C535" s="46"/>
      <c r="D535" s="46"/>
      <c r="E535" s="17"/>
      <c r="F535" s="46"/>
      <c r="G535" s="46"/>
      <c r="H535" s="46"/>
      <c r="I535" s="17"/>
      <c r="J535" s="46"/>
      <c r="K535" s="46"/>
      <c r="L535" s="46"/>
      <c r="M535" s="17"/>
      <c r="N535" s="46"/>
      <c r="O535" s="46"/>
      <c r="P535" s="46"/>
      <c r="Q535" s="46"/>
      <c r="R535" s="46"/>
      <c r="S535" s="46"/>
      <c r="T535" s="46"/>
      <c r="U535" s="46"/>
      <c r="V535" s="46"/>
      <c r="W535" s="46"/>
      <c r="X535" s="46"/>
      <c r="Y535" s="46"/>
      <c r="Z535" s="46"/>
      <c r="AA535" s="46"/>
      <c r="AB535" s="46"/>
      <c r="AC535" s="46"/>
      <c r="AD535" s="46"/>
      <c r="AE535" s="46"/>
      <c r="AF535" s="46"/>
      <c r="AG535" s="127"/>
      <c r="AH535" s="127"/>
      <c r="AI535" s="127"/>
      <c r="AJ535" s="127"/>
      <c r="AK535" s="46"/>
      <c r="AL535" s="46"/>
      <c r="AM535" s="46"/>
      <c r="AN535" s="46"/>
      <c r="AO535" s="46"/>
    </row>
    <row r="536">
      <c r="A536" s="17"/>
      <c r="B536" s="46"/>
      <c r="C536" s="46"/>
      <c r="D536" s="46"/>
      <c r="E536" s="17"/>
      <c r="F536" s="46"/>
      <c r="G536" s="46"/>
      <c r="H536" s="46"/>
      <c r="I536" s="17"/>
      <c r="J536" s="46"/>
      <c r="K536" s="46"/>
      <c r="L536" s="46"/>
      <c r="M536" s="17"/>
      <c r="N536" s="46"/>
      <c r="O536" s="46"/>
      <c r="P536" s="46"/>
      <c r="Q536" s="46"/>
      <c r="R536" s="46"/>
      <c r="S536" s="46"/>
      <c r="T536" s="46"/>
      <c r="U536" s="46"/>
      <c r="V536" s="46"/>
      <c r="W536" s="46"/>
      <c r="X536" s="46"/>
      <c r="Y536" s="46"/>
      <c r="Z536" s="46"/>
      <c r="AA536" s="46"/>
      <c r="AB536" s="46"/>
      <c r="AC536" s="46"/>
      <c r="AD536" s="46"/>
      <c r="AE536" s="46"/>
      <c r="AF536" s="46"/>
      <c r="AG536" s="127"/>
      <c r="AH536" s="127"/>
      <c r="AI536" s="127"/>
      <c r="AJ536" s="127"/>
      <c r="AK536" s="46"/>
      <c r="AL536" s="46"/>
      <c r="AM536" s="46"/>
      <c r="AN536" s="46"/>
      <c r="AO536" s="46"/>
    </row>
    <row r="537">
      <c r="A537" s="17"/>
      <c r="B537" s="46"/>
      <c r="C537" s="46"/>
      <c r="D537" s="46"/>
      <c r="E537" s="17"/>
      <c r="F537" s="46"/>
      <c r="G537" s="46"/>
      <c r="H537" s="46"/>
      <c r="I537" s="17"/>
      <c r="J537" s="46"/>
      <c r="K537" s="46"/>
      <c r="L537" s="46"/>
      <c r="M537" s="17"/>
      <c r="N537" s="46"/>
      <c r="O537" s="46"/>
      <c r="P537" s="46"/>
      <c r="Q537" s="46"/>
      <c r="R537" s="46"/>
      <c r="S537" s="46"/>
      <c r="T537" s="46"/>
      <c r="U537" s="46"/>
      <c r="V537" s="46"/>
      <c r="W537" s="46"/>
      <c r="X537" s="46"/>
      <c r="Y537" s="46"/>
      <c r="Z537" s="46"/>
      <c r="AA537" s="46"/>
      <c r="AB537" s="46"/>
      <c r="AC537" s="46"/>
      <c r="AD537" s="46"/>
      <c r="AE537" s="46"/>
      <c r="AF537" s="46"/>
      <c r="AG537" s="127"/>
      <c r="AH537" s="127"/>
      <c r="AI537" s="127"/>
      <c r="AJ537" s="127"/>
      <c r="AK537" s="46"/>
      <c r="AL537" s="46"/>
      <c r="AM537" s="46"/>
      <c r="AN537" s="46"/>
      <c r="AO537" s="46"/>
    </row>
    <row r="538">
      <c r="A538" s="17"/>
      <c r="B538" s="46"/>
      <c r="C538" s="46"/>
      <c r="D538" s="46"/>
      <c r="E538" s="17"/>
      <c r="F538" s="46"/>
      <c r="G538" s="46"/>
      <c r="H538" s="46"/>
      <c r="I538" s="17"/>
      <c r="J538" s="46"/>
      <c r="K538" s="46"/>
      <c r="L538" s="46"/>
      <c r="M538" s="17"/>
      <c r="N538" s="46"/>
      <c r="O538" s="46"/>
      <c r="P538" s="46"/>
      <c r="Q538" s="46"/>
      <c r="R538" s="46"/>
      <c r="S538" s="46"/>
      <c r="T538" s="46"/>
      <c r="U538" s="46"/>
      <c r="V538" s="46"/>
      <c r="W538" s="46"/>
      <c r="X538" s="46"/>
      <c r="Y538" s="46"/>
      <c r="Z538" s="46"/>
      <c r="AA538" s="46"/>
      <c r="AB538" s="46"/>
      <c r="AC538" s="46"/>
      <c r="AD538" s="46"/>
      <c r="AE538" s="46"/>
      <c r="AF538" s="46"/>
      <c r="AG538" s="127"/>
      <c r="AH538" s="127"/>
      <c r="AI538" s="127"/>
      <c r="AJ538" s="127"/>
      <c r="AK538" s="46"/>
      <c r="AL538" s="46"/>
      <c r="AM538" s="46"/>
      <c r="AN538" s="46"/>
      <c r="AO538" s="46"/>
    </row>
    <row r="539">
      <c r="A539" s="17"/>
      <c r="B539" s="46"/>
      <c r="C539" s="46"/>
      <c r="D539" s="46"/>
      <c r="E539" s="17"/>
      <c r="F539" s="46"/>
      <c r="G539" s="46"/>
      <c r="H539" s="46"/>
      <c r="I539" s="17"/>
      <c r="J539" s="46"/>
      <c r="K539" s="46"/>
      <c r="L539" s="46"/>
      <c r="M539" s="17"/>
      <c r="N539" s="46"/>
      <c r="O539" s="46"/>
      <c r="P539" s="46"/>
      <c r="Q539" s="46"/>
      <c r="R539" s="46"/>
      <c r="S539" s="46"/>
      <c r="T539" s="46"/>
      <c r="U539" s="46"/>
      <c r="V539" s="46"/>
      <c r="W539" s="46"/>
      <c r="X539" s="46"/>
      <c r="Y539" s="46"/>
      <c r="Z539" s="46"/>
      <c r="AA539" s="46"/>
      <c r="AB539" s="46"/>
      <c r="AC539" s="46"/>
      <c r="AD539" s="46"/>
      <c r="AE539" s="46"/>
      <c r="AF539" s="46"/>
      <c r="AG539" s="127"/>
      <c r="AH539" s="127"/>
      <c r="AI539" s="127"/>
      <c r="AJ539" s="127"/>
      <c r="AK539" s="46"/>
      <c r="AL539" s="46"/>
      <c r="AM539" s="46"/>
      <c r="AN539" s="46"/>
      <c r="AO539" s="46"/>
    </row>
    <row r="540">
      <c r="A540" s="17"/>
      <c r="B540" s="46"/>
      <c r="C540" s="46"/>
      <c r="D540" s="46"/>
      <c r="E540" s="17"/>
      <c r="F540" s="46"/>
      <c r="G540" s="46"/>
      <c r="H540" s="46"/>
      <c r="I540" s="17"/>
      <c r="J540" s="46"/>
      <c r="K540" s="46"/>
      <c r="L540" s="46"/>
      <c r="M540" s="17"/>
      <c r="N540" s="46"/>
      <c r="O540" s="46"/>
      <c r="P540" s="46"/>
      <c r="Q540" s="46"/>
      <c r="R540" s="46"/>
      <c r="S540" s="46"/>
      <c r="T540" s="46"/>
      <c r="U540" s="46"/>
      <c r="V540" s="46"/>
      <c r="W540" s="46"/>
      <c r="X540" s="46"/>
      <c r="Y540" s="46"/>
      <c r="Z540" s="46"/>
      <c r="AA540" s="46"/>
      <c r="AB540" s="46"/>
      <c r="AC540" s="46"/>
      <c r="AD540" s="46"/>
      <c r="AE540" s="46"/>
      <c r="AF540" s="46"/>
      <c r="AG540" s="127"/>
      <c r="AH540" s="127"/>
      <c r="AI540" s="127"/>
      <c r="AJ540" s="127"/>
      <c r="AK540" s="46"/>
      <c r="AL540" s="46"/>
      <c r="AM540" s="46"/>
      <c r="AN540" s="46"/>
      <c r="AO540" s="46"/>
    </row>
    <row r="541">
      <c r="A541" s="17"/>
      <c r="B541" s="46"/>
      <c r="C541" s="46"/>
      <c r="D541" s="46"/>
      <c r="E541" s="17"/>
      <c r="F541" s="46"/>
      <c r="G541" s="46"/>
      <c r="H541" s="46"/>
      <c r="I541" s="17"/>
      <c r="J541" s="46"/>
      <c r="K541" s="46"/>
      <c r="L541" s="46"/>
      <c r="M541" s="17"/>
      <c r="N541" s="46"/>
      <c r="O541" s="46"/>
      <c r="P541" s="46"/>
      <c r="Q541" s="46"/>
      <c r="R541" s="46"/>
      <c r="S541" s="46"/>
      <c r="T541" s="46"/>
      <c r="U541" s="46"/>
      <c r="V541" s="46"/>
      <c r="W541" s="46"/>
      <c r="X541" s="46"/>
      <c r="Y541" s="46"/>
      <c r="Z541" s="46"/>
      <c r="AA541" s="46"/>
      <c r="AB541" s="46"/>
      <c r="AC541" s="46"/>
      <c r="AD541" s="46"/>
      <c r="AE541" s="46"/>
      <c r="AF541" s="46"/>
      <c r="AG541" s="127"/>
      <c r="AH541" s="127"/>
      <c r="AI541" s="127"/>
      <c r="AJ541" s="127"/>
      <c r="AK541" s="46"/>
      <c r="AL541" s="46"/>
      <c r="AM541" s="46"/>
      <c r="AN541" s="46"/>
      <c r="AO541" s="46"/>
    </row>
    <row r="542">
      <c r="A542" s="17"/>
      <c r="B542" s="46"/>
      <c r="C542" s="46"/>
      <c r="D542" s="46"/>
      <c r="E542" s="17"/>
      <c r="F542" s="46"/>
      <c r="G542" s="46"/>
      <c r="H542" s="46"/>
      <c r="I542" s="17"/>
      <c r="J542" s="46"/>
      <c r="K542" s="46"/>
      <c r="L542" s="46"/>
      <c r="M542" s="17"/>
      <c r="N542" s="46"/>
      <c r="O542" s="46"/>
      <c r="P542" s="46"/>
      <c r="Q542" s="46"/>
      <c r="R542" s="46"/>
      <c r="S542" s="46"/>
      <c r="T542" s="46"/>
      <c r="U542" s="46"/>
      <c r="V542" s="46"/>
      <c r="W542" s="46"/>
      <c r="X542" s="46"/>
      <c r="Y542" s="46"/>
      <c r="Z542" s="46"/>
      <c r="AA542" s="46"/>
      <c r="AB542" s="46"/>
      <c r="AC542" s="46"/>
      <c r="AD542" s="46"/>
      <c r="AE542" s="46"/>
      <c r="AF542" s="46"/>
      <c r="AG542" s="127"/>
      <c r="AH542" s="127"/>
      <c r="AI542" s="127"/>
      <c r="AJ542" s="127"/>
      <c r="AK542" s="46"/>
      <c r="AL542" s="46"/>
      <c r="AM542" s="46"/>
      <c r="AN542" s="46"/>
      <c r="AO542" s="46"/>
    </row>
    <row r="543">
      <c r="A543" s="17"/>
      <c r="B543" s="46"/>
      <c r="C543" s="46"/>
      <c r="D543" s="46"/>
      <c r="E543" s="17"/>
      <c r="F543" s="46"/>
      <c r="G543" s="46"/>
      <c r="H543" s="46"/>
      <c r="I543" s="17"/>
      <c r="J543" s="46"/>
      <c r="K543" s="46"/>
      <c r="L543" s="46"/>
      <c r="M543" s="17"/>
      <c r="N543" s="46"/>
      <c r="O543" s="46"/>
      <c r="P543" s="46"/>
      <c r="Q543" s="46"/>
      <c r="R543" s="46"/>
      <c r="S543" s="46"/>
      <c r="T543" s="46"/>
      <c r="U543" s="46"/>
      <c r="V543" s="46"/>
      <c r="W543" s="46"/>
      <c r="X543" s="46"/>
      <c r="Y543" s="46"/>
      <c r="Z543" s="46"/>
      <c r="AA543" s="46"/>
      <c r="AB543" s="46"/>
      <c r="AC543" s="46"/>
      <c r="AD543" s="46"/>
      <c r="AE543" s="46"/>
      <c r="AF543" s="46"/>
      <c r="AG543" s="127"/>
      <c r="AH543" s="127"/>
      <c r="AI543" s="127"/>
      <c r="AJ543" s="127"/>
      <c r="AK543" s="46"/>
      <c r="AL543" s="46"/>
      <c r="AM543" s="46"/>
      <c r="AN543" s="46"/>
      <c r="AO543" s="46"/>
    </row>
    <row r="544">
      <c r="A544" s="17"/>
      <c r="B544" s="46"/>
      <c r="C544" s="46"/>
      <c r="D544" s="46"/>
      <c r="E544" s="17"/>
      <c r="F544" s="46"/>
      <c r="G544" s="46"/>
      <c r="H544" s="46"/>
      <c r="I544" s="17"/>
      <c r="J544" s="46"/>
      <c r="K544" s="46"/>
      <c r="L544" s="46"/>
      <c r="M544" s="17"/>
      <c r="N544" s="46"/>
      <c r="O544" s="46"/>
      <c r="P544" s="46"/>
      <c r="Q544" s="46"/>
      <c r="R544" s="46"/>
      <c r="S544" s="46"/>
      <c r="T544" s="46"/>
      <c r="U544" s="46"/>
      <c r="V544" s="46"/>
      <c r="W544" s="46"/>
      <c r="X544" s="46"/>
      <c r="Y544" s="46"/>
      <c r="Z544" s="46"/>
      <c r="AA544" s="46"/>
      <c r="AB544" s="46"/>
      <c r="AC544" s="46"/>
      <c r="AD544" s="46"/>
      <c r="AE544" s="46"/>
      <c r="AF544" s="46"/>
      <c r="AG544" s="127"/>
      <c r="AH544" s="127"/>
      <c r="AI544" s="127"/>
      <c r="AJ544" s="127"/>
      <c r="AK544" s="46"/>
      <c r="AL544" s="46"/>
      <c r="AM544" s="46"/>
      <c r="AN544" s="46"/>
      <c r="AO544" s="46"/>
    </row>
    <row r="545">
      <c r="A545" s="17"/>
      <c r="B545" s="46"/>
      <c r="C545" s="46"/>
      <c r="D545" s="46"/>
      <c r="E545" s="17"/>
      <c r="F545" s="46"/>
      <c r="G545" s="46"/>
      <c r="H545" s="46"/>
      <c r="I545" s="17"/>
      <c r="J545" s="46"/>
      <c r="K545" s="46"/>
      <c r="L545" s="46"/>
      <c r="M545" s="17"/>
      <c r="N545" s="46"/>
      <c r="O545" s="46"/>
      <c r="P545" s="46"/>
      <c r="Q545" s="46"/>
      <c r="R545" s="46"/>
      <c r="S545" s="46"/>
      <c r="T545" s="46"/>
      <c r="U545" s="46"/>
      <c r="V545" s="46"/>
      <c r="W545" s="46"/>
      <c r="X545" s="46"/>
      <c r="Y545" s="46"/>
      <c r="Z545" s="46"/>
      <c r="AA545" s="46"/>
      <c r="AB545" s="46"/>
      <c r="AC545" s="46"/>
      <c r="AD545" s="46"/>
      <c r="AE545" s="46"/>
      <c r="AF545" s="46"/>
      <c r="AG545" s="127"/>
      <c r="AH545" s="127"/>
      <c r="AI545" s="127"/>
      <c r="AJ545" s="127"/>
      <c r="AK545" s="46"/>
      <c r="AL545" s="46"/>
      <c r="AM545" s="46"/>
      <c r="AN545" s="46"/>
      <c r="AO545" s="46"/>
    </row>
    <row r="546">
      <c r="A546" s="17"/>
      <c r="B546" s="46"/>
      <c r="C546" s="46"/>
      <c r="D546" s="46"/>
      <c r="E546" s="17"/>
      <c r="F546" s="46"/>
      <c r="G546" s="46"/>
      <c r="H546" s="46"/>
      <c r="I546" s="17"/>
      <c r="J546" s="46"/>
      <c r="K546" s="46"/>
      <c r="L546" s="46"/>
      <c r="M546" s="17"/>
      <c r="N546" s="46"/>
      <c r="O546" s="46"/>
      <c r="P546" s="46"/>
      <c r="Q546" s="46"/>
      <c r="R546" s="46"/>
      <c r="S546" s="46"/>
      <c r="T546" s="46"/>
      <c r="U546" s="46"/>
      <c r="V546" s="46"/>
      <c r="W546" s="46"/>
      <c r="X546" s="46"/>
      <c r="Y546" s="46"/>
      <c r="Z546" s="46"/>
      <c r="AA546" s="46"/>
      <c r="AB546" s="46"/>
      <c r="AC546" s="46"/>
      <c r="AD546" s="46"/>
      <c r="AE546" s="46"/>
      <c r="AF546" s="46"/>
      <c r="AG546" s="127"/>
      <c r="AH546" s="127"/>
      <c r="AI546" s="127"/>
      <c r="AJ546" s="127"/>
      <c r="AK546" s="46"/>
      <c r="AL546" s="46"/>
      <c r="AM546" s="46"/>
      <c r="AN546" s="46"/>
      <c r="AO546" s="46"/>
    </row>
    <row r="547">
      <c r="A547" s="17"/>
      <c r="B547" s="46"/>
      <c r="C547" s="46"/>
      <c r="D547" s="46"/>
      <c r="E547" s="17"/>
      <c r="F547" s="46"/>
      <c r="G547" s="46"/>
      <c r="H547" s="46"/>
      <c r="I547" s="17"/>
      <c r="J547" s="46"/>
      <c r="K547" s="46"/>
      <c r="L547" s="46"/>
      <c r="M547" s="17"/>
      <c r="N547" s="46"/>
      <c r="O547" s="46"/>
      <c r="P547" s="46"/>
      <c r="Q547" s="46"/>
      <c r="R547" s="46"/>
      <c r="S547" s="46"/>
      <c r="T547" s="46"/>
      <c r="U547" s="46"/>
      <c r="V547" s="46"/>
      <c r="W547" s="46"/>
      <c r="X547" s="46"/>
      <c r="Y547" s="46"/>
      <c r="Z547" s="46"/>
      <c r="AA547" s="46"/>
      <c r="AB547" s="46"/>
      <c r="AC547" s="46"/>
      <c r="AD547" s="46"/>
      <c r="AE547" s="46"/>
      <c r="AF547" s="46"/>
      <c r="AG547" s="127"/>
      <c r="AH547" s="127"/>
      <c r="AI547" s="127"/>
      <c r="AJ547" s="127"/>
      <c r="AK547" s="46"/>
      <c r="AL547" s="46"/>
      <c r="AM547" s="46"/>
      <c r="AN547" s="46"/>
      <c r="AO547" s="46"/>
    </row>
    <row r="548">
      <c r="A548" s="17"/>
      <c r="B548" s="46"/>
      <c r="C548" s="46"/>
      <c r="D548" s="46"/>
      <c r="E548" s="17"/>
      <c r="F548" s="46"/>
      <c r="G548" s="46"/>
      <c r="H548" s="46"/>
      <c r="I548" s="17"/>
      <c r="J548" s="46"/>
      <c r="K548" s="46"/>
      <c r="L548" s="46"/>
      <c r="M548" s="17"/>
      <c r="N548" s="46"/>
      <c r="O548" s="46"/>
      <c r="P548" s="46"/>
      <c r="Q548" s="46"/>
      <c r="R548" s="46"/>
      <c r="S548" s="46"/>
      <c r="T548" s="46"/>
      <c r="U548" s="46"/>
      <c r="V548" s="46"/>
      <c r="W548" s="46"/>
      <c r="X548" s="46"/>
      <c r="Y548" s="46"/>
      <c r="Z548" s="46"/>
      <c r="AA548" s="46"/>
      <c r="AB548" s="46"/>
      <c r="AC548" s="46"/>
      <c r="AD548" s="46"/>
      <c r="AE548" s="46"/>
      <c r="AF548" s="46"/>
      <c r="AG548" s="127"/>
      <c r="AH548" s="127"/>
      <c r="AI548" s="127"/>
      <c r="AJ548" s="127"/>
      <c r="AK548" s="46"/>
      <c r="AL548" s="46"/>
      <c r="AM548" s="46"/>
      <c r="AN548" s="46"/>
      <c r="AO548" s="46"/>
    </row>
    <row r="549">
      <c r="A549" s="17"/>
      <c r="B549" s="46"/>
      <c r="C549" s="46"/>
      <c r="D549" s="46"/>
      <c r="E549" s="17"/>
      <c r="F549" s="46"/>
      <c r="G549" s="46"/>
      <c r="H549" s="46"/>
      <c r="I549" s="17"/>
      <c r="J549" s="46"/>
      <c r="K549" s="46"/>
      <c r="L549" s="46"/>
      <c r="M549" s="17"/>
      <c r="N549" s="46"/>
      <c r="O549" s="46"/>
      <c r="P549" s="46"/>
      <c r="Q549" s="46"/>
      <c r="R549" s="46"/>
      <c r="S549" s="46"/>
      <c r="T549" s="46"/>
      <c r="U549" s="46"/>
      <c r="V549" s="46"/>
      <c r="W549" s="46"/>
      <c r="X549" s="46"/>
      <c r="Y549" s="46"/>
      <c r="Z549" s="46"/>
      <c r="AA549" s="46"/>
      <c r="AB549" s="46"/>
      <c r="AC549" s="46"/>
      <c r="AD549" s="46"/>
      <c r="AE549" s="46"/>
      <c r="AF549" s="46"/>
      <c r="AG549" s="127"/>
      <c r="AH549" s="127"/>
      <c r="AI549" s="127"/>
      <c r="AJ549" s="127"/>
      <c r="AK549" s="46"/>
      <c r="AL549" s="46"/>
      <c r="AM549" s="46"/>
      <c r="AN549" s="46"/>
      <c r="AO549" s="46"/>
    </row>
    <row r="550">
      <c r="A550" s="17"/>
      <c r="B550" s="46"/>
      <c r="C550" s="46"/>
      <c r="D550" s="46"/>
      <c r="E550" s="17"/>
      <c r="F550" s="46"/>
      <c r="G550" s="46"/>
      <c r="H550" s="46"/>
      <c r="I550" s="17"/>
      <c r="J550" s="46"/>
      <c r="K550" s="46"/>
      <c r="L550" s="46"/>
      <c r="M550" s="17"/>
      <c r="N550" s="46"/>
      <c r="O550" s="46"/>
      <c r="P550" s="46"/>
      <c r="Q550" s="46"/>
      <c r="R550" s="46"/>
      <c r="S550" s="46"/>
      <c r="T550" s="46"/>
      <c r="U550" s="46"/>
      <c r="V550" s="46"/>
      <c r="W550" s="46"/>
      <c r="X550" s="46"/>
      <c r="Y550" s="46"/>
      <c r="Z550" s="46"/>
      <c r="AA550" s="46"/>
      <c r="AB550" s="46"/>
      <c r="AC550" s="46"/>
      <c r="AD550" s="46"/>
      <c r="AE550" s="46"/>
      <c r="AF550" s="46"/>
      <c r="AG550" s="127"/>
      <c r="AH550" s="127"/>
      <c r="AI550" s="127"/>
      <c r="AJ550" s="127"/>
      <c r="AK550" s="46"/>
      <c r="AL550" s="46"/>
      <c r="AM550" s="46"/>
      <c r="AN550" s="46"/>
      <c r="AO550" s="46"/>
    </row>
    <row r="551">
      <c r="A551" s="17"/>
      <c r="B551" s="46"/>
      <c r="C551" s="46"/>
      <c r="D551" s="46"/>
      <c r="E551" s="17"/>
      <c r="F551" s="46"/>
      <c r="G551" s="46"/>
      <c r="H551" s="46"/>
      <c r="I551" s="17"/>
      <c r="J551" s="46"/>
      <c r="K551" s="46"/>
      <c r="L551" s="46"/>
      <c r="M551" s="17"/>
      <c r="N551" s="46"/>
      <c r="O551" s="46"/>
      <c r="P551" s="46"/>
      <c r="Q551" s="46"/>
      <c r="R551" s="46"/>
      <c r="S551" s="46"/>
      <c r="T551" s="46"/>
      <c r="U551" s="46"/>
      <c r="V551" s="46"/>
      <c r="W551" s="46"/>
      <c r="X551" s="46"/>
      <c r="Y551" s="46"/>
      <c r="Z551" s="46"/>
      <c r="AA551" s="46"/>
      <c r="AB551" s="46"/>
      <c r="AC551" s="46"/>
      <c r="AD551" s="46"/>
      <c r="AE551" s="46"/>
      <c r="AF551" s="46"/>
      <c r="AG551" s="127"/>
      <c r="AH551" s="127"/>
      <c r="AI551" s="127"/>
      <c r="AJ551" s="127"/>
      <c r="AK551" s="46"/>
      <c r="AL551" s="46"/>
      <c r="AM551" s="46"/>
      <c r="AN551" s="46"/>
      <c r="AO551" s="46"/>
    </row>
    <row r="552">
      <c r="A552" s="17"/>
      <c r="B552" s="46"/>
      <c r="C552" s="46"/>
      <c r="D552" s="46"/>
      <c r="E552" s="17"/>
      <c r="F552" s="46"/>
      <c r="G552" s="46"/>
      <c r="H552" s="46"/>
      <c r="I552" s="17"/>
      <c r="J552" s="46"/>
      <c r="K552" s="46"/>
      <c r="L552" s="46"/>
      <c r="M552" s="17"/>
      <c r="N552" s="46"/>
      <c r="O552" s="46"/>
      <c r="P552" s="46"/>
      <c r="Q552" s="46"/>
      <c r="R552" s="46"/>
      <c r="S552" s="46"/>
      <c r="T552" s="46"/>
      <c r="U552" s="46"/>
      <c r="V552" s="46"/>
      <c r="W552" s="46"/>
      <c r="X552" s="46"/>
      <c r="Y552" s="46"/>
      <c r="Z552" s="46"/>
      <c r="AA552" s="46"/>
      <c r="AB552" s="46"/>
      <c r="AC552" s="46"/>
      <c r="AD552" s="46"/>
      <c r="AE552" s="46"/>
      <c r="AF552" s="46"/>
      <c r="AG552" s="127"/>
      <c r="AH552" s="127"/>
      <c r="AI552" s="127"/>
      <c r="AJ552" s="127"/>
      <c r="AK552" s="46"/>
      <c r="AL552" s="46"/>
      <c r="AM552" s="46"/>
      <c r="AN552" s="46"/>
      <c r="AO552" s="46"/>
    </row>
    <row r="553">
      <c r="A553" s="17"/>
      <c r="B553" s="46"/>
      <c r="C553" s="46"/>
      <c r="D553" s="46"/>
      <c r="E553" s="17"/>
      <c r="F553" s="46"/>
      <c r="G553" s="46"/>
      <c r="H553" s="46"/>
      <c r="I553" s="17"/>
      <c r="J553" s="46"/>
      <c r="K553" s="46"/>
      <c r="L553" s="46"/>
      <c r="M553" s="17"/>
      <c r="N553" s="46"/>
      <c r="O553" s="46"/>
      <c r="P553" s="46"/>
      <c r="Q553" s="46"/>
      <c r="R553" s="46"/>
      <c r="S553" s="46"/>
      <c r="T553" s="46"/>
      <c r="U553" s="46"/>
      <c r="V553" s="46"/>
      <c r="W553" s="46"/>
      <c r="X553" s="46"/>
      <c r="Y553" s="46"/>
      <c r="Z553" s="46"/>
      <c r="AA553" s="46"/>
      <c r="AB553" s="46"/>
      <c r="AC553" s="46"/>
      <c r="AD553" s="46"/>
      <c r="AE553" s="46"/>
      <c r="AF553" s="46"/>
      <c r="AG553" s="127"/>
      <c r="AH553" s="127"/>
      <c r="AI553" s="127"/>
      <c r="AJ553" s="127"/>
      <c r="AK553" s="46"/>
      <c r="AL553" s="46"/>
      <c r="AM553" s="46"/>
      <c r="AN553" s="46"/>
      <c r="AO553" s="46"/>
    </row>
    <row r="554">
      <c r="A554" s="17"/>
      <c r="B554" s="46"/>
      <c r="C554" s="46"/>
      <c r="D554" s="46"/>
      <c r="E554" s="17"/>
      <c r="F554" s="46"/>
      <c r="G554" s="46"/>
      <c r="H554" s="46"/>
      <c r="I554" s="17"/>
      <c r="J554" s="46"/>
      <c r="K554" s="46"/>
      <c r="L554" s="46"/>
      <c r="M554" s="17"/>
      <c r="N554" s="46"/>
      <c r="O554" s="46"/>
      <c r="P554" s="46"/>
      <c r="Q554" s="46"/>
      <c r="R554" s="46"/>
      <c r="S554" s="46"/>
      <c r="T554" s="46"/>
      <c r="U554" s="46"/>
      <c r="V554" s="46"/>
      <c r="W554" s="46"/>
      <c r="X554" s="46"/>
      <c r="Y554" s="46"/>
      <c r="Z554" s="46"/>
      <c r="AA554" s="46"/>
      <c r="AB554" s="46"/>
      <c r="AC554" s="46"/>
      <c r="AD554" s="46"/>
      <c r="AE554" s="46"/>
      <c r="AF554" s="46"/>
      <c r="AG554" s="127"/>
      <c r="AH554" s="127"/>
      <c r="AI554" s="127"/>
      <c r="AJ554" s="127"/>
      <c r="AK554" s="46"/>
      <c r="AL554" s="46"/>
      <c r="AM554" s="46"/>
      <c r="AN554" s="46"/>
      <c r="AO554" s="46"/>
    </row>
    <row r="555">
      <c r="A555" s="17"/>
      <c r="B555" s="46"/>
      <c r="C555" s="46"/>
      <c r="D555" s="46"/>
      <c r="E555" s="17"/>
      <c r="F555" s="46"/>
      <c r="G555" s="46"/>
      <c r="H555" s="46"/>
      <c r="I555" s="17"/>
      <c r="J555" s="46"/>
      <c r="K555" s="46"/>
      <c r="L555" s="46"/>
      <c r="M555" s="17"/>
      <c r="N555" s="46"/>
      <c r="O555" s="46"/>
      <c r="P555" s="46"/>
      <c r="Q555" s="46"/>
      <c r="R555" s="46"/>
      <c r="S555" s="46"/>
      <c r="T555" s="46"/>
      <c r="U555" s="46"/>
      <c r="V555" s="46"/>
      <c r="W555" s="46"/>
      <c r="X555" s="46"/>
      <c r="Y555" s="46"/>
      <c r="Z555" s="46"/>
      <c r="AA555" s="46"/>
      <c r="AB555" s="46"/>
      <c r="AC555" s="46"/>
      <c r="AD555" s="46"/>
      <c r="AE555" s="46"/>
      <c r="AF555" s="46"/>
      <c r="AG555" s="127"/>
      <c r="AH555" s="127"/>
      <c r="AI555" s="127"/>
      <c r="AJ555" s="127"/>
      <c r="AK555" s="46"/>
      <c r="AL555" s="46"/>
      <c r="AM555" s="46"/>
      <c r="AN555" s="46"/>
      <c r="AO555" s="46"/>
    </row>
    <row r="556">
      <c r="A556" s="17"/>
      <c r="B556" s="46"/>
      <c r="C556" s="46"/>
      <c r="D556" s="46"/>
      <c r="E556" s="17"/>
      <c r="F556" s="46"/>
      <c r="G556" s="46"/>
      <c r="H556" s="46"/>
      <c r="I556" s="17"/>
      <c r="J556" s="46"/>
      <c r="K556" s="46"/>
      <c r="L556" s="46"/>
      <c r="M556" s="17"/>
      <c r="N556" s="46"/>
      <c r="O556" s="46"/>
      <c r="P556" s="46"/>
      <c r="Q556" s="46"/>
      <c r="R556" s="46"/>
      <c r="S556" s="46"/>
      <c r="T556" s="46"/>
      <c r="U556" s="46"/>
      <c r="V556" s="46"/>
      <c r="W556" s="46"/>
      <c r="X556" s="46"/>
      <c r="Y556" s="46"/>
      <c r="Z556" s="46"/>
      <c r="AA556" s="46"/>
      <c r="AB556" s="46"/>
      <c r="AC556" s="46"/>
      <c r="AD556" s="46"/>
      <c r="AE556" s="46"/>
      <c r="AF556" s="46"/>
      <c r="AG556" s="127"/>
      <c r="AH556" s="127"/>
      <c r="AI556" s="127"/>
      <c r="AJ556" s="127"/>
      <c r="AK556" s="46"/>
      <c r="AL556" s="46"/>
      <c r="AM556" s="46"/>
      <c r="AN556" s="46"/>
      <c r="AO556" s="46"/>
    </row>
    <row r="557">
      <c r="A557" s="17"/>
      <c r="B557" s="46"/>
      <c r="C557" s="46"/>
      <c r="D557" s="46"/>
      <c r="E557" s="17"/>
      <c r="F557" s="46"/>
      <c r="G557" s="46"/>
      <c r="H557" s="46"/>
      <c r="I557" s="17"/>
      <c r="J557" s="46"/>
      <c r="K557" s="46"/>
      <c r="L557" s="46"/>
      <c r="M557" s="17"/>
      <c r="N557" s="46"/>
      <c r="O557" s="46"/>
      <c r="P557" s="46"/>
      <c r="Q557" s="46"/>
      <c r="R557" s="46"/>
      <c r="S557" s="46"/>
      <c r="T557" s="46"/>
      <c r="U557" s="46"/>
      <c r="V557" s="46"/>
      <c r="W557" s="46"/>
      <c r="X557" s="46"/>
      <c r="Y557" s="46"/>
      <c r="Z557" s="46"/>
      <c r="AA557" s="46"/>
      <c r="AB557" s="46"/>
      <c r="AC557" s="46"/>
      <c r="AD557" s="46"/>
      <c r="AE557" s="46"/>
      <c r="AF557" s="46"/>
      <c r="AG557" s="127"/>
      <c r="AH557" s="127"/>
      <c r="AI557" s="127"/>
      <c r="AJ557" s="127"/>
      <c r="AK557" s="46"/>
      <c r="AL557" s="46"/>
      <c r="AM557" s="46"/>
      <c r="AN557" s="46"/>
      <c r="AO557" s="46"/>
    </row>
    <row r="558">
      <c r="A558" s="17"/>
      <c r="B558" s="46"/>
      <c r="C558" s="46"/>
      <c r="D558" s="46"/>
      <c r="E558" s="17"/>
      <c r="F558" s="46"/>
      <c r="G558" s="46"/>
      <c r="H558" s="46"/>
      <c r="I558" s="17"/>
      <c r="J558" s="46"/>
      <c r="K558" s="46"/>
      <c r="L558" s="46"/>
      <c r="M558" s="17"/>
      <c r="N558" s="46"/>
      <c r="O558" s="46"/>
      <c r="P558" s="46"/>
      <c r="Q558" s="46"/>
      <c r="R558" s="46"/>
      <c r="S558" s="46"/>
      <c r="T558" s="46"/>
      <c r="U558" s="46"/>
      <c r="V558" s="46"/>
      <c r="W558" s="46"/>
      <c r="X558" s="46"/>
      <c r="Y558" s="46"/>
      <c r="Z558" s="46"/>
      <c r="AA558" s="46"/>
      <c r="AB558" s="46"/>
      <c r="AC558" s="46"/>
      <c r="AD558" s="46"/>
      <c r="AE558" s="46"/>
      <c r="AF558" s="46"/>
      <c r="AG558" s="127"/>
      <c r="AH558" s="127"/>
      <c r="AI558" s="127"/>
      <c r="AJ558" s="127"/>
      <c r="AK558" s="46"/>
      <c r="AL558" s="46"/>
      <c r="AM558" s="46"/>
      <c r="AN558" s="46"/>
      <c r="AO558" s="46"/>
    </row>
    <row r="559">
      <c r="A559" s="17"/>
      <c r="B559" s="46"/>
      <c r="C559" s="46"/>
      <c r="D559" s="46"/>
      <c r="E559" s="17"/>
      <c r="F559" s="46"/>
      <c r="G559" s="46"/>
      <c r="H559" s="46"/>
      <c r="I559" s="17"/>
      <c r="J559" s="46"/>
      <c r="K559" s="46"/>
      <c r="L559" s="46"/>
      <c r="M559" s="17"/>
      <c r="N559" s="46"/>
      <c r="O559" s="46"/>
      <c r="P559" s="46"/>
      <c r="Q559" s="46"/>
      <c r="R559" s="46"/>
      <c r="S559" s="46"/>
      <c r="T559" s="46"/>
      <c r="U559" s="46"/>
      <c r="V559" s="46"/>
      <c r="W559" s="46"/>
      <c r="X559" s="46"/>
      <c r="Y559" s="46"/>
      <c r="Z559" s="46"/>
      <c r="AA559" s="46"/>
      <c r="AB559" s="46"/>
      <c r="AC559" s="46"/>
      <c r="AD559" s="46"/>
      <c r="AE559" s="46"/>
      <c r="AF559" s="46"/>
      <c r="AG559" s="127"/>
      <c r="AH559" s="127"/>
      <c r="AI559" s="127"/>
      <c r="AJ559" s="127"/>
      <c r="AK559" s="46"/>
      <c r="AL559" s="46"/>
      <c r="AM559" s="46"/>
      <c r="AN559" s="46"/>
      <c r="AO559" s="46"/>
    </row>
    <row r="560">
      <c r="A560" s="17"/>
      <c r="B560" s="46"/>
      <c r="C560" s="46"/>
      <c r="D560" s="46"/>
      <c r="E560" s="17"/>
      <c r="F560" s="46"/>
      <c r="G560" s="46"/>
      <c r="H560" s="46"/>
      <c r="I560" s="17"/>
      <c r="J560" s="46"/>
      <c r="K560" s="46"/>
      <c r="L560" s="46"/>
      <c r="M560" s="17"/>
      <c r="N560" s="46"/>
      <c r="O560" s="46"/>
      <c r="P560" s="46"/>
      <c r="Q560" s="46"/>
      <c r="R560" s="46"/>
      <c r="S560" s="46"/>
      <c r="T560" s="46"/>
      <c r="U560" s="46"/>
      <c r="V560" s="46"/>
      <c r="W560" s="46"/>
      <c r="X560" s="46"/>
      <c r="Y560" s="46"/>
      <c r="Z560" s="46"/>
      <c r="AA560" s="46"/>
      <c r="AB560" s="46"/>
      <c r="AC560" s="46"/>
      <c r="AD560" s="46"/>
      <c r="AE560" s="46"/>
      <c r="AF560" s="46"/>
      <c r="AG560" s="127"/>
      <c r="AH560" s="127"/>
      <c r="AI560" s="127"/>
      <c r="AJ560" s="127"/>
      <c r="AK560" s="46"/>
      <c r="AL560" s="46"/>
      <c r="AM560" s="46"/>
      <c r="AN560" s="46"/>
      <c r="AO560" s="46"/>
    </row>
    <row r="561">
      <c r="A561" s="17"/>
      <c r="B561" s="46"/>
      <c r="C561" s="46"/>
      <c r="D561" s="46"/>
      <c r="E561" s="17"/>
      <c r="F561" s="46"/>
      <c r="G561" s="46"/>
      <c r="H561" s="46"/>
      <c r="I561" s="17"/>
      <c r="J561" s="46"/>
      <c r="K561" s="46"/>
      <c r="L561" s="46"/>
      <c r="M561" s="17"/>
      <c r="N561" s="46"/>
      <c r="O561" s="46"/>
      <c r="P561" s="46"/>
      <c r="Q561" s="46"/>
      <c r="R561" s="46"/>
      <c r="S561" s="46"/>
      <c r="T561" s="46"/>
      <c r="U561" s="46"/>
      <c r="V561" s="46"/>
      <c r="W561" s="46"/>
      <c r="X561" s="46"/>
      <c r="Y561" s="46"/>
      <c r="Z561" s="46"/>
      <c r="AA561" s="46"/>
      <c r="AB561" s="46"/>
      <c r="AC561" s="46"/>
      <c r="AD561" s="46"/>
      <c r="AE561" s="46"/>
      <c r="AF561" s="46"/>
      <c r="AG561" s="127"/>
      <c r="AH561" s="127"/>
      <c r="AI561" s="127"/>
      <c r="AJ561" s="127"/>
      <c r="AK561" s="46"/>
      <c r="AL561" s="46"/>
      <c r="AM561" s="46"/>
      <c r="AN561" s="46"/>
      <c r="AO561" s="46"/>
    </row>
    <row r="562">
      <c r="A562" s="17"/>
      <c r="B562" s="46"/>
      <c r="C562" s="46"/>
      <c r="D562" s="46"/>
      <c r="E562" s="17"/>
      <c r="F562" s="46"/>
      <c r="G562" s="46"/>
      <c r="H562" s="46"/>
      <c r="I562" s="17"/>
      <c r="J562" s="46"/>
      <c r="K562" s="46"/>
      <c r="L562" s="46"/>
      <c r="M562" s="17"/>
      <c r="N562" s="46"/>
      <c r="O562" s="46"/>
      <c r="P562" s="46"/>
      <c r="Q562" s="46"/>
      <c r="R562" s="46"/>
      <c r="S562" s="46"/>
      <c r="T562" s="46"/>
      <c r="U562" s="46"/>
      <c r="V562" s="46"/>
      <c r="W562" s="46"/>
      <c r="X562" s="46"/>
      <c r="Y562" s="46"/>
      <c r="Z562" s="46"/>
      <c r="AA562" s="46"/>
      <c r="AB562" s="46"/>
      <c r="AC562" s="46"/>
      <c r="AD562" s="46"/>
      <c r="AE562" s="46"/>
      <c r="AF562" s="46"/>
      <c r="AG562" s="127"/>
      <c r="AH562" s="127"/>
      <c r="AI562" s="127"/>
      <c r="AJ562" s="127"/>
      <c r="AK562" s="46"/>
      <c r="AL562" s="46"/>
      <c r="AM562" s="46"/>
      <c r="AN562" s="46"/>
      <c r="AO562" s="46"/>
    </row>
    <row r="563">
      <c r="A563" s="17"/>
      <c r="B563" s="46"/>
      <c r="C563" s="46"/>
      <c r="D563" s="46"/>
      <c r="E563" s="17"/>
      <c r="F563" s="46"/>
      <c r="G563" s="46"/>
      <c r="H563" s="46"/>
      <c r="I563" s="17"/>
      <c r="J563" s="46"/>
      <c r="K563" s="46"/>
      <c r="L563" s="46"/>
      <c r="M563" s="17"/>
      <c r="N563" s="46"/>
      <c r="O563" s="46"/>
      <c r="P563" s="46"/>
      <c r="Q563" s="46"/>
      <c r="R563" s="46"/>
      <c r="S563" s="46"/>
      <c r="T563" s="46"/>
      <c r="U563" s="46"/>
      <c r="V563" s="46"/>
      <c r="W563" s="46"/>
      <c r="X563" s="46"/>
      <c r="Y563" s="46"/>
      <c r="Z563" s="46"/>
      <c r="AA563" s="46"/>
      <c r="AB563" s="46"/>
      <c r="AC563" s="46"/>
      <c r="AD563" s="46"/>
      <c r="AE563" s="46"/>
      <c r="AF563" s="46"/>
      <c r="AG563" s="127"/>
      <c r="AH563" s="127"/>
      <c r="AI563" s="127"/>
      <c r="AJ563" s="127"/>
      <c r="AK563" s="46"/>
      <c r="AL563" s="46"/>
      <c r="AM563" s="46"/>
      <c r="AN563" s="46"/>
      <c r="AO563" s="46"/>
    </row>
    <row r="564">
      <c r="A564" s="17"/>
      <c r="B564" s="46"/>
      <c r="C564" s="46"/>
      <c r="D564" s="46"/>
      <c r="E564" s="17"/>
      <c r="F564" s="46"/>
      <c r="G564" s="46"/>
      <c r="H564" s="46"/>
      <c r="I564" s="17"/>
      <c r="J564" s="46"/>
      <c r="K564" s="46"/>
      <c r="L564" s="46"/>
      <c r="M564" s="17"/>
      <c r="N564" s="46"/>
      <c r="O564" s="46"/>
      <c r="P564" s="46"/>
      <c r="Q564" s="46"/>
      <c r="R564" s="46"/>
      <c r="S564" s="46"/>
      <c r="T564" s="46"/>
      <c r="U564" s="46"/>
      <c r="V564" s="46"/>
      <c r="W564" s="46"/>
      <c r="X564" s="46"/>
      <c r="Y564" s="46"/>
      <c r="Z564" s="46"/>
      <c r="AA564" s="46"/>
      <c r="AB564" s="46"/>
      <c r="AC564" s="46"/>
      <c r="AD564" s="46"/>
      <c r="AE564" s="46"/>
      <c r="AF564" s="46"/>
      <c r="AG564" s="127"/>
      <c r="AH564" s="127"/>
      <c r="AI564" s="127"/>
      <c r="AJ564" s="127"/>
      <c r="AK564" s="46"/>
      <c r="AL564" s="46"/>
      <c r="AM564" s="46"/>
      <c r="AN564" s="46"/>
      <c r="AO564" s="46"/>
    </row>
    <row r="565">
      <c r="A565" s="17"/>
      <c r="B565" s="46"/>
      <c r="C565" s="46"/>
      <c r="D565" s="46"/>
      <c r="E565" s="17"/>
      <c r="F565" s="46"/>
      <c r="G565" s="46"/>
      <c r="H565" s="46"/>
      <c r="I565" s="17"/>
      <c r="J565" s="46"/>
      <c r="K565" s="46"/>
      <c r="L565" s="46"/>
      <c r="M565" s="17"/>
      <c r="N565" s="46"/>
      <c r="O565" s="46"/>
      <c r="P565" s="46"/>
      <c r="Q565" s="46"/>
      <c r="R565" s="46"/>
      <c r="S565" s="46"/>
      <c r="T565" s="46"/>
      <c r="U565" s="46"/>
      <c r="V565" s="46"/>
      <c r="W565" s="46"/>
      <c r="X565" s="46"/>
      <c r="Y565" s="46"/>
      <c r="Z565" s="46"/>
      <c r="AA565" s="46"/>
      <c r="AB565" s="46"/>
      <c r="AC565" s="46"/>
      <c r="AD565" s="46"/>
      <c r="AE565" s="46"/>
      <c r="AF565" s="46"/>
      <c r="AG565" s="127"/>
      <c r="AH565" s="127"/>
      <c r="AI565" s="127"/>
      <c r="AJ565" s="127"/>
      <c r="AK565" s="46"/>
      <c r="AL565" s="46"/>
      <c r="AM565" s="46"/>
      <c r="AN565" s="46"/>
      <c r="AO565" s="46"/>
    </row>
    <row r="566">
      <c r="A566" s="17"/>
      <c r="B566" s="46"/>
      <c r="C566" s="46"/>
      <c r="D566" s="46"/>
      <c r="E566" s="17"/>
      <c r="F566" s="46"/>
      <c r="G566" s="46"/>
      <c r="H566" s="46"/>
      <c r="I566" s="17"/>
      <c r="J566" s="46"/>
      <c r="K566" s="46"/>
      <c r="L566" s="46"/>
      <c r="M566" s="17"/>
      <c r="N566" s="46"/>
      <c r="O566" s="46"/>
      <c r="P566" s="46"/>
      <c r="Q566" s="46"/>
      <c r="R566" s="46"/>
      <c r="S566" s="46"/>
      <c r="T566" s="46"/>
      <c r="U566" s="46"/>
      <c r="V566" s="46"/>
      <c r="W566" s="46"/>
      <c r="X566" s="46"/>
      <c r="Y566" s="46"/>
      <c r="Z566" s="46"/>
      <c r="AA566" s="46"/>
      <c r="AB566" s="46"/>
      <c r="AC566" s="46"/>
      <c r="AD566" s="46"/>
      <c r="AE566" s="46"/>
      <c r="AF566" s="46"/>
      <c r="AG566" s="127"/>
      <c r="AH566" s="127"/>
      <c r="AI566" s="127"/>
      <c r="AJ566" s="127"/>
      <c r="AK566" s="46"/>
      <c r="AL566" s="46"/>
      <c r="AM566" s="46"/>
      <c r="AN566" s="46"/>
      <c r="AO566" s="46"/>
    </row>
    <row r="567">
      <c r="A567" s="17"/>
      <c r="B567" s="46"/>
      <c r="C567" s="46"/>
      <c r="D567" s="46"/>
      <c r="E567" s="17"/>
      <c r="F567" s="46"/>
      <c r="G567" s="46"/>
      <c r="H567" s="46"/>
      <c r="I567" s="17"/>
      <c r="J567" s="46"/>
      <c r="K567" s="46"/>
      <c r="L567" s="46"/>
      <c r="M567" s="17"/>
      <c r="N567" s="46"/>
      <c r="O567" s="46"/>
      <c r="P567" s="46"/>
      <c r="Q567" s="46"/>
      <c r="R567" s="46"/>
      <c r="S567" s="46"/>
      <c r="T567" s="46"/>
      <c r="U567" s="46"/>
      <c r="V567" s="46"/>
      <c r="W567" s="46"/>
      <c r="X567" s="46"/>
      <c r="Y567" s="46"/>
      <c r="Z567" s="46"/>
      <c r="AA567" s="46"/>
      <c r="AB567" s="46"/>
      <c r="AC567" s="46"/>
      <c r="AD567" s="46"/>
      <c r="AE567" s="46"/>
      <c r="AF567" s="46"/>
      <c r="AG567" s="127"/>
      <c r="AH567" s="127"/>
      <c r="AI567" s="127"/>
      <c r="AJ567" s="127"/>
      <c r="AK567" s="46"/>
      <c r="AL567" s="46"/>
      <c r="AM567" s="46"/>
      <c r="AN567" s="46"/>
      <c r="AO567" s="46"/>
    </row>
    <row r="568">
      <c r="A568" s="17"/>
      <c r="B568" s="46"/>
      <c r="C568" s="46"/>
      <c r="D568" s="46"/>
      <c r="E568" s="17"/>
      <c r="F568" s="46"/>
      <c r="G568" s="46"/>
      <c r="H568" s="46"/>
      <c r="I568" s="17"/>
      <c r="J568" s="46"/>
      <c r="K568" s="46"/>
      <c r="L568" s="46"/>
      <c r="M568" s="17"/>
      <c r="N568" s="46"/>
      <c r="O568" s="46"/>
      <c r="P568" s="46"/>
      <c r="Q568" s="46"/>
      <c r="R568" s="46"/>
      <c r="S568" s="46"/>
      <c r="T568" s="46"/>
      <c r="U568" s="46"/>
      <c r="V568" s="46"/>
      <c r="W568" s="46"/>
      <c r="X568" s="46"/>
      <c r="Y568" s="46"/>
      <c r="Z568" s="46"/>
      <c r="AA568" s="46"/>
      <c r="AB568" s="46"/>
      <c r="AC568" s="46"/>
      <c r="AD568" s="46"/>
      <c r="AE568" s="46"/>
      <c r="AF568" s="46"/>
      <c r="AG568" s="127"/>
      <c r="AH568" s="127"/>
      <c r="AI568" s="127"/>
      <c r="AJ568" s="127"/>
      <c r="AK568" s="46"/>
      <c r="AL568" s="46"/>
      <c r="AM568" s="46"/>
      <c r="AN568" s="46"/>
      <c r="AO568" s="46"/>
    </row>
    <row r="569">
      <c r="A569" s="17"/>
      <c r="B569" s="46"/>
      <c r="C569" s="46"/>
      <c r="D569" s="46"/>
      <c r="E569" s="17"/>
      <c r="F569" s="46"/>
      <c r="G569" s="46"/>
      <c r="H569" s="46"/>
      <c r="I569" s="17"/>
      <c r="J569" s="46"/>
      <c r="K569" s="46"/>
      <c r="L569" s="46"/>
      <c r="M569" s="17"/>
      <c r="N569" s="46"/>
      <c r="O569" s="46"/>
      <c r="P569" s="46"/>
      <c r="Q569" s="46"/>
      <c r="R569" s="46"/>
      <c r="S569" s="46"/>
      <c r="T569" s="46"/>
      <c r="U569" s="46"/>
      <c r="V569" s="46"/>
      <c r="W569" s="46"/>
      <c r="X569" s="46"/>
      <c r="Y569" s="46"/>
      <c r="Z569" s="46"/>
      <c r="AA569" s="46"/>
      <c r="AB569" s="46"/>
      <c r="AC569" s="46"/>
      <c r="AD569" s="46"/>
      <c r="AE569" s="46"/>
      <c r="AF569" s="46"/>
      <c r="AG569" s="127"/>
      <c r="AH569" s="127"/>
      <c r="AI569" s="127"/>
      <c r="AJ569" s="127"/>
      <c r="AK569" s="46"/>
      <c r="AL569" s="46"/>
      <c r="AM569" s="46"/>
      <c r="AN569" s="46"/>
      <c r="AO569" s="46"/>
    </row>
    <row r="570">
      <c r="A570" s="17"/>
      <c r="B570" s="46"/>
      <c r="C570" s="46"/>
      <c r="D570" s="46"/>
      <c r="E570" s="17"/>
      <c r="F570" s="46"/>
      <c r="G570" s="46"/>
      <c r="H570" s="46"/>
      <c r="I570" s="17"/>
      <c r="J570" s="46"/>
      <c r="K570" s="46"/>
      <c r="L570" s="46"/>
      <c r="M570" s="17"/>
      <c r="N570" s="46"/>
      <c r="O570" s="46"/>
      <c r="P570" s="46"/>
      <c r="Q570" s="46"/>
      <c r="R570" s="46"/>
      <c r="S570" s="46"/>
      <c r="T570" s="46"/>
      <c r="U570" s="46"/>
      <c r="V570" s="46"/>
      <c r="W570" s="46"/>
      <c r="X570" s="46"/>
      <c r="Y570" s="46"/>
      <c r="Z570" s="46"/>
      <c r="AA570" s="46"/>
      <c r="AB570" s="46"/>
      <c r="AC570" s="46"/>
      <c r="AD570" s="46"/>
      <c r="AE570" s="46"/>
      <c r="AF570" s="46"/>
      <c r="AG570" s="127"/>
      <c r="AH570" s="127"/>
      <c r="AI570" s="127"/>
      <c r="AJ570" s="127"/>
      <c r="AK570" s="46"/>
      <c r="AL570" s="46"/>
      <c r="AM570" s="46"/>
      <c r="AN570" s="46"/>
      <c r="AO570" s="46"/>
    </row>
    <row r="571">
      <c r="A571" s="17"/>
      <c r="B571" s="46"/>
      <c r="C571" s="46"/>
      <c r="D571" s="46"/>
      <c r="E571" s="17"/>
      <c r="F571" s="46"/>
      <c r="G571" s="46"/>
      <c r="H571" s="46"/>
      <c r="I571" s="17"/>
      <c r="J571" s="46"/>
      <c r="K571" s="46"/>
      <c r="L571" s="46"/>
      <c r="M571" s="17"/>
      <c r="N571" s="46"/>
      <c r="O571" s="46"/>
      <c r="P571" s="46"/>
      <c r="Q571" s="46"/>
      <c r="R571" s="46"/>
      <c r="S571" s="46"/>
      <c r="T571" s="46"/>
      <c r="U571" s="46"/>
      <c r="V571" s="46"/>
      <c r="W571" s="46"/>
      <c r="X571" s="46"/>
      <c r="Y571" s="46"/>
      <c r="Z571" s="46"/>
      <c r="AA571" s="46"/>
      <c r="AB571" s="46"/>
      <c r="AC571" s="46"/>
      <c r="AD571" s="46"/>
      <c r="AE571" s="46"/>
      <c r="AF571" s="46"/>
      <c r="AG571" s="127"/>
      <c r="AH571" s="127"/>
      <c r="AI571" s="127"/>
      <c r="AJ571" s="127"/>
      <c r="AK571" s="46"/>
      <c r="AL571" s="46"/>
      <c r="AM571" s="46"/>
      <c r="AN571" s="46"/>
      <c r="AO571" s="46"/>
    </row>
    <row r="572">
      <c r="A572" s="17"/>
      <c r="B572" s="46"/>
      <c r="C572" s="46"/>
      <c r="D572" s="46"/>
      <c r="E572" s="17"/>
      <c r="F572" s="46"/>
      <c r="G572" s="46"/>
      <c r="H572" s="46"/>
      <c r="I572" s="17"/>
      <c r="J572" s="46"/>
      <c r="K572" s="46"/>
      <c r="L572" s="46"/>
      <c r="M572" s="17"/>
      <c r="N572" s="46"/>
      <c r="O572" s="46"/>
      <c r="P572" s="46"/>
      <c r="Q572" s="46"/>
      <c r="R572" s="46"/>
      <c r="S572" s="46"/>
      <c r="T572" s="46"/>
      <c r="U572" s="46"/>
      <c r="V572" s="46"/>
      <c r="W572" s="46"/>
      <c r="X572" s="46"/>
      <c r="Y572" s="46"/>
      <c r="Z572" s="46"/>
      <c r="AA572" s="46"/>
      <c r="AB572" s="46"/>
      <c r="AC572" s="46"/>
      <c r="AD572" s="46"/>
      <c r="AE572" s="46"/>
      <c r="AF572" s="46"/>
      <c r="AG572" s="127"/>
      <c r="AH572" s="127"/>
      <c r="AI572" s="127"/>
      <c r="AJ572" s="127"/>
      <c r="AK572" s="46"/>
      <c r="AL572" s="46"/>
      <c r="AM572" s="46"/>
      <c r="AN572" s="46"/>
      <c r="AO572" s="46"/>
    </row>
    <row r="573">
      <c r="A573" s="17"/>
      <c r="B573" s="46"/>
      <c r="C573" s="46"/>
      <c r="D573" s="46"/>
      <c r="E573" s="17"/>
      <c r="F573" s="46"/>
      <c r="G573" s="46"/>
      <c r="H573" s="46"/>
      <c r="I573" s="17"/>
      <c r="J573" s="46"/>
      <c r="K573" s="46"/>
      <c r="L573" s="46"/>
      <c r="M573" s="17"/>
      <c r="N573" s="46"/>
      <c r="O573" s="46"/>
      <c r="P573" s="46"/>
      <c r="Q573" s="46"/>
      <c r="R573" s="46"/>
      <c r="S573" s="46"/>
      <c r="T573" s="46"/>
      <c r="U573" s="46"/>
      <c r="V573" s="46"/>
      <c r="W573" s="46"/>
      <c r="X573" s="46"/>
      <c r="Y573" s="46"/>
      <c r="Z573" s="46"/>
      <c r="AA573" s="46"/>
      <c r="AB573" s="46"/>
      <c r="AC573" s="46"/>
      <c r="AD573" s="46"/>
      <c r="AE573" s="46"/>
      <c r="AF573" s="46"/>
      <c r="AG573" s="127"/>
      <c r="AH573" s="127"/>
      <c r="AI573" s="127"/>
      <c r="AJ573" s="127"/>
      <c r="AK573" s="46"/>
      <c r="AL573" s="46"/>
      <c r="AM573" s="46"/>
      <c r="AN573" s="46"/>
      <c r="AO573" s="46"/>
    </row>
    <row r="574">
      <c r="A574" s="17"/>
      <c r="B574" s="46"/>
      <c r="C574" s="46"/>
      <c r="D574" s="46"/>
      <c r="E574" s="17"/>
      <c r="F574" s="46"/>
      <c r="G574" s="46"/>
      <c r="H574" s="46"/>
      <c r="I574" s="17"/>
      <c r="J574" s="46"/>
      <c r="K574" s="46"/>
      <c r="L574" s="46"/>
      <c r="M574" s="17"/>
      <c r="N574" s="46"/>
      <c r="O574" s="46"/>
      <c r="P574" s="46"/>
      <c r="Q574" s="46"/>
      <c r="R574" s="46"/>
      <c r="S574" s="46"/>
      <c r="T574" s="46"/>
      <c r="U574" s="46"/>
      <c r="V574" s="46"/>
      <c r="W574" s="46"/>
      <c r="X574" s="46"/>
      <c r="Y574" s="46"/>
      <c r="Z574" s="46"/>
      <c r="AA574" s="46"/>
      <c r="AB574" s="46"/>
      <c r="AC574" s="46"/>
      <c r="AD574" s="46"/>
      <c r="AE574" s="46"/>
      <c r="AF574" s="46"/>
      <c r="AG574" s="127"/>
      <c r="AH574" s="127"/>
      <c r="AI574" s="127"/>
      <c r="AJ574" s="127"/>
      <c r="AK574" s="46"/>
      <c r="AL574" s="46"/>
      <c r="AM574" s="46"/>
      <c r="AN574" s="46"/>
      <c r="AO574" s="46"/>
    </row>
    <row r="575">
      <c r="A575" s="17"/>
      <c r="B575" s="46"/>
      <c r="C575" s="46"/>
      <c r="D575" s="46"/>
      <c r="E575" s="17"/>
      <c r="F575" s="46"/>
      <c r="G575" s="46"/>
      <c r="H575" s="46"/>
      <c r="I575" s="17"/>
      <c r="J575" s="46"/>
      <c r="K575" s="46"/>
      <c r="L575" s="46"/>
      <c r="M575" s="17"/>
      <c r="N575" s="46"/>
      <c r="O575" s="46"/>
      <c r="P575" s="46"/>
      <c r="Q575" s="46"/>
      <c r="R575" s="46"/>
      <c r="S575" s="46"/>
      <c r="T575" s="46"/>
      <c r="U575" s="46"/>
      <c r="V575" s="46"/>
      <c r="W575" s="46"/>
      <c r="X575" s="46"/>
      <c r="Y575" s="46"/>
      <c r="Z575" s="46"/>
      <c r="AA575" s="46"/>
      <c r="AB575" s="46"/>
      <c r="AC575" s="46"/>
      <c r="AD575" s="46"/>
      <c r="AE575" s="46"/>
      <c r="AF575" s="46"/>
      <c r="AG575" s="127"/>
      <c r="AH575" s="127"/>
      <c r="AI575" s="127"/>
      <c r="AJ575" s="127"/>
      <c r="AK575" s="46"/>
      <c r="AL575" s="46"/>
      <c r="AM575" s="46"/>
      <c r="AN575" s="46"/>
      <c r="AO575" s="46"/>
    </row>
    <row r="576">
      <c r="A576" s="17"/>
      <c r="B576" s="46"/>
      <c r="C576" s="46"/>
      <c r="D576" s="46"/>
      <c r="E576" s="17"/>
      <c r="F576" s="46"/>
      <c r="G576" s="46"/>
      <c r="H576" s="46"/>
      <c r="I576" s="17"/>
      <c r="J576" s="46"/>
      <c r="K576" s="46"/>
      <c r="L576" s="46"/>
      <c r="M576" s="17"/>
      <c r="N576" s="46"/>
      <c r="O576" s="46"/>
      <c r="P576" s="46"/>
      <c r="Q576" s="46"/>
      <c r="R576" s="46"/>
      <c r="S576" s="46"/>
      <c r="T576" s="46"/>
      <c r="U576" s="46"/>
      <c r="V576" s="46"/>
      <c r="W576" s="46"/>
      <c r="X576" s="46"/>
      <c r="Y576" s="46"/>
      <c r="Z576" s="46"/>
      <c r="AA576" s="46"/>
      <c r="AB576" s="46"/>
      <c r="AC576" s="46"/>
      <c r="AD576" s="46"/>
      <c r="AE576" s="46"/>
      <c r="AF576" s="46"/>
      <c r="AG576" s="127"/>
      <c r="AH576" s="127"/>
      <c r="AI576" s="127"/>
      <c r="AJ576" s="127"/>
      <c r="AK576" s="46"/>
      <c r="AL576" s="46"/>
      <c r="AM576" s="46"/>
      <c r="AN576" s="46"/>
      <c r="AO576" s="46"/>
    </row>
    <row r="577">
      <c r="A577" s="17"/>
      <c r="B577" s="46"/>
      <c r="C577" s="46"/>
      <c r="D577" s="46"/>
      <c r="E577" s="17"/>
      <c r="F577" s="46"/>
      <c r="G577" s="46"/>
      <c r="H577" s="46"/>
      <c r="I577" s="17"/>
      <c r="J577" s="46"/>
      <c r="K577" s="46"/>
      <c r="L577" s="46"/>
      <c r="M577" s="17"/>
      <c r="N577" s="46"/>
      <c r="O577" s="46"/>
      <c r="P577" s="46"/>
      <c r="Q577" s="46"/>
      <c r="R577" s="46"/>
      <c r="S577" s="46"/>
      <c r="T577" s="46"/>
      <c r="U577" s="46"/>
      <c r="V577" s="46"/>
      <c r="W577" s="46"/>
      <c r="X577" s="46"/>
      <c r="Y577" s="46"/>
      <c r="Z577" s="46"/>
      <c r="AA577" s="46"/>
      <c r="AB577" s="46"/>
      <c r="AC577" s="46"/>
      <c r="AD577" s="46"/>
      <c r="AE577" s="46"/>
      <c r="AF577" s="46"/>
      <c r="AG577" s="127"/>
      <c r="AH577" s="127"/>
      <c r="AI577" s="127"/>
      <c r="AJ577" s="127"/>
      <c r="AK577" s="46"/>
      <c r="AL577" s="46"/>
      <c r="AM577" s="46"/>
      <c r="AN577" s="46"/>
      <c r="AO577" s="46"/>
    </row>
    <row r="578">
      <c r="A578" s="17"/>
      <c r="B578" s="46"/>
      <c r="C578" s="46"/>
      <c r="D578" s="46"/>
      <c r="E578" s="17"/>
      <c r="F578" s="46"/>
      <c r="G578" s="46"/>
      <c r="H578" s="46"/>
      <c r="I578" s="17"/>
      <c r="J578" s="46"/>
      <c r="K578" s="46"/>
      <c r="L578" s="46"/>
      <c r="M578" s="17"/>
      <c r="N578" s="46"/>
      <c r="O578" s="46"/>
      <c r="P578" s="46"/>
      <c r="Q578" s="46"/>
      <c r="R578" s="46"/>
      <c r="S578" s="46"/>
      <c r="T578" s="46"/>
      <c r="U578" s="46"/>
      <c r="V578" s="46"/>
      <c r="W578" s="46"/>
      <c r="X578" s="46"/>
      <c r="Y578" s="46"/>
      <c r="Z578" s="46"/>
      <c r="AA578" s="46"/>
      <c r="AB578" s="46"/>
      <c r="AC578" s="46"/>
      <c r="AD578" s="46"/>
      <c r="AE578" s="46"/>
      <c r="AF578" s="46"/>
      <c r="AG578" s="127"/>
      <c r="AH578" s="127"/>
      <c r="AI578" s="127"/>
      <c r="AJ578" s="127"/>
      <c r="AK578" s="46"/>
      <c r="AL578" s="46"/>
      <c r="AM578" s="46"/>
      <c r="AN578" s="46"/>
      <c r="AO578" s="46"/>
    </row>
    <row r="579">
      <c r="A579" s="17"/>
      <c r="B579" s="46"/>
      <c r="C579" s="46"/>
      <c r="D579" s="46"/>
      <c r="E579" s="17"/>
      <c r="F579" s="46"/>
      <c r="G579" s="46"/>
      <c r="H579" s="46"/>
      <c r="I579" s="17"/>
      <c r="J579" s="46"/>
      <c r="K579" s="46"/>
      <c r="L579" s="46"/>
      <c r="M579" s="17"/>
      <c r="N579" s="46"/>
      <c r="O579" s="46"/>
      <c r="P579" s="46"/>
      <c r="Q579" s="46"/>
      <c r="R579" s="46"/>
      <c r="S579" s="46"/>
      <c r="T579" s="46"/>
      <c r="U579" s="46"/>
      <c r="V579" s="46"/>
      <c r="W579" s="46"/>
      <c r="X579" s="46"/>
      <c r="Y579" s="46"/>
      <c r="Z579" s="46"/>
      <c r="AA579" s="46"/>
      <c r="AB579" s="46"/>
      <c r="AC579" s="46"/>
      <c r="AD579" s="46"/>
      <c r="AE579" s="46"/>
      <c r="AF579" s="46"/>
      <c r="AG579" s="127"/>
      <c r="AH579" s="127"/>
      <c r="AI579" s="127"/>
      <c r="AJ579" s="127"/>
      <c r="AK579" s="46"/>
      <c r="AL579" s="46"/>
      <c r="AM579" s="46"/>
      <c r="AN579" s="46"/>
      <c r="AO579" s="46"/>
    </row>
    <row r="580">
      <c r="A580" s="17"/>
      <c r="B580" s="46"/>
      <c r="C580" s="46"/>
      <c r="D580" s="46"/>
      <c r="E580" s="17"/>
      <c r="F580" s="46"/>
      <c r="G580" s="46"/>
      <c r="H580" s="46"/>
      <c r="I580" s="17"/>
      <c r="J580" s="46"/>
      <c r="K580" s="46"/>
      <c r="L580" s="46"/>
      <c r="M580" s="17"/>
      <c r="N580" s="46"/>
      <c r="O580" s="46"/>
      <c r="P580" s="46"/>
      <c r="Q580" s="46"/>
      <c r="R580" s="46"/>
      <c r="S580" s="46"/>
      <c r="T580" s="46"/>
      <c r="U580" s="46"/>
      <c r="V580" s="46"/>
      <c r="W580" s="46"/>
      <c r="X580" s="46"/>
      <c r="Y580" s="46"/>
      <c r="Z580" s="46"/>
      <c r="AA580" s="46"/>
      <c r="AB580" s="46"/>
      <c r="AC580" s="46"/>
      <c r="AD580" s="46"/>
      <c r="AE580" s="46"/>
      <c r="AF580" s="46"/>
      <c r="AG580" s="127"/>
      <c r="AH580" s="127"/>
      <c r="AI580" s="127"/>
      <c r="AJ580" s="127"/>
      <c r="AK580" s="46"/>
      <c r="AL580" s="46"/>
      <c r="AM580" s="46"/>
      <c r="AN580" s="46"/>
      <c r="AO580" s="46"/>
    </row>
    <row r="581">
      <c r="A581" s="17"/>
      <c r="B581" s="46"/>
      <c r="C581" s="46"/>
      <c r="D581" s="46"/>
      <c r="E581" s="17"/>
      <c r="F581" s="46"/>
      <c r="G581" s="46"/>
      <c r="H581" s="46"/>
      <c r="I581" s="17"/>
      <c r="J581" s="46"/>
      <c r="K581" s="46"/>
      <c r="L581" s="46"/>
      <c r="M581" s="17"/>
      <c r="N581" s="46"/>
      <c r="O581" s="46"/>
      <c r="P581" s="46"/>
      <c r="Q581" s="46"/>
      <c r="R581" s="46"/>
      <c r="S581" s="46"/>
      <c r="T581" s="46"/>
      <c r="U581" s="46"/>
      <c r="V581" s="46"/>
      <c r="W581" s="46"/>
      <c r="X581" s="46"/>
      <c r="Y581" s="46"/>
      <c r="Z581" s="46"/>
      <c r="AA581" s="46"/>
      <c r="AB581" s="46"/>
      <c r="AC581" s="46"/>
      <c r="AD581" s="46"/>
      <c r="AE581" s="46"/>
      <c r="AF581" s="46"/>
      <c r="AG581" s="127"/>
      <c r="AH581" s="127"/>
      <c r="AI581" s="127"/>
      <c r="AJ581" s="127"/>
      <c r="AK581" s="46"/>
      <c r="AL581" s="46"/>
      <c r="AM581" s="46"/>
      <c r="AN581" s="46"/>
      <c r="AO581" s="46"/>
    </row>
    <row r="582">
      <c r="A582" s="17"/>
      <c r="B582" s="46"/>
      <c r="C582" s="46"/>
      <c r="D582" s="46"/>
      <c r="E582" s="17"/>
      <c r="F582" s="46"/>
      <c r="G582" s="46"/>
      <c r="H582" s="46"/>
      <c r="I582" s="17"/>
      <c r="J582" s="46"/>
      <c r="K582" s="46"/>
      <c r="L582" s="46"/>
      <c r="M582" s="17"/>
      <c r="N582" s="46"/>
      <c r="O582" s="46"/>
      <c r="P582" s="46"/>
      <c r="Q582" s="46"/>
      <c r="R582" s="46"/>
      <c r="S582" s="46"/>
      <c r="T582" s="46"/>
      <c r="U582" s="46"/>
      <c r="V582" s="46"/>
      <c r="W582" s="46"/>
      <c r="X582" s="46"/>
      <c r="Y582" s="46"/>
      <c r="Z582" s="46"/>
      <c r="AA582" s="46"/>
      <c r="AB582" s="46"/>
      <c r="AC582" s="46"/>
      <c r="AD582" s="46"/>
      <c r="AE582" s="46"/>
      <c r="AF582" s="46"/>
      <c r="AG582" s="127"/>
      <c r="AH582" s="127"/>
      <c r="AI582" s="127"/>
      <c r="AJ582" s="127"/>
      <c r="AK582" s="46"/>
      <c r="AL582" s="46"/>
      <c r="AM582" s="46"/>
      <c r="AN582" s="46"/>
      <c r="AO582" s="46"/>
    </row>
    <row r="583">
      <c r="A583" s="17"/>
      <c r="B583" s="46"/>
      <c r="C583" s="46"/>
      <c r="D583" s="46"/>
      <c r="E583" s="17"/>
      <c r="F583" s="46"/>
      <c r="G583" s="46"/>
      <c r="H583" s="46"/>
      <c r="I583" s="17"/>
      <c r="J583" s="46"/>
      <c r="K583" s="46"/>
      <c r="L583" s="46"/>
      <c r="M583" s="17"/>
      <c r="N583" s="46"/>
      <c r="O583" s="46"/>
      <c r="P583" s="46"/>
      <c r="Q583" s="46"/>
      <c r="R583" s="46"/>
      <c r="S583" s="46"/>
      <c r="T583" s="46"/>
      <c r="U583" s="46"/>
      <c r="V583" s="46"/>
      <c r="W583" s="46"/>
      <c r="X583" s="46"/>
      <c r="Y583" s="46"/>
      <c r="Z583" s="46"/>
      <c r="AA583" s="46"/>
      <c r="AB583" s="46"/>
      <c r="AC583" s="46"/>
      <c r="AD583" s="46"/>
      <c r="AE583" s="46"/>
      <c r="AF583" s="46"/>
      <c r="AG583" s="127"/>
      <c r="AH583" s="127"/>
      <c r="AI583" s="127"/>
      <c r="AJ583" s="127"/>
      <c r="AK583" s="46"/>
      <c r="AL583" s="46"/>
      <c r="AM583" s="46"/>
      <c r="AN583" s="46"/>
      <c r="AO583" s="46"/>
    </row>
    <row r="584">
      <c r="A584" s="17"/>
      <c r="B584" s="46"/>
      <c r="C584" s="46"/>
      <c r="D584" s="46"/>
      <c r="E584" s="17"/>
      <c r="F584" s="46"/>
      <c r="G584" s="46"/>
      <c r="H584" s="46"/>
      <c r="I584" s="17"/>
      <c r="J584" s="46"/>
      <c r="K584" s="46"/>
      <c r="L584" s="46"/>
      <c r="M584" s="17"/>
      <c r="N584" s="46"/>
      <c r="O584" s="46"/>
      <c r="P584" s="46"/>
      <c r="Q584" s="46"/>
      <c r="R584" s="46"/>
      <c r="S584" s="46"/>
      <c r="T584" s="46"/>
      <c r="U584" s="46"/>
      <c r="V584" s="46"/>
      <c r="W584" s="46"/>
      <c r="X584" s="46"/>
      <c r="Y584" s="46"/>
      <c r="Z584" s="46"/>
      <c r="AA584" s="46"/>
      <c r="AB584" s="46"/>
      <c r="AC584" s="46"/>
      <c r="AD584" s="46"/>
      <c r="AE584" s="46"/>
      <c r="AF584" s="46"/>
      <c r="AG584" s="127"/>
      <c r="AH584" s="127"/>
      <c r="AI584" s="127"/>
      <c r="AJ584" s="127"/>
      <c r="AK584" s="46"/>
      <c r="AL584" s="46"/>
      <c r="AM584" s="46"/>
      <c r="AN584" s="46"/>
      <c r="AO584" s="46"/>
    </row>
    <row r="585">
      <c r="A585" s="17"/>
      <c r="B585" s="46"/>
      <c r="C585" s="46"/>
      <c r="D585" s="46"/>
      <c r="E585" s="17"/>
      <c r="F585" s="46"/>
      <c r="G585" s="46"/>
      <c r="H585" s="46"/>
      <c r="I585" s="17"/>
      <c r="J585" s="46"/>
      <c r="K585" s="46"/>
      <c r="L585" s="46"/>
      <c r="M585" s="17"/>
      <c r="N585" s="46"/>
      <c r="O585" s="46"/>
      <c r="P585" s="46"/>
      <c r="Q585" s="46"/>
      <c r="R585" s="46"/>
      <c r="S585" s="46"/>
      <c r="T585" s="46"/>
      <c r="U585" s="46"/>
      <c r="V585" s="46"/>
      <c r="W585" s="46"/>
      <c r="X585" s="46"/>
      <c r="Y585" s="46"/>
      <c r="Z585" s="46"/>
      <c r="AA585" s="46"/>
      <c r="AB585" s="46"/>
      <c r="AC585" s="46"/>
      <c r="AD585" s="46"/>
      <c r="AE585" s="46"/>
      <c r="AF585" s="46"/>
      <c r="AG585" s="127"/>
      <c r="AH585" s="127"/>
      <c r="AI585" s="127"/>
      <c r="AJ585" s="127"/>
      <c r="AK585" s="46"/>
      <c r="AL585" s="46"/>
      <c r="AM585" s="46"/>
      <c r="AN585" s="46"/>
      <c r="AO585" s="46"/>
    </row>
    <row r="586">
      <c r="A586" s="17"/>
      <c r="B586" s="46"/>
      <c r="C586" s="46"/>
      <c r="D586" s="46"/>
      <c r="E586" s="17"/>
      <c r="F586" s="46"/>
      <c r="G586" s="46"/>
      <c r="H586" s="46"/>
      <c r="I586" s="17"/>
      <c r="J586" s="46"/>
      <c r="K586" s="46"/>
      <c r="L586" s="46"/>
      <c r="M586" s="17"/>
      <c r="N586" s="46"/>
      <c r="O586" s="46"/>
      <c r="P586" s="46"/>
      <c r="Q586" s="46"/>
      <c r="R586" s="46"/>
      <c r="S586" s="46"/>
      <c r="T586" s="46"/>
      <c r="U586" s="46"/>
      <c r="V586" s="46"/>
      <c r="W586" s="46"/>
      <c r="X586" s="46"/>
      <c r="Y586" s="46"/>
      <c r="Z586" s="46"/>
      <c r="AA586" s="46"/>
      <c r="AB586" s="46"/>
      <c r="AC586" s="46"/>
      <c r="AD586" s="46"/>
      <c r="AE586" s="46"/>
      <c r="AF586" s="46"/>
      <c r="AG586" s="127"/>
      <c r="AH586" s="127"/>
      <c r="AI586" s="127"/>
      <c r="AJ586" s="127"/>
      <c r="AK586" s="46"/>
      <c r="AL586" s="46"/>
      <c r="AM586" s="46"/>
      <c r="AN586" s="46"/>
      <c r="AO586" s="46"/>
    </row>
    <row r="587">
      <c r="A587" s="17"/>
      <c r="B587" s="46"/>
      <c r="C587" s="46"/>
      <c r="D587" s="46"/>
      <c r="E587" s="17"/>
      <c r="F587" s="46"/>
      <c r="G587" s="46"/>
      <c r="H587" s="46"/>
      <c r="I587" s="17"/>
      <c r="J587" s="46"/>
      <c r="K587" s="46"/>
      <c r="L587" s="46"/>
      <c r="M587" s="17"/>
      <c r="N587" s="46"/>
      <c r="O587" s="46"/>
      <c r="P587" s="46"/>
      <c r="Q587" s="46"/>
      <c r="R587" s="46"/>
      <c r="S587" s="46"/>
      <c r="T587" s="46"/>
      <c r="U587" s="46"/>
      <c r="V587" s="46"/>
      <c r="W587" s="46"/>
      <c r="X587" s="46"/>
      <c r="Y587" s="46"/>
      <c r="Z587" s="46"/>
      <c r="AA587" s="46"/>
      <c r="AB587" s="46"/>
      <c r="AC587" s="46"/>
      <c r="AD587" s="46"/>
      <c r="AE587" s="46"/>
      <c r="AF587" s="46"/>
      <c r="AG587" s="127"/>
      <c r="AH587" s="127"/>
      <c r="AI587" s="127"/>
      <c r="AJ587" s="127"/>
      <c r="AK587" s="46"/>
      <c r="AL587" s="46"/>
      <c r="AM587" s="46"/>
      <c r="AN587" s="46"/>
      <c r="AO587" s="46"/>
    </row>
    <row r="588">
      <c r="A588" s="17"/>
      <c r="B588" s="46"/>
      <c r="C588" s="46"/>
      <c r="D588" s="46"/>
      <c r="E588" s="17"/>
      <c r="F588" s="46"/>
      <c r="G588" s="46"/>
      <c r="H588" s="46"/>
      <c r="I588" s="17"/>
      <c r="J588" s="46"/>
      <c r="K588" s="46"/>
      <c r="L588" s="46"/>
      <c r="M588" s="17"/>
      <c r="N588" s="46"/>
      <c r="O588" s="46"/>
      <c r="P588" s="46"/>
      <c r="Q588" s="46"/>
      <c r="R588" s="46"/>
      <c r="S588" s="46"/>
      <c r="T588" s="46"/>
      <c r="U588" s="46"/>
      <c r="V588" s="46"/>
      <c r="W588" s="46"/>
      <c r="X588" s="46"/>
      <c r="Y588" s="46"/>
      <c r="Z588" s="46"/>
      <c r="AA588" s="46"/>
      <c r="AB588" s="46"/>
      <c r="AC588" s="46"/>
      <c r="AD588" s="46"/>
      <c r="AE588" s="46"/>
      <c r="AF588" s="46"/>
      <c r="AG588" s="127"/>
      <c r="AH588" s="127"/>
      <c r="AI588" s="127"/>
      <c r="AJ588" s="127"/>
      <c r="AK588" s="46"/>
      <c r="AL588" s="46"/>
      <c r="AM588" s="46"/>
      <c r="AN588" s="46"/>
      <c r="AO588" s="46"/>
    </row>
    <row r="589">
      <c r="A589" s="17"/>
      <c r="B589" s="46"/>
      <c r="C589" s="46"/>
      <c r="D589" s="46"/>
      <c r="E589" s="17"/>
      <c r="F589" s="46"/>
      <c r="G589" s="46"/>
      <c r="H589" s="46"/>
      <c r="I589" s="17"/>
      <c r="J589" s="46"/>
      <c r="K589" s="46"/>
      <c r="L589" s="46"/>
      <c r="M589" s="17"/>
      <c r="N589" s="46"/>
      <c r="O589" s="46"/>
      <c r="P589" s="46"/>
      <c r="Q589" s="46"/>
      <c r="R589" s="46"/>
      <c r="S589" s="46"/>
      <c r="T589" s="46"/>
      <c r="U589" s="46"/>
      <c r="V589" s="46"/>
      <c r="W589" s="46"/>
      <c r="X589" s="46"/>
      <c r="Y589" s="46"/>
      <c r="Z589" s="46"/>
      <c r="AA589" s="46"/>
      <c r="AB589" s="46"/>
      <c r="AC589" s="46"/>
      <c r="AD589" s="46"/>
      <c r="AE589" s="46"/>
      <c r="AF589" s="46"/>
      <c r="AG589" s="127"/>
      <c r="AH589" s="127"/>
      <c r="AI589" s="127"/>
      <c r="AJ589" s="127"/>
      <c r="AK589" s="46"/>
      <c r="AL589" s="46"/>
      <c r="AM589" s="46"/>
      <c r="AN589" s="46"/>
      <c r="AO589" s="46"/>
    </row>
    <row r="590">
      <c r="A590" s="17"/>
      <c r="B590" s="46"/>
      <c r="C590" s="46"/>
      <c r="D590" s="46"/>
      <c r="E590" s="17"/>
      <c r="F590" s="46"/>
      <c r="G590" s="46"/>
      <c r="H590" s="46"/>
      <c r="I590" s="17"/>
      <c r="J590" s="46"/>
      <c r="K590" s="46"/>
      <c r="L590" s="46"/>
      <c r="M590" s="17"/>
      <c r="N590" s="46"/>
      <c r="O590" s="46"/>
      <c r="P590" s="46"/>
      <c r="Q590" s="46"/>
      <c r="R590" s="46"/>
      <c r="S590" s="46"/>
      <c r="T590" s="46"/>
      <c r="U590" s="46"/>
      <c r="V590" s="46"/>
      <c r="W590" s="46"/>
      <c r="X590" s="46"/>
      <c r="Y590" s="46"/>
      <c r="Z590" s="46"/>
      <c r="AA590" s="46"/>
      <c r="AB590" s="46"/>
      <c r="AC590" s="46"/>
      <c r="AD590" s="46"/>
      <c r="AE590" s="46"/>
      <c r="AF590" s="46"/>
      <c r="AG590" s="127"/>
      <c r="AH590" s="127"/>
      <c r="AI590" s="127"/>
      <c r="AJ590" s="127"/>
      <c r="AK590" s="46"/>
      <c r="AL590" s="46"/>
      <c r="AM590" s="46"/>
      <c r="AN590" s="46"/>
      <c r="AO590" s="46"/>
    </row>
    <row r="591">
      <c r="A591" s="17"/>
      <c r="B591" s="46"/>
      <c r="C591" s="46"/>
      <c r="D591" s="46"/>
      <c r="E591" s="17"/>
      <c r="F591" s="46"/>
      <c r="G591" s="46"/>
      <c r="H591" s="46"/>
      <c r="I591" s="17"/>
      <c r="J591" s="46"/>
      <c r="K591" s="46"/>
      <c r="L591" s="46"/>
      <c r="M591" s="17"/>
      <c r="N591" s="46"/>
      <c r="O591" s="46"/>
      <c r="P591" s="46"/>
      <c r="Q591" s="46"/>
      <c r="R591" s="46"/>
      <c r="S591" s="46"/>
      <c r="T591" s="46"/>
      <c r="U591" s="46"/>
      <c r="V591" s="46"/>
      <c r="W591" s="46"/>
      <c r="X591" s="46"/>
      <c r="Y591" s="46"/>
      <c r="Z591" s="46"/>
      <c r="AA591" s="46"/>
      <c r="AB591" s="46"/>
      <c r="AC591" s="46"/>
      <c r="AD591" s="46"/>
      <c r="AE591" s="46"/>
      <c r="AF591" s="46"/>
      <c r="AG591" s="127"/>
      <c r="AH591" s="127"/>
      <c r="AI591" s="127"/>
      <c r="AJ591" s="127"/>
      <c r="AK591" s="46"/>
      <c r="AL591" s="46"/>
      <c r="AM591" s="46"/>
      <c r="AN591" s="46"/>
      <c r="AO591" s="46"/>
    </row>
    <row r="592">
      <c r="A592" s="17"/>
      <c r="B592" s="46"/>
      <c r="C592" s="46"/>
      <c r="D592" s="46"/>
      <c r="E592" s="17"/>
      <c r="F592" s="46"/>
      <c r="G592" s="46"/>
      <c r="H592" s="46"/>
      <c r="I592" s="17"/>
      <c r="J592" s="46"/>
      <c r="K592" s="46"/>
      <c r="L592" s="46"/>
      <c r="M592" s="17"/>
      <c r="N592" s="46"/>
      <c r="O592" s="46"/>
      <c r="P592" s="46"/>
      <c r="Q592" s="46"/>
      <c r="R592" s="46"/>
      <c r="S592" s="46"/>
      <c r="T592" s="46"/>
      <c r="U592" s="46"/>
      <c r="V592" s="46"/>
      <c r="W592" s="46"/>
      <c r="X592" s="46"/>
      <c r="Y592" s="46"/>
      <c r="Z592" s="46"/>
      <c r="AA592" s="46"/>
      <c r="AB592" s="46"/>
      <c r="AC592" s="46"/>
      <c r="AD592" s="46"/>
      <c r="AE592" s="46"/>
      <c r="AF592" s="46"/>
      <c r="AG592" s="127"/>
      <c r="AH592" s="127"/>
      <c r="AI592" s="127"/>
      <c r="AJ592" s="127"/>
      <c r="AK592" s="46"/>
      <c r="AL592" s="46"/>
      <c r="AM592" s="46"/>
      <c r="AN592" s="46"/>
      <c r="AO592" s="46"/>
    </row>
    <row r="593">
      <c r="A593" s="17"/>
      <c r="B593" s="46"/>
      <c r="C593" s="46"/>
      <c r="D593" s="46"/>
      <c r="E593" s="17"/>
      <c r="F593" s="46"/>
      <c r="G593" s="46"/>
      <c r="H593" s="46"/>
      <c r="I593" s="17"/>
      <c r="J593" s="46"/>
      <c r="K593" s="46"/>
      <c r="L593" s="46"/>
      <c r="M593" s="17"/>
      <c r="N593" s="46"/>
      <c r="O593" s="46"/>
      <c r="P593" s="46"/>
      <c r="Q593" s="46"/>
      <c r="R593" s="46"/>
      <c r="S593" s="46"/>
      <c r="T593" s="46"/>
      <c r="U593" s="46"/>
      <c r="V593" s="46"/>
      <c r="W593" s="46"/>
      <c r="X593" s="46"/>
      <c r="Y593" s="46"/>
      <c r="Z593" s="46"/>
      <c r="AA593" s="46"/>
      <c r="AB593" s="46"/>
      <c r="AC593" s="46"/>
      <c r="AD593" s="46"/>
      <c r="AE593" s="46"/>
      <c r="AF593" s="46"/>
      <c r="AG593" s="127"/>
      <c r="AH593" s="127"/>
      <c r="AI593" s="127"/>
      <c r="AJ593" s="127"/>
      <c r="AK593" s="46"/>
      <c r="AL593" s="46"/>
      <c r="AM593" s="46"/>
      <c r="AN593" s="46"/>
      <c r="AO593" s="46"/>
    </row>
    <row r="594">
      <c r="A594" s="17"/>
      <c r="B594" s="46"/>
      <c r="C594" s="46"/>
      <c r="D594" s="46"/>
      <c r="E594" s="17"/>
      <c r="F594" s="46"/>
      <c r="G594" s="46"/>
      <c r="H594" s="46"/>
      <c r="I594" s="17"/>
      <c r="J594" s="46"/>
      <c r="K594" s="46"/>
      <c r="L594" s="46"/>
      <c r="M594" s="17"/>
      <c r="N594" s="46"/>
      <c r="O594" s="46"/>
      <c r="P594" s="46"/>
      <c r="Q594" s="46"/>
      <c r="R594" s="46"/>
      <c r="S594" s="46"/>
      <c r="T594" s="46"/>
      <c r="U594" s="46"/>
      <c r="V594" s="46"/>
      <c r="W594" s="46"/>
      <c r="X594" s="46"/>
      <c r="Y594" s="46"/>
      <c r="Z594" s="46"/>
      <c r="AA594" s="46"/>
      <c r="AB594" s="46"/>
      <c r="AC594" s="46"/>
      <c r="AD594" s="46"/>
      <c r="AE594" s="46"/>
      <c r="AF594" s="46"/>
      <c r="AG594" s="127"/>
      <c r="AH594" s="127"/>
      <c r="AI594" s="127"/>
      <c r="AJ594" s="127"/>
      <c r="AK594" s="46"/>
      <c r="AL594" s="46"/>
      <c r="AM594" s="46"/>
      <c r="AN594" s="46"/>
      <c r="AO594" s="46"/>
    </row>
    <row r="595">
      <c r="A595" s="17"/>
      <c r="B595" s="46"/>
      <c r="C595" s="46"/>
      <c r="D595" s="46"/>
      <c r="E595" s="17"/>
      <c r="F595" s="46"/>
      <c r="G595" s="46"/>
      <c r="H595" s="46"/>
      <c r="I595" s="17"/>
      <c r="J595" s="46"/>
      <c r="K595" s="46"/>
      <c r="L595" s="46"/>
      <c r="M595" s="17"/>
      <c r="N595" s="46"/>
      <c r="O595" s="46"/>
      <c r="P595" s="46"/>
      <c r="Q595" s="46"/>
      <c r="R595" s="46"/>
      <c r="S595" s="46"/>
      <c r="T595" s="46"/>
      <c r="U595" s="46"/>
      <c r="V595" s="46"/>
      <c r="W595" s="46"/>
      <c r="X595" s="46"/>
      <c r="Y595" s="46"/>
      <c r="Z595" s="46"/>
      <c r="AA595" s="46"/>
      <c r="AB595" s="46"/>
      <c r="AC595" s="46"/>
      <c r="AD595" s="46"/>
      <c r="AE595" s="46"/>
      <c r="AF595" s="46"/>
      <c r="AG595" s="127"/>
      <c r="AH595" s="127"/>
      <c r="AI595" s="127"/>
      <c r="AJ595" s="127"/>
      <c r="AK595" s="46"/>
      <c r="AL595" s="46"/>
      <c r="AM595" s="46"/>
      <c r="AN595" s="46"/>
      <c r="AO595" s="46"/>
    </row>
    <row r="596">
      <c r="A596" s="17"/>
      <c r="B596" s="46"/>
      <c r="C596" s="46"/>
      <c r="D596" s="46"/>
      <c r="E596" s="17"/>
      <c r="F596" s="46"/>
      <c r="G596" s="46"/>
      <c r="H596" s="46"/>
      <c r="I596" s="17"/>
      <c r="J596" s="46"/>
      <c r="K596" s="46"/>
      <c r="L596" s="46"/>
      <c r="M596" s="17"/>
      <c r="N596" s="46"/>
      <c r="O596" s="46"/>
      <c r="P596" s="46"/>
      <c r="Q596" s="46"/>
      <c r="R596" s="46"/>
      <c r="S596" s="46"/>
      <c r="T596" s="46"/>
      <c r="U596" s="46"/>
      <c r="V596" s="46"/>
      <c r="W596" s="46"/>
      <c r="X596" s="46"/>
      <c r="Y596" s="46"/>
      <c r="Z596" s="46"/>
      <c r="AA596" s="46"/>
      <c r="AB596" s="46"/>
      <c r="AC596" s="46"/>
      <c r="AD596" s="46"/>
      <c r="AE596" s="46"/>
      <c r="AF596" s="46"/>
      <c r="AG596" s="127"/>
      <c r="AH596" s="127"/>
      <c r="AI596" s="127"/>
      <c r="AJ596" s="127"/>
      <c r="AK596" s="46"/>
      <c r="AL596" s="46"/>
      <c r="AM596" s="46"/>
      <c r="AN596" s="46"/>
      <c r="AO596" s="46"/>
    </row>
    <row r="597">
      <c r="A597" s="17"/>
      <c r="B597" s="46"/>
      <c r="C597" s="46"/>
      <c r="D597" s="46"/>
      <c r="E597" s="17"/>
      <c r="F597" s="46"/>
      <c r="G597" s="46"/>
      <c r="H597" s="46"/>
      <c r="I597" s="17"/>
      <c r="J597" s="46"/>
      <c r="K597" s="46"/>
      <c r="L597" s="46"/>
      <c r="M597" s="17"/>
      <c r="N597" s="46"/>
      <c r="O597" s="46"/>
      <c r="P597" s="46"/>
      <c r="Q597" s="46"/>
      <c r="R597" s="46"/>
      <c r="S597" s="46"/>
      <c r="T597" s="46"/>
      <c r="U597" s="46"/>
      <c r="V597" s="46"/>
      <c r="W597" s="46"/>
      <c r="X597" s="46"/>
      <c r="Y597" s="46"/>
      <c r="Z597" s="46"/>
      <c r="AA597" s="46"/>
      <c r="AB597" s="46"/>
      <c r="AC597" s="46"/>
      <c r="AD597" s="46"/>
      <c r="AE597" s="46"/>
      <c r="AF597" s="46"/>
      <c r="AG597" s="127"/>
      <c r="AH597" s="127"/>
      <c r="AI597" s="127"/>
      <c r="AJ597" s="127"/>
      <c r="AK597" s="46"/>
      <c r="AL597" s="46"/>
      <c r="AM597" s="46"/>
      <c r="AN597" s="46"/>
      <c r="AO597" s="46"/>
    </row>
    <row r="598">
      <c r="A598" s="17"/>
      <c r="B598" s="46"/>
      <c r="C598" s="46"/>
      <c r="D598" s="46"/>
      <c r="E598" s="17"/>
      <c r="F598" s="46"/>
      <c r="G598" s="46"/>
      <c r="H598" s="46"/>
      <c r="I598" s="17"/>
      <c r="J598" s="46"/>
      <c r="K598" s="46"/>
      <c r="L598" s="46"/>
      <c r="M598" s="17"/>
      <c r="N598" s="46"/>
      <c r="O598" s="46"/>
      <c r="P598" s="46"/>
      <c r="Q598" s="46"/>
      <c r="R598" s="46"/>
      <c r="S598" s="46"/>
      <c r="T598" s="46"/>
      <c r="U598" s="46"/>
      <c r="V598" s="46"/>
      <c r="W598" s="46"/>
      <c r="X598" s="46"/>
      <c r="Y598" s="46"/>
      <c r="Z598" s="46"/>
      <c r="AA598" s="46"/>
      <c r="AB598" s="46"/>
      <c r="AC598" s="46"/>
      <c r="AD598" s="46"/>
      <c r="AE598" s="46"/>
      <c r="AF598" s="46"/>
      <c r="AG598" s="127"/>
      <c r="AH598" s="127"/>
      <c r="AI598" s="127"/>
      <c r="AJ598" s="127"/>
      <c r="AK598" s="46"/>
      <c r="AL598" s="46"/>
      <c r="AM598" s="46"/>
      <c r="AN598" s="46"/>
      <c r="AO598" s="46"/>
    </row>
    <row r="599">
      <c r="A599" s="17"/>
      <c r="B599" s="46"/>
      <c r="C599" s="46"/>
      <c r="D599" s="46"/>
      <c r="E599" s="17"/>
      <c r="F599" s="46"/>
      <c r="G599" s="46"/>
      <c r="H599" s="46"/>
      <c r="I599" s="17"/>
      <c r="J599" s="46"/>
      <c r="K599" s="46"/>
      <c r="L599" s="46"/>
      <c r="M599" s="17"/>
      <c r="N599" s="46"/>
      <c r="O599" s="46"/>
      <c r="P599" s="46"/>
      <c r="Q599" s="46"/>
      <c r="R599" s="46"/>
      <c r="S599" s="46"/>
      <c r="T599" s="46"/>
      <c r="U599" s="46"/>
      <c r="V599" s="46"/>
      <c r="W599" s="46"/>
      <c r="X599" s="46"/>
      <c r="Y599" s="46"/>
      <c r="Z599" s="46"/>
      <c r="AA599" s="46"/>
      <c r="AB599" s="46"/>
      <c r="AC599" s="46"/>
      <c r="AD599" s="46"/>
      <c r="AE599" s="46"/>
      <c r="AF599" s="46"/>
      <c r="AG599" s="127"/>
      <c r="AH599" s="127"/>
      <c r="AI599" s="127"/>
      <c r="AJ599" s="127"/>
      <c r="AK599" s="46"/>
      <c r="AL599" s="46"/>
      <c r="AM599" s="46"/>
      <c r="AN599" s="46"/>
      <c r="AO599" s="46"/>
    </row>
    <row r="600">
      <c r="A600" s="17"/>
      <c r="B600" s="46"/>
      <c r="C600" s="46"/>
      <c r="D600" s="46"/>
      <c r="E600" s="17"/>
      <c r="F600" s="46"/>
      <c r="G600" s="46"/>
      <c r="H600" s="46"/>
      <c r="I600" s="17"/>
      <c r="J600" s="46"/>
      <c r="K600" s="46"/>
      <c r="L600" s="46"/>
      <c r="M600" s="17"/>
      <c r="N600" s="46"/>
      <c r="O600" s="46"/>
      <c r="P600" s="46"/>
      <c r="Q600" s="46"/>
      <c r="R600" s="46"/>
      <c r="S600" s="46"/>
      <c r="T600" s="46"/>
      <c r="U600" s="46"/>
      <c r="V600" s="46"/>
      <c r="W600" s="46"/>
      <c r="X600" s="46"/>
      <c r="Y600" s="46"/>
      <c r="Z600" s="46"/>
      <c r="AA600" s="46"/>
      <c r="AB600" s="46"/>
      <c r="AC600" s="46"/>
      <c r="AD600" s="46"/>
      <c r="AE600" s="46"/>
      <c r="AF600" s="46"/>
      <c r="AG600" s="127"/>
      <c r="AH600" s="127"/>
      <c r="AI600" s="127"/>
      <c r="AJ600" s="127"/>
      <c r="AK600" s="46"/>
      <c r="AL600" s="46"/>
      <c r="AM600" s="46"/>
      <c r="AN600" s="46"/>
      <c r="AO600" s="46"/>
    </row>
    <row r="601">
      <c r="A601" s="17"/>
      <c r="B601" s="46"/>
      <c r="C601" s="46"/>
      <c r="D601" s="46"/>
      <c r="E601" s="17"/>
      <c r="F601" s="46"/>
      <c r="G601" s="46"/>
      <c r="H601" s="46"/>
      <c r="I601" s="17"/>
      <c r="J601" s="46"/>
      <c r="K601" s="46"/>
      <c r="L601" s="46"/>
      <c r="M601" s="17"/>
      <c r="N601" s="46"/>
      <c r="O601" s="46"/>
      <c r="P601" s="46"/>
      <c r="Q601" s="46"/>
      <c r="R601" s="46"/>
      <c r="S601" s="46"/>
      <c r="T601" s="46"/>
      <c r="U601" s="46"/>
      <c r="V601" s="46"/>
      <c r="W601" s="46"/>
      <c r="X601" s="46"/>
      <c r="Y601" s="46"/>
      <c r="Z601" s="46"/>
      <c r="AA601" s="46"/>
      <c r="AB601" s="46"/>
      <c r="AC601" s="46"/>
      <c r="AD601" s="46"/>
      <c r="AE601" s="46"/>
      <c r="AF601" s="46"/>
      <c r="AG601" s="127"/>
      <c r="AH601" s="127"/>
      <c r="AI601" s="127"/>
      <c r="AJ601" s="127"/>
      <c r="AK601" s="46"/>
      <c r="AL601" s="46"/>
      <c r="AM601" s="46"/>
      <c r="AN601" s="46"/>
      <c r="AO601" s="46"/>
    </row>
    <row r="602">
      <c r="A602" s="17"/>
      <c r="B602" s="46"/>
      <c r="C602" s="46"/>
      <c r="D602" s="46"/>
      <c r="E602" s="17"/>
      <c r="F602" s="46"/>
      <c r="G602" s="46"/>
      <c r="H602" s="46"/>
      <c r="I602" s="17"/>
      <c r="J602" s="46"/>
      <c r="K602" s="46"/>
      <c r="L602" s="46"/>
      <c r="M602" s="17"/>
      <c r="N602" s="46"/>
      <c r="O602" s="46"/>
      <c r="P602" s="46"/>
      <c r="Q602" s="46"/>
      <c r="R602" s="46"/>
      <c r="S602" s="46"/>
      <c r="T602" s="46"/>
      <c r="U602" s="46"/>
      <c r="V602" s="46"/>
      <c r="W602" s="46"/>
      <c r="X602" s="46"/>
      <c r="Y602" s="46"/>
      <c r="Z602" s="46"/>
      <c r="AA602" s="46"/>
      <c r="AB602" s="46"/>
      <c r="AC602" s="46"/>
      <c r="AD602" s="46"/>
      <c r="AE602" s="46"/>
      <c r="AF602" s="46"/>
      <c r="AG602" s="127"/>
      <c r="AH602" s="127"/>
      <c r="AI602" s="127"/>
      <c r="AJ602" s="127"/>
      <c r="AK602" s="46"/>
      <c r="AL602" s="46"/>
      <c r="AM602" s="46"/>
      <c r="AN602" s="46"/>
      <c r="AO602" s="46"/>
    </row>
    <row r="603">
      <c r="A603" s="17"/>
      <c r="B603" s="46"/>
      <c r="C603" s="46"/>
      <c r="D603" s="46"/>
      <c r="E603" s="17"/>
      <c r="F603" s="46"/>
      <c r="G603" s="46"/>
      <c r="H603" s="46"/>
      <c r="I603" s="17"/>
      <c r="J603" s="46"/>
      <c r="K603" s="46"/>
      <c r="L603" s="46"/>
      <c r="M603" s="17"/>
      <c r="N603" s="46"/>
      <c r="O603" s="46"/>
      <c r="P603" s="46"/>
      <c r="Q603" s="46"/>
      <c r="R603" s="46"/>
      <c r="S603" s="46"/>
      <c r="T603" s="46"/>
      <c r="U603" s="46"/>
      <c r="V603" s="46"/>
      <c r="W603" s="46"/>
      <c r="X603" s="46"/>
      <c r="Y603" s="46"/>
      <c r="Z603" s="46"/>
      <c r="AA603" s="46"/>
      <c r="AB603" s="46"/>
      <c r="AC603" s="46"/>
      <c r="AD603" s="46"/>
      <c r="AE603" s="46"/>
      <c r="AF603" s="46"/>
      <c r="AG603" s="127"/>
      <c r="AH603" s="127"/>
      <c r="AI603" s="127"/>
      <c r="AJ603" s="127"/>
      <c r="AK603" s="46"/>
      <c r="AL603" s="46"/>
      <c r="AM603" s="46"/>
      <c r="AN603" s="46"/>
      <c r="AO603" s="46"/>
    </row>
    <row r="604">
      <c r="A604" s="17"/>
      <c r="B604" s="46"/>
      <c r="C604" s="46"/>
      <c r="D604" s="46"/>
      <c r="E604" s="17"/>
      <c r="F604" s="46"/>
      <c r="G604" s="46"/>
      <c r="H604" s="46"/>
      <c r="I604" s="17"/>
      <c r="J604" s="46"/>
      <c r="K604" s="46"/>
      <c r="L604" s="46"/>
      <c r="M604" s="17"/>
      <c r="N604" s="46"/>
      <c r="O604" s="46"/>
      <c r="P604" s="46"/>
      <c r="Q604" s="46"/>
      <c r="R604" s="46"/>
      <c r="S604" s="46"/>
      <c r="T604" s="46"/>
      <c r="U604" s="46"/>
      <c r="V604" s="46"/>
      <c r="W604" s="46"/>
      <c r="X604" s="46"/>
      <c r="Y604" s="46"/>
      <c r="Z604" s="46"/>
      <c r="AA604" s="46"/>
      <c r="AB604" s="46"/>
      <c r="AC604" s="46"/>
      <c r="AD604" s="46"/>
      <c r="AE604" s="46"/>
      <c r="AF604" s="46"/>
      <c r="AG604" s="127"/>
      <c r="AH604" s="127"/>
      <c r="AI604" s="127"/>
      <c r="AJ604" s="127"/>
      <c r="AK604" s="46"/>
      <c r="AL604" s="46"/>
      <c r="AM604" s="46"/>
      <c r="AN604" s="46"/>
      <c r="AO604" s="46"/>
    </row>
    <row r="605">
      <c r="A605" s="17"/>
      <c r="B605" s="46"/>
      <c r="C605" s="46"/>
      <c r="D605" s="46"/>
      <c r="E605" s="17"/>
      <c r="F605" s="46"/>
      <c r="G605" s="46"/>
      <c r="H605" s="46"/>
      <c r="I605" s="17"/>
      <c r="J605" s="46"/>
      <c r="K605" s="46"/>
      <c r="L605" s="46"/>
      <c r="M605" s="17"/>
      <c r="N605" s="46"/>
      <c r="O605" s="46"/>
      <c r="P605" s="46"/>
      <c r="Q605" s="46"/>
      <c r="R605" s="46"/>
      <c r="S605" s="46"/>
      <c r="T605" s="46"/>
      <c r="U605" s="46"/>
      <c r="V605" s="46"/>
      <c r="W605" s="46"/>
      <c r="X605" s="46"/>
      <c r="Y605" s="46"/>
      <c r="Z605" s="46"/>
      <c r="AA605" s="46"/>
      <c r="AB605" s="46"/>
      <c r="AC605" s="46"/>
      <c r="AD605" s="46"/>
      <c r="AE605" s="46"/>
      <c r="AF605" s="46"/>
      <c r="AG605" s="127"/>
      <c r="AH605" s="127"/>
      <c r="AI605" s="127"/>
      <c r="AJ605" s="127"/>
      <c r="AK605" s="46"/>
      <c r="AL605" s="46"/>
      <c r="AM605" s="46"/>
      <c r="AN605" s="46"/>
      <c r="AO605" s="46"/>
    </row>
    <row r="606">
      <c r="A606" s="17"/>
      <c r="B606" s="46"/>
      <c r="C606" s="46"/>
      <c r="D606" s="46"/>
      <c r="E606" s="17"/>
      <c r="F606" s="46"/>
      <c r="G606" s="46"/>
      <c r="H606" s="46"/>
      <c r="I606" s="17"/>
      <c r="J606" s="46"/>
      <c r="K606" s="46"/>
      <c r="L606" s="46"/>
      <c r="M606" s="17"/>
      <c r="N606" s="46"/>
      <c r="O606" s="46"/>
      <c r="P606" s="46"/>
      <c r="Q606" s="46"/>
      <c r="R606" s="46"/>
      <c r="S606" s="46"/>
      <c r="T606" s="46"/>
      <c r="U606" s="46"/>
      <c r="V606" s="46"/>
      <c r="W606" s="46"/>
      <c r="X606" s="46"/>
      <c r="Y606" s="46"/>
      <c r="Z606" s="46"/>
      <c r="AA606" s="46"/>
      <c r="AB606" s="46"/>
      <c r="AC606" s="46"/>
      <c r="AD606" s="46"/>
      <c r="AE606" s="46"/>
      <c r="AF606" s="46"/>
      <c r="AG606" s="127"/>
      <c r="AH606" s="127"/>
      <c r="AI606" s="127"/>
      <c r="AJ606" s="127"/>
      <c r="AK606" s="46"/>
      <c r="AL606" s="46"/>
      <c r="AM606" s="46"/>
      <c r="AN606" s="46"/>
      <c r="AO606" s="46"/>
    </row>
    <row r="607">
      <c r="A607" s="17"/>
      <c r="B607" s="46"/>
      <c r="C607" s="46"/>
      <c r="D607" s="46"/>
      <c r="E607" s="17"/>
      <c r="F607" s="46"/>
      <c r="G607" s="46"/>
      <c r="H607" s="46"/>
      <c r="I607" s="17"/>
      <c r="J607" s="46"/>
      <c r="K607" s="46"/>
      <c r="L607" s="46"/>
      <c r="M607" s="17"/>
      <c r="N607" s="46"/>
      <c r="O607" s="46"/>
      <c r="P607" s="46"/>
      <c r="Q607" s="46"/>
      <c r="R607" s="46"/>
      <c r="S607" s="46"/>
      <c r="T607" s="46"/>
      <c r="U607" s="46"/>
      <c r="V607" s="46"/>
      <c r="W607" s="46"/>
      <c r="X607" s="46"/>
      <c r="Y607" s="46"/>
      <c r="Z607" s="46"/>
      <c r="AA607" s="46"/>
      <c r="AB607" s="46"/>
      <c r="AC607" s="46"/>
      <c r="AD607" s="46"/>
      <c r="AE607" s="46"/>
      <c r="AF607" s="46"/>
      <c r="AG607" s="127"/>
      <c r="AH607" s="127"/>
      <c r="AI607" s="127"/>
      <c r="AJ607" s="127"/>
      <c r="AK607" s="46"/>
      <c r="AL607" s="46"/>
      <c r="AM607" s="46"/>
      <c r="AN607" s="46"/>
      <c r="AO607" s="46"/>
    </row>
    <row r="608">
      <c r="A608" s="17"/>
      <c r="B608" s="46"/>
      <c r="C608" s="46"/>
      <c r="D608" s="46"/>
      <c r="E608" s="17"/>
      <c r="F608" s="46"/>
      <c r="G608" s="46"/>
      <c r="H608" s="46"/>
      <c r="I608" s="17"/>
      <c r="J608" s="46"/>
      <c r="K608" s="46"/>
      <c r="L608" s="46"/>
      <c r="M608" s="17"/>
      <c r="N608" s="46"/>
      <c r="O608" s="46"/>
      <c r="P608" s="46"/>
      <c r="Q608" s="46"/>
      <c r="R608" s="46"/>
      <c r="S608" s="46"/>
      <c r="T608" s="46"/>
      <c r="U608" s="46"/>
      <c r="V608" s="46"/>
      <c r="W608" s="46"/>
      <c r="X608" s="46"/>
      <c r="Y608" s="46"/>
      <c r="Z608" s="46"/>
      <c r="AA608" s="46"/>
      <c r="AB608" s="46"/>
      <c r="AC608" s="46"/>
      <c r="AD608" s="46"/>
      <c r="AE608" s="46"/>
      <c r="AF608" s="46"/>
      <c r="AG608" s="127"/>
      <c r="AH608" s="127"/>
      <c r="AI608" s="127"/>
      <c r="AJ608" s="127"/>
      <c r="AK608" s="46"/>
      <c r="AL608" s="46"/>
      <c r="AM608" s="46"/>
      <c r="AN608" s="46"/>
      <c r="AO608" s="46"/>
    </row>
    <row r="609">
      <c r="A609" s="17"/>
      <c r="B609" s="46"/>
      <c r="C609" s="46"/>
      <c r="D609" s="46"/>
      <c r="E609" s="17"/>
      <c r="F609" s="46"/>
      <c r="G609" s="46"/>
      <c r="H609" s="46"/>
      <c r="I609" s="17"/>
      <c r="J609" s="46"/>
      <c r="K609" s="46"/>
      <c r="L609" s="46"/>
      <c r="M609" s="17"/>
      <c r="N609" s="46"/>
      <c r="O609" s="46"/>
      <c r="P609" s="46"/>
      <c r="Q609" s="46"/>
      <c r="R609" s="46"/>
      <c r="S609" s="46"/>
      <c r="T609" s="46"/>
      <c r="U609" s="46"/>
      <c r="V609" s="46"/>
      <c r="W609" s="46"/>
      <c r="X609" s="46"/>
      <c r="Y609" s="46"/>
      <c r="Z609" s="46"/>
      <c r="AA609" s="46"/>
      <c r="AB609" s="46"/>
      <c r="AC609" s="46"/>
      <c r="AD609" s="46"/>
      <c r="AE609" s="46"/>
      <c r="AF609" s="46"/>
      <c r="AG609" s="127"/>
      <c r="AH609" s="127"/>
      <c r="AI609" s="127"/>
      <c r="AJ609" s="127"/>
      <c r="AK609" s="46"/>
      <c r="AL609" s="46"/>
      <c r="AM609" s="46"/>
      <c r="AN609" s="46"/>
      <c r="AO609" s="46"/>
    </row>
    <row r="610">
      <c r="A610" s="17"/>
      <c r="B610" s="46"/>
      <c r="C610" s="46"/>
      <c r="D610" s="46"/>
      <c r="E610" s="17"/>
      <c r="F610" s="46"/>
      <c r="G610" s="46"/>
      <c r="H610" s="46"/>
      <c r="I610" s="17"/>
      <c r="J610" s="46"/>
      <c r="K610" s="46"/>
      <c r="L610" s="46"/>
      <c r="M610" s="17"/>
      <c r="N610" s="46"/>
      <c r="O610" s="46"/>
      <c r="P610" s="46"/>
      <c r="Q610" s="46"/>
      <c r="R610" s="46"/>
      <c r="S610" s="46"/>
      <c r="T610" s="46"/>
      <c r="U610" s="46"/>
      <c r="V610" s="46"/>
      <c r="W610" s="46"/>
      <c r="X610" s="46"/>
      <c r="Y610" s="46"/>
      <c r="Z610" s="46"/>
      <c r="AA610" s="46"/>
      <c r="AB610" s="46"/>
      <c r="AC610" s="46"/>
      <c r="AD610" s="46"/>
      <c r="AE610" s="46"/>
      <c r="AF610" s="46"/>
      <c r="AG610" s="127"/>
      <c r="AH610" s="127"/>
      <c r="AI610" s="127"/>
      <c r="AJ610" s="127"/>
      <c r="AK610" s="46"/>
      <c r="AL610" s="46"/>
      <c r="AM610" s="46"/>
      <c r="AN610" s="46"/>
      <c r="AO610" s="46"/>
    </row>
    <row r="611">
      <c r="A611" s="17"/>
      <c r="B611" s="46"/>
      <c r="C611" s="46"/>
      <c r="D611" s="46"/>
      <c r="E611" s="17"/>
      <c r="F611" s="46"/>
      <c r="G611" s="46"/>
      <c r="H611" s="46"/>
      <c r="I611" s="17"/>
      <c r="J611" s="46"/>
      <c r="K611" s="46"/>
      <c r="L611" s="46"/>
      <c r="M611" s="17"/>
      <c r="N611" s="46"/>
      <c r="O611" s="46"/>
      <c r="P611" s="46"/>
      <c r="Q611" s="46"/>
      <c r="R611" s="46"/>
      <c r="S611" s="46"/>
      <c r="T611" s="46"/>
      <c r="U611" s="46"/>
      <c r="V611" s="46"/>
      <c r="W611" s="46"/>
      <c r="X611" s="46"/>
      <c r="Y611" s="46"/>
      <c r="Z611" s="46"/>
      <c r="AA611" s="46"/>
      <c r="AB611" s="46"/>
      <c r="AC611" s="46"/>
      <c r="AD611" s="46"/>
      <c r="AE611" s="46"/>
      <c r="AF611" s="46"/>
      <c r="AG611" s="127"/>
      <c r="AH611" s="127"/>
      <c r="AI611" s="127"/>
      <c r="AJ611" s="127"/>
      <c r="AK611" s="46"/>
      <c r="AL611" s="46"/>
      <c r="AM611" s="46"/>
      <c r="AN611" s="46"/>
      <c r="AO611" s="46"/>
    </row>
    <row r="612">
      <c r="A612" s="17"/>
      <c r="B612" s="46"/>
      <c r="C612" s="46"/>
      <c r="D612" s="46"/>
      <c r="E612" s="17"/>
      <c r="F612" s="46"/>
      <c r="G612" s="46"/>
      <c r="H612" s="46"/>
      <c r="I612" s="17"/>
      <c r="J612" s="46"/>
      <c r="K612" s="46"/>
      <c r="L612" s="46"/>
      <c r="M612" s="17"/>
      <c r="N612" s="46"/>
      <c r="O612" s="46"/>
      <c r="P612" s="46"/>
      <c r="Q612" s="46"/>
      <c r="R612" s="46"/>
      <c r="S612" s="46"/>
      <c r="T612" s="46"/>
      <c r="U612" s="46"/>
      <c r="V612" s="46"/>
      <c r="W612" s="46"/>
      <c r="X612" s="46"/>
      <c r="Y612" s="46"/>
      <c r="Z612" s="46"/>
      <c r="AA612" s="46"/>
      <c r="AB612" s="46"/>
      <c r="AC612" s="46"/>
      <c r="AD612" s="46"/>
      <c r="AE612" s="46"/>
      <c r="AF612" s="46"/>
      <c r="AG612" s="127"/>
      <c r="AH612" s="127"/>
      <c r="AI612" s="127"/>
      <c r="AJ612" s="127"/>
      <c r="AK612" s="46"/>
      <c r="AL612" s="46"/>
      <c r="AM612" s="46"/>
      <c r="AN612" s="46"/>
      <c r="AO612" s="46"/>
    </row>
    <row r="613">
      <c r="A613" s="17"/>
      <c r="B613" s="46"/>
      <c r="C613" s="46"/>
      <c r="D613" s="46"/>
      <c r="E613" s="17"/>
      <c r="F613" s="46"/>
      <c r="G613" s="46"/>
      <c r="H613" s="46"/>
      <c r="I613" s="17"/>
      <c r="J613" s="46"/>
      <c r="K613" s="46"/>
      <c r="L613" s="46"/>
      <c r="M613" s="17"/>
      <c r="N613" s="46"/>
      <c r="O613" s="46"/>
      <c r="P613" s="46"/>
      <c r="Q613" s="46"/>
      <c r="R613" s="46"/>
      <c r="S613" s="46"/>
      <c r="T613" s="46"/>
      <c r="U613" s="46"/>
      <c r="V613" s="46"/>
      <c r="W613" s="46"/>
      <c r="X613" s="46"/>
      <c r="Y613" s="46"/>
      <c r="Z613" s="46"/>
      <c r="AA613" s="46"/>
      <c r="AB613" s="46"/>
      <c r="AC613" s="46"/>
      <c r="AD613" s="46"/>
      <c r="AE613" s="46"/>
      <c r="AF613" s="46"/>
      <c r="AG613" s="127"/>
      <c r="AH613" s="127"/>
      <c r="AI613" s="127"/>
      <c r="AJ613" s="127"/>
      <c r="AK613" s="46"/>
      <c r="AL613" s="46"/>
      <c r="AM613" s="46"/>
      <c r="AN613" s="46"/>
      <c r="AO613" s="46"/>
    </row>
    <row r="614">
      <c r="A614" s="17"/>
      <c r="B614" s="46"/>
      <c r="C614" s="46"/>
      <c r="D614" s="46"/>
      <c r="E614" s="17"/>
      <c r="F614" s="46"/>
      <c r="G614" s="46"/>
      <c r="H614" s="46"/>
      <c r="I614" s="17"/>
      <c r="J614" s="46"/>
      <c r="K614" s="46"/>
      <c r="L614" s="46"/>
      <c r="M614" s="17"/>
      <c r="N614" s="46"/>
      <c r="O614" s="46"/>
      <c r="P614" s="46"/>
      <c r="Q614" s="46"/>
      <c r="R614" s="46"/>
      <c r="S614" s="46"/>
      <c r="T614" s="46"/>
      <c r="U614" s="46"/>
      <c r="V614" s="46"/>
      <c r="W614" s="46"/>
      <c r="X614" s="46"/>
      <c r="Y614" s="46"/>
      <c r="Z614" s="46"/>
      <c r="AA614" s="46"/>
      <c r="AB614" s="46"/>
      <c r="AC614" s="46"/>
      <c r="AD614" s="46"/>
      <c r="AE614" s="46"/>
      <c r="AF614" s="46"/>
      <c r="AG614" s="127"/>
      <c r="AH614" s="127"/>
      <c r="AI614" s="127"/>
      <c r="AJ614" s="127"/>
      <c r="AK614" s="46"/>
      <c r="AL614" s="46"/>
      <c r="AM614" s="46"/>
      <c r="AN614" s="46"/>
      <c r="AO614" s="46"/>
    </row>
    <row r="615">
      <c r="A615" s="17"/>
      <c r="B615" s="46"/>
      <c r="C615" s="46"/>
      <c r="D615" s="46"/>
      <c r="E615" s="17"/>
      <c r="F615" s="46"/>
      <c r="G615" s="46"/>
      <c r="H615" s="46"/>
      <c r="I615" s="17"/>
      <c r="J615" s="46"/>
      <c r="K615" s="46"/>
      <c r="L615" s="46"/>
      <c r="M615" s="17"/>
      <c r="N615" s="46"/>
      <c r="O615" s="46"/>
      <c r="P615" s="46"/>
      <c r="Q615" s="46"/>
      <c r="R615" s="46"/>
      <c r="S615" s="46"/>
      <c r="T615" s="46"/>
      <c r="U615" s="46"/>
      <c r="V615" s="46"/>
      <c r="W615" s="46"/>
      <c r="X615" s="46"/>
      <c r="Y615" s="46"/>
      <c r="Z615" s="46"/>
      <c r="AA615" s="46"/>
      <c r="AB615" s="46"/>
      <c r="AC615" s="46"/>
      <c r="AD615" s="46"/>
      <c r="AE615" s="46"/>
      <c r="AF615" s="46"/>
      <c r="AG615" s="127"/>
      <c r="AH615" s="127"/>
      <c r="AI615" s="127"/>
      <c r="AJ615" s="127"/>
      <c r="AK615" s="46"/>
      <c r="AL615" s="46"/>
      <c r="AM615" s="46"/>
      <c r="AN615" s="46"/>
      <c r="AO615" s="46"/>
    </row>
    <row r="616">
      <c r="A616" s="17"/>
      <c r="B616" s="46"/>
      <c r="C616" s="46"/>
      <c r="D616" s="46"/>
      <c r="E616" s="17"/>
      <c r="F616" s="46"/>
      <c r="G616" s="46"/>
      <c r="H616" s="46"/>
      <c r="I616" s="17"/>
      <c r="J616" s="46"/>
      <c r="K616" s="46"/>
      <c r="L616" s="46"/>
      <c r="M616" s="17"/>
      <c r="N616" s="46"/>
      <c r="O616" s="46"/>
      <c r="P616" s="46"/>
      <c r="Q616" s="46"/>
      <c r="R616" s="46"/>
      <c r="S616" s="46"/>
      <c r="T616" s="46"/>
      <c r="U616" s="46"/>
      <c r="V616" s="46"/>
      <c r="W616" s="46"/>
      <c r="X616" s="46"/>
      <c r="Y616" s="46"/>
      <c r="Z616" s="46"/>
      <c r="AA616" s="46"/>
      <c r="AB616" s="46"/>
      <c r="AC616" s="46"/>
      <c r="AD616" s="46"/>
      <c r="AE616" s="46"/>
      <c r="AF616" s="46"/>
      <c r="AG616" s="127"/>
      <c r="AH616" s="127"/>
      <c r="AI616" s="127"/>
      <c r="AJ616" s="127"/>
      <c r="AK616" s="46"/>
      <c r="AL616" s="46"/>
      <c r="AM616" s="46"/>
      <c r="AN616" s="46"/>
      <c r="AO616" s="46"/>
    </row>
    <row r="617">
      <c r="A617" s="17"/>
      <c r="B617" s="46"/>
      <c r="C617" s="46"/>
      <c r="D617" s="46"/>
      <c r="E617" s="17"/>
      <c r="F617" s="46"/>
      <c r="G617" s="46"/>
      <c r="H617" s="46"/>
      <c r="I617" s="17"/>
      <c r="J617" s="46"/>
      <c r="K617" s="46"/>
      <c r="L617" s="46"/>
      <c r="M617" s="17"/>
      <c r="N617" s="46"/>
      <c r="O617" s="46"/>
      <c r="P617" s="46"/>
      <c r="Q617" s="46"/>
      <c r="R617" s="46"/>
      <c r="S617" s="46"/>
      <c r="T617" s="46"/>
      <c r="U617" s="46"/>
      <c r="V617" s="46"/>
      <c r="W617" s="46"/>
      <c r="X617" s="46"/>
      <c r="Y617" s="46"/>
      <c r="Z617" s="46"/>
      <c r="AA617" s="46"/>
      <c r="AB617" s="46"/>
      <c r="AC617" s="46"/>
      <c r="AD617" s="46"/>
      <c r="AE617" s="46"/>
      <c r="AF617" s="46"/>
      <c r="AG617" s="127"/>
      <c r="AH617" s="127"/>
      <c r="AI617" s="127"/>
      <c r="AJ617" s="127"/>
      <c r="AK617" s="46"/>
      <c r="AL617" s="46"/>
      <c r="AM617" s="46"/>
      <c r="AN617" s="46"/>
      <c r="AO617" s="46"/>
    </row>
    <row r="618">
      <c r="A618" s="17"/>
      <c r="B618" s="46"/>
      <c r="C618" s="46"/>
      <c r="D618" s="46"/>
      <c r="E618" s="17"/>
      <c r="F618" s="46"/>
      <c r="G618" s="46"/>
      <c r="H618" s="46"/>
      <c r="I618" s="17"/>
      <c r="J618" s="46"/>
      <c r="K618" s="46"/>
      <c r="L618" s="46"/>
      <c r="M618" s="17"/>
      <c r="N618" s="46"/>
      <c r="O618" s="46"/>
      <c r="P618" s="46"/>
      <c r="Q618" s="46"/>
      <c r="R618" s="46"/>
      <c r="S618" s="46"/>
      <c r="T618" s="46"/>
      <c r="U618" s="46"/>
      <c r="V618" s="46"/>
      <c r="W618" s="46"/>
      <c r="X618" s="46"/>
      <c r="Y618" s="46"/>
      <c r="Z618" s="46"/>
      <c r="AA618" s="46"/>
      <c r="AB618" s="46"/>
      <c r="AC618" s="46"/>
      <c r="AD618" s="46"/>
      <c r="AE618" s="46"/>
      <c r="AF618" s="46"/>
      <c r="AG618" s="127"/>
      <c r="AH618" s="127"/>
      <c r="AI618" s="127"/>
      <c r="AJ618" s="127"/>
      <c r="AK618" s="46"/>
      <c r="AL618" s="46"/>
      <c r="AM618" s="46"/>
      <c r="AN618" s="46"/>
      <c r="AO618" s="46"/>
    </row>
    <row r="619">
      <c r="A619" s="17"/>
      <c r="B619" s="46"/>
      <c r="C619" s="46"/>
      <c r="D619" s="46"/>
      <c r="E619" s="17"/>
      <c r="F619" s="46"/>
      <c r="G619" s="46"/>
      <c r="H619" s="46"/>
      <c r="I619" s="17"/>
      <c r="J619" s="46"/>
      <c r="K619" s="46"/>
      <c r="L619" s="46"/>
      <c r="M619" s="17"/>
      <c r="N619" s="46"/>
      <c r="O619" s="46"/>
      <c r="P619" s="46"/>
      <c r="Q619" s="46"/>
      <c r="R619" s="46"/>
      <c r="S619" s="46"/>
      <c r="T619" s="46"/>
      <c r="U619" s="46"/>
      <c r="V619" s="46"/>
      <c r="W619" s="46"/>
      <c r="X619" s="46"/>
      <c r="Y619" s="46"/>
      <c r="Z619" s="46"/>
      <c r="AA619" s="46"/>
      <c r="AB619" s="46"/>
      <c r="AC619" s="46"/>
      <c r="AD619" s="46"/>
      <c r="AE619" s="46"/>
      <c r="AF619" s="46"/>
      <c r="AG619" s="127"/>
      <c r="AH619" s="127"/>
      <c r="AI619" s="127"/>
      <c r="AJ619" s="127"/>
      <c r="AK619" s="46"/>
      <c r="AL619" s="46"/>
      <c r="AM619" s="46"/>
      <c r="AN619" s="46"/>
      <c r="AO619" s="46"/>
    </row>
    <row r="620">
      <c r="A620" s="17"/>
      <c r="B620" s="46"/>
      <c r="C620" s="46"/>
      <c r="D620" s="46"/>
      <c r="E620" s="17"/>
      <c r="F620" s="46"/>
      <c r="G620" s="46"/>
      <c r="H620" s="46"/>
      <c r="I620" s="17"/>
      <c r="J620" s="46"/>
      <c r="K620" s="46"/>
      <c r="L620" s="46"/>
      <c r="M620" s="17"/>
      <c r="N620" s="46"/>
      <c r="O620" s="46"/>
      <c r="P620" s="46"/>
      <c r="Q620" s="46"/>
      <c r="R620" s="46"/>
      <c r="S620" s="46"/>
      <c r="T620" s="46"/>
      <c r="U620" s="46"/>
      <c r="V620" s="46"/>
      <c r="W620" s="46"/>
      <c r="X620" s="46"/>
      <c r="Y620" s="46"/>
      <c r="Z620" s="46"/>
      <c r="AA620" s="46"/>
      <c r="AB620" s="46"/>
      <c r="AC620" s="46"/>
      <c r="AD620" s="46"/>
      <c r="AE620" s="46"/>
      <c r="AF620" s="46"/>
      <c r="AG620" s="127"/>
      <c r="AH620" s="127"/>
      <c r="AI620" s="127"/>
      <c r="AJ620" s="127"/>
      <c r="AK620" s="46"/>
      <c r="AL620" s="46"/>
      <c r="AM620" s="46"/>
      <c r="AN620" s="46"/>
      <c r="AO620" s="46"/>
    </row>
    <row r="621">
      <c r="A621" s="17"/>
      <c r="B621" s="46"/>
      <c r="C621" s="46"/>
      <c r="D621" s="46"/>
      <c r="E621" s="17"/>
      <c r="F621" s="46"/>
      <c r="G621" s="46"/>
      <c r="H621" s="46"/>
      <c r="I621" s="17"/>
      <c r="J621" s="46"/>
      <c r="K621" s="46"/>
      <c r="L621" s="46"/>
      <c r="M621" s="17"/>
      <c r="N621" s="46"/>
      <c r="O621" s="46"/>
      <c r="P621" s="46"/>
      <c r="Q621" s="46"/>
      <c r="R621" s="46"/>
      <c r="S621" s="46"/>
      <c r="T621" s="46"/>
      <c r="U621" s="46"/>
      <c r="V621" s="46"/>
      <c r="W621" s="46"/>
      <c r="X621" s="46"/>
      <c r="Y621" s="46"/>
      <c r="Z621" s="46"/>
      <c r="AA621" s="46"/>
      <c r="AB621" s="46"/>
      <c r="AC621" s="46"/>
      <c r="AD621" s="46"/>
      <c r="AE621" s="46"/>
      <c r="AF621" s="46"/>
      <c r="AG621" s="127"/>
      <c r="AH621" s="127"/>
      <c r="AI621" s="127"/>
      <c r="AJ621" s="127"/>
      <c r="AK621" s="46"/>
      <c r="AL621" s="46"/>
      <c r="AM621" s="46"/>
      <c r="AN621" s="46"/>
      <c r="AO621" s="46"/>
    </row>
    <row r="622">
      <c r="A622" s="17"/>
      <c r="B622" s="46"/>
      <c r="C622" s="46"/>
      <c r="D622" s="46"/>
      <c r="E622" s="17"/>
      <c r="F622" s="46"/>
      <c r="G622" s="46"/>
      <c r="H622" s="46"/>
      <c r="I622" s="17"/>
      <c r="J622" s="46"/>
      <c r="K622" s="46"/>
      <c r="L622" s="46"/>
      <c r="M622" s="17"/>
      <c r="N622" s="46"/>
      <c r="O622" s="46"/>
      <c r="P622" s="46"/>
      <c r="Q622" s="46"/>
      <c r="R622" s="46"/>
      <c r="S622" s="46"/>
      <c r="T622" s="46"/>
      <c r="U622" s="46"/>
      <c r="V622" s="46"/>
      <c r="W622" s="46"/>
      <c r="X622" s="46"/>
      <c r="Y622" s="46"/>
      <c r="Z622" s="46"/>
      <c r="AA622" s="46"/>
      <c r="AB622" s="46"/>
      <c r="AC622" s="46"/>
      <c r="AD622" s="46"/>
      <c r="AE622" s="46"/>
      <c r="AF622" s="46"/>
      <c r="AG622" s="127"/>
      <c r="AH622" s="127"/>
      <c r="AI622" s="127"/>
      <c r="AJ622" s="127"/>
      <c r="AK622" s="46"/>
      <c r="AL622" s="46"/>
      <c r="AM622" s="46"/>
      <c r="AN622" s="46"/>
      <c r="AO622" s="46"/>
    </row>
    <row r="623">
      <c r="A623" s="17"/>
      <c r="B623" s="46"/>
      <c r="C623" s="46"/>
      <c r="D623" s="46"/>
      <c r="E623" s="17"/>
      <c r="F623" s="46"/>
      <c r="G623" s="46"/>
      <c r="H623" s="46"/>
      <c r="I623" s="17"/>
      <c r="J623" s="46"/>
      <c r="K623" s="46"/>
      <c r="L623" s="46"/>
      <c r="M623" s="17"/>
      <c r="N623" s="46"/>
      <c r="O623" s="46"/>
      <c r="P623" s="46"/>
      <c r="Q623" s="46"/>
      <c r="R623" s="46"/>
      <c r="S623" s="46"/>
      <c r="T623" s="46"/>
      <c r="U623" s="46"/>
      <c r="V623" s="46"/>
      <c r="W623" s="46"/>
      <c r="X623" s="46"/>
      <c r="Y623" s="46"/>
      <c r="Z623" s="46"/>
      <c r="AA623" s="46"/>
      <c r="AB623" s="46"/>
      <c r="AC623" s="46"/>
      <c r="AD623" s="46"/>
      <c r="AE623" s="46"/>
      <c r="AF623" s="46"/>
      <c r="AG623" s="127"/>
      <c r="AH623" s="127"/>
      <c r="AI623" s="127"/>
      <c r="AJ623" s="127"/>
      <c r="AK623" s="46"/>
      <c r="AL623" s="46"/>
      <c r="AM623" s="46"/>
      <c r="AN623" s="46"/>
      <c r="AO623" s="46"/>
    </row>
    <row r="624">
      <c r="A624" s="17"/>
      <c r="B624" s="46"/>
      <c r="C624" s="46"/>
      <c r="D624" s="46"/>
      <c r="E624" s="17"/>
      <c r="F624" s="46"/>
      <c r="G624" s="46"/>
      <c r="H624" s="46"/>
      <c r="I624" s="17"/>
      <c r="J624" s="46"/>
      <c r="K624" s="46"/>
      <c r="L624" s="46"/>
      <c r="M624" s="17"/>
      <c r="N624" s="46"/>
      <c r="O624" s="46"/>
      <c r="P624" s="46"/>
      <c r="Q624" s="46"/>
      <c r="R624" s="46"/>
      <c r="S624" s="46"/>
      <c r="T624" s="46"/>
      <c r="U624" s="46"/>
      <c r="V624" s="46"/>
      <c r="W624" s="46"/>
      <c r="X624" s="46"/>
      <c r="Y624" s="46"/>
      <c r="Z624" s="46"/>
      <c r="AA624" s="46"/>
      <c r="AB624" s="46"/>
      <c r="AC624" s="46"/>
      <c r="AD624" s="46"/>
      <c r="AE624" s="46"/>
      <c r="AF624" s="46"/>
      <c r="AG624" s="127"/>
      <c r="AH624" s="127"/>
      <c r="AI624" s="127"/>
      <c r="AJ624" s="127"/>
      <c r="AK624" s="46"/>
      <c r="AL624" s="46"/>
      <c r="AM624" s="46"/>
      <c r="AN624" s="46"/>
      <c r="AO624" s="46"/>
    </row>
    <row r="625">
      <c r="A625" s="17"/>
      <c r="B625" s="46"/>
      <c r="C625" s="46"/>
      <c r="D625" s="46"/>
      <c r="E625" s="17"/>
      <c r="F625" s="46"/>
      <c r="G625" s="46"/>
      <c r="H625" s="46"/>
      <c r="I625" s="17"/>
      <c r="J625" s="46"/>
      <c r="K625" s="46"/>
      <c r="L625" s="46"/>
      <c r="M625" s="17"/>
      <c r="N625" s="46"/>
      <c r="O625" s="46"/>
      <c r="P625" s="46"/>
      <c r="Q625" s="46"/>
      <c r="R625" s="46"/>
      <c r="S625" s="46"/>
      <c r="T625" s="46"/>
      <c r="U625" s="46"/>
      <c r="V625" s="46"/>
      <c r="W625" s="46"/>
      <c r="X625" s="46"/>
      <c r="Y625" s="46"/>
      <c r="Z625" s="46"/>
      <c r="AA625" s="46"/>
      <c r="AB625" s="46"/>
      <c r="AC625" s="46"/>
      <c r="AD625" s="46"/>
      <c r="AE625" s="46"/>
      <c r="AF625" s="46"/>
      <c r="AG625" s="127"/>
      <c r="AH625" s="127"/>
      <c r="AI625" s="127"/>
      <c r="AJ625" s="127"/>
      <c r="AK625" s="46"/>
      <c r="AL625" s="46"/>
      <c r="AM625" s="46"/>
      <c r="AN625" s="46"/>
      <c r="AO625" s="46"/>
    </row>
    <row r="626">
      <c r="A626" s="17"/>
      <c r="B626" s="46"/>
      <c r="C626" s="46"/>
      <c r="D626" s="46"/>
      <c r="E626" s="17"/>
      <c r="F626" s="46"/>
      <c r="G626" s="46"/>
      <c r="H626" s="46"/>
      <c r="I626" s="17"/>
      <c r="J626" s="46"/>
      <c r="K626" s="46"/>
      <c r="L626" s="46"/>
      <c r="M626" s="17"/>
      <c r="N626" s="46"/>
      <c r="O626" s="46"/>
      <c r="P626" s="46"/>
      <c r="Q626" s="46"/>
      <c r="R626" s="46"/>
      <c r="S626" s="46"/>
      <c r="T626" s="46"/>
      <c r="U626" s="46"/>
      <c r="V626" s="46"/>
      <c r="W626" s="46"/>
      <c r="X626" s="46"/>
      <c r="Y626" s="46"/>
      <c r="Z626" s="46"/>
      <c r="AA626" s="46"/>
      <c r="AB626" s="46"/>
      <c r="AC626" s="46"/>
      <c r="AD626" s="46"/>
      <c r="AE626" s="46"/>
      <c r="AF626" s="46"/>
      <c r="AG626" s="127"/>
      <c r="AH626" s="127"/>
      <c r="AI626" s="127"/>
      <c r="AJ626" s="127"/>
      <c r="AK626" s="46"/>
      <c r="AL626" s="46"/>
      <c r="AM626" s="46"/>
      <c r="AN626" s="46"/>
      <c r="AO626" s="46"/>
    </row>
    <row r="627">
      <c r="A627" s="17"/>
      <c r="B627" s="46"/>
      <c r="C627" s="46"/>
      <c r="D627" s="46"/>
      <c r="E627" s="17"/>
      <c r="F627" s="46"/>
      <c r="G627" s="46"/>
      <c r="H627" s="46"/>
      <c r="I627" s="17"/>
      <c r="J627" s="46"/>
      <c r="K627" s="46"/>
      <c r="L627" s="46"/>
      <c r="M627" s="17"/>
      <c r="N627" s="46"/>
      <c r="O627" s="46"/>
      <c r="P627" s="46"/>
      <c r="Q627" s="46"/>
      <c r="R627" s="46"/>
      <c r="S627" s="46"/>
      <c r="T627" s="46"/>
      <c r="U627" s="46"/>
      <c r="V627" s="46"/>
      <c r="W627" s="46"/>
      <c r="X627" s="46"/>
      <c r="Y627" s="46"/>
      <c r="Z627" s="46"/>
      <c r="AA627" s="46"/>
      <c r="AB627" s="46"/>
      <c r="AC627" s="46"/>
      <c r="AD627" s="46"/>
      <c r="AE627" s="46"/>
      <c r="AF627" s="46"/>
      <c r="AG627" s="127"/>
      <c r="AH627" s="127"/>
      <c r="AI627" s="127"/>
      <c r="AJ627" s="127"/>
      <c r="AK627" s="46"/>
      <c r="AL627" s="46"/>
      <c r="AM627" s="46"/>
      <c r="AN627" s="46"/>
      <c r="AO627" s="46"/>
    </row>
    <row r="628">
      <c r="A628" s="17"/>
      <c r="B628" s="46"/>
      <c r="C628" s="46"/>
      <c r="D628" s="46"/>
      <c r="E628" s="17"/>
      <c r="F628" s="46"/>
      <c r="G628" s="46"/>
      <c r="H628" s="46"/>
      <c r="I628" s="17"/>
      <c r="J628" s="46"/>
      <c r="K628" s="46"/>
      <c r="L628" s="46"/>
      <c r="M628" s="17"/>
      <c r="N628" s="46"/>
      <c r="O628" s="46"/>
      <c r="P628" s="46"/>
      <c r="Q628" s="46"/>
      <c r="R628" s="46"/>
      <c r="S628" s="46"/>
      <c r="T628" s="46"/>
      <c r="U628" s="46"/>
      <c r="V628" s="46"/>
      <c r="W628" s="46"/>
      <c r="X628" s="46"/>
      <c r="Y628" s="46"/>
      <c r="Z628" s="46"/>
      <c r="AA628" s="46"/>
      <c r="AB628" s="46"/>
      <c r="AC628" s="46"/>
      <c r="AD628" s="46"/>
      <c r="AE628" s="46"/>
      <c r="AF628" s="46"/>
      <c r="AG628" s="127"/>
      <c r="AH628" s="127"/>
      <c r="AI628" s="127"/>
      <c r="AJ628" s="127"/>
      <c r="AK628" s="46"/>
      <c r="AL628" s="46"/>
      <c r="AM628" s="46"/>
      <c r="AN628" s="46"/>
      <c r="AO628" s="46"/>
    </row>
    <row r="629">
      <c r="A629" s="17"/>
      <c r="B629" s="46"/>
      <c r="C629" s="46"/>
      <c r="D629" s="46"/>
      <c r="E629" s="17"/>
      <c r="F629" s="46"/>
      <c r="G629" s="46"/>
      <c r="H629" s="46"/>
      <c r="I629" s="17"/>
      <c r="J629" s="46"/>
      <c r="K629" s="46"/>
      <c r="L629" s="46"/>
      <c r="M629" s="17"/>
      <c r="N629" s="46"/>
      <c r="O629" s="46"/>
      <c r="P629" s="46"/>
      <c r="Q629" s="46"/>
      <c r="R629" s="46"/>
      <c r="S629" s="46"/>
      <c r="T629" s="46"/>
      <c r="U629" s="46"/>
      <c r="V629" s="46"/>
      <c r="W629" s="46"/>
      <c r="X629" s="46"/>
      <c r="Y629" s="46"/>
      <c r="Z629" s="46"/>
      <c r="AA629" s="46"/>
      <c r="AB629" s="46"/>
      <c r="AC629" s="46"/>
      <c r="AD629" s="46"/>
      <c r="AE629" s="46"/>
      <c r="AF629" s="46"/>
      <c r="AG629" s="127"/>
      <c r="AH629" s="127"/>
      <c r="AI629" s="127"/>
      <c r="AJ629" s="127"/>
      <c r="AK629" s="46"/>
      <c r="AL629" s="46"/>
      <c r="AM629" s="46"/>
      <c r="AN629" s="46"/>
      <c r="AO629" s="46"/>
    </row>
    <row r="630">
      <c r="A630" s="17"/>
      <c r="B630" s="46"/>
      <c r="C630" s="46"/>
      <c r="D630" s="46"/>
      <c r="E630" s="17"/>
      <c r="F630" s="46"/>
      <c r="G630" s="46"/>
      <c r="H630" s="46"/>
      <c r="I630" s="17"/>
      <c r="J630" s="46"/>
      <c r="K630" s="46"/>
      <c r="L630" s="46"/>
      <c r="M630" s="17"/>
      <c r="N630" s="46"/>
      <c r="O630" s="46"/>
      <c r="P630" s="46"/>
      <c r="Q630" s="46"/>
      <c r="R630" s="46"/>
      <c r="S630" s="46"/>
      <c r="T630" s="46"/>
      <c r="U630" s="46"/>
      <c r="V630" s="46"/>
      <c r="W630" s="46"/>
      <c r="X630" s="46"/>
      <c r="Y630" s="46"/>
      <c r="Z630" s="46"/>
      <c r="AA630" s="46"/>
      <c r="AB630" s="46"/>
      <c r="AC630" s="46"/>
      <c r="AD630" s="46"/>
      <c r="AE630" s="46"/>
      <c r="AF630" s="46"/>
      <c r="AG630" s="127"/>
      <c r="AH630" s="127"/>
      <c r="AI630" s="127"/>
      <c r="AJ630" s="127"/>
      <c r="AK630" s="46"/>
      <c r="AL630" s="46"/>
      <c r="AM630" s="46"/>
      <c r="AN630" s="46"/>
      <c r="AO630" s="46"/>
    </row>
    <row r="631">
      <c r="A631" s="17"/>
      <c r="B631" s="46"/>
      <c r="C631" s="46"/>
      <c r="D631" s="46"/>
      <c r="E631" s="17"/>
      <c r="F631" s="46"/>
      <c r="G631" s="46"/>
      <c r="H631" s="46"/>
      <c r="I631" s="17"/>
      <c r="J631" s="46"/>
      <c r="K631" s="46"/>
      <c r="L631" s="46"/>
      <c r="M631" s="17"/>
      <c r="N631" s="46"/>
      <c r="O631" s="46"/>
      <c r="P631" s="46"/>
      <c r="Q631" s="46"/>
      <c r="R631" s="46"/>
      <c r="S631" s="46"/>
      <c r="T631" s="46"/>
      <c r="U631" s="46"/>
      <c r="V631" s="46"/>
      <c r="W631" s="46"/>
      <c r="X631" s="46"/>
      <c r="Y631" s="46"/>
      <c r="Z631" s="46"/>
      <c r="AA631" s="46"/>
      <c r="AB631" s="46"/>
      <c r="AC631" s="46"/>
      <c r="AD631" s="46"/>
      <c r="AE631" s="46"/>
      <c r="AF631" s="46"/>
      <c r="AG631" s="127"/>
      <c r="AH631" s="127"/>
      <c r="AI631" s="127"/>
      <c r="AJ631" s="127"/>
      <c r="AK631" s="46"/>
      <c r="AL631" s="46"/>
      <c r="AM631" s="46"/>
      <c r="AN631" s="46"/>
      <c r="AO631" s="46"/>
    </row>
    <row r="632">
      <c r="A632" s="17"/>
      <c r="B632" s="46"/>
      <c r="C632" s="46"/>
      <c r="D632" s="46"/>
      <c r="E632" s="17"/>
      <c r="F632" s="46"/>
      <c r="G632" s="46"/>
      <c r="H632" s="46"/>
      <c r="I632" s="17"/>
      <c r="J632" s="46"/>
      <c r="K632" s="46"/>
      <c r="L632" s="46"/>
      <c r="M632" s="17"/>
      <c r="N632" s="46"/>
      <c r="O632" s="46"/>
      <c r="P632" s="46"/>
      <c r="Q632" s="46"/>
      <c r="R632" s="46"/>
      <c r="S632" s="46"/>
      <c r="T632" s="46"/>
      <c r="U632" s="46"/>
      <c r="V632" s="46"/>
      <c r="W632" s="46"/>
      <c r="X632" s="46"/>
      <c r="Y632" s="46"/>
      <c r="Z632" s="46"/>
      <c r="AA632" s="46"/>
      <c r="AB632" s="46"/>
      <c r="AC632" s="46"/>
      <c r="AD632" s="46"/>
      <c r="AE632" s="46"/>
      <c r="AF632" s="46"/>
      <c r="AG632" s="127"/>
      <c r="AH632" s="127"/>
      <c r="AI632" s="127"/>
      <c r="AJ632" s="127"/>
      <c r="AK632" s="46"/>
      <c r="AL632" s="46"/>
      <c r="AM632" s="46"/>
      <c r="AN632" s="46"/>
      <c r="AO632" s="46"/>
    </row>
    <row r="633">
      <c r="A633" s="17"/>
      <c r="B633" s="46"/>
      <c r="C633" s="46"/>
      <c r="D633" s="46"/>
      <c r="E633" s="17"/>
      <c r="F633" s="46"/>
      <c r="G633" s="46"/>
      <c r="H633" s="46"/>
      <c r="I633" s="17"/>
      <c r="J633" s="46"/>
      <c r="K633" s="46"/>
      <c r="L633" s="46"/>
      <c r="M633" s="17"/>
      <c r="N633" s="46"/>
      <c r="O633" s="46"/>
      <c r="P633" s="46"/>
      <c r="Q633" s="46"/>
      <c r="R633" s="46"/>
      <c r="S633" s="46"/>
      <c r="T633" s="46"/>
      <c r="U633" s="46"/>
      <c r="V633" s="46"/>
      <c r="W633" s="46"/>
      <c r="X633" s="46"/>
      <c r="Y633" s="46"/>
      <c r="Z633" s="46"/>
      <c r="AA633" s="46"/>
      <c r="AB633" s="46"/>
      <c r="AC633" s="46"/>
      <c r="AD633" s="46"/>
      <c r="AE633" s="46"/>
      <c r="AF633" s="46"/>
      <c r="AG633" s="127"/>
      <c r="AH633" s="127"/>
      <c r="AI633" s="127"/>
      <c r="AJ633" s="127"/>
      <c r="AK633" s="46"/>
      <c r="AL633" s="46"/>
      <c r="AM633" s="46"/>
      <c r="AN633" s="46"/>
      <c r="AO633" s="46"/>
    </row>
    <row r="634">
      <c r="A634" s="17"/>
      <c r="B634" s="46"/>
      <c r="C634" s="46"/>
      <c r="D634" s="46"/>
      <c r="E634" s="17"/>
      <c r="F634" s="46"/>
      <c r="G634" s="46"/>
      <c r="H634" s="46"/>
      <c r="I634" s="17"/>
      <c r="J634" s="46"/>
      <c r="K634" s="46"/>
      <c r="L634" s="46"/>
      <c r="M634" s="17"/>
      <c r="N634" s="46"/>
      <c r="O634" s="46"/>
      <c r="P634" s="46"/>
      <c r="Q634" s="46"/>
      <c r="R634" s="46"/>
      <c r="S634" s="46"/>
      <c r="T634" s="46"/>
      <c r="U634" s="46"/>
      <c r="V634" s="46"/>
      <c r="W634" s="46"/>
      <c r="X634" s="46"/>
      <c r="Y634" s="46"/>
      <c r="Z634" s="46"/>
      <c r="AA634" s="46"/>
      <c r="AB634" s="46"/>
      <c r="AC634" s="46"/>
      <c r="AD634" s="46"/>
      <c r="AE634" s="46"/>
      <c r="AF634" s="46"/>
      <c r="AG634" s="127"/>
      <c r="AH634" s="127"/>
      <c r="AI634" s="127"/>
      <c r="AJ634" s="127"/>
      <c r="AK634" s="46"/>
      <c r="AL634" s="46"/>
      <c r="AM634" s="46"/>
      <c r="AN634" s="46"/>
      <c r="AO634" s="46"/>
    </row>
    <row r="635">
      <c r="A635" s="17"/>
      <c r="B635" s="46"/>
      <c r="C635" s="46"/>
      <c r="D635" s="46"/>
      <c r="E635" s="17"/>
      <c r="F635" s="46"/>
      <c r="G635" s="46"/>
      <c r="H635" s="46"/>
      <c r="I635" s="17"/>
      <c r="J635" s="46"/>
      <c r="K635" s="46"/>
      <c r="L635" s="46"/>
      <c r="M635" s="17"/>
      <c r="N635" s="46"/>
      <c r="O635" s="46"/>
      <c r="P635" s="46"/>
      <c r="Q635" s="46"/>
      <c r="R635" s="46"/>
      <c r="S635" s="46"/>
      <c r="T635" s="46"/>
      <c r="U635" s="46"/>
      <c r="V635" s="46"/>
      <c r="W635" s="46"/>
      <c r="X635" s="46"/>
      <c r="Y635" s="46"/>
      <c r="Z635" s="46"/>
      <c r="AA635" s="46"/>
      <c r="AB635" s="46"/>
      <c r="AC635" s="46"/>
      <c r="AD635" s="46"/>
      <c r="AE635" s="46"/>
      <c r="AF635" s="46"/>
      <c r="AG635" s="127"/>
      <c r="AH635" s="127"/>
      <c r="AI635" s="127"/>
      <c r="AJ635" s="127"/>
      <c r="AK635" s="46"/>
      <c r="AL635" s="46"/>
      <c r="AM635" s="46"/>
      <c r="AN635" s="46"/>
      <c r="AO635" s="46"/>
    </row>
    <row r="636">
      <c r="A636" s="17"/>
      <c r="B636" s="46"/>
      <c r="C636" s="46"/>
      <c r="D636" s="46"/>
      <c r="E636" s="17"/>
      <c r="F636" s="46"/>
      <c r="G636" s="46"/>
      <c r="H636" s="46"/>
      <c r="I636" s="17"/>
      <c r="J636" s="46"/>
      <c r="K636" s="46"/>
      <c r="L636" s="46"/>
      <c r="M636" s="17"/>
      <c r="N636" s="46"/>
      <c r="O636" s="46"/>
      <c r="P636" s="46"/>
      <c r="Q636" s="46"/>
      <c r="R636" s="46"/>
      <c r="S636" s="46"/>
      <c r="T636" s="46"/>
      <c r="U636" s="46"/>
      <c r="V636" s="46"/>
      <c r="W636" s="46"/>
      <c r="X636" s="46"/>
      <c r="Y636" s="46"/>
      <c r="Z636" s="46"/>
      <c r="AA636" s="46"/>
      <c r="AB636" s="46"/>
      <c r="AC636" s="46"/>
      <c r="AD636" s="46"/>
      <c r="AE636" s="46"/>
      <c r="AF636" s="46"/>
      <c r="AG636" s="127"/>
      <c r="AH636" s="127"/>
      <c r="AI636" s="127"/>
      <c r="AJ636" s="127"/>
      <c r="AK636" s="46"/>
      <c r="AL636" s="46"/>
      <c r="AM636" s="46"/>
      <c r="AN636" s="46"/>
      <c r="AO636" s="46"/>
    </row>
    <row r="637">
      <c r="A637" s="17"/>
      <c r="B637" s="46"/>
      <c r="C637" s="46"/>
      <c r="D637" s="46"/>
      <c r="E637" s="17"/>
      <c r="F637" s="46"/>
      <c r="G637" s="46"/>
      <c r="H637" s="46"/>
      <c r="I637" s="17"/>
      <c r="J637" s="46"/>
      <c r="K637" s="46"/>
      <c r="L637" s="46"/>
      <c r="M637" s="17"/>
      <c r="N637" s="46"/>
      <c r="O637" s="46"/>
      <c r="P637" s="46"/>
      <c r="Q637" s="46"/>
      <c r="R637" s="46"/>
      <c r="S637" s="46"/>
      <c r="T637" s="46"/>
      <c r="U637" s="46"/>
      <c r="V637" s="46"/>
      <c r="W637" s="46"/>
      <c r="X637" s="46"/>
      <c r="Y637" s="46"/>
      <c r="Z637" s="46"/>
      <c r="AA637" s="46"/>
      <c r="AB637" s="46"/>
      <c r="AC637" s="46"/>
      <c r="AD637" s="46"/>
      <c r="AE637" s="46"/>
      <c r="AF637" s="46"/>
      <c r="AG637" s="127"/>
      <c r="AH637" s="127"/>
      <c r="AI637" s="127"/>
      <c r="AJ637" s="127"/>
      <c r="AK637" s="46"/>
      <c r="AL637" s="46"/>
      <c r="AM637" s="46"/>
      <c r="AN637" s="46"/>
      <c r="AO637" s="46"/>
    </row>
    <row r="638">
      <c r="A638" s="17"/>
      <c r="B638" s="46"/>
      <c r="C638" s="46"/>
      <c r="D638" s="46"/>
      <c r="E638" s="17"/>
      <c r="F638" s="46"/>
      <c r="G638" s="46"/>
      <c r="H638" s="46"/>
      <c r="I638" s="17"/>
      <c r="J638" s="46"/>
      <c r="K638" s="46"/>
      <c r="L638" s="46"/>
      <c r="M638" s="17"/>
      <c r="N638" s="46"/>
      <c r="O638" s="46"/>
      <c r="P638" s="46"/>
      <c r="Q638" s="46"/>
      <c r="R638" s="46"/>
      <c r="S638" s="46"/>
      <c r="T638" s="46"/>
      <c r="U638" s="46"/>
      <c r="V638" s="46"/>
      <c r="W638" s="46"/>
      <c r="X638" s="46"/>
      <c r="Y638" s="46"/>
      <c r="Z638" s="46"/>
      <c r="AA638" s="46"/>
      <c r="AB638" s="46"/>
      <c r="AC638" s="46"/>
      <c r="AD638" s="46"/>
      <c r="AE638" s="46"/>
      <c r="AF638" s="46"/>
      <c r="AG638" s="127"/>
      <c r="AH638" s="127"/>
      <c r="AI638" s="127"/>
      <c r="AJ638" s="127"/>
      <c r="AK638" s="46"/>
      <c r="AL638" s="46"/>
      <c r="AM638" s="46"/>
      <c r="AN638" s="46"/>
      <c r="AO638" s="46"/>
    </row>
    <row r="639">
      <c r="A639" s="17"/>
      <c r="B639" s="46"/>
      <c r="C639" s="46"/>
      <c r="D639" s="46"/>
      <c r="E639" s="17"/>
      <c r="F639" s="46"/>
      <c r="G639" s="46"/>
      <c r="H639" s="46"/>
      <c r="I639" s="17"/>
      <c r="J639" s="46"/>
      <c r="K639" s="46"/>
      <c r="L639" s="46"/>
      <c r="M639" s="17"/>
      <c r="N639" s="46"/>
      <c r="O639" s="46"/>
      <c r="P639" s="46"/>
      <c r="Q639" s="46"/>
      <c r="R639" s="46"/>
      <c r="S639" s="46"/>
      <c r="T639" s="46"/>
      <c r="U639" s="46"/>
      <c r="V639" s="46"/>
      <c r="W639" s="46"/>
      <c r="X639" s="46"/>
      <c r="Y639" s="46"/>
      <c r="Z639" s="46"/>
      <c r="AA639" s="46"/>
      <c r="AB639" s="46"/>
      <c r="AC639" s="46"/>
      <c r="AD639" s="46"/>
      <c r="AE639" s="46"/>
      <c r="AF639" s="46"/>
      <c r="AG639" s="127"/>
      <c r="AH639" s="127"/>
      <c r="AI639" s="127"/>
      <c r="AJ639" s="127"/>
      <c r="AK639" s="46"/>
      <c r="AL639" s="46"/>
      <c r="AM639" s="46"/>
      <c r="AN639" s="46"/>
      <c r="AO639" s="46"/>
    </row>
    <row r="640">
      <c r="A640" s="17"/>
      <c r="B640" s="46"/>
      <c r="C640" s="46"/>
      <c r="D640" s="46"/>
      <c r="E640" s="17"/>
      <c r="F640" s="46"/>
      <c r="G640" s="46"/>
      <c r="H640" s="46"/>
      <c r="I640" s="17"/>
      <c r="J640" s="46"/>
      <c r="K640" s="46"/>
      <c r="L640" s="46"/>
      <c r="M640" s="17"/>
      <c r="N640" s="46"/>
      <c r="O640" s="46"/>
      <c r="P640" s="46"/>
      <c r="Q640" s="46"/>
      <c r="R640" s="46"/>
      <c r="S640" s="46"/>
      <c r="T640" s="46"/>
      <c r="U640" s="46"/>
      <c r="V640" s="46"/>
      <c r="W640" s="46"/>
      <c r="X640" s="46"/>
      <c r="Y640" s="46"/>
      <c r="Z640" s="46"/>
      <c r="AA640" s="46"/>
      <c r="AB640" s="46"/>
      <c r="AC640" s="46"/>
      <c r="AD640" s="46"/>
      <c r="AE640" s="46"/>
      <c r="AF640" s="46"/>
      <c r="AG640" s="127"/>
      <c r="AH640" s="127"/>
      <c r="AI640" s="127"/>
      <c r="AJ640" s="127"/>
      <c r="AK640" s="46"/>
      <c r="AL640" s="46"/>
      <c r="AM640" s="46"/>
      <c r="AN640" s="46"/>
      <c r="AO640" s="46"/>
    </row>
    <row r="641">
      <c r="A641" s="17"/>
      <c r="B641" s="46"/>
      <c r="C641" s="46"/>
      <c r="D641" s="46"/>
      <c r="E641" s="17"/>
      <c r="F641" s="46"/>
      <c r="G641" s="46"/>
      <c r="H641" s="46"/>
      <c r="I641" s="17"/>
      <c r="J641" s="46"/>
      <c r="K641" s="46"/>
      <c r="L641" s="46"/>
      <c r="M641" s="17"/>
      <c r="N641" s="46"/>
      <c r="O641" s="46"/>
      <c r="P641" s="46"/>
      <c r="Q641" s="46"/>
      <c r="R641" s="46"/>
      <c r="S641" s="46"/>
      <c r="T641" s="46"/>
      <c r="U641" s="46"/>
      <c r="V641" s="46"/>
      <c r="W641" s="46"/>
      <c r="X641" s="46"/>
      <c r="Y641" s="46"/>
      <c r="Z641" s="46"/>
      <c r="AA641" s="46"/>
      <c r="AB641" s="46"/>
      <c r="AC641" s="46"/>
      <c r="AD641" s="46"/>
      <c r="AE641" s="46"/>
      <c r="AF641" s="46"/>
      <c r="AG641" s="127"/>
      <c r="AH641" s="127"/>
      <c r="AI641" s="127"/>
      <c r="AJ641" s="127"/>
      <c r="AK641" s="46"/>
      <c r="AL641" s="46"/>
      <c r="AM641" s="46"/>
      <c r="AN641" s="46"/>
      <c r="AO641" s="46"/>
    </row>
    <row r="642">
      <c r="A642" s="17"/>
      <c r="B642" s="46"/>
      <c r="C642" s="46"/>
      <c r="D642" s="46"/>
      <c r="E642" s="17"/>
      <c r="F642" s="46"/>
      <c r="G642" s="46"/>
      <c r="H642" s="46"/>
      <c r="I642" s="17"/>
      <c r="J642" s="46"/>
      <c r="K642" s="46"/>
      <c r="L642" s="46"/>
      <c r="M642" s="17"/>
      <c r="N642" s="46"/>
      <c r="O642" s="46"/>
      <c r="P642" s="46"/>
      <c r="Q642" s="46"/>
      <c r="R642" s="46"/>
      <c r="S642" s="46"/>
      <c r="T642" s="46"/>
      <c r="U642" s="46"/>
      <c r="V642" s="46"/>
      <c r="W642" s="46"/>
      <c r="X642" s="46"/>
      <c r="Y642" s="46"/>
      <c r="Z642" s="46"/>
      <c r="AA642" s="46"/>
      <c r="AB642" s="46"/>
      <c r="AC642" s="46"/>
      <c r="AD642" s="46"/>
      <c r="AE642" s="46"/>
      <c r="AF642" s="46"/>
      <c r="AG642" s="127"/>
      <c r="AH642" s="127"/>
      <c r="AI642" s="127"/>
      <c r="AJ642" s="127"/>
      <c r="AK642" s="46"/>
      <c r="AL642" s="46"/>
      <c r="AM642" s="46"/>
      <c r="AN642" s="46"/>
      <c r="AO642" s="46"/>
    </row>
    <row r="643">
      <c r="A643" s="17"/>
      <c r="B643" s="46"/>
      <c r="C643" s="46"/>
      <c r="D643" s="46"/>
      <c r="E643" s="17"/>
      <c r="F643" s="46"/>
      <c r="G643" s="46"/>
      <c r="H643" s="46"/>
      <c r="I643" s="17"/>
      <c r="J643" s="46"/>
      <c r="K643" s="46"/>
      <c r="L643" s="46"/>
      <c r="M643" s="17"/>
      <c r="N643" s="46"/>
      <c r="O643" s="46"/>
      <c r="P643" s="46"/>
      <c r="Q643" s="46"/>
      <c r="R643" s="46"/>
      <c r="S643" s="46"/>
      <c r="T643" s="46"/>
      <c r="U643" s="46"/>
      <c r="V643" s="46"/>
      <c r="W643" s="46"/>
      <c r="X643" s="46"/>
      <c r="Y643" s="46"/>
      <c r="Z643" s="46"/>
      <c r="AA643" s="46"/>
      <c r="AB643" s="46"/>
      <c r="AC643" s="46"/>
      <c r="AD643" s="46"/>
      <c r="AE643" s="46"/>
      <c r="AF643" s="46"/>
      <c r="AG643" s="127"/>
      <c r="AH643" s="127"/>
      <c r="AI643" s="127"/>
      <c r="AJ643" s="127"/>
      <c r="AK643" s="46"/>
      <c r="AL643" s="46"/>
      <c r="AM643" s="46"/>
      <c r="AN643" s="46"/>
      <c r="AO643" s="46"/>
    </row>
    <row r="644">
      <c r="A644" s="17"/>
      <c r="B644" s="46"/>
      <c r="C644" s="46"/>
      <c r="D644" s="46"/>
      <c r="E644" s="17"/>
      <c r="F644" s="46"/>
      <c r="G644" s="46"/>
      <c r="H644" s="46"/>
      <c r="I644" s="17"/>
      <c r="J644" s="46"/>
      <c r="K644" s="46"/>
      <c r="L644" s="46"/>
      <c r="M644" s="17"/>
      <c r="N644" s="46"/>
      <c r="O644" s="46"/>
      <c r="P644" s="46"/>
      <c r="Q644" s="46"/>
      <c r="R644" s="46"/>
      <c r="S644" s="46"/>
      <c r="T644" s="46"/>
      <c r="U644" s="46"/>
      <c r="V644" s="46"/>
      <c r="W644" s="46"/>
      <c r="X644" s="46"/>
      <c r="Y644" s="46"/>
      <c r="Z644" s="46"/>
      <c r="AA644" s="46"/>
      <c r="AB644" s="46"/>
      <c r="AC644" s="46"/>
      <c r="AD644" s="46"/>
      <c r="AE644" s="46"/>
      <c r="AF644" s="46"/>
      <c r="AG644" s="127"/>
      <c r="AH644" s="127"/>
      <c r="AI644" s="127"/>
      <c r="AJ644" s="127"/>
      <c r="AK644" s="46"/>
      <c r="AL644" s="46"/>
      <c r="AM644" s="46"/>
      <c r="AN644" s="46"/>
      <c r="AO644" s="46"/>
    </row>
    <row r="645">
      <c r="A645" s="17"/>
      <c r="B645" s="46"/>
      <c r="C645" s="46"/>
      <c r="D645" s="46"/>
      <c r="E645" s="17"/>
      <c r="F645" s="46"/>
      <c r="G645" s="46"/>
      <c r="H645" s="46"/>
      <c r="I645" s="17"/>
      <c r="J645" s="46"/>
      <c r="K645" s="46"/>
      <c r="L645" s="46"/>
      <c r="M645" s="17"/>
      <c r="N645" s="46"/>
      <c r="O645" s="46"/>
      <c r="P645" s="46"/>
      <c r="Q645" s="46"/>
      <c r="R645" s="46"/>
      <c r="S645" s="46"/>
      <c r="T645" s="46"/>
      <c r="U645" s="46"/>
      <c r="V645" s="46"/>
      <c r="W645" s="46"/>
      <c r="X645" s="46"/>
      <c r="Y645" s="46"/>
      <c r="Z645" s="46"/>
      <c r="AA645" s="46"/>
      <c r="AB645" s="46"/>
      <c r="AC645" s="46"/>
      <c r="AD645" s="46"/>
      <c r="AE645" s="46"/>
      <c r="AF645" s="46"/>
      <c r="AG645" s="127"/>
      <c r="AH645" s="127"/>
      <c r="AI645" s="127"/>
      <c r="AJ645" s="127"/>
      <c r="AK645" s="46"/>
      <c r="AL645" s="46"/>
      <c r="AM645" s="46"/>
      <c r="AN645" s="46"/>
      <c r="AO645" s="46"/>
    </row>
    <row r="646">
      <c r="A646" s="17"/>
      <c r="B646" s="46"/>
      <c r="C646" s="46"/>
      <c r="D646" s="46"/>
      <c r="E646" s="17"/>
      <c r="F646" s="46"/>
      <c r="G646" s="46"/>
      <c r="H646" s="46"/>
      <c r="I646" s="17"/>
      <c r="J646" s="46"/>
      <c r="K646" s="46"/>
      <c r="L646" s="46"/>
      <c r="M646" s="17"/>
      <c r="N646" s="46"/>
      <c r="O646" s="46"/>
      <c r="P646" s="46"/>
      <c r="Q646" s="46"/>
      <c r="R646" s="46"/>
      <c r="S646" s="46"/>
      <c r="T646" s="46"/>
      <c r="U646" s="46"/>
      <c r="V646" s="46"/>
      <c r="W646" s="46"/>
      <c r="X646" s="46"/>
      <c r="Y646" s="46"/>
      <c r="Z646" s="46"/>
      <c r="AA646" s="46"/>
      <c r="AB646" s="46"/>
      <c r="AC646" s="46"/>
      <c r="AD646" s="46"/>
      <c r="AE646" s="46"/>
      <c r="AF646" s="46"/>
      <c r="AG646" s="127"/>
      <c r="AH646" s="127"/>
      <c r="AI646" s="127"/>
      <c r="AJ646" s="127"/>
      <c r="AK646" s="46"/>
      <c r="AL646" s="46"/>
      <c r="AM646" s="46"/>
      <c r="AN646" s="46"/>
      <c r="AO646" s="46"/>
    </row>
    <row r="647">
      <c r="A647" s="17"/>
      <c r="B647" s="46"/>
      <c r="C647" s="46"/>
      <c r="D647" s="46"/>
      <c r="E647" s="17"/>
      <c r="F647" s="46"/>
      <c r="G647" s="46"/>
      <c r="H647" s="46"/>
      <c r="I647" s="17"/>
      <c r="J647" s="46"/>
      <c r="K647" s="46"/>
      <c r="L647" s="46"/>
      <c r="M647" s="17"/>
      <c r="N647" s="46"/>
      <c r="O647" s="46"/>
      <c r="P647" s="46"/>
      <c r="Q647" s="46"/>
      <c r="R647" s="46"/>
      <c r="S647" s="46"/>
      <c r="T647" s="46"/>
      <c r="U647" s="46"/>
      <c r="V647" s="46"/>
      <c r="W647" s="46"/>
      <c r="X647" s="46"/>
      <c r="Y647" s="46"/>
      <c r="Z647" s="46"/>
      <c r="AA647" s="46"/>
      <c r="AB647" s="46"/>
      <c r="AC647" s="46"/>
      <c r="AD647" s="46"/>
      <c r="AE647" s="46"/>
      <c r="AF647" s="46"/>
      <c r="AG647" s="127"/>
      <c r="AH647" s="127"/>
      <c r="AI647" s="127"/>
      <c r="AJ647" s="127"/>
      <c r="AK647" s="46"/>
      <c r="AL647" s="46"/>
      <c r="AM647" s="46"/>
      <c r="AN647" s="46"/>
      <c r="AO647" s="46"/>
    </row>
    <row r="648">
      <c r="A648" s="17"/>
      <c r="B648" s="46"/>
      <c r="C648" s="46"/>
      <c r="D648" s="46"/>
      <c r="E648" s="17"/>
      <c r="F648" s="46"/>
      <c r="G648" s="46"/>
      <c r="H648" s="46"/>
      <c r="I648" s="17"/>
      <c r="J648" s="46"/>
      <c r="K648" s="46"/>
      <c r="L648" s="46"/>
      <c r="M648" s="17"/>
      <c r="N648" s="46"/>
      <c r="O648" s="46"/>
      <c r="P648" s="46"/>
      <c r="Q648" s="46"/>
      <c r="R648" s="46"/>
      <c r="S648" s="46"/>
      <c r="T648" s="46"/>
      <c r="U648" s="46"/>
      <c r="V648" s="46"/>
      <c r="W648" s="46"/>
      <c r="X648" s="46"/>
      <c r="Y648" s="46"/>
      <c r="Z648" s="46"/>
      <c r="AA648" s="46"/>
      <c r="AB648" s="46"/>
      <c r="AC648" s="46"/>
      <c r="AD648" s="46"/>
      <c r="AE648" s="46"/>
      <c r="AF648" s="46"/>
      <c r="AG648" s="127"/>
      <c r="AH648" s="127"/>
      <c r="AI648" s="127"/>
      <c r="AJ648" s="127"/>
      <c r="AK648" s="46"/>
      <c r="AL648" s="46"/>
      <c r="AM648" s="46"/>
      <c r="AN648" s="46"/>
      <c r="AO648" s="46"/>
    </row>
    <row r="649">
      <c r="A649" s="17"/>
      <c r="B649" s="46"/>
      <c r="C649" s="46"/>
      <c r="D649" s="46"/>
      <c r="E649" s="17"/>
      <c r="F649" s="46"/>
      <c r="G649" s="46"/>
      <c r="H649" s="46"/>
      <c r="I649" s="17"/>
      <c r="J649" s="46"/>
      <c r="K649" s="46"/>
      <c r="L649" s="46"/>
      <c r="M649" s="17"/>
      <c r="N649" s="46"/>
      <c r="O649" s="46"/>
      <c r="P649" s="46"/>
      <c r="Q649" s="46"/>
      <c r="R649" s="46"/>
      <c r="S649" s="46"/>
      <c r="T649" s="46"/>
      <c r="U649" s="46"/>
      <c r="V649" s="46"/>
      <c r="W649" s="46"/>
      <c r="X649" s="46"/>
      <c r="Y649" s="46"/>
      <c r="Z649" s="46"/>
      <c r="AA649" s="46"/>
      <c r="AB649" s="46"/>
      <c r="AC649" s="46"/>
      <c r="AD649" s="46"/>
      <c r="AE649" s="46"/>
      <c r="AF649" s="46"/>
      <c r="AG649" s="127"/>
      <c r="AH649" s="127"/>
      <c r="AI649" s="127"/>
      <c r="AJ649" s="127"/>
      <c r="AK649" s="46"/>
      <c r="AL649" s="46"/>
      <c r="AM649" s="46"/>
      <c r="AN649" s="46"/>
      <c r="AO649" s="46"/>
    </row>
    <row r="650">
      <c r="A650" s="17"/>
      <c r="B650" s="46"/>
      <c r="C650" s="46"/>
      <c r="D650" s="46"/>
      <c r="E650" s="17"/>
      <c r="F650" s="46"/>
      <c r="G650" s="46"/>
      <c r="H650" s="46"/>
      <c r="I650" s="17"/>
      <c r="J650" s="46"/>
      <c r="K650" s="46"/>
      <c r="L650" s="46"/>
      <c r="M650" s="17"/>
      <c r="N650" s="46"/>
      <c r="O650" s="46"/>
      <c r="P650" s="46"/>
      <c r="Q650" s="46"/>
      <c r="R650" s="46"/>
      <c r="S650" s="46"/>
      <c r="T650" s="46"/>
      <c r="U650" s="46"/>
      <c r="V650" s="46"/>
      <c r="W650" s="46"/>
      <c r="X650" s="46"/>
      <c r="Y650" s="46"/>
      <c r="Z650" s="46"/>
      <c r="AA650" s="46"/>
      <c r="AB650" s="46"/>
      <c r="AC650" s="46"/>
      <c r="AD650" s="46"/>
      <c r="AE650" s="46"/>
      <c r="AF650" s="46"/>
      <c r="AG650" s="127"/>
      <c r="AH650" s="127"/>
      <c r="AI650" s="127"/>
      <c r="AJ650" s="127"/>
      <c r="AK650" s="46"/>
      <c r="AL650" s="46"/>
      <c r="AM650" s="46"/>
      <c r="AN650" s="46"/>
      <c r="AO650" s="46"/>
    </row>
    <row r="651">
      <c r="A651" s="17"/>
      <c r="B651" s="46"/>
      <c r="C651" s="46"/>
      <c r="D651" s="46"/>
      <c r="E651" s="17"/>
      <c r="F651" s="46"/>
      <c r="G651" s="46"/>
      <c r="H651" s="46"/>
      <c r="I651" s="17"/>
      <c r="J651" s="46"/>
      <c r="K651" s="46"/>
      <c r="L651" s="46"/>
      <c r="M651" s="17"/>
      <c r="N651" s="46"/>
      <c r="O651" s="46"/>
      <c r="P651" s="46"/>
      <c r="Q651" s="46"/>
      <c r="R651" s="46"/>
      <c r="S651" s="46"/>
      <c r="T651" s="46"/>
      <c r="U651" s="46"/>
      <c r="V651" s="46"/>
      <c r="W651" s="46"/>
      <c r="X651" s="46"/>
      <c r="Y651" s="46"/>
      <c r="Z651" s="46"/>
      <c r="AA651" s="46"/>
      <c r="AB651" s="46"/>
      <c r="AC651" s="46"/>
      <c r="AD651" s="46"/>
      <c r="AE651" s="46"/>
      <c r="AF651" s="46"/>
      <c r="AG651" s="127"/>
      <c r="AH651" s="127"/>
      <c r="AI651" s="127"/>
      <c r="AJ651" s="127"/>
      <c r="AK651" s="46"/>
      <c r="AL651" s="46"/>
      <c r="AM651" s="46"/>
      <c r="AN651" s="46"/>
      <c r="AO651" s="46"/>
    </row>
    <row r="652">
      <c r="A652" s="17"/>
      <c r="B652" s="46"/>
      <c r="C652" s="46"/>
      <c r="D652" s="46"/>
      <c r="E652" s="17"/>
      <c r="F652" s="46"/>
      <c r="G652" s="46"/>
      <c r="H652" s="46"/>
      <c r="I652" s="17"/>
      <c r="J652" s="46"/>
      <c r="K652" s="46"/>
      <c r="L652" s="46"/>
      <c r="M652" s="17"/>
      <c r="N652" s="46"/>
      <c r="O652" s="46"/>
      <c r="P652" s="46"/>
      <c r="Q652" s="46"/>
      <c r="R652" s="46"/>
      <c r="S652" s="46"/>
      <c r="T652" s="46"/>
      <c r="U652" s="46"/>
      <c r="V652" s="46"/>
      <c r="W652" s="46"/>
      <c r="X652" s="46"/>
      <c r="Y652" s="46"/>
      <c r="Z652" s="46"/>
      <c r="AA652" s="46"/>
      <c r="AB652" s="46"/>
      <c r="AC652" s="46"/>
      <c r="AD652" s="46"/>
      <c r="AE652" s="46"/>
      <c r="AF652" s="46"/>
      <c r="AG652" s="127"/>
      <c r="AH652" s="127"/>
      <c r="AI652" s="127"/>
      <c r="AJ652" s="127"/>
      <c r="AK652" s="46"/>
      <c r="AL652" s="46"/>
      <c r="AM652" s="46"/>
      <c r="AN652" s="46"/>
      <c r="AO652" s="46"/>
    </row>
    <row r="653">
      <c r="A653" s="17"/>
      <c r="B653" s="46"/>
      <c r="C653" s="46"/>
      <c r="D653" s="46"/>
      <c r="E653" s="17"/>
      <c r="F653" s="46"/>
      <c r="G653" s="46"/>
      <c r="H653" s="46"/>
      <c r="I653" s="17"/>
      <c r="J653" s="46"/>
      <c r="K653" s="46"/>
      <c r="L653" s="46"/>
      <c r="M653" s="17"/>
      <c r="N653" s="46"/>
      <c r="O653" s="46"/>
      <c r="P653" s="46"/>
      <c r="Q653" s="46"/>
      <c r="R653" s="46"/>
      <c r="S653" s="46"/>
      <c r="T653" s="46"/>
      <c r="U653" s="46"/>
      <c r="V653" s="46"/>
      <c r="W653" s="46"/>
      <c r="X653" s="46"/>
      <c r="Y653" s="46"/>
      <c r="Z653" s="46"/>
      <c r="AA653" s="46"/>
      <c r="AB653" s="46"/>
      <c r="AC653" s="46"/>
      <c r="AD653" s="46"/>
      <c r="AE653" s="46"/>
      <c r="AF653" s="46"/>
      <c r="AG653" s="127"/>
      <c r="AH653" s="127"/>
      <c r="AI653" s="127"/>
      <c r="AJ653" s="127"/>
      <c r="AK653" s="46"/>
      <c r="AL653" s="46"/>
      <c r="AM653" s="46"/>
      <c r="AN653" s="46"/>
      <c r="AO653" s="46"/>
    </row>
    <row r="654">
      <c r="A654" s="17"/>
      <c r="B654" s="46"/>
      <c r="C654" s="46"/>
      <c r="D654" s="46"/>
      <c r="E654" s="17"/>
      <c r="F654" s="46"/>
      <c r="G654" s="46"/>
      <c r="H654" s="46"/>
      <c r="I654" s="17"/>
      <c r="J654" s="46"/>
      <c r="K654" s="46"/>
      <c r="L654" s="46"/>
      <c r="M654" s="17"/>
      <c r="N654" s="46"/>
      <c r="O654" s="46"/>
      <c r="P654" s="46"/>
      <c r="Q654" s="46"/>
      <c r="R654" s="46"/>
      <c r="S654" s="46"/>
      <c r="T654" s="46"/>
      <c r="U654" s="46"/>
      <c r="V654" s="46"/>
      <c r="W654" s="46"/>
      <c r="X654" s="46"/>
      <c r="Y654" s="46"/>
      <c r="Z654" s="46"/>
      <c r="AA654" s="46"/>
      <c r="AB654" s="46"/>
      <c r="AC654" s="46"/>
      <c r="AD654" s="46"/>
      <c r="AE654" s="46"/>
      <c r="AF654" s="46"/>
      <c r="AG654" s="127"/>
      <c r="AH654" s="127"/>
      <c r="AI654" s="127"/>
      <c r="AJ654" s="127"/>
      <c r="AK654" s="46"/>
      <c r="AL654" s="46"/>
      <c r="AM654" s="46"/>
      <c r="AN654" s="46"/>
      <c r="AO654" s="46"/>
    </row>
    <row r="655">
      <c r="A655" s="17"/>
      <c r="B655" s="46"/>
      <c r="C655" s="46"/>
      <c r="D655" s="46"/>
      <c r="E655" s="17"/>
      <c r="F655" s="46"/>
      <c r="G655" s="46"/>
      <c r="H655" s="46"/>
      <c r="I655" s="17"/>
      <c r="J655" s="46"/>
      <c r="K655" s="46"/>
      <c r="L655" s="46"/>
      <c r="M655" s="17"/>
      <c r="N655" s="46"/>
      <c r="O655" s="46"/>
      <c r="P655" s="46"/>
      <c r="Q655" s="46"/>
      <c r="R655" s="46"/>
      <c r="S655" s="46"/>
      <c r="T655" s="46"/>
      <c r="U655" s="46"/>
      <c r="V655" s="46"/>
      <c r="W655" s="46"/>
      <c r="X655" s="46"/>
      <c r="Y655" s="46"/>
      <c r="Z655" s="46"/>
      <c r="AA655" s="46"/>
      <c r="AB655" s="46"/>
      <c r="AC655" s="46"/>
      <c r="AD655" s="46"/>
      <c r="AE655" s="46"/>
      <c r="AF655" s="46"/>
      <c r="AG655" s="127"/>
      <c r="AH655" s="127"/>
      <c r="AI655" s="127"/>
      <c r="AJ655" s="127"/>
      <c r="AK655" s="46"/>
      <c r="AL655" s="46"/>
      <c r="AM655" s="46"/>
      <c r="AN655" s="46"/>
      <c r="AO655" s="46"/>
    </row>
    <row r="656">
      <c r="A656" s="17"/>
      <c r="B656" s="46"/>
      <c r="C656" s="46"/>
      <c r="D656" s="46"/>
      <c r="E656" s="17"/>
      <c r="F656" s="46"/>
      <c r="G656" s="46"/>
      <c r="H656" s="46"/>
      <c r="I656" s="17"/>
      <c r="J656" s="46"/>
      <c r="K656" s="46"/>
      <c r="L656" s="46"/>
      <c r="M656" s="17"/>
      <c r="N656" s="46"/>
      <c r="O656" s="46"/>
      <c r="P656" s="46"/>
      <c r="Q656" s="46"/>
      <c r="R656" s="46"/>
      <c r="S656" s="46"/>
      <c r="T656" s="46"/>
      <c r="U656" s="46"/>
      <c r="V656" s="46"/>
      <c r="W656" s="46"/>
      <c r="X656" s="46"/>
      <c r="Y656" s="46"/>
      <c r="Z656" s="46"/>
      <c r="AA656" s="46"/>
      <c r="AB656" s="46"/>
      <c r="AC656" s="46"/>
      <c r="AD656" s="46"/>
      <c r="AE656" s="46"/>
      <c r="AF656" s="46"/>
      <c r="AG656" s="127"/>
      <c r="AH656" s="127"/>
      <c r="AI656" s="127"/>
      <c r="AJ656" s="127"/>
      <c r="AK656" s="46"/>
      <c r="AL656" s="46"/>
      <c r="AM656" s="46"/>
      <c r="AN656" s="46"/>
      <c r="AO656" s="46"/>
    </row>
    <row r="657">
      <c r="A657" s="17"/>
      <c r="B657" s="46"/>
      <c r="C657" s="46"/>
      <c r="D657" s="46"/>
      <c r="E657" s="17"/>
      <c r="F657" s="46"/>
      <c r="G657" s="46"/>
      <c r="H657" s="46"/>
      <c r="I657" s="17"/>
      <c r="J657" s="46"/>
      <c r="K657" s="46"/>
      <c r="L657" s="46"/>
      <c r="M657" s="17"/>
      <c r="N657" s="46"/>
      <c r="O657" s="46"/>
      <c r="P657" s="46"/>
      <c r="Q657" s="46"/>
      <c r="R657" s="46"/>
      <c r="S657" s="46"/>
      <c r="T657" s="46"/>
      <c r="U657" s="46"/>
      <c r="V657" s="46"/>
      <c r="W657" s="46"/>
      <c r="X657" s="46"/>
      <c r="Y657" s="46"/>
      <c r="Z657" s="46"/>
      <c r="AA657" s="46"/>
      <c r="AB657" s="46"/>
      <c r="AC657" s="46"/>
      <c r="AD657" s="46"/>
      <c r="AE657" s="46"/>
      <c r="AF657" s="46"/>
      <c r="AG657" s="127"/>
      <c r="AH657" s="127"/>
      <c r="AI657" s="127"/>
      <c r="AJ657" s="127"/>
      <c r="AK657" s="46"/>
      <c r="AL657" s="46"/>
      <c r="AM657" s="46"/>
      <c r="AN657" s="46"/>
      <c r="AO657" s="46"/>
    </row>
    <row r="658">
      <c r="A658" s="17"/>
      <c r="B658" s="46"/>
      <c r="C658" s="46"/>
      <c r="D658" s="46"/>
      <c r="E658" s="17"/>
      <c r="F658" s="46"/>
      <c r="G658" s="46"/>
      <c r="H658" s="46"/>
      <c r="I658" s="17"/>
      <c r="J658" s="46"/>
      <c r="K658" s="46"/>
      <c r="L658" s="46"/>
      <c r="M658" s="17"/>
      <c r="N658" s="46"/>
      <c r="O658" s="46"/>
      <c r="P658" s="46"/>
      <c r="Q658" s="46"/>
      <c r="R658" s="46"/>
      <c r="S658" s="46"/>
      <c r="T658" s="46"/>
      <c r="U658" s="46"/>
      <c r="V658" s="46"/>
      <c r="W658" s="46"/>
      <c r="X658" s="46"/>
      <c r="Y658" s="46"/>
      <c r="Z658" s="46"/>
      <c r="AA658" s="46"/>
      <c r="AB658" s="46"/>
      <c r="AC658" s="46"/>
      <c r="AD658" s="46"/>
      <c r="AE658" s="46"/>
      <c r="AF658" s="46"/>
      <c r="AG658" s="127"/>
      <c r="AH658" s="127"/>
      <c r="AI658" s="127"/>
      <c r="AJ658" s="127"/>
      <c r="AK658" s="46"/>
      <c r="AL658" s="46"/>
      <c r="AM658" s="46"/>
      <c r="AN658" s="46"/>
      <c r="AO658" s="46"/>
    </row>
    <row r="659">
      <c r="A659" s="17"/>
      <c r="B659" s="46"/>
      <c r="C659" s="46"/>
      <c r="D659" s="46"/>
      <c r="E659" s="17"/>
      <c r="F659" s="46"/>
      <c r="G659" s="46"/>
      <c r="H659" s="46"/>
      <c r="I659" s="17"/>
      <c r="J659" s="46"/>
      <c r="K659" s="46"/>
      <c r="L659" s="46"/>
      <c r="M659" s="17"/>
      <c r="N659" s="46"/>
      <c r="O659" s="46"/>
      <c r="P659" s="46"/>
      <c r="Q659" s="46"/>
      <c r="R659" s="46"/>
      <c r="S659" s="46"/>
      <c r="T659" s="46"/>
      <c r="U659" s="46"/>
      <c r="V659" s="46"/>
      <c r="W659" s="46"/>
      <c r="X659" s="46"/>
      <c r="Y659" s="46"/>
      <c r="Z659" s="46"/>
      <c r="AA659" s="46"/>
      <c r="AB659" s="46"/>
      <c r="AC659" s="46"/>
      <c r="AD659" s="46"/>
      <c r="AE659" s="46"/>
      <c r="AF659" s="46"/>
      <c r="AG659" s="127"/>
      <c r="AH659" s="127"/>
      <c r="AI659" s="127"/>
      <c r="AJ659" s="127"/>
      <c r="AK659" s="46"/>
      <c r="AL659" s="46"/>
      <c r="AM659" s="46"/>
      <c r="AN659" s="46"/>
      <c r="AO659" s="46"/>
    </row>
    <row r="660">
      <c r="A660" s="17"/>
      <c r="B660" s="46"/>
      <c r="C660" s="46"/>
      <c r="D660" s="46"/>
      <c r="E660" s="17"/>
      <c r="F660" s="46"/>
      <c r="G660" s="46"/>
      <c r="H660" s="46"/>
      <c r="I660" s="17"/>
      <c r="J660" s="46"/>
      <c r="K660" s="46"/>
      <c r="L660" s="46"/>
      <c r="M660" s="17"/>
      <c r="N660" s="46"/>
      <c r="O660" s="46"/>
      <c r="P660" s="46"/>
      <c r="Q660" s="46"/>
      <c r="R660" s="46"/>
      <c r="S660" s="46"/>
      <c r="T660" s="46"/>
      <c r="U660" s="46"/>
      <c r="V660" s="46"/>
      <c r="W660" s="46"/>
      <c r="X660" s="46"/>
      <c r="Y660" s="46"/>
      <c r="Z660" s="46"/>
      <c r="AA660" s="46"/>
      <c r="AB660" s="46"/>
      <c r="AC660" s="46"/>
      <c r="AD660" s="46"/>
      <c r="AE660" s="46"/>
      <c r="AF660" s="46"/>
      <c r="AG660" s="127"/>
      <c r="AH660" s="127"/>
      <c r="AI660" s="127"/>
      <c r="AJ660" s="127"/>
      <c r="AK660" s="46"/>
      <c r="AL660" s="46"/>
      <c r="AM660" s="46"/>
      <c r="AN660" s="46"/>
      <c r="AO660" s="46"/>
    </row>
    <row r="661">
      <c r="A661" s="17"/>
      <c r="B661" s="46"/>
      <c r="C661" s="46"/>
      <c r="D661" s="46"/>
      <c r="E661" s="17"/>
      <c r="F661" s="46"/>
      <c r="G661" s="46"/>
      <c r="H661" s="46"/>
      <c r="I661" s="17"/>
      <c r="J661" s="46"/>
      <c r="K661" s="46"/>
      <c r="L661" s="46"/>
      <c r="M661" s="17"/>
      <c r="N661" s="46"/>
      <c r="O661" s="46"/>
      <c r="P661" s="46"/>
      <c r="Q661" s="46"/>
      <c r="R661" s="46"/>
      <c r="S661" s="46"/>
      <c r="T661" s="46"/>
      <c r="U661" s="46"/>
      <c r="V661" s="46"/>
      <c r="W661" s="46"/>
      <c r="X661" s="46"/>
      <c r="Y661" s="46"/>
      <c r="Z661" s="46"/>
      <c r="AA661" s="46"/>
      <c r="AB661" s="46"/>
      <c r="AC661" s="46"/>
      <c r="AD661" s="46"/>
      <c r="AE661" s="46"/>
      <c r="AF661" s="46"/>
      <c r="AG661" s="127"/>
      <c r="AH661" s="127"/>
      <c r="AI661" s="127"/>
      <c r="AJ661" s="127"/>
      <c r="AK661" s="46"/>
      <c r="AL661" s="46"/>
      <c r="AM661" s="46"/>
      <c r="AN661" s="46"/>
      <c r="AO661" s="46"/>
    </row>
    <row r="662">
      <c r="A662" s="17"/>
      <c r="B662" s="46"/>
      <c r="C662" s="46"/>
      <c r="D662" s="46"/>
      <c r="E662" s="17"/>
      <c r="F662" s="46"/>
      <c r="G662" s="46"/>
      <c r="H662" s="46"/>
      <c r="I662" s="17"/>
      <c r="J662" s="46"/>
      <c r="K662" s="46"/>
      <c r="L662" s="46"/>
      <c r="M662" s="17"/>
      <c r="N662" s="46"/>
      <c r="O662" s="46"/>
      <c r="P662" s="46"/>
      <c r="Q662" s="46"/>
      <c r="R662" s="46"/>
      <c r="S662" s="46"/>
      <c r="T662" s="46"/>
      <c r="U662" s="46"/>
      <c r="V662" s="46"/>
      <c r="W662" s="46"/>
      <c r="X662" s="46"/>
      <c r="Y662" s="46"/>
      <c r="Z662" s="46"/>
      <c r="AA662" s="46"/>
      <c r="AB662" s="46"/>
      <c r="AC662" s="46"/>
      <c r="AD662" s="46"/>
      <c r="AE662" s="46"/>
      <c r="AF662" s="46"/>
      <c r="AG662" s="127"/>
      <c r="AH662" s="127"/>
      <c r="AI662" s="127"/>
      <c r="AJ662" s="127"/>
      <c r="AK662" s="46"/>
      <c r="AL662" s="46"/>
      <c r="AM662" s="46"/>
      <c r="AN662" s="46"/>
      <c r="AO662" s="46"/>
    </row>
    <row r="663">
      <c r="A663" s="17"/>
      <c r="B663" s="46"/>
      <c r="C663" s="46"/>
      <c r="D663" s="46"/>
      <c r="E663" s="17"/>
      <c r="F663" s="46"/>
      <c r="G663" s="46"/>
      <c r="H663" s="46"/>
      <c r="I663" s="17"/>
      <c r="J663" s="46"/>
      <c r="K663" s="46"/>
      <c r="L663" s="46"/>
      <c r="M663" s="17"/>
      <c r="N663" s="46"/>
      <c r="O663" s="46"/>
      <c r="P663" s="46"/>
      <c r="Q663" s="46"/>
      <c r="R663" s="46"/>
      <c r="S663" s="46"/>
      <c r="T663" s="46"/>
      <c r="U663" s="46"/>
      <c r="V663" s="46"/>
      <c r="W663" s="46"/>
      <c r="X663" s="46"/>
      <c r="Y663" s="46"/>
      <c r="Z663" s="46"/>
      <c r="AA663" s="46"/>
      <c r="AB663" s="46"/>
      <c r="AC663" s="46"/>
      <c r="AD663" s="46"/>
      <c r="AE663" s="46"/>
      <c r="AF663" s="46"/>
      <c r="AG663" s="127"/>
      <c r="AH663" s="127"/>
      <c r="AI663" s="127"/>
      <c r="AJ663" s="127"/>
      <c r="AK663" s="46"/>
      <c r="AL663" s="46"/>
      <c r="AM663" s="46"/>
      <c r="AN663" s="46"/>
      <c r="AO663" s="46"/>
    </row>
    <row r="664">
      <c r="A664" s="17"/>
      <c r="B664" s="46"/>
      <c r="C664" s="46"/>
      <c r="D664" s="46"/>
      <c r="E664" s="17"/>
      <c r="F664" s="46"/>
      <c r="G664" s="46"/>
      <c r="H664" s="46"/>
      <c r="I664" s="17"/>
      <c r="J664" s="46"/>
      <c r="K664" s="46"/>
      <c r="L664" s="46"/>
      <c r="M664" s="17"/>
      <c r="N664" s="46"/>
      <c r="O664" s="46"/>
      <c r="P664" s="46"/>
      <c r="Q664" s="46"/>
      <c r="R664" s="46"/>
      <c r="S664" s="46"/>
      <c r="T664" s="46"/>
      <c r="U664" s="46"/>
      <c r="V664" s="46"/>
      <c r="W664" s="46"/>
      <c r="X664" s="46"/>
      <c r="Y664" s="46"/>
      <c r="Z664" s="46"/>
      <c r="AA664" s="46"/>
      <c r="AB664" s="46"/>
      <c r="AC664" s="46"/>
      <c r="AD664" s="46"/>
      <c r="AE664" s="46"/>
      <c r="AF664" s="46"/>
      <c r="AG664" s="127"/>
      <c r="AH664" s="127"/>
      <c r="AI664" s="127"/>
      <c r="AJ664" s="127"/>
      <c r="AK664" s="46"/>
      <c r="AL664" s="46"/>
      <c r="AM664" s="46"/>
      <c r="AN664" s="46"/>
      <c r="AO664" s="46"/>
    </row>
    <row r="665">
      <c r="A665" s="17"/>
      <c r="B665" s="46"/>
      <c r="C665" s="46"/>
      <c r="D665" s="46"/>
      <c r="E665" s="17"/>
      <c r="F665" s="46"/>
      <c r="G665" s="46"/>
      <c r="H665" s="46"/>
      <c r="I665" s="17"/>
      <c r="J665" s="46"/>
      <c r="K665" s="46"/>
      <c r="L665" s="46"/>
      <c r="M665" s="17"/>
      <c r="N665" s="46"/>
      <c r="O665" s="46"/>
      <c r="P665" s="46"/>
      <c r="Q665" s="46"/>
      <c r="R665" s="46"/>
      <c r="S665" s="46"/>
      <c r="T665" s="46"/>
      <c r="U665" s="46"/>
      <c r="V665" s="46"/>
      <c r="W665" s="46"/>
      <c r="X665" s="46"/>
      <c r="Y665" s="46"/>
      <c r="Z665" s="46"/>
      <c r="AA665" s="46"/>
      <c r="AB665" s="46"/>
      <c r="AC665" s="46"/>
      <c r="AD665" s="46"/>
      <c r="AE665" s="46"/>
      <c r="AF665" s="46"/>
      <c r="AG665" s="127"/>
      <c r="AH665" s="127"/>
      <c r="AI665" s="127"/>
      <c r="AJ665" s="127"/>
      <c r="AK665" s="46"/>
      <c r="AL665" s="46"/>
      <c r="AM665" s="46"/>
      <c r="AN665" s="46"/>
      <c r="AO665" s="46"/>
    </row>
    <row r="666">
      <c r="A666" s="17"/>
      <c r="B666" s="46"/>
      <c r="C666" s="46"/>
      <c r="D666" s="46"/>
      <c r="E666" s="17"/>
      <c r="F666" s="46"/>
      <c r="G666" s="46"/>
      <c r="H666" s="46"/>
      <c r="I666" s="17"/>
      <c r="J666" s="46"/>
      <c r="K666" s="46"/>
      <c r="L666" s="46"/>
      <c r="M666" s="17"/>
      <c r="N666" s="46"/>
      <c r="O666" s="46"/>
      <c r="P666" s="46"/>
      <c r="Q666" s="46"/>
      <c r="R666" s="46"/>
      <c r="S666" s="46"/>
      <c r="T666" s="46"/>
      <c r="U666" s="46"/>
      <c r="V666" s="46"/>
      <c r="W666" s="46"/>
      <c r="X666" s="46"/>
      <c r="Y666" s="46"/>
      <c r="Z666" s="46"/>
      <c r="AA666" s="46"/>
      <c r="AB666" s="46"/>
      <c r="AC666" s="46"/>
      <c r="AD666" s="46"/>
      <c r="AE666" s="46"/>
      <c r="AF666" s="46"/>
      <c r="AG666" s="127"/>
      <c r="AH666" s="127"/>
      <c r="AI666" s="127"/>
      <c r="AJ666" s="127"/>
      <c r="AK666" s="46"/>
      <c r="AL666" s="46"/>
      <c r="AM666" s="46"/>
      <c r="AN666" s="46"/>
      <c r="AO666" s="46"/>
    </row>
    <row r="667">
      <c r="A667" s="17"/>
      <c r="B667" s="46"/>
      <c r="C667" s="46"/>
      <c r="D667" s="46"/>
      <c r="E667" s="17"/>
      <c r="F667" s="46"/>
      <c r="G667" s="46"/>
      <c r="H667" s="46"/>
      <c r="I667" s="17"/>
      <c r="J667" s="46"/>
      <c r="K667" s="46"/>
      <c r="L667" s="46"/>
      <c r="M667" s="17"/>
      <c r="N667" s="46"/>
      <c r="O667" s="46"/>
      <c r="P667" s="46"/>
      <c r="Q667" s="46"/>
      <c r="R667" s="46"/>
      <c r="S667" s="46"/>
      <c r="T667" s="46"/>
      <c r="U667" s="46"/>
      <c r="V667" s="46"/>
      <c r="W667" s="46"/>
      <c r="X667" s="46"/>
      <c r="Y667" s="46"/>
      <c r="Z667" s="46"/>
      <c r="AA667" s="46"/>
      <c r="AB667" s="46"/>
      <c r="AC667" s="46"/>
      <c r="AD667" s="46"/>
      <c r="AE667" s="46"/>
      <c r="AF667" s="46"/>
      <c r="AG667" s="127"/>
      <c r="AH667" s="127"/>
      <c r="AI667" s="127"/>
      <c r="AJ667" s="127"/>
      <c r="AK667" s="46"/>
      <c r="AL667" s="46"/>
      <c r="AM667" s="46"/>
      <c r="AN667" s="46"/>
      <c r="AO667" s="46"/>
    </row>
    <row r="668">
      <c r="A668" s="17"/>
      <c r="B668" s="46"/>
      <c r="C668" s="46"/>
      <c r="D668" s="46"/>
      <c r="E668" s="17"/>
      <c r="F668" s="46"/>
      <c r="G668" s="46"/>
      <c r="H668" s="46"/>
      <c r="I668" s="17"/>
      <c r="J668" s="46"/>
      <c r="K668" s="46"/>
      <c r="L668" s="46"/>
      <c r="M668" s="17"/>
      <c r="N668" s="46"/>
      <c r="O668" s="46"/>
      <c r="P668" s="46"/>
      <c r="Q668" s="46"/>
      <c r="R668" s="46"/>
      <c r="S668" s="46"/>
      <c r="T668" s="46"/>
      <c r="U668" s="46"/>
      <c r="V668" s="46"/>
      <c r="W668" s="46"/>
      <c r="X668" s="46"/>
      <c r="Y668" s="46"/>
      <c r="Z668" s="46"/>
      <c r="AA668" s="46"/>
      <c r="AB668" s="46"/>
      <c r="AC668" s="46"/>
      <c r="AD668" s="46"/>
      <c r="AE668" s="46"/>
      <c r="AF668" s="46"/>
      <c r="AG668" s="127"/>
      <c r="AH668" s="127"/>
      <c r="AI668" s="127"/>
      <c r="AJ668" s="127"/>
      <c r="AK668" s="46"/>
      <c r="AL668" s="46"/>
      <c r="AM668" s="46"/>
      <c r="AN668" s="46"/>
      <c r="AO668" s="46"/>
    </row>
    <row r="669">
      <c r="A669" s="17"/>
      <c r="B669" s="46"/>
      <c r="C669" s="46"/>
      <c r="D669" s="46"/>
      <c r="E669" s="17"/>
      <c r="F669" s="46"/>
      <c r="G669" s="46"/>
      <c r="H669" s="46"/>
      <c r="I669" s="17"/>
      <c r="J669" s="46"/>
      <c r="K669" s="46"/>
      <c r="L669" s="46"/>
      <c r="M669" s="17"/>
      <c r="N669" s="46"/>
      <c r="O669" s="46"/>
      <c r="P669" s="46"/>
      <c r="Q669" s="46"/>
      <c r="R669" s="46"/>
      <c r="S669" s="46"/>
      <c r="T669" s="46"/>
      <c r="U669" s="46"/>
      <c r="V669" s="46"/>
      <c r="W669" s="46"/>
      <c r="X669" s="46"/>
      <c r="Y669" s="46"/>
      <c r="Z669" s="46"/>
      <c r="AA669" s="46"/>
      <c r="AB669" s="46"/>
      <c r="AC669" s="46"/>
      <c r="AD669" s="46"/>
      <c r="AE669" s="46"/>
      <c r="AF669" s="46"/>
      <c r="AG669" s="127"/>
      <c r="AH669" s="127"/>
      <c r="AI669" s="127"/>
      <c r="AJ669" s="127"/>
      <c r="AK669" s="46"/>
      <c r="AL669" s="46"/>
      <c r="AM669" s="46"/>
      <c r="AN669" s="46"/>
      <c r="AO669" s="46"/>
    </row>
    <row r="670">
      <c r="A670" s="17"/>
      <c r="B670" s="46"/>
      <c r="C670" s="46"/>
      <c r="D670" s="46"/>
      <c r="E670" s="17"/>
      <c r="F670" s="46"/>
      <c r="G670" s="46"/>
      <c r="H670" s="46"/>
      <c r="I670" s="17"/>
      <c r="J670" s="46"/>
      <c r="K670" s="46"/>
      <c r="L670" s="46"/>
      <c r="M670" s="17"/>
      <c r="N670" s="46"/>
      <c r="O670" s="46"/>
      <c r="P670" s="46"/>
      <c r="Q670" s="46"/>
      <c r="R670" s="46"/>
      <c r="S670" s="46"/>
      <c r="T670" s="46"/>
      <c r="U670" s="46"/>
      <c r="V670" s="46"/>
      <c r="W670" s="46"/>
      <c r="X670" s="46"/>
      <c r="Y670" s="46"/>
      <c r="Z670" s="46"/>
      <c r="AA670" s="46"/>
      <c r="AB670" s="46"/>
      <c r="AC670" s="46"/>
      <c r="AD670" s="46"/>
      <c r="AE670" s="46"/>
      <c r="AF670" s="46"/>
      <c r="AG670" s="127"/>
      <c r="AH670" s="127"/>
      <c r="AI670" s="127"/>
      <c r="AJ670" s="127"/>
      <c r="AK670" s="46"/>
      <c r="AL670" s="46"/>
      <c r="AM670" s="46"/>
      <c r="AN670" s="46"/>
      <c r="AO670" s="46"/>
    </row>
    <row r="671">
      <c r="A671" s="17"/>
      <c r="B671" s="46"/>
      <c r="C671" s="46"/>
      <c r="D671" s="46"/>
      <c r="E671" s="17"/>
      <c r="F671" s="46"/>
      <c r="G671" s="46"/>
      <c r="H671" s="46"/>
      <c r="I671" s="17"/>
      <c r="J671" s="46"/>
      <c r="K671" s="46"/>
      <c r="L671" s="46"/>
      <c r="M671" s="17"/>
      <c r="N671" s="46"/>
      <c r="O671" s="46"/>
      <c r="P671" s="46"/>
      <c r="Q671" s="46"/>
      <c r="R671" s="46"/>
      <c r="S671" s="46"/>
      <c r="T671" s="46"/>
      <c r="U671" s="46"/>
      <c r="V671" s="46"/>
      <c r="W671" s="46"/>
      <c r="X671" s="46"/>
      <c r="Y671" s="46"/>
      <c r="Z671" s="46"/>
      <c r="AA671" s="46"/>
      <c r="AB671" s="46"/>
      <c r="AC671" s="46"/>
      <c r="AD671" s="46"/>
      <c r="AE671" s="46"/>
      <c r="AF671" s="46"/>
      <c r="AG671" s="127"/>
      <c r="AH671" s="127"/>
      <c r="AI671" s="127"/>
      <c r="AJ671" s="127"/>
      <c r="AK671" s="46"/>
      <c r="AL671" s="46"/>
      <c r="AM671" s="46"/>
      <c r="AN671" s="46"/>
      <c r="AO671" s="46"/>
    </row>
    <row r="672">
      <c r="A672" s="17"/>
      <c r="B672" s="46"/>
      <c r="C672" s="46"/>
      <c r="D672" s="46"/>
      <c r="E672" s="17"/>
      <c r="F672" s="46"/>
      <c r="G672" s="46"/>
      <c r="H672" s="46"/>
      <c r="I672" s="17"/>
      <c r="J672" s="46"/>
      <c r="K672" s="46"/>
      <c r="L672" s="46"/>
      <c r="M672" s="17"/>
      <c r="N672" s="46"/>
      <c r="O672" s="46"/>
      <c r="P672" s="46"/>
      <c r="Q672" s="46"/>
      <c r="R672" s="46"/>
      <c r="S672" s="46"/>
      <c r="T672" s="46"/>
      <c r="U672" s="46"/>
      <c r="V672" s="46"/>
      <c r="W672" s="46"/>
      <c r="X672" s="46"/>
      <c r="Y672" s="46"/>
      <c r="Z672" s="46"/>
      <c r="AA672" s="46"/>
      <c r="AB672" s="46"/>
      <c r="AC672" s="46"/>
      <c r="AD672" s="46"/>
      <c r="AE672" s="46"/>
      <c r="AF672" s="46"/>
      <c r="AG672" s="127"/>
      <c r="AH672" s="127"/>
      <c r="AI672" s="127"/>
      <c r="AJ672" s="127"/>
      <c r="AK672" s="46"/>
      <c r="AL672" s="46"/>
      <c r="AM672" s="46"/>
      <c r="AN672" s="46"/>
      <c r="AO672" s="46"/>
    </row>
    <row r="673">
      <c r="A673" s="17"/>
      <c r="B673" s="46"/>
      <c r="C673" s="46"/>
      <c r="D673" s="46"/>
      <c r="E673" s="17"/>
      <c r="F673" s="46"/>
      <c r="G673" s="46"/>
      <c r="H673" s="46"/>
      <c r="I673" s="17"/>
      <c r="J673" s="46"/>
      <c r="K673" s="46"/>
      <c r="L673" s="46"/>
      <c r="M673" s="17"/>
      <c r="N673" s="46"/>
      <c r="O673" s="46"/>
      <c r="P673" s="46"/>
      <c r="Q673" s="46"/>
      <c r="R673" s="46"/>
      <c r="S673" s="46"/>
      <c r="T673" s="46"/>
      <c r="U673" s="46"/>
      <c r="V673" s="46"/>
      <c r="W673" s="46"/>
      <c r="X673" s="46"/>
      <c r="Y673" s="46"/>
      <c r="Z673" s="46"/>
      <c r="AA673" s="46"/>
      <c r="AB673" s="46"/>
      <c r="AC673" s="46"/>
      <c r="AD673" s="46"/>
      <c r="AE673" s="46"/>
      <c r="AF673" s="46"/>
      <c r="AG673" s="127"/>
      <c r="AH673" s="127"/>
      <c r="AI673" s="127"/>
      <c r="AJ673" s="127"/>
      <c r="AK673" s="46"/>
      <c r="AL673" s="46"/>
      <c r="AM673" s="46"/>
      <c r="AN673" s="46"/>
      <c r="AO673" s="46"/>
    </row>
    <row r="674">
      <c r="A674" s="17"/>
      <c r="B674" s="46"/>
      <c r="C674" s="46"/>
      <c r="D674" s="46"/>
      <c r="E674" s="17"/>
      <c r="F674" s="46"/>
      <c r="G674" s="46"/>
      <c r="H674" s="46"/>
      <c r="I674" s="17"/>
      <c r="J674" s="46"/>
      <c r="K674" s="46"/>
      <c r="L674" s="46"/>
      <c r="M674" s="17"/>
      <c r="N674" s="46"/>
      <c r="O674" s="46"/>
      <c r="P674" s="46"/>
      <c r="Q674" s="46"/>
      <c r="R674" s="46"/>
      <c r="S674" s="46"/>
      <c r="T674" s="46"/>
      <c r="U674" s="46"/>
      <c r="V674" s="46"/>
      <c r="W674" s="46"/>
      <c r="X674" s="46"/>
      <c r="Y674" s="46"/>
      <c r="Z674" s="46"/>
      <c r="AA674" s="46"/>
      <c r="AB674" s="46"/>
      <c r="AC674" s="46"/>
      <c r="AD674" s="46"/>
      <c r="AE674" s="46"/>
      <c r="AF674" s="46"/>
      <c r="AG674" s="127"/>
      <c r="AH674" s="127"/>
      <c r="AI674" s="127"/>
      <c r="AJ674" s="127"/>
      <c r="AK674" s="46"/>
      <c r="AL674" s="46"/>
      <c r="AM674" s="46"/>
      <c r="AN674" s="46"/>
      <c r="AO674" s="46"/>
    </row>
    <row r="675">
      <c r="A675" s="17"/>
      <c r="B675" s="46"/>
      <c r="C675" s="46"/>
      <c r="D675" s="46"/>
      <c r="E675" s="17"/>
      <c r="F675" s="46"/>
      <c r="G675" s="46"/>
      <c r="H675" s="46"/>
      <c r="I675" s="17"/>
      <c r="J675" s="46"/>
      <c r="K675" s="46"/>
      <c r="L675" s="46"/>
      <c r="M675" s="17"/>
      <c r="N675" s="46"/>
      <c r="O675" s="46"/>
      <c r="P675" s="46"/>
      <c r="Q675" s="46"/>
      <c r="R675" s="46"/>
      <c r="S675" s="46"/>
      <c r="T675" s="46"/>
      <c r="U675" s="46"/>
      <c r="V675" s="46"/>
      <c r="W675" s="46"/>
      <c r="X675" s="46"/>
      <c r="Y675" s="46"/>
      <c r="Z675" s="46"/>
      <c r="AA675" s="46"/>
      <c r="AB675" s="46"/>
      <c r="AC675" s="46"/>
      <c r="AD675" s="46"/>
      <c r="AE675" s="46"/>
      <c r="AF675" s="46"/>
      <c r="AG675" s="127"/>
      <c r="AH675" s="127"/>
      <c r="AI675" s="127"/>
      <c r="AJ675" s="127"/>
      <c r="AK675" s="46"/>
      <c r="AL675" s="46"/>
      <c r="AM675" s="46"/>
      <c r="AN675" s="46"/>
      <c r="AO675" s="46"/>
    </row>
    <row r="676">
      <c r="A676" s="17"/>
      <c r="B676" s="46"/>
      <c r="C676" s="46"/>
      <c r="D676" s="46"/>
      <c r="E676" s="17"/>
      <c r="F676" s="46"/>
      <c r="G676" s="46"/>
      <c r="H676" s="46"/>
      <c r="I676" s="17"/>
      <c r="J676" s="46"/>
      <c r="K676" s="46"/>
      <c r="L676" s="46"/>
      <c r="M676" s="17"/>
      <c r="N676" s="46"/>
      <c r="O676" s="46"/>
      <c r="P676" s="46"/>
      <c r="Q676" s="46"/>
      <c r="R676" s="46"/>
      <c r="S676" s="46"/>
      <c r="T676" s="46"/>
      <c r="U676" s="46"/>
      <c r="V676" s="46"/>
      <c r="W676" s="46"/>
      <c r="X676" s="46"/>
      <c r="Y676" s="46"/>
      <c r="Z676" s="46"/>
      <c r="AA676" s="46"/>
      <c r="AB676" s="46"/>
      <c r="AC676" s="46"/>
      <c r="AD676" s="46"/>
      <c r="AE676" s="46"/>
      <c r="AF676" s="46"/>
      <c r="AG676" s="127"/>
      <c r="AH676" s="127"/>
      <c r="AI676" s="127"/>
      <c r="AJ676" s="127"/>
      <c r="AK676" s="46"/>
      <c r="AL676" s="46"/>
      <c r="AM676" s="46"/>
      <c r="AN676" s="46"/>
      <c r="AO676" s="46"/>
    </row>
    <row r="677">
      <c r="A677" s="17"/>
      <c r="B677" s="46"/>
      <c r="C677" s="46"/>
      <c r="D677" s="46"/>
      <c r="E677" s="17"/>
      <c r="F677" s="46"/>
      <c r="G677" s="46"/>
      <c r="H677" s="46"/>
      <c r="I677" s="17"/>
      <c r="J677" s="46"/>
      <c r="K677" s="46"/>
      <c r="L677" s="46"/>
      <c r="M677" s="17"/>
      <c r="N677" s="46"/>
      <c r="O677" s="46"/>
      <c r="P677" s="46"/>
      <c r="Q677" s="46"/>
      <c r="R677" s="46"/>
      <c r="S677" s="46"/>
      <c r="T677" s="46"/>
      <c r="U677" s="46"/>
      <c r="V677" s="46"/>
      <c r="W677" s="46"/>
      <c r="X677" s="46"/>
      <c r="Y677" s="46"/>
      <c r="Z677" s="46"/>
      <c r="AA677" s="46"/>
      <c r="AB677" s="46"/>
      <c r="AC677" s="46"/>
      <c r="AD677" s="46"/>
      <c r="AE677" s="46"/>
      <c r="AF677" s="46"/>
      <c r="AG677" s="127"/>
      <c r="AH677" s="127"/>
      <c r="AI677" s="127"/>
      <c r="AJ677" s="127"/>
      <c r="AK677" s="46"/>
      <c r="AL677" s="46"/>
      <c r="AM677" s="46"/>
      <c r="AN677" s="46"/>
      <c r="AO677" s="46"/>
    </row>
    <row r="678">
      <c r="A678" s="17"/>
      <c r="B678" s="46"/>
      <c r="C678" s="46"/>
      <c r="D678" s="46"/>
      <c r="E678" s="17"/>
      <c r="F678" s="46"/>
      <c r="G678" s="46"/>
      <c r="H678" s="46"/>
      <c r="I678" s="17"/>
      <c r="J678" s="46"/>
      <c r="K678" s="46"/>
      <c r="L678" s="46"/>
      <c r="M678" s="17"/>
      <c r="N678" s="46"/>
      <c r="O678" s="46"/>
      <c r="P678" s="46"/>
      <c r="Q678" s="46"/>
      <c r="R678" s="46"/>
      <c r="S678" s="46"/>
      <c r="T678" s="46"/>
      <c r="U678" s="46"/>
      <c r="V678" s="46"/>
      <c r="W678" s="46"/>
      <c r="X678" s="46"/>
      <c r="Y678" s="46"/>
      <c r="Z678" s="46"/>
      <c r="AA678" s="46"/>
      <c r="AB678" s="46"/>
      <c r="AC678" s="46"/>
      <c r="AD678" s="46"/>
      <c r="AE678" s="46"/>
      <c r="AF678" s="46"/>
      <c r="AG678" s="127"/>
      <c r="AH678" s="127"/>
      <c r="AI678" s="127"/>
      <c r="AJ678" s="127"/>
      <c r="AK678" s="46"/>
      <c r="AL678" s="46"/>
      <c r="AM678" s="46"/>
      <c r="AN678" s="46"/>
      <c r="AO678" s="46"/>
    </row>
    <row r="679">
      <c r="A679" s="17"/>
      <c r="B679" s="46"/>
      <c r="C679" s="46"/>
      <c r="D679" s="46"/>
      <c r="E679" s="17"/>
      <c r="F679" s="46"/>
      <c r="G679" s="46"/>
      <c r="H679" s="46"/>
      <c r="I679" s="17"/>
      <c r="J679" s="46"/>
      <c r="K679" s="46"/>
      <c r="L679" s="46"/>
      <c r="M679" s="17"/>
      <c r="N679" s="46"/>
      <c r="O679" s="46"/>
      <c r="P679" s="46"/>
      <c r="Q679" s="46"/>
      <c r="R679" s="46"/>
      <c r="S679" s="46"/>
      <c r="T679" s="46"/>
      <c r="U679" s="46"/>
      <c r="V679" s="46"/>
      <c r="W679" s="46"/>
      <c r="X679" s="46"/>
      <c r="Y679" s="46"/>
      <c r="Z679" s="46"/>
      <c r="AA679" s="46"/>
      <c r="AB679" s="46"/>
      <c r="AC679" s="46"/>
      <c r="AD679" s="46"/>
      <c r="AE679" s="46"/>
      <c r="AF679" s="46"/>
      <c r="AG679" s="127"/>
      <c r="AH679" s="127"/>
      <c r="AI679" s="127"/>
      <c r="AJ679" s="127"/>
      <c r="AK679" s="46"/>
      <c r="AL679" s="46"/>
      <c r="AM679" s="46"/>
      <c r="AN679" s="46"/>
      <c r="AO679" s="46"/>
    </row>
    <row r="680">
      <c r="A680" s="17"/>
      <c r="B680" s="46"/>
      <c r="C680" s="46"/>
      <c r="D680" s="46"/>
      <c r="E680" s="17"/>
      <c r="F680" s="46"/>
      <c r="G680" s="46"/>
      <c r="H680" s="46"/>
      <c r="I680" s="17"/>
      <c r="J680" s="46"/>
      <c r="K680" s="46"/>
      <c r="L680" s="46"/>
      <c r="M680" s="17"/>
      <c r="N680" s="46"/>
      <c r="O680" s="46"/>
      <c r="P680" s="46"/>
      <c r="Q680" s="46"/>
      <c r="R680" s="46"/>
      <c r="S680" s="46"/>
      <c r="T680" s="46"/>
      <c r="U680" s="46"/>
      <c r="V680" s="46"/>
      <c r="W680" s="46"/>
      <c r="X680" s="46"/>
      <c r="Y680" s="46"/>
      <c r="Z680" s="46"/>
      <c r="AA680" s="46"/>
      <c r="AB680" s="46"/>
      <c r="AC680" s="46"/>
      <c r="AD680" s="46"/>
      <c r="AE680" s="46"/>
      <c r="AF680" s="46"/>
      <c r="AG680" s="127"/>
      <c r="AH680" s="127"/>
      <c r="AI680" s="127"/>
      <c r="AJ680" s="127"/>
      <c r="AK680" s="46"/>
      <c r="AL680" s="46"/>
      <c r="AM680" s="46"/>
      <c r="AN680" s="46"/>
      <c r="AO680" s="46"/>
    </row>
    <row r="681">
      <c r="A681" s="17"/>
      <c r="B681" s="46"/>
      <c r="C681" s="46"/>
      <c r="D681" s="46"/>
      <c r="E681" s="17"/>
      <c r="F681" s="46"/>
      <c r="G681" s="46"/>
      <c r="H681" s="46"/>
      <c r="I681" s="17"/>
      <c r="J681" s="46"/>
      <c r="K681" s="46"/>
      <c r="L681" s="46"/>
      <c r="M681" s="17"/>
      <c r="N681" s="46"/>
      <c r="O681" s="46"/>
      <c r="P681" s="46"/>
      <c r="Q681" s="46"/>
      <c r="R681" s="46"/>
      <c r="S681" s="46"/>
      <c r="T681" s="46"/>
      <c r="U681" s="46"/>
      <c r="V681" s="46"/>
      <c r="W681" s="46"/>
      <c r="X681" s="46"/>
      <c r="Y681" s="46"/>
      <c r="Z681" s="46"/>
      <c r="AA681" s="46"/>
      <c r="AB681" s="46"/>
      <c r="AC681" s="46"/>
      <c r="AD681" s="46"/>
      <c r="AE681" s="46"/>
      <c r="AF681" s="46"/>
      <c r="AG681" s="127"/>
      <c r="AH681" s="127"/>
      <c r="AI681" s="127"/>
      <c r="AJ681" s="127"/>
      <c r="AK681" s="46"/>
      <c r="AL681" s="46"/>
      <c r="AM681" s="46"/>
      <c r="AN681" s="46"/>
      <c r="AO681" s="46"/>
    </row>
    <row r="682">
      <c r="A682" s="17"/>
      <c r="B682" s="46"/>
      <c r="C682" s="46"/>
      <c r="D682" s="46"/>
      <c r="E682" s="17"/>
      <c r="F682" s="46"/>
      <c r="G682" s="46"/>
      <c r="H682" s="46"/>
      <c r="I682" s="17"/>
      <c r="J682" s="46"/>
      <c r="K682" s="46"/>
      <c r="L682" s="46"/>
      <c r="M682" s="17"/>
      <c r="N682" s="46"/>
      <c r="O682" s="46"/>
      <c r="P682" s="46"/>
      <c r="Q682" s="46"/>
      <c r="R682" s="46"/>
      <c r="S682" s="46"/>
      <c r="T682" s="46"/>
      <c r="U682" s="46"/>
      <c r="V682" s="46"/>
      <c r="W682" s="46"/>
      <c r="X682" s="46"/>
      <c r="Y682" s="46"/>
      <c r="Z682" s="46"/>
      <c r="AA682" s="46"/>
      <c r="AB682" s="46"/>
      <c r="AC682" s="46"/>
      <c r="AD682" s="46"/>
      <c r="AE682" s="46"/>
      <c r="AF682" s="46"/>
      <c r="AG682" s="127"/>
      <c r="AH682" s="127"/>
      <c r="AI682" s="127"/>
      <c r="AJ682" s="127"/>
      <c r="AK682" s="46"/>
      <c r="AL682" s="46"/>
      <c r="AM682" s="46"/>
      <c r="AN682" s="46"/>
      <c r="AO682" s="46"/>
    </row>
    <row r="683">
      <c r="A683" s="17"/>
      <c r="B683" s="46"/>
      <c r="C683" s="46"/>
      <c r="D683" s="46"/>
      <c r="E683" s="17"/>
      <c r="F683" s="46"/>
      <c r="G683" s="46"/>
      <c r="H683" s="46"/>
      <c r="I683" s="17"/>
      <c r="J683" s="46"/>
      <c r="K683" s="46"/>
      <c r="L683" s="46"/>
      <c r="M683" s="17"/>
      <c r="N683" s="46"/>
      <c r="O683" s="46"/>
      <c r="P683" s="46"/>
      <c r="Q683" s="46"/>
      <c r="R683" s="46"/>
      <c r="S683" s="46"/>
      <c r="T683" s="46"/>
      <c r="U683" s="46"/>
      <c r="V683" s="46"/>
      <c r="W683" s="46"/>
      <c r="X683" s="46"/>
      <c r="Y683" s="46"/>
      <c r="Z683" s="46"/>
      <c r="AA683" s="46"/>
      <c r="AB683" s="46"/>
      <c r="AC683" s="46"/>
      <c r="AD683" s="46"/>
      <c r="AE683" s="46"/>
      <c r="AF683" s="46"/>
      <c r="AG683" s="127"/>
      <c r="AH683" s="127"/>
      <c r="AI683" s="127"/>
      <c r="AJ683" s="127"/>
      <c r="AK683" s="46"/>
      <c r="AL683" s="46"/>
      <c r="AM683" s="46"/>
      <c r="AN683" s="46"/>
      <c r="AO683" s="46"/>
    </row>
    <row r="684">
      <c r="A684" s="17"/>
      <c r="B684" s="46"/>
      <c r="C684" s="46"/>
      <c r="D684" s="46"/>
      <c r="E684" s="17"/>
      <c r="F684" s="46"/>
      <c r="G684" s="46"/>
      <c r="H684" s="46"/>
      <c r="I684" s="17"/>
      <c r="J684" s="46"/>
      <c r="K684" s="46"/>
      <c r="L684" s="46"/>
      <c r="M684" s="17"/>
      <c r="N684" s="46"/>
      <c r="O684" s="46"/>
      <c r="P684" s="46"/>
      <c r="Q684" s="46"/>
      <c r="R684" s="46"/>
      <c r="S684" s="46"/>
      <c r="T684" s="46"/>
      <c r="U684" s="46"/>
      <c r="V684" s="46"/>
      <c r="W684" s="46"/>
      <c r="X684" s="46"/>
      <c r="Y684" s="46"/>
      <c r="Z684" s="46"/>
      <c r="AA684" s="46"/>
      <c r="AB684" s="46"/>
      <c r="AC684" s="46"/>
      <c r="AD684" s="46"/>
      <c r="AE684" s="46"/>
      <c r="AF684" s="46"/>
      <c r="AG684" s="127"/>
      <c r="AH684" s="127"/>
      <c r="AI684" s="127"/>
      <c r="AJ684" s="127"/>
      <c r="AK684" s="46"/>
      <c r="AL684" s="46"/>
      <c r="AM684" s="46"/>
      <c r="AN684" s="46"/>
      <c r="AO684" s="46"/>
    </row>
    <row r="685">
      <c r="A685" s="17"/>
      <c r="B685" s="46"/>
      <c r="C685" s="46"/>
      <c r="D685" s="46"/>
      <c r="E685" s="17"/>
      <c r="F685" s="46"/>
      <c r="G685" s="46"/>
      <c r="H685" s="46"/>
      <c r="I685" s="17"/>
      <c r="J685" s="46"/>
      <c r="K685" s="46"/>
      <c r="L685" s="46"/>
      <c r="M685" s="17"/>
      <c r="N685" s="46"/>
      <c r="O685" s="46"/>
      <c r="P685" s="46"/>
      <c r="Q685" s="46"/>
      <c r="R685" s="46"/>
      <c r="S685" s="46"/>
      <c r="T685" s="46"/>
      <c r="U685" s="46"/>
      <c r="V685" s="46"/>
      <c r="W685" s="46"/>
      <c r="X685" s="46"/>
      <c r="Y685" s="46"/>
      <c r="Z685" s="46"/>
      <c r="AA685" s="46"/>
      <c r="AB685" s="46"/>
      <c r="AC685" s="46"/>
      <c r="AD685" s="46"/>
      <c r="AE685" s="46"/>
      <c r="AF685" s="46"/>
      <c r="AG685" s="127"/>
      <c r="AH685" s="127"/>
      <c r="AI685" s="127"/>
      <c r="AJ685" s="127"/>
      <c r="AK685" s="46"/>
      <c r="AL685" s="46"/>
      <c r="AM685" s="46"/>
      <c r="AN685" s="46"/>
      <c r="AO685" s="46"/>
    </row>
    <row r="686">
      <c r="A686" s="17"/>
      <c r="B686" s="46"/>
      <c r="C686" s="46"/>
      <c r="D686" s="46"/>
      <c r="E686" s="17"/>
      <c r="F686" s="46"/>
      <c r="G686" s="46"/>
      <c r="H686" s="46"/>
      <c r="I686" s="17"/>
      <c r="J686" s="46"/>
      <c r="K686" s="46"/>
      <c r="L686" s="46"/>
      <c r="M686" s="17"/>
      <c r="N686" s="46"/>
      <c r="O686" s="46"/>
      <c r="P686" s="46"/>
      <c r="Q686" s="46"/>
      <c r="R686" s="46"/>
      <c r="S686" s="46"/>
      <c r="T686" s="46"/>
      <c r="U686" s="46"/>
      <c r="V686" s="46"/>
      <c r="W686" s="46"/>
      <c r="X686" s="46"/>
      <c r="Y686" s="46"/>
      <c r="Z686" s="46"/>
      <c r="AA686" s="46"/>
      <c r="AB686" s="46"/>
      <c r="AC686" s="46"/>
      <c r="AD686" s="46"/>
      <c r="AE686" s="46"/>
      <c r="AF686" s="46"/>
      <c r="AG686" s="127"/>
      <c r="AH686" s="127"/>
      <c r="AI686" s="127"/>
      <c r="AJ686" s="127"/>
      <c r="AK686" s="46"/>
      <c r="AL686" s="46"/>
      <c r="AM686" s="46"/>
      <c r="AN686" s="46"/>
      <c r="AO686" s="46"/>
    </row>
    <row r="687">
      <c r="A687" s="17"/>
      <c r="B687" s="46"/>
      <c r="C687" s="46"/>
      <c r="D687" s="46"/>
      <c r="E687" s="17"/>
      <c r="F687" s="46"/>
      <c r="G687" s="46"/>
      <c r="H687" s="46"/>
      <c r="I687" s="17"/>
      <c r="J687" s="46"/>
      <c r="K687" s="46"/>
      <c r="L687" s="46"/>
      <c r="M687" s="17"/>
      <c r="N687" s="46"/>
      <c r="O687" s="46"/>
      <c r="P687" s="46"/>
      <c r="Q687" s="46"/>
      <c r="R687" s="46"/>
      <c r="S687" s="46"/>
      <c r="T687" s="46"/>
      <c r="U687" s="46"/>
      <c r="V687" s="46"/>
      <c r="W687" s="46"/>
      <c r="X687" s="46"/>
      <c r="Y687" s="46"/>
      <c r="Z687" s="46"/>
      <c r="AA687" s="46"/>
      <c r="AB687" s="46"/>
      <c r="AC687" s="46"/>
      <c r="AD687" s="46"/>
      <c r="AE687" s="46"/>
      <c r="AF687" s="46"/>
      <c r="AG687" s="127"/>
      <c r="AH687" s="127"/>
      <c r="AI687" s="127"/>
      <c r="AJ687" s="127"/>
      <c r="AK687" s="46"/>
      <c r="AL687" s="46"/>
      <c r="AM687" s="46"/>
      <c r="AN687" s="46"/>
      <c r="AO687" s="46"/>
    </row>
    <row r="688">
      <c r="A688" s="17"/>
      <c r="B688" s="46"/>
      <c r="C688" s="46"/>
      <c r="D688" s="46"/>
      <c r="E688" s="17"/>
      <c r="F688" s="46"/>
      <c r="G688" s="46"/>
      <c r="H688" s="46"/>
      <c r="I688" s="17"/>
      <c r="J688" s="46"/>
      <c r="K688" s="46"/>
      <c r="L688" s="46"/>
      <c r="M688" s="17"/>
      <c r="N688" s="46"/>
      <c r="O688" s="46"/>
      <c r="P688" s="46"/>
      <c r="Q688" s="46"/>
      <c r="R688" s="46"/>
      <c r="S688" s="46"/>
      <c r="T688" s="46"/>
      <c r="U688" s="46"/>
      <c r="V688" s="46"/>
      <c r="W688" s="46"/>
      <c r="X688" s="46"/>
      <c r="Y688" s="46"/>
      <c r="Z688" s="46"/>
      <c r="AA688" s="46"/>
      <c r="AB688" s="46"/>
      <c r="AC688" s="46"/>
      <c r="AD688" s="46"/>
      <c r="AE688" s="46"/>
      <c r="AF688" s="46"/>
      <c r="AG688" s="127"/>
      <c r="AH688" s="127"/>
      <c r="AI688" s="127"/>
      <c r="AJ688" s="127"/>
      <c r="AK688" s="46"/>
      <c r="AL688" s="46"/>
      <c r="AM688" s="46"/>
      <c r="AN688" s="46"/>
      <c r="AO688" s="46"/>
    </row>
    <row r="689">
      <c r="A689" s="17"/>
      <c r="B689" s="46"/>
      <c r="C689" s="46"/>
      <c r="D689" s="46"/>
      <c r="E689" s="17"/>
      <c r="F689" s="46"/>
      <c r="G689" s="46"/>
      <c r="H689" s="46"/>
      <c r="I689" s="17"/>
      <c r="J689" s="46"/>
      <c r="K689" s="46"/>
      <c r="L689" s="46"/>
      <c r="M689" s="17"/>
      <c r="N689" s="46"/>
      <c r="O689" s="46"/>
      <c r="P689" s="46"/>
      <c r="Q689" s="46"/>
      <c r="R689" s="46"/>
      <c r="S689" s="46"/>
      <c r="T689" s="46"/>
      <c r="U689" s="46"/>
      <c r="V689" s="46"/>
      <c r="W689" s="46"/>
      <c r="X689" s="46"/>
      <c r="Y689" s="46"/>
      <c r="Z689" s="46"/>
      <c r="AA689" s="46"/>
      <c r="AB689" s="46"/>
      <c r="AC689" s="46"/>
      <c r="AD689" s="46"/>
      <c r="AE689" s="46"/>
      <c r="AF689" s="46"/>
      <c r="AG689" s="127"/>
      <c r="AH689" s="127"/>
      <c r="AI689" s="127"/>
      <c r="AJ689" s="127"/>
      <c r="AK689" s="46"/>
      <c r="AL689" s="46"/>
      <c r="AM689" s="46"/>
      <c r="AN689" s="46"/>
      <c r="AO689" s="46"/>
    </row>
    <row r="690">
      <c r="A690" s="17"/>
      <c r="B690" s="46"/>
      <c r="C690" s="46"/>
      <c r="D690" s="46"/>
      <c r="E690" s="17"/>
      <c r="F690" s="46"/>
      <c r="G690" s="46"/>
      <c r="H690" s="46"/>
      <c r="I690" s="17"/>
      <c r="J690" s="46"/>
      <c r="K690" s="46"/>
      <c r="L690" s="46"/>
      <c r="M690" s="17"/>
      <c r="N690" s="46"/>
      <c r="O690" s="46"/>
      <c r="P690" s="46"/>
      <c r="Q690" s="46"/>
      <c r="R690" s="46"/>
      <c r="S690" s="46"/>
      <c r="T690" s="46"/>
      <c r="U690" s="46"/>
      <c r="V690" s="46"/>
      <c r="W690" s="46"/>
      <c r="X690" s="46"/>
      <c r="Y690" s="46"/>
      <c r="Z690" s="46"/>
      <c r="AA690" s="46"/>
      <c r="AB690" s="46"/>
      <c r="AC690" s="46"/>
      <c r="AD690" s="46"/>
      <c r="AE690" s="46"/>
      <c r="AF690" s="46"/>
      <c r="AG690" s="127"/>
      <c r="AH690" s="127"/>
      <c r="AI690" s="127"/>
      <c r="AJ690" s="127"/>
      <c r="AK690" s="46"/>
      <c r="AL690" s="46"/>
      <c r="AM690" s="46"/>
      <c r="AN690" s="46"/>
      <c r="AO690" s="46"/>
    </row>
    <row r="691">
      <c r="A691" s="17"/>
      <c r="B691" s="46"/>
      <c r="C691" s="46"/>
      <c r="D691" s="46"/>
      <c r="E691" s="17"/>
      <c r="F691" s="46"/>
      <c r="G691" s="46"/>
      <c r="H691" s="46"/>
      <c r="I691" s="17"/>
      <c r="J691" s="46"/>
      <c r="K691" s="46"/>
      <c r="L691" s="46"/>
      <c r="M691" s="17"/>
      <c r="N691" s="46"/>
      <c r="O691" s="46"/>
      <c r="P691" s="46"/>
      <c r="Q691" s="46"/>
      <c r="R691" s="46"/>
      <c r="S691" s="46"/>
      <c r="T691" s="46"/>
      <c r="U691" s="46"/>
      <c r="V691" s="46"/>
      <c r="W691" s="46"/>
      <c r="X691" s="46"/>
      <c r="Y691" s="46"/>
      <c r="Z691" s="46"/>
      <c r="AA691" s="46"/>
      <c r="AB691" s="46"/>
      <c r="AC691" s="46"/>
      <c r="AD691" s="46"/>
      <c r="AE691" s="46"/>
      <c r="AF691" s="46"/>
      <c r="AG691" s="127"/>
      <c r="AH691" s="127"/>
      <c r="AI691" s="127"/>
      <c r="AJ691" s="127"/>
      <c r="AK691" s="46"/>
      <c r="AL691" s="46"/>
      <c r="AM691" s="46"/>
      <c r="AN691" s="46"/>
      <c r="AO691" s="46"/>
    </row>
    <row r="692">
      <c r="A692" s="17"/>
      <c r="B692" s="46"/>
      <c r="C692" s="46"/>
      <c r="D692" s="46"/>
      <c r="E692" s="17"/>
      <c r="F692" s="46"/>
      <c r="G692" s="46"/>
      <c r="H692" s="46"/>
      <c r="I692" s="17"/>
      <c r="J692" s="46"/>
      <c r="K692" s="46"/>
      <c r="L692" s="46"/>
      <c r="M692" s="17"/>
      <c r="N692" s="46"/>
      <c r="O692" s="46"/>
      <c r="P692" s="46"/>
      <c r="Q692" s="46"/>
      <c r="R692" s="46"/>
      <c r="S692" s="46"/>
      <c r="T692" s="46"/>
      <c r="U692" s="46"/>
      <c r="V692" s="46"/>
      <c r="W692" s="46"/>
      <c r="X692" s="46"/>
      <c r="Y692" s="46"/>
      <c r="Z692" s="46"/>
      <c r="AA692" s="46"/>
      <c r="AB692" s="46"/>
      <c r="AC692" s="46"/>
      <c r="AD692" s="46"/>
      <c r="AE692" s="46"/>
      <c r="AF692" s="46"/>
      <c r="AG692" s="127"/>
      <c r="AH692" s="127"/>
      <c r="AI692" s="127"/>
      <c r="AJ692" s="127"/>
      <c r="AK692" s="46"/>
      <c r="AL692" s="46"/>
      <c r="AM692" s="46"/>
      <c r="AN692" s="46"/>
      <c r="AO692" s="46"/>
    </row>
    <row r="693">
      <c r="A693" s="17"/>
      <c r="B693" s="46"/>
      <c r="C693" s="46"/>
      <c r="D693" s="46"/>
      <c r="E693" s="17"/>
      <c r="F693" s="46"/>
      <c r="G693" s="46"/>
      <c r="H693" s="46"/>
      <c r="I693" s="17"/>
      <c r="J693" s="46"/>
      <c r="K693" s="46"/>
      <c r="L693" s="46"/>
      <c r="M693" s="17"/>
      <c r="N693" s="46"/>
      <c r="O693" s="46"/>
      <c r="P693" s="46"/>
      <c r="Q693" s="46"/>
      <c r="R693" s="46"/>
      <c r="S693" s="46"/>
      <c r="T693" s="46"/>
      <c r="U693" s="46"/>
      <c r="V693" s="46"/>
      <c r="W693" s="46"/>
      <c r="X693" s="46"/>
      <c r="Y693" s="46"/>
      <c r="Z693" s="46"/>
      <c r="AA693" s="46"/>
      <c r="AB693" s="46"/>
      <c r="AC693" s="46"/>
      <c r="AD693" s="46"/>
      <c r="AE693" s="46"/>
      <c r="AF693" s="46"/>
      <c r="AG693" s="127"/>
      <c r="AH693" s="127"/>
      <c r="AI693" s="127"/>
      <c r="AJ693" s="127"/>
      <c r="AK693" s="46"/>
      <c r="AL693" s="46"/>
      <c r="AM693" s="46"/>
      <c r="AN693" s="46"/>
      <c r="AO693" s="46"/>
    </row>
    <row r="694">
      <c r="A694" s="17"/>
      <c r="B694" s="46"/>
      <c r="C694" s="46"/>
      <c r="D694" s="46"/>
      <c r="E694" s="17"/>
      <c r="F694" s="46"/>
      <c r="G694" s="46"/>
      <c r="H694" s="46"/>
      <c r="I694" s="17"/>
      <c r="J694" s="46"/>
      <c r="K694" s="46"/>
      <c r="L694" s="46"/>
      <c r="M694" s="17"/>
      <c r="N694" s="46"/>
      <c r="O694" s="46"/>
      <c r="P694" s="46"/>
      <c r="Q694" s="46"/>
      <c r="R694" s="46"/>
      <c r="S694" s="46"/>
      <c r="T694" s="46"/>
      <c r="U694" s="46"/>
      <c r="V694" s="46"/>
      <c r="W694" s="46"/>
      <c r="X694" s="46"/>
      <c r="Y694" s="46"/>
      <c r="Z694" s="46"/>
      <c r="AA694" s="46"/>
      <c r="AB694" s="46"/>
      <c r="AC694" s="46"/>
      <c r="AD694" s="46"/>
      <c r="AE694" s="46"/>
      <c r="AF694" s="46"/>
      <c r="AG694" s="127"/>
      <c r="AH694" s="127"/>
      <c r="AI694" s="127"/>
      <c r="AJ694" s="127"/>
      <c r="AK694" s="46"/>
      <c r="AL694" s="46"/>
      <c r="AM694" s="46"/>
      <c r="AN694" s="46"/>
      <c r="AO694" s="46"/>
    </row>
    <row r="695">
      <c r="A695" s="17"/>
      <c r="B695" s="46"/>
      <c r="C695" s="46"/>
      <c r="D695" s="46"/>
      <c r="E695" s="17"/>
      <c r="F695" s="46"/>
      <c r="G695" s="46"/>
      <c r="H695" s="46"/>
      <c r="I695" s="17"/>
      <c r="J695" s="46"/>
      <c r="K695" s="46"/>
      <c r="L695" s="46"/>
      <c r="M695" s="17"/>
      <c r="N695" s="46"/>
      <c r="O695" s="46"/>
      <c r="P695" s="46"/>
      <c r="Q695" s="46"/>
      <c r="R695" s="46"/>
      <c r="S695" s="46"/>
      <c r="T695" s="46"/>
      <c r="U695" s="46"/>
      <c r="V695" s="46"/>
      <c r="W695" s="46"/>
      <c r="X695" s="46"/>
      <c r="Y695" s="46"/>
      <c r="Z695" s="46"/>
      <c r="AA695" s="46"/>
      <c r="AB695" s="46"/>
      <c r="AC695" s="46"/>
      <c r="AD695" s="46"/>
      <c r="AE695" s="46"/>
      <c r="AF695" s="46"/>
      <c r="AG695" s="127"/>
      <c r="AH695" s="127"/>
      <c r="AI695" s="127"/>
      <c r="AJ695" s="127"/>
      <c r="AK695" s="46"/>
      <c r="AL695" s="46"/>
      <c r="AM695" s="46"/>
      <c r="AN695" s="46"/>
      <c r="AO695" s="46"/>
    </row>
    <row r="696">
      <c r="A696" s="17"/>
      <c r="B696" s="46"/>
      <c r="C696" s="46"/>
      <c r="D696" s="46"/>
      <c r="E696" s="17"/>
      <c r="F696" s="46"/>
      <c r="G696" s="46"/>
      <c r="H696" s="46"/>
      <c r="I696" s="17"/>
      <c r="J696" s="46"/>
      <c r="K696" s="46"/>
      <c r="L696" s="46"/>
      <c r="M696" s="17"/>
      <c r="N696" s="46"/>
      <c r="O696" s="46"/>
      <c r="P696" s="46"/>
      <c r="Q696" s="46"/>
      <c r="R696" s="46"/>
      <c r="S696" s="46"/>
      <c r="T696" s="46"/>
      <c r="U696" s="46"/>
      <c r="V696" s="46"/>
      <c r="W696" s="46"/>
      <c r="X696" s="46"/>
      <c r="Y696" s="46"/>
      <c r="Z696" s="46"/>
      <c r="AA696" s="46"/>
      <c r="AB696" s="46"/>
      <c r="AC696" s="46"/>
      <c r="AD696" s="46"/>
      <c r="AE696" s="46"/>
      <c r="AF696" s="46"/>
      <c r="AG696" s="127"/>
      <c r="AH696" s="127"/>
      <c r="AI696" s="127"/>
      <c r="AJ696" s="127"/>
      <c r="AK696" s="46"/>
      <c r="AL696" s="46"/>
      <c r="AM696" s="46"/>
      <c r="AN696" s="46"/>
      <c r="AO696" s="46"/>
    </row>
    <row r="697">
      <c r="A697" s="17"/>
      <c r="B697" s="46"/>
      <c r="C697" s="46"/>
      <c r="D697" s="46"/>
      <c r="E697" s="17"/>
      <c r="F697" s="46"/>
      <c r="G697" s="46"/>
      <c r="H697" s="46"/>
      <c r="I697" s="17"/>
      <c r="J697" s="46"/>
      <c r="K697" s="46"/>
      <c r="L697" s="46"/>
      <c r="M697" s="17"/>
      <c r="N697" s="46"/>
      <c r="O697" s="46"/>
      <c r="P697" s="46"/>
      <c r="Q697" s="46"/>
      <c r="R697" s="46"/>
      <c r="S697" s="46"/>
      <c r="T697" s="46"/>
      <c r="U697" s="46"/>
      <c r="V697" s="46"/>
      <c r="W697" s="46"/>
      <c r="X697" s="46"/>
      <c r="Y697" s="46"/>
      <c r="Z697" s="46"/>
      <c r="AA697" s="46"/>
      <c r="AB697" s="46"/>
      <c r="AC697" s="46"/>
      <c r="AD697" s="46"/>
      <c r="AE697" s="46"/>
      <c r="AF697" s="46"/>
      <c r="AG697" s="127"/>
      <c r="AH697" s="127"/>
      <c r="AI697" s="127"/>
      <c r="AJ697" s="127"/>
      <c r="AK697" s="46"/>
      <c r="AL697" s="46"/>
      <c r="AM697" s="46"/>
      <c r="AN697" s="46"/>
      <c r="AO697" s="46"/>
    </row>
    <row r="698">
      <c r="A698" s="17"/>
      <c r="B698" s="46"/>
      <c r="C698" s="46"/>
      <c r="D698" s="46"/>
      <c r="E698" s="17"/>
      <c r="F698" s="46"/>
      <c r="G698" s="46"/>
      <c r="H698" s="46"/>
      <c r="I698" s="17"/>
      <c r="J698" s="46"/>
      <c r="K698" s="46"/>
      <c r="L698" s="46"/>
      <c r="M698" s="17"/>
      <c r="N698" s="46"/>
      <c r="O698" s="46"/>
      <c r="P698" s="46"/>
      <c r="Q698" s="46"/>
      <c r="R698" s="46"/>
      <c r="S698" s="46"/>
      <c r="T698" s="46"/>
      <c r="U698" s="46"/>
      <c r="V698" s="46"/>
      <c r="W698" s="46"/>
      <c r="X698" s="46"/>
      <c r="Y698" s="46"/>
      <c r="Z698" s="46"/>
      <c r="AA698" s="46"/>
      <c r="AB698" s="46"/>
      <c r="AC698" s="46"/>
      <c r="AD698" s="46"/>
      <c r="AE698" s="46"/>
      <c r="AF698" s="46"/>
      <c r="AG698" s="127"/>
      <c r="AH698" s="127"/>
      <c r="AI698" s="127"/>
      <c r="AJ698" s="127"/>
      <c r="AK698" s="46"/>
      <c r="AL698" s="46"/>
      <c r="AM698" s="46"/>
      <c r="AN698" s="46"/>
      <c r="AO698" s="46"/>
    </row>
    <row r="699">
      <c r="A699" s="17"/>
      <c r="B699" s="46"/>
      <c r="C699" s="46"/>
      <c r="D699" s="46"/>
      <c r="E699" s="17"/>
      <c r="F699" s="46"/>
      <c r="G699" s="46"/>
      <c r="H699" s="46"/>
      <c r="I699" s="17"/>
      <c r="J699" s="46"/>
      <c r="K699" s="46"/>
      <c r="L699" s="46"/>
      <c r="M699" s="17"/>
      <c r="N699" s="46"/>
      <c r="O699" s="46"/>
      <c r="P699" s="46"/>
      <c r="Q699" s="46"/>
      <c r="R699" s="46"/>
      <c r="S699" s="46"/>
      <c r="T699" s="46"/>
      <c r="U699" s="46"/>
      <c r="V699" s="46"/>
      <c r="W699" s="46"/>
      <c r="X699" s="46"/>
      <c r="Y699" s="46"/>
      <c r="Z699" s="46"/>
      <c r="AA699" s="46"/>
      <c r="AB699" s="46"/>
      <c r="AC699" s="46"/>
      <c r="AD699" s="46"/>
      <c r="AE699" s="46"/>
      <c r="AF699" s="46"/>
      <c r="AG699" s="127"/>
      <c r="AH699" s="127"/>
      <c r="AI699" s="127"/>
      <c r="AJ699" s="127"/>
      <c r="AK699" s="46"/>
      <c r="AL699" s="46"/>
      <c r="AM699" s="46"/>
      <c r="AN699" s="46"/>
      <c r="AO699" s="46"/>
    </row>
    <row r="700">
      <c r="A700" s="17"/>
      <c r="B700" s="46"/>
      <c r="C700" s="46"/>
      <c r="D700" s="46"/>
      <c r="E700" s="17"/>
      <c r="F700" s="46"/>
      <c r="G700" s="46"/>
      <c r="H700" s="46"/>
      <c r="I700" s="17"/>
      <c r="J700" s="46"/>
      <c r="K700" s="46"/>
      <c r="L700" s="46"/>
      <c r="M700" s="17"/>
      <c r="N700" s="46"/>
      <c r="O700" s="46"/>
      <c r="P700" s="46"/>
      <c r="Q700" s="46"/>
      <c r="R700" s="46"/>
      <c r="S700" s="46"/>
      <c r="T700" s="46"/>
      <c r="U700" s="46"/>
      <c r="V700" s="46"/>
      <c r="W700" s="46"/>
      <c r="X700" s="46"/>
      <c r="Y700" s="46"/>
      <c r="Z700" s="46"/>
      <c r="AA700" s="46"/>
      <c r="AB700" s="46"/>
      <c r="AC700" s="46"/>
      <c r="AD700" s="46"/>
      <c r="AE700" s="46"/>
      <c r="AF700" s="46"/>
      <c r="AG700" s="127"/>
      <c r="AH700" s="127"/>
      <c r="AI700" s="127"/>
      <c r="AJ700" s="127"/>
      <c r="AK700" s="46"/>
      <c r="AL700" s="46"/>
      <c r="AM700" s="46"/>
      <c r="AN700" s="46"/>
      <c r="AO700" s="46"/>
    </row>
    <row r="701">
      <c r="A701" s="17"/>
      <c r="B701" s="46"/>
      <c r="C701" s="46"/>
      <c r="D701" s="46"/>
      <c r="E701" s="17"/>
      <c r="F701" s="46"/>
      <c r="G701" s="46"/>
      <c r="H701" s="46"/>
      <c r="I701" s="17"/>
      <c r="J701" s="46"/>
      <c r="K701" s="46"/>
      <c r="L701" s="46"/>
      <c r="M701" s="17"/>
      <c r="N701" s="46"/>
      <c r="O701" s="46"/>
      <c r="P701" s="46"/>
      <c r="Q701" s="46"/>
      <c r="R701" s="46"/>
      <c r="S701" s="46"/>
      <c r="T701" s="46"/>
      <c r="U701" s="46"/>
      <c r="V701" s="46"/>
      <c r="W701" s="46"/>
      <c r="X701" s="46"/>
      <c r="Y701" s="46"/>
      <c r="Z701" s="46"/>
      <c r="AA701" s="46"/>
      <c r="AB701" s="46"/>
      <c r="AC701" s="46"/>
      <c r="AD701" s="46"/>
      <c r="AE701" s="46"/>
      <c r="AF701" s="46"/>
      <c r="AG701" s="127"/>
      <c r="AH701" s="127"/>
      <c r="AI701" s="127"/>
      <c r="AJ701" s="127"/>
      <c r="AK701" s="46"/>
      <c r="AL701" s="46"/>
      <c r="AM701" s="46"/>
      <c r="AN701" s="46"/>
      <c r="AO701" s="46"/>
    </row>
    <row r="702">
      <c r="A702" s="17"/>
      <c r="B702" s="46"/>
      <c r="C702" s="46"/>
      <c r="D702" s="46"/>
      <c r="E702" s="17"/>
      <c r="F702" s="46"/>
      <c r="G702" s="46"/>
      <c r="H702" s="46"/>
      <c r="I702" s="17"/>
      <c r="J702" s="46"/>
      <c r="K702" s="46"/>
      <c r="L702" s="46"/>
      <c r="M702" s="17"/>
      <c r="N702" s="46"/>
      <c r="O702" s="46"/>
      <c r="P702" s="46"/>
      <c r="Q702" s="46"/>
      <c r="R702" s="46"/>
      <c r="S702" s="46"/>
      <c r="T702" s="46"/>
      <c r="U702" s="46"/>
      <c r="V702" s="46"/>
      <c r="W702" s="46"/>
      <c r="X702" s="46"/>
      <c r="Y702" s="46"/>
      <c r="Z702" s="46"/>
      <c r="AA702" s="46"/>
      <c r="AB702" s="46"/>
      <c r="AC702" s="46"/>
      <c r="AD702" s="46"/>
      <c r="AE702" s="46"/>
      <c r="AF702" s="46"/>
      <c r="AG702" s="127"/>
      <c r="AH702" s="127"/>
      <c r="AI702" s="127"/>
      <c r="AJ702" s="127"/>
      <c r="AK702" s="46"/>
      <c r="AL702" s="46"/>
      <c r="AM702" s="46"/>
      <c r="AN702" s="46"/>
      <c r="AO702" s="46"/>
    </row>
    <row r="703">
      <c r="A703" s="17"/>
      <c r="B703" s="46"/>
      <c r="C703" s="46"/>
      <c r="D703" s="46"/>
      <c r="E703" s="17"/>
      <c r="F703" s="46"/>
      <c r="G703" s="46"/>
      <c r="H703" s="46"/>
      <c r="I703" s="17"/>
      <c r="J703" s="46"/>
      <c r="K703" s="46"/>
      <c r="L703" s="46"/>
      <c r="M703" s="17"/>
      <c r="N703" s="46"/>
      <c r="O703" s="46"/>
      <c r="P703" s="46"/>
      <c r="Q703" s="46"/>
      <c r="R703" s="46"/>
      <c r="S703" s="46"/>
      <c r="T703" s="46"/>
      <c r="U703" s="46"/>
      <c r="V703" s="46"/>
      <c r="W703" s="46"/>
      <c r="X703" s="46"/>
      <c r="Y703" s="46"/>
      <c r="Z703" s="46"/>
      <c r="AA703" s="46"/>
      <c r="AB703" s="46"/>
      <c r="AC703" s="46"/>
      <c r="AD703" s="46"/>
      <c r="AE703" s="46"/>
      <c r="AF703" s="46"/>
      <c r="AG703" s="127"/>
      <c r="AH703" s="127"/>
      <c r="AI703" s="127"/>
      <c r="AJ703" s="127"/>
      <c r="AK703" s="46"/>
      <c r="AL703" s="46"/>
      <c r="AM703" s="46"/>
      <c r="AN703" s="46"/>
      <c r="AO703" s="46"/>
    </row>
    <row r="704">
      <c r="A704" s="17"/>
      <c r="B704" s="46"/>
      <c r="C704" s="46"/>
      <c r="D704" s="46"/>
      <c r="E704" s="17"/>
      <c r="F704" s="46"/>
      <c r="G704" s="46"/>
      <c r="H704" s="46"/>
      <c r="I704" s="17"/>
      <c r="J704" s="46"/>
      <c r="K704" s="46"/>
      <c r="L704" s="46"/>
      <c r="M704" s="17"/>
      <c r="N704" s="46"/>
      <c r="O704" s="46"/>
      <c r="P704" s="46"/>
      <c r="Q704" s="46"/>
      <c r="R704" s="46"/>
      <c r="S704" s="46"/>
      <c r="T704" s="46"/>
      <c r="U704" s="46"/>
      <c r="V704" s="46"/>
      <c r="W704" s="46"/>
      <c r="X704" s="46"/>
      <c r="Y704" s="46"/>
      <c r="Z704" s="46"/>
      <c r="AA704" s="46"/>
      <c r="AB704" s="46"/>
      <c r="AC704" s="46"/>
      <c r="AD704" s="46"/>
      <c r="AE704" s="46"/>
      <c r="AF704" s="46"/>
      <c r="AG704" s="127"/>
      <c r="AH704" s="127"/>
      <c r="AI704" s="127"/>
      <c r="AJ704" s="127"/>
      <c r="AK704" s="46"/>
      <c r="AL704" s="46"/>
      <c r="AM704" s="46"/>
      <c r="AN704" s="46"/>
      <c r="AO704" s="46"/>
    </row>
    <row r="705">
      <c r="A705" s="17"/>
      <c r="B705" s="46"/>
      <c r="C705" s="46"/>
      <c r="D705" s="46"/>
      <c r="E705" s="17"/>
      <c r="F705" s="46"/>
      <c r="G705" s="46"/>
      <c r="H705" s="46"/>
      <c r="I705" s="17"/>
      <c r="J705" s="46"/>
      <c r="K705" s="46"/>
      <c r="L705" s="46"/>
      <c r="M705" s="17"/>
      <c r="N705" s="46"/>
      <c r="O705" s="46"/>
      <c r="P705" s="46"/>
      <c r="Q705" s="46"/>
      <c r="R705" s="46"/>
      <c r="S705" s="46"/>
      <c r="T705" s="46"/>
      <c r="U705" s="46"/>
      <c r="V705" s="46"/>
      <c r="W705" s="46"/>
      <c r="X705" s="46"/>
      <c r="Y705" s="46"/>
      <c r="Z705" s="46"/>
      <c r="AA705" s="46"/>
      <c r="AB705" s="46"/>
      <c r="AC705" s="46"/>
      <c r="AD705" s="46"/>
      <c r="AE705" s="46"/>
      <c r="AF705" s="46"/>
      <c r="AG705" s="127"/>
      <c r="AH705" s="127"/>
      <c r="AI705" s="127"/>
      <c r="AJ705" s="127"/>
      <c r="AK705" s="46"/>
      <c r="AL705" s="46"/>
      <c r="AM705" s="46"/>
      <c r="AN705" s="46"/>
      <c r="AO705" s="46"/>
    </row>
    <row r="706">
      <c r="A706" s="17"/>
      <c r="B706" s="46"/>
      <c r="C706" s="46"/>
      <c r="D706" s="46"/>
      <c r="E706" s="17"/>
      <c r="F706" s="46"/>
      <c r="G706" s="46"/>
      <c r="H706" s="46"/>
      <c r="I706" s="17"/>
      <c r="J706" s="46"/>
      <c r="K706" s="46"/>
      <c r="L706" s="46"/>
      <c r="M706" s="17"/>
      <c r="N706" s="46"/>
      <c r="O706" s="46"/>
      <c r="P706" s="46"/>
      <c r="Q706" s="46"/>
      <c r="R706" s="46"/>
      <c r="S706" s="46"/>
      <c r="T706" s="46"/>
      <c r="U706" s="46"/>
      <c r="V706" s="46"/>
      <c r="W706" s="46"/>
      <c r="X706" s="46"/>
      <c r="Y706" s="46"/>
      <c r="Z706" s="46"/>
      <c r="AA706" s="46"/>
      <c r="AB706" s="46"/>
      <c r="AC706" s="46"/>
      <c r="AD706" s="46"/>
      <c r="AE706" s="46"/>
      <c r="AF706" s="46"/>
      <c r="AG706" s="127"/>
      <c r="AH706" s="127"/>
      <c r="AI706" s="127"/>
      <c r="AJ706" s="127"/>
      <c r="AK706" s="46"/>
      <c r="AL706" s="46"/>
      <c r="AM706" s="46"/>
      <c r="AN706" s="46"/>
      <c r="AO706" s="46"/>
    </row>
    <row r="707">
      <c r="A707" s="17"/>
      <c r="B707" s="46"/>
      <c r="C707" s="46"/>
      <c r="D707" s="46"/>
      <c r="E707" s="17"/>
      <c r="F707" s="46"/>
      <c r="G707" s="46"/>
      <c r="H707" s="46"/>
      <c r="I707" s="17"/>
      <c r="J707" s="46"/>
      <c r="K707" s="46"/>
      <c r="L707" s="46"/>
      <c r="M707" s="17"/>
      <c r="N707" s="46"/>
      <c r="O707" s="46"/>
      <c r="P707" s="46"/>
      <c r="Q707" s="46"/>
      <c r="R707" s="46"/>
      <c r="S707" s="46"/>
      <c r="T707" s="46"/>
      <c r="U707" s="46"/>
      <c r="V707" s="46"/>
      <c r="W707" s="46"/>
      <c r="X707" s="46"/>
      <c r="Y707" s="46"/>
      <c r="Z707" s="46"/>
      <c r="AA707" s="46"/>
      <c r="AB707" s="46"/>
      <c r="AC707" s="46"/>
      <c r="AD707" s="46"/>
      <c r="AE707" s="46"/>
      <c r="AF707" s="46"/>
      <c r="AG707" s="127"/>
      <c r="AH707" s="127"/>
      <c r="AI707" s="127"/>
      <c r="AJ707" s="127"/>
      <c r="AK707" s="46"/>
      <c r="AL707" s="46"/>
      <c r="AM707" s="46"/>
      <c r="AN707" s="46"/>
      <c r="AO707" s="46"/>
    </row>
    <row r="708">
      <c r="A708" s="17"/>
      <c r="B708" s="46"/>
      <c r="C708" s="46"/>
      <c r="D708" s="46"/>
      <c r="E708" s="17"/>
      <c r="F708" s="46"/>
      <c r="G708" s="46"/>
      <c r="H708" s="46"/>
      <c r="I708" s="17"/>
      <c r="J708" s="46"/>
      <c r="K708" s="46"/>
      <c r="L708" s="46"/>
      <c r="M708" s="17"/>
      <c r="N708" s="46"/>
      <c r="O708" s="46"/>
      <c r="P708" s="46"/>
      <c r="Q708" s="46"/>
      <c r="R708" s="46"/>
      <c r="S708" s="46"/>
      <c r="T708" s="46"/>
      <c r="U708" s="46"/>
      <c r="V708" s="46"/>
      <c r="W708" s="46"/>
      <c r="X708" s="46"/>
      <c r="Y708" s="46"/>
      <c r="Z708" s="46"/>
      <c r="AA708" s="46"/>
      <c r="AB708" s="46"/>
      <c r="AC708" s="46"/>
      <c r="AD708" s="46"/>
      <c r="AE708" s="46"/>
      <c r="AF708" s="46"/>
      <c r="AG708" s="127"/>
      <c r="AH708" s="127"/>
      <c r="AI708" s="127"/>
      <c r="AJ708" s="127"/>
      <c r="AK708" s="46"/>
      <c r="AL708" s="46"/>
      <c r="AM708" s="46"/>
      <c r="AN708" s="46"/>
      <c r="AO708" s="46"/>
    </row>
    <row r="709">
      <c r="A709" s="17"/>
      <c r="B709" s="46"/>
      <c r="C709" s="46"/>
      <c r="D709" s="46"/>
      <c r="E709" s="17"/>
      <c r="F709" s="46"/>
      <c r="G709" s="46"/>
      <c r="H709" s="46"/>
      <c r="I709" s="17"/>
      <c r="J709" s="46"/>
      <c r="K709" s="46"/>
      <c r="L709" s="46"/>
      <c r="M709" s="17"/>
      <c r="N709" s="46"/>
      <c r="O709" s="46"/>
      <c r="P709" s="46"/>
      <c r="Q709" s="46"/>
      <c r="R709" s="46"/>
      <c r="S709" s="46"/>
      <c r="T709" s="46"/>
      <c r="U709" s="46"/>
      <c r="V709" s="46"/>
      <c r="W709" s="46"/>
      <c r="X709" s="46"/>
      <c r="Y709" s="46"/>
      <c r="Z709" s="46"/>
      <c r="AA709" s="46"/>
      <c r="AB709" s="46"/>
      <c r="AC709" s="46"/>
      <c r="AD709" s="46"/>
      <c r="AE709" s="46"/>
      <c r="AF709" s="46"/>
      <c r="AG709" s="127"/>
      <c r="AH709" s="127"/>
      <c r="AI709" s="127"/>
      <c r="AJ709" s="127"/>
      <c r="AK709" s="46"/>
      <c r="AL709" s="46"/>
      <c r="AM709" s="46"/>
      <c r="AN709" s="46"/>
      <c r="AO709" s="46"/>
    </row>
    <row r="710">
      <c r="A710" s="17"/>
      <c r="B710" s="46"/>
      <c r="C710" s="46"/>
      <c r="D710" s="46"/>
      <c r="E710" s="17"/>
      <c r="F710" s="46"/>
      <c r="G710" s="46"/>
      <c r="H710" s="46"/>
      <c r="I710" s="17"/>
      <c r="J710" s="46"/>
      <c r="K710" s="46"/>
      <c r="L710" s="46"/>
      <c r="M710" s="17"/>
      <c r="N710" s="46"/>
      <c r="O710" s="46"/>
      <c r="P710" s="46"/>
      <c r="Q710" s="46"/>
      <c r="R710" s="46"/>
      <c r="S710" s="46"/>
      <c r="T710" s="46"/>
      <c r="U710" s="46"/>
      <c r="V710" s="46"/>
      <c r="W710" s="46"/>
      <c r="X710" s="46"/>
      <c r="Y710" s="46"/>
      <c r="Z710" s="46"/>
      <c r="AA710" s="46"/>
      <c r="AB710" s="46"/>
      <c r="AC710" s="46"/>
      <c r="AD710" s="46"/>
      <c r="AE710" s="46"/>
      <c r="AF710" s="46"/>
      <c r="AG710" s="127"/>
      <c r="AH710" s="127"/>
      <c r="AI710" s="127"/>
      <c r="AJ710" s="127"/>
      <c r="AK710" s="46"/>
      <c r="AL710" s="46"/>
      <c r="AM710" s="46"/>
      <c r="AN710" s="46"/>
      <c r="AO710" s="46"/>
    </row>
    <row r="711">
      <c r="A711" s="17"/>
      <c r="B711" s="46"/>
      <c r="C711" s="46"/>
      <c r="D711" s="46"/>
      <c r="E711" s="17"/>
      <c r="F711" s="46"/>
      <c r="G711" s="46"/>
      <c r="H711" s="46"/>
      <c r="I711" s="17"/>
      <c r="J711" s="46"/>
      <c r="K711" s="46"/>
      <c r="L711" s="46"/>
      <c r="M711" s="17"/>
      <c r="N711" s="46"/>
      <c r="O711" s="46"/>
      <c r="P711" s="46"/>
      <c r="Q711" s="46"/>
      <c r="R711" s="46"/>
      <c r="S711" s="46"/>
      <c r="T711" s="46"/>
      <c r="U711" s="46"/>
      <c r="V711" s="46"/>
      <c r="W711" s="46"/>
      <c r="X711" s="46"/>
      <c r="Y711" s="46"/>
      <c r="Z711" s="46"/>
      <c r="AA711" s="46"/>
      <c r="AB711" s="46"/>
      <c r="AC711" s="46"/>
      <c r="AD711" s="46"/>
      <c r="AE711" s="46"/>
      <c r="AF711" s="46"/>
      <c r="AG711" s="127"/>
      <c r="AH711" s="127"/>
      <c r="AI711" s="127"/>
      <c r="AJ711" s="127"/>
      <c r="AK711" s="46"/>
      <c r="AL711" s="46"/>
      <c r="AM711" s="46"/>
      <c r="AN711" s="46"/>
      <c r="AO711" s="46"/>
    </row>
    <row r="712">
      <c r="A712" s="17"/>
      <c r="B712" s="46"/>
      <c r="C712" s="46"/>
      <c r="D712" s="46"/>
      <c r="E712" s="17"/>
      <c r="F712" s="46"/>
      <c r="G712" s="46"/>
      <c r="H712" s="46"/>
      <c r="I712" s="17"/>
      <c r="J712" s="46"/>
      <c r="K712" s="46"/>
      <c r="L712" s="46"/>
      <c r="M712" s="17"/>
      <c r="N712" s="46"/>
      <c r="O712" s="46"/>
      <c r="P712" s="46"/>
      <c r="Q712" s="46"/>
      <c r="R712" s="46"/>
      <c r="S712" s="46"/>
      <c r="T712" s="46"/>
      <c r="U712" s="46"/>
      <c r="V712" s="46"/>
      <c r="W712" s="46"/>
      <c r="X712" s="46"/>
      <c r="Y712" s="46"/>
      <c r="Z712" s="46"/>
      <c r="AA712" s="46"/>
      <c r="AB712" s="46"/>
      <c r="AC712" s="46"/>
      <c r="AD712" s="46"/>
      <c r="AE712" s="46"/>
      <c r="AF712" s="46"/>
      <c r="AG712" s="127"/>
      <c r="AH712" s="127"/>
      <c r="AI712" s="127"/>
      <c r="AJ712" s="127"/>
      <c r="AK712" s="46"/>
      <c r="AL712" s="46"/>
      <c r="AM712" s="46"/>
      <c r="AN712" s="46"/>
      <c r="AO712" s="46"/>
    </row>
    <row r="713">
      <c r="A713" s="17"/>
      <c r="B713" s="46"/>
      <c r="C713" s="46"/>
      <c r="D713" s="46"/>
      <c r="E713" s="17"/>
      <c r="F713" s="46"/>
      <c r="G713" s="46"/>
      <c r="H713" s="46"/>
      <c r="I713" s="17"/>
      <c r="J713" s="46"/>
      <c r="K713" s="46"/>
      <c r="L713" s="46"/>
      <c r="M713" s="17"/>
      <c r="N713" s="46"/>
      <c r="O713" s="46"/>
      <c r="P713" s="46"/>
      <c r="Q713" s="46"/>
      <c r="R713" s="46"/>
      <c r="S713" s="46"/>
      <c r="T713" s="46"/>
      <c r="U713" s="46"/>
      <c r="V713" s="46"/>
      <c r="W713" s="46"/>
      <c r="X713" s="46"/>
      <c r="Y713" s="46"/>
      <c r="Z713" s="46"/>
      <c r="AA713" s="46"/>
      <c r="AB713" s="46"/>
      <c r="AC713" s="46"/>
      <c r="AD713" s="46"/>
      <c r="AE713" s="46"/>
      <c r="AF713" s="46"/>
      <c r="AG713" s="127"/>
      <c r="AH713" s="127"/>
      <c r="AI713" s="127"/>
      <c r="AJ713" s="127"/>
      <c r="AK713" s="46"/>
      <c r="AL713" s="46"/>
      <c r="AM713" s="46"/>
      <c r="AN713" s="46"/>
      <c r="AO713" s="46"/>
    </row>
    <row r="714">
      <c r="A714" s="17"/>
      <c r="B714" s="46"/>
      <c r="C714" s="46"/>
      <c r="D714" s="46"/>
      <c r="E714" s="17"/>
      <c r="F714" s="46"/>
      <c r="G714" s="46"/>
      <c r="H714" s="46"/>
      <c r="I714" s="17"/>
      <c r="J714" s="46"/>
      <c r="K714" s="46"/>
      <c r="L714" s="46"/>
      <c r="M714" s="17"/>
      <c r="N714" s="46"/>
      <c r="O714" s="46"/>
      <c r="P714" s="46"/>
      <c r="Q714" s="46"/>
      <c r="R714" s="46"/>
      <c r="S714" s="46"/>
      <c r="T714" s="46"/>
      <c r="U714" s="46"/>
      <c r="V714" s="46"/>
      <c r="W714" s="46"/>
      <c r="X714" s="46"/>
      <c r="Y714" s="46"/>
      <c r="Z714" s="46"/>
      <c r="AA714" s="46"/>
      <c r="AB714" s="46"/>
      <c r="AC714" s="46"/>
      <c r="AD714" s="46"/>
      <c r="AE714" s="46"/>
      <c r="AF714" s="46"/>
      <c r="AG714" s="127"/>
      <c r="AH714" s="127"/>
      <c r="AI714" s="127"/>
      <c r="AJ714" s="127"/>
      <c r="AK714" s="46"/>
      <c r="AL714" s="46"/>
      <c r="AM714" s="46"/>
      <c r="AN714" s="46"/>
      <c r="AO714" s="46"/>
    </row>
    <row r="715">
      <c r="A715" s="17"/>
      <c r="B715" s="46"/>
      <c r="C715" s="46"/>
      <c r="D715" s="46"/>
      <c r="E715" s="17"/>
      <c r="F715" s="46"/>
      <c r="G715" s="46"/>
      <c r="H715" s="46"/>
      <c r="I715" s="17"/>
      <c r="J715" s="46"/>
      <c r="K715" s="46"/>
      <c r="L715" s="46"/>
      <c r="M715" s="17"/>
      <c r="N715" s="46"/>
      <c r="O715" s="46"/>
      <c r="P715" s="46"/>
      <c r="Q715" s="46"/>
      <c r="R715" s="46"/>
      <c r="S715" s="46"/>
      <c r="T715" s="46"/>
      <c r="U715" s="46"/>
      <c r="V715" s="46"/>
      <c r="W715" s="46"/>
      <c r="X715" s="46"/>
      <c r="Y715" s="46"/>
      <c r="Z715" s="46"/>
      <c r="AA715" s="46"/>
      <c r="AB715" s="46"/>
      <c r="AC715" s="46"/>
      <c r="AD715" s="46"/>
      <c r="AE715" s="46"/>
      <c r="AF715" s="46"/>
      <c r="AG715" s="127"/>
      <c r="AH715" s="127"/>
      <c r="AI715" s="127"/>
      <c r="AJ715" s="127"/>
      <c r="AK715" s="46"/>
      <c r="AL715" s="46"/>
      <c r="AM715" s="46"/>
      <c r="AN715" s="46"/>
      <c r="AO715" s="46"/>
    </row>
    <row r="716">
      <c r="A716" s="17"/>
      <c r="B716" s="46"/>
      <c r="C716" s="46"/>
      <c r="D716" s="46"/>
      <c r="E716" s="17"/>
      <c r="F716" s="46"/>
      <c r="G716" s="46"/>
      <c r="H716" s="46"/>
      <c r="I716" s="17"/>
      <c r="J716" s="46"/>
      <c r="K716" s="46"/>
      <c r="L716" s="46"/>
      <c r="M716" s="17"/>
      <c r="N716" s="46"/>
      <c r="O716" s="46"/>
      <c r="P716" s="46"/>
      <c r="Q716" s="46"/>
      <c r="R716" s="46"/>
      <c r="S716" s="46"/>
      <c r="T716" s="46"/>
      <c r="U716" s="46"/>
      <c r="V716" s="46"/>
      <c r="W716" s="46"/>
      <c r="X716" s="46"/>
      <c r="Y716" s="46"/>
      <c r="Z716" s="46"/>
      <c r="AA716" s="46"/>
      <c r="AB716" s="46"/>
      <c r="AC716" s="46"/>
      <c r="AD716" s="46"/>
      <c r="AE716" s="46"/>
      <c r="AF716" s="46"/>
      <c r="AG716" s="127"/>
      <c r="AH716" s="127"/>
      <c r="AI716" s="127"/>
      <c r="AJ716" s="127"/>
      <c r="AK716" s="46"/>
      <c r="AL716" s="46"/>
      <c r="AM716" s="46"/>
      <c r="AN716" s="46"/>
      <c r="AO716" s="46"/>
    </row>
    <row r="717">
      <c r="A717" s="17"/>
      <c r="B717" s="46"/>
      <c r="C717" s="46"/>
      <c r="D717" s="46"/>
      <c r="E717" s="17"/>
      <c r="F717" s="46"/>
      <c r="G717" s="46"/>
      <c r="H717" s="46"/>
      <c r="I717" s="17"/>
      <c r="J717" s="46"/>
      <c r="K717" s="46"/>
      <c r="L717" s="46"/>
      <c r="M717" s="17"/>
      <c r="N717" s="46"/>
      <c r="O717" s="46"/>
      <c r="P717" s="46"/>
      <c r="Q717" s="46"/>
      <c r="R717" s="46"/>
      <c r="S717" s="46"/>
      <c r="T717" s="46"/>
      <c r="U717" s="46"/>
      <c r="V717" s="46"/>
      <c r="W717" s="46"/>
      <c r="X717" s="46"/>
      <c r="Y717" s="46"/>
      <c r="Z717" s="46"/>
      <c r="AA717" s="46"/>
      <c r="AB717" s="46"/>
      <c r="AC717" s="46"/>
      <c r="AD717" s="46"/>
      <c r="AE717" s="46"/>
      <c r="AF717" s="46"/>
      <c r="AG717" s="127"/>
      <c r="AH717" s="127"/>
      <c r="AI717" s="127"/>
      <c r="AJ717" s="127"/>
      <c r="AK717" s="46"/>
      <c r="AL717" s="46"/>
      <c r="AM717" s="46"/>
      <c r="AN717" s="46"/>
      <c r="AO717" s="46"/>
    </row>
    <row r="718">
      <c r="A718" s="17"/>
      <c r="B718" s="46"/>
      <c r="C718" s="46"/>
      <c r="D718" s="46"/>
      <c r="E718" s="17"/>
      <c r="F718" s="46"/>
      <c r="G718" s="46"/>
      <c r="H718" s="46"/>
      <c r="I718" s="17"/>
      <c r="J718" s="46"/>
      <c r="K718" s="46"/>
      <c r="L718" s="46"/>
      <c r="M718" s="17"/>
      <c r="N718" s="46"/>
      <c r="O718" s="46"/>
      <c r="P718" s="46"/>
      <c r="Q718" s="46"/>
      <c r="R718" s="46"/>
      <c r="S718" s="46"/>
      <c r="T718" s="46"/>
      <c r="U718" s="46"/>
      <c r="V718" s="46"/>
      <c r="W718" s="46"/>
      <c r="X718" s="46"/>
      <c r="Y718" s="46"/>
      <c r="Z718" s="46"/>
      <c r="AA718" s="46"/>
      <c r="AB718" s="46"/>
      <c r="AC718" s="46"/>
      <c r="AD718" s="46"/>
      <c r="AE718" s="46"/>
      <c r="AF718" s="46"/>
      <c r="AG718" s="127"/>
      <c r="AH718" s="127"/>
      <c r="AI718" s="127"/>
      <c r="AJ718" s="127"/>
      <c r="AK718" s="46"/>
      <c r="AL718" s="46"/>
      <c r="AM718" s="46"/>
      <c r="AN718" s="46"/>
      <c r="AO718" s="46"/>
    </row>
    <row r="719">
      <c r="A719" s="17"/>
      <c r="B719" s="46"/>
      <c r="C719" s="46"/>
      <c r="D719" s="46"/>
      <c r="E719" s="17"/>
      <c r="F719" s="46"/>
      <c r="G719" s="46"/>
      <c r="H719" s="46"/>
      <c r="I719" s="17"/>
      <c r="J719" s="46"/>
      <c r="K719" s="46"/>
      <c r="L719" s="46"/>
      <c r="M719" s="17"/>
      <c r="N719" s="46"/>
      <c r="O719" s="46"/>
      <c r="P719" s="46"/>
      <c r="Q719" s="46"/>
      <c r="R719" s="46"/>
      <c r="S719" s="46"/>
      <c r="T719" s="46"/>
      <c r="U719" s="46"/>
      <c r="V719" s="46"/>
      <c r="W719" s="46"/>
      <c r="X719" s="46"/>
      <c r="Y719" s="46"/>
      <c r="Z719" s="46"/>
      <c r="AA719" s="46"/>
      <c r="AB719" s="46"/>
      <c r="AC719" s="46"/>
      <c r="AD719" s="46"/>
      <c r="AE719" s="46"/>
      <c r="AF719" s="46"/>
      <c r="AG719" s="127"/>
      <c r="AH719" s="127"/>
      <c r="AI719" s="127"/>
      <c r="AJ719" s="127"/>
      <c r="AK719" s="46"/>
      <c r="AL719" s="46"/>
      <c r="AM719" s="46"/>
      <c r="AN719" s="46"/>
      <c r="AO719" s="46"/>
    </row>
    <row r="720">
      <c r="A720" s="17"/>
      <c r="B720" s="46"/>
      <c r="C720" s="46"/>
      <c r="D720" s="46"/>
      <c r="E720" s="17"/>
      <c r="F720" s="46"/>
      <c r="G720" s="46"/>
      <c r="H720" s="46"/>
      <c r="I720" s="17"/>
      <c r="J720" s="46"/>
      <c r="K720" s="46"/>
      <c r="L720" s="46"/>
      <c r="M720" s="17"/>
      <c r="N720" s="46"/>
      <c r="O720" s="46"/>
      <c r="P720" s="46"/>
      <c r="Q720" s="46"/>
      <c r="R720" s="46"/>
      <c r="S720" s="46"/>
      <c r="T720" s="46"/>
      <c r="U720" s="46"/>
      <c r="V720" s="46"/>
      <c r="W720" s="46"/>
      <c r="X720" s="46"/>
      <c r="Y720" s="46"/>
      <c r="Z720" s="46"/>
      <c r="AA720" s="46"/>
      <c r="AB720" s="46"/>
      <c r="AC720" s="46"/>
      <c r="AD720" s="46"/>
      <c r="AE720" s="46"/>
      <c r="AF720" s="46"/>
      <c r="AG720" s="127"/>
      <c r="AH720" s="127"/>
      <c r="AI720" s="127"/>
      <c r="AJ720" s="127"/>
      <c r="AK720" s="46"/>
      <c r="AL720" s="46"/>
      <c r="AM720" s="46"/>
      <c r="AN720" s="46"/>
      <c r="AO720" s="46"/>
    </row>
    <row r="721">
      <c r="A721" s="17"/>
      <c r="B721" s="46"/>
      <c r="C721" s="46"/>
      <c r="D721" s="46"/>
      <c r="E721" s="17"/>
      <c r="F721" s="46"/>
      <c r="G721" s="46"/>
      <c r="H721" s="46"/>
      <c r="I721" s="17"/>
      <c r="J721" s="46"/>
      <c r="K721" s="46"/>
      <c r="L721" s="46"/>
      <c r="M721" s="17"/>
      <c r="N721" s="46"/>
      <c r="O721" s="46"/>
      <c r="P721" s="46"/>
      <c r="Q721" s="46"/>
      <c r="R721" s="46"/>
      <c r="S721" s="46"/>
      <c r="T721" s="46"/>
      <c r="U721" s="46"/>
      <c r="V721" s="46"/>
      <c r="W721" s="46"/>
      <c r="X721" s="46"/>
      <c r="Y721" s="46"/>
      <c r="Z721" s="46"/>
      <c r="AA721" s="46"/>
      <c r="AB721" s="46"/>
      <c r="AC721" s="46"/>
      <c r="AD721" s="46"/>
      <c r="AE721" s="46"/>
      <c r="AF721" s="46"/>
      <c r="AG721" s="127"/>
      <c r="AH721" s="127"/>
      <c r="AI721" s="127"/>
      <c r="AJ721" s="127"/>
      <c r="AK721" s="46"/>
      <c r="AL721" s="46"/>
      <c r="AM721" s="46"/>
      <c r="AN721" s="46"/>
      <c r="AO721" s="46"/>
    </row>
    <row r="722">
      <c r="A722" s="17"/>
      <c r="B722" s="46"/>
      <c r="C722" s="46"/>
      <c r="D722" s="46"/>
      <c r="E722" s="17"/>
      <c r="F722" s="46"/>
      <c r="G722" s="46"/>
      <c r="H722" s="46"/>
      <c r="I722" s="17"/>
      <c r="J722" s="46"/>
      <c r="K722" s="46"/>
      <c r="L722" s="46"/>
      <c r="M722" s="17"/>
      <c r="N722" s="46"/>
      <c r="O722" s="46"/>
      <c r="P722" s="46"/>
      <c r="Q722" s="46"/>
      <c r="R722" s="46"/>
      <c r="S722" s="46"/>
      <c r="T722" s="46"/>
      <c r="U722" s="46"/>
      <c r="V722" s="46"/>
      <c r="W722" s="46"/>
      <c r="X722" s="46"/>
      <c r="Y722" s="46"/>
      <c r="Z722" s="46"/>
      <c r="AA722" s="46"/>
      <c r="AB722" s="46"/>
      <c r="AC722" s="46"/>
      <c r="AD722" s="46"/>
      <c r="AE722" s="46"/>
      <c r="AF722" s="46"/>
      <c r="AG722" s="127"/>
      <c r="AH722" s="127"/>
      <c r="AI722" s="127"/>
      <c r="AJ722" s="127"/>
      <c r="AK722" s="46"/>
      <c r="AL722" s="46"/>
      <c r="AM722" s="46"/>
      <c r="AN722" s="46"/>
      <c r="AO722" s="46"/>
    </row>
    <row r="723">
      <c r="A723" s="17"/>
      <c r="B723" s="46"/>
      <c r="C723" s="46"/>
      <c r="D723" s="46"/>
      <c r="E723" s="17"/>
      <c r="F723" s="46"/>
      <c r="G723" s="46"/>
      <c r="H723" s="46"/>
      <c r="I723" s="17"/>
      <c r="J723" s="46"/>
      <c r="K723" s="46"/>
      <c r="L723" s="46"/>
      <c r="M723" s="17"/>
      <c r="N723" s="46"/>
      <c r="O723" s="46"/>
      <c r="P723" s="46"/>
      <c r="Q723" s="46"/>
      <c r="R723" s="46"/>
      <c r="S723" s="46"/>
      <c r="T723" s="46"/>
      <c r="U723" s="46"/>
      <c r="V723" s="46"/>
      <c r="W723" s="46"/>
      <c r="X723" s="46"/>
      <c r="Y723" s="46"/>
      <c r="Z723" s="46"/>
      <c r="AA723" s="46"/>
      <c r="AB723" s="46"/>
      <c r="AC723" s="46"/>
      <c r="AD723" s="46"/>
      <c r="AE723" s="46"/>
      <c r="AF723" s="46"/>
      <c r="AG723" s="127"/>
      <c r="AH723" s="127"/>
      <c r="AI723" s="127"/>
      <c r="AJ723" s="127"/>
      <c r="AK723" s="46"/>
      <c r="AL723" s="46"/>
      <c r="AM723" s="46"/>
      <c r="AN723" s="46"/>
      <c r="AO723" s="46"/>
    </row>
    <row r="724">
      <c r="A724" s="17"/>
      <c r="B724" s="46"/>
      <c r="C724" s="46"/>
      <c r="D724" s="46"/>
      <c r="E724" s="17"/>
      <c r="F724" s="46"/>
      <c r="G724" s="46"/>
      <c r="H724" s="46"/>
      <c r="I724" s="17"/>
      <c r="J724" s="46"/>
      <c r="K724" s="46"/>
      <c r="L724" s="46"/>
      <c r="M724" s="17"/>
      <c r="N724" s="46"/>
      <c r="O724" s="46"/>
      <c r="P724" s="46"/>
      <c r="Q724" s="46"/>
      <c r="R724" s="46"/>
      <c r="S724" s="46"/>
      <c r="T724" s="46"/>
      <c r="U724" s="46"/>
      <c r="V724" s="46"/>
      <c r="W724" s="46"/>
      <c r="X724" s="46"/>
      <c r="Y724" s="46"/>
      <c r="Z724" s="46"/>
      <c r="AA724" s="46"/>
      <c r="AB724" s="46"/>
      <c r="AC724" s="46"/>
      <c r="AD724" s="46"/>
      <c r="AE724" s="46"/>
      <c r="AF724" s="46"/>
      <c r="AG724" s="127"/>
      <c r="AH724" s="127"/>
      <c r="AI724" s="127"/>
      <c r="AJ724" s="127"/>
      <c r="AK724" s="46"/>
      <c r="AL724" s="46"/>
      <c r="AM724" s="46"/>
      <c r="AN724" s="46"/>
      <c r="AO724" s="46"/>
    </row>
    <row r="725">
      <c r="A725" s="17"/>
      <c r="B725" s="46"/>
      <c r="C725" s="46"/>
      <c r="D725" s="46"/>
      <c r="E725" s="17"/>
      <c r="F725" s="46"/>
      <c r="G725" s="46"/>
      <c r="H725" s="46"/>
      <c r="I725" s="17"/>
      <c r="J725" s="46"/>
      <c r="K725" s="46"/>
      <c r="L725" s="46"/>
      <c r="M725" s="17"/>
      <c r="N725" s="46"/>
      <c r="O725" s="46"/>
      <c r="P725" s="46"/>
      <c r="Q725" s="46"/>
      <c r="R725" s="46"/>
      <c r="S725" s="46"/>
      <c r="T725" s="46"/>
      <c r="U725" s="46"/>
      <c r="V725" s="46"/>
      <c r="W725" s="46"/>
      <c r="X725" s="46"/>
      <c r="Y725" s="46"/>
      <c r="Z725" s="46"/>
      <c r="AA725" s="46"/>
      <c r="AB725" s="46"/>
      <c r="AC725" s="46"/>
      <c r="AD725" s="46"/>
      <c r="AE725" s="46"/>
      <c r="AF725" s="46"/>
      <c r="AG725" s="127"/>
      <c r="AH725" s="127"/>
      <c r="AI725" s="127"/>
      <c r="AJ725" s="127"/>
      <c r="AK725" s="46"/>
      <c r="AL725" s="46"/>
      <c r="AM725" s="46"/>
      <c r="AN725" s="46"/>
      <c r="AO725" s="46"/>
    </row>
    <row r="726">
      <c r="A726" s="17"/>
      <c r="B726" s="46"/>
      <c r="C726" s="46"/>
      <c r="D726" s="46"/>
      <c r="E726" s="17"/>
      <c r="F726" s="46"/>
      <c r="G726" s="46"/>
      <c r="H726" s="46"/>
      <c r="I726" s="17"/>
      <c r="J726" s="46"/>
      <c r="K726" s="46"/>
      <c r="L726" s="46"/>
      <c r="M726" s="17"/>
      <c r="N726" s="46"/>
      <c r="O726" s="46"/>
      <c r="P726" s="46"/>
      <c r="Q726" s="46"/>
      <c r="R726" s="46"/>
      <c r="S726" s="46"/>
      <c r="T726" s="46"/>
      <c r="U726" s="46"/>
      <c r="V726" s="46"/>
      <c r="W726" s="46"/>
      <c r="X726" s="46"/>
      <c r="Y726" s="46"/>
      <c r="Z726" s="46"/>
      <c r="AA726" s="46"/>
      <c r="AB726" s="46"/>
      <c r="AC726" s="46"/>
      <c r="AD726" s="46"/>
      <c r="AE726" s="46"/>
      <c r="AF726" s="46"/>
      <c r="AG726" s="127"/>
      <c r="AH726" s="127"/>
      <c r="AI726" s="127"/>
      <c r="AJ726" s="127"/>
      <c r="AK726" s="46"/>
      <c r="AL726" s="46"/>
      <c r="AM726" s="46"/>
      <c r="AN726" s="46"/>
      <c r="AO726" s="46"/>
    </row>
    <row r="727">
      <c r="A727" s="17"/>
      <c r="B727" s="46"/>
      <c r="C727" s="46"/>
      <c r="D727" s="46"/>
      <c r="E727" s="17"/>
      <c r="F727" s="46"/>
      <c r="G727" s="46"/>
      <c r="H727" s="46"/>
      <c r="I727" s="17"/>
      <c r="J727" s="46"/>
      <c r="K727" s="46"/>
      <c r="L727" s="46"/>
      <c r="M727" s="17"/>
      <c r="N727" s="46"/>
      <c r="O727" s="46"/>
      <c r="P727" s="46"/>
      <c r="Q727" s="46"/>
      <c r="R727" s="46"/>
      <c r="S727" s="46"/>
      <c r="T727" s="46"/>
      <c r="U727" s="46"/>
      <c r="V727" s="46"/>
      <c r="W727" s="46"/>
      <c r="X727" s="46"/>
      <c r="Y727" s="46"/>
      <c r="Z727" s="46"/>
      <c r="AA727" s="46"/>
      <c r="AB727" s="46"/>
      <c r="AC727" s="46"/>
      <c r="AD727" s="46"/>
      <c r="AE727" s="46"/>
      <c r="AF727" s="46"/>
      <c r="AG727" s="127"/>
      <c r="AH727" s="127"/>
      <c r="AI727" s="127"/>
      <c r="AJ727" s="127"/>
      <c r="AK727" s="46"/>
      <c r="AL727" s="46"/>
      <c r="AM727" s="46"/>
      <c r="AN727" s="46"/>
      <c r="AO727" s="46"/>
    </row>
    <row r="728">
      <c r="A728" s="17"/>
      <c r="B728" s="46"/>
      <c r="C728" s="46"/>
      <c r="D728" s="46"/>
      <c r="E728" s="17"/>
      <c r="F728" s="46"/>
      <c r="G728" s="46"/>
      <c r="H728" s="46"/>
      <c r="I728" s="17"/>
      <c r="J728" s="46"/>
      <c r="K728" s="46"/>
      <c r="L728" s="46"/>
      <c r="M728" s="17"/>
      <c r="N728" s="46"/>
      <c r="O728" s="46"/>
      <c r="P728" s="46"/>
      <c r="Q728" s="46"/>
      <c r="R728" s="46"/>
      <c r="S728" s="46"/>
      <c r="T728" s="46"/>
      <c r="U728" s="46"/>
      <c r="V728" s="46"/>
      <c r="W728" s="46"/>
      <c r="X728" s="46"/>
      <c r="Y728" s="46"/>
      <c r="Z728" s="46"/>
      <c r="AA728" s="46"/>
      <c r="AB728" s="46"/>
      <c r="AC728" s="46"/>
      <c r="AD728" s="46"/>
      <c r="AE728" s="46"/>
      <c r="AF728" s="46"/>
      <c r="AG728" s="127"/>
      <c r="AH728" s="127"/>
      <c r="AI728" s="127"/>
      <c r="AJ728" s="127"/>
      <c r="AK728" s="46"/>
      <c r="AL728" s="46"/>
      <c r="AM728" s="46"/>
      <c r="AN728" s="46"/>
      <c r="AO728" s="46"/>
    </row>
    <row r="729">
      <c r="A729" s="17"/>
      <c r="B729" s="46"/>
      <c r="C729" s="46"/>
      <c r="D729" s="46"/>
      <c r="E729" s="17"/>
      <c r="F729" s="46"/>
      <c r="G729" s="46"/>
      <c r="H729" s="46"/>
      <c r="I729" s="17"/>
      <c r="J729" s="46"/>
      <c r="K729" s="46"/>
      <c r="L729" s="46"/>
      <c r="M729" s="17"/>
      <c r="N729" s="46"/>
      <c r="O729" s="46"/>
      <c r="P729" s="46"/>
      <c r="Q729" s="46"/>
      <c r="R729" s="46"/>
      <c r="S729" s="46"/>
      <c r="T729" s="46"/>
      <c r="U729" s="46"/>
      <c r="V729" s="46"/>
      <c r="W729" s="46"/>
      <c r="X729" s="46"/>
      <c r="Y729" s="46"/>
      <c r="Z729" s="46"/>
      <c r="AA729" s="46"/>
      <c r="AB729" s="46"/>
      <c r="AC729" s="46"/>
      <c r="AD729" s="46"/>
      <c r="AE729" s="46"/>
      <c r="AF729" s="46"/>
      <c r="AG729" s="127"/>
      <c r="AH729" s="127"/>
      <c r="AI729" s="127"/>
      <c r="AJ729" s="127"/>
      <c r="AK729" s="46"/>
      <c r="AL729" s="46"/>
      <c r="AM729" s="46"/>
      <c r="AN729" s="46"/>
      <c r="AO729" s="46"/>
    </row>
    <row r="730">
      <c r="A730" s="17"/>
      <c r="B730" s="46"/>
      <c r="C730" s="46"/>
      <c r="D730" s="46"/>
      <c r="E730" s="17"/>
      <c r="F730" s="46"/>
      <c r="G730" s="46"/>
      <c r="H730" s="46"/>
      <c r="I730" s="17"/>
      <c r="J730" s="46"/>
      <c r="K730" s="46"/>
      <c r="L730" s="46"/>
      <c r="M730" s="17"/>
      <c r="N730" s="46"/>
      <c r="O730" s="46"/>
      <c r="P730" s="46"/>
      <c r="Q730" s="46"/>
      <c r="R730" s="46"/>
      <c r="S730" s="46"/>
      <c r="T730" s="46"/>
      <c r="U730" s="46"/>
      <c r="V730" s="46"/>
      <c r="W730" s="46"/>
      <c r="X730" s="46"/>
      <c r="Y730" s="46"/>
      <c r="Z730" s="46"/>
      <c r="AA730" s="46"/>
      <c r="AB730" s="46"/>
      <c r="AC730" s="46"/>
      <c r="AD730" s="46"/>
      <c r="AE730" s="46"/>
      <c r="AF730" s="46"/>
      <c r="AG730" s="127"/>
      <c r="AH730" s="127"/>
      <c r="AI730" s="127"/>
      <c r="AJ730" s="127"/>
      <c r="AK730" s="46"/>
      <c r="AL730" s="46"/>
      <c r="AM730" s="46"/>
      <c r="AN730" s="46"/>
      <c r="AO730" s="46"/>
    </row>
    <row r="731">
      <c r="A731" s="17"/>
      <c r="B731" s="46"/>
      <c r="C731" s="46"/>
      <c r="D731" s="46"/>
      <c r="E731" s="17"/>
      <c r="F731" s="46"/>
      <c r="G731" s="46"/>
      <c r="H731" s="46"/>
      <c r="I731" s="17"/>
      <c r="J731" s="46"/>
      <c r="K731" s="46"/>
      <c r="L731" s="46"/>
      <c r="M731" s="17"/>
      <c r="N731" s="46"/>
      <c r="O731" s="46"/>
      <c r="P731" s="46"/>
      <c r="Q731" s="46"/>
      <c r="R731" s="46"/>
      <c r="S731" s="46"/>
      <c r="T731" s="46"/>
      <c r="U731" s="46"/>
      <c r="V731" s="46"/>
      <c r="W731" s="46"/>
      <c r="X731" s="46"/>
      <c r="Y731" s="46"/>
      <c r="Z731" s="46"/>
      <c r="AA731" s="46"/>
      <c r="AB731" s="46"/>
      <c r="AC731" s="46"/>
      <c r="AD731" s="46"/>
      <c r="AE731" s="46"/>
      <c r="AF731" s="46"/>
      <c r="AG731" s="127"/>
      <c r="AH731" s="127"/>
      <c r="AI731" s="127"/>
      <c r="AJ731" s="127"/>
      <c r="AK731" s="46"/>
      <c r="AL731" s="46"/>
      <c r="AM731" s="46"/>
      <c r="AN731" s="46"/>
      <c r="AO731" s="46"/>
    </row>
    <row r="732">
      <c r="A732" s="17"/>
      <c r="B732" s="46"/>
      <c r="C732" s="46"/>
      <c r="D732" s="46"/>
      <c r="E732" s="17"/>
      <c r="F732" s="46"/>
      <c r="G732" s="46"/>
      <c r="H732" s="46"/>
      <c r="I732" s="17"/>
      <c r="J732" s="46"/>
      <c r="K732" s="46"/>
      <c r="L732" s="46"/>
      <c r="M732" s="17"/>
      <c r="N732" s="46"/>
      <c r="O732" s="46"/>
      <c r="P732" s="46"/>
      <c r="Q732" s="46"/>
      <c r="R732" s="46"/>
      <c r="S732" s="46"/>
      <c r="T732" s="46"/>
      <c r="U732" s="46"/>
      <c r="V732" s="46"/>
      <c r="W732" s="46"/>
      <c r="X732" s="46"/>
      <c r="Y732" s="46"/>
      <c r="Z732" s="46"/>
      <c r="AA732" s="46"/>
      <c r="AB732" s="46"/>
      <c r="AC732" s="46"/>
      <c r="AD732" s="46"/>
      <c r="AE732" s="46"/>
      <c r="AF732" s="46"/>
      <c r="AG732" s="127"/>
      <c r="AH732" s="127"/>
      <c r="AI732" s="127"/>
      <c r="AJ732" s="127"/>
      <c r="AK732" s="46"/>
      <c r="AL732" s="46"/>
      <c r="AM732" s="46"/>
      <c r="AN732" s="46"/>
      <c r="AO732" s="46"/>
    </row>
    <row r="733">
      <c r="A733" s="17"/>
      <c r="B733" s="46"/>
      <c r="C733" s="46"/>
      <c r="D733" s="46"/>
      <c r="E733" s="17"/>
      <c r="F733" s="46"/>
      <c r="G733" s="46"/>
      <c r="H733" s="46"/>
      <c r="I733" s="17"/>
      <c r="J733" s="46"/>
      <c r="K733" s="46"/>
      <c r="L733" s="46"/>
      <c r="M733" s="17"/>
      <c r="N733" s="46"/>
      <c r="O733" s="46"/>
      <c r="P733" s="46"/>
      <c r="Q733" s="46"/>
      <c r="R733" s="46"/>
      <c r="S733" s="46"/>
      <c r="T733" s="46"/>
      <c r="U733" s="46"/>
      <c r="V733" s="46"/>
      <c r="W733" s="46"/>
      <c r="X733" s="46"/>
      <c r="Y733" s="46"/>
      <c r="Z733" s="46"/>
      <c r="AA733" s="46"/>
      <c r="AB733" s="46"/>
      <c r="AC733" s="46"/>
      <c r="AD733" s="46"/>
      <c r="AE733" s="46"/>
      <c r="AF733" s="46"/>
      <c r="AG733" s="127"/>
      <c r="AH733" s="127"/>
      <c r="AI733" s="127"/>
      <c r="AJ733" s="127"/>
      <c r="AK733" s="46"/>
      <c r="AL733" s="46"/>
      <c r="AM733" s="46"/>
      <c r="AN733" s="46"/>
      <c r="AO733" s="46"/>
    </row>
    <row r="734">
      <c r="A734" s="17"/>
      <c r="B734" s="46"/>
      <c r="C734" s="46"/>
      <c r="D734" s="46"/>
      <c r="E734" s="17"/>
      <c r="F734" s="46"/>
      <c r="G734" s="46"/>
      <c r="H734" s="46"/>
      <c r="I734" s="17"/>
      <c r="J734" s="46"/>
      <c r="K734" s="46"/>
      <c r="L734" s="46"/>
      <c r="M734" s="17"/>
      <c r="N734" s="46"/>
      <c r="O734" s="46"/>
      <c r="P734" s="46"/>
      <c r="Q734" s="46"/>
      <c r="R734" s="46"/>
      <c r="S734" s="46"/>
      <c r="T734" s="46"/>
      <c r="U734" s="46"/>
      <c r="V734" s="46"/>
      <c r="W734" s="46"/>
      <c r="X734" s="46"/>
      <c r="Y734" s="46"/>
      <c r="Z734" s="46"/>
      <c r="AA734" s="46"/>
      <c r="AB734" s="46"/>
      <c r="AC734" s="46"/>
      <c r="AD734" s="46"/>
      <c r="AE734" s="46"/>
      <c r="AF734" s="46"/>
      <c r="AG734" s="127"/>
      <c r="AH734" s="127"/>
      <c r="AI734" s="127"/>
      <c r="AJ734" s="127"/>
      <c r="AK734" s="46"/>
      <c r="AL734" s="46"/>
      <c r="AM734" s="46"/>
      <c r="AN734" s="46"/>
      <c r="AO734" s="46"/>
    </row>
    <row r="735">
      <c r="A735" s="17"/>
      <c r="B735" s="46"/>
      <c r="C735" s="46"/>
      <c r="D735" s="46"/>
      <c r="E735" s="17"/>
      <c r="F735" s="46"/>
      <c r="G735" s="46"/>
      <c r="H735" s="46"/>
      <c r="I735" s="17"/>
      <c r="J735" s="46"/>
      <c r="K735" s="46"/>
      <c r="L735" s="46"/>
      <c r="M735" s="17"/>
      <c r="N735" s="46"/>
      <c r="O735" s="46"/>
      <c r="P735" s="46"/>
      <c r="Q735" s="46"/>
      <c r="R735" s="46"/>
      <c r="S735" s="46"/>
      <c r="T735" s="46"/>
      <c r="U735" s="46"/>
      <c r="V735" s="46"/>
      <c r="W735" s="46"/>
      <c r="X735" s="46"/>
      <c r="Y735" s="46"/>
      <c r="Z735" s="46"/>
      <c r="AA735" s="46"/>
      <c r="AB735" s="46"/>
      <c r="AC735" s="46"/>
      <c r="AD735" s="46"/>
      <c r="AE735" s="46"/>
      <c r="AF735" s="46"/>
      <c r="AG735" s="127"/>
      <c r="AH735" s="127"/>
      <c r="AI735" s="127"/>
      <c r="AJ735" s="127"/>
      <c r="AK735" s="46"/>
      <c r="AL735" s="46"/>
      <c r="AM735" s="46"/>
      <c r="AN735" s="46"/>
      <c r="AO735" s="46"/>
    </row>
    <row r="736">
      <c r="A736" s="17"/>
      <c r="B736" s="46"/>
      <c r="C736" s="46"/>
      <c r="D736" s="46"/>
      <c r="E736" s="17"/>
      <c r="F736" s="46"/>
      <c r="G736" s="46"/>
      <c r="H736" s="46"/>
      <c r="I736" s="17"/>
      <c r="J736" s="46"/>
      <c r="K736" s="46"/>
      <c r="L736" s="46"/>
      <c r="M736" s="17"/>
      <c r="N736" s="46"/>
      <c r="O736" s="46"/>
      <c r="P736" s="46"/>
      <c r="Q736" s="46"/>
      <c r="R736" s="46"/>
      <c r="S736" s="46"/>
      <c r="T736" s="46"/>
      <c r="U736" s="46"/>
      <c r="V736" s="46"/>
      <c r="W736" s="46"/>
      <c r="X736" s="46"/>
      <c r="Y736" s="46"/>
      <c r="Z736" s="46"/>
      <c r="AA736" s="46"/>
      <c r="AB736" s="46"/>
      <c r="AC736" s="46"/>
      <c r="AD736" s="46"/>
      <c r="AE736" s="46"/>
      <c r="AF736" s="46"/>
      <c r="AG736" s="127"/>
      <c r="AH736" s="127"/>
      <c r="AI736" s="127"/>
      <c r="AJ736" s="127"/>
      <c r="AK736" s="46"/>
      <c r="AL736" s="46"/>
      <c r="AM736" s="46"/>
      <c r="AN736" s="46"/>
      <c r="AO736" s="46"/>
    </row>
    <row r="737">
      <c r="A737" s="17"/>
      <c r="B737" s="46"/>
      <c r="C737" s="46"/>
      <c r="D737" s="46"/>
      <c r="E737" s="17"/>
      <c r="F737" s="46"/>
      <c r="G737" s="46"/>
      <c r="H737" s="46"/>
      <c r="I737" s="17"/>
      <c r="J737" s="46"/>
      <c r="K737" s="46"/>
      <c r="L737" s="46"/>
      <c r="M737" s="17"/>
      <c r="N737" s="46"/>
      <c r="O737" s="46"/>
      <c r="P737" s="46"/>
      <c r="Q737" s="46"/>
      <c r="R737" s="46"/>
      <c r="S737" s="46"/>
      <c r="T737" s="46"/>
      <c r="U737" s="46"/>
      <c r="V737" s="46"/>
      <c r="W737" s="46"/>
      <c r="X737" s="46"/>
      <c r="Y737" s="46"/>
      <c r="Z737" s="46"/>
      <c r="AA737" s="46"/>
      <c r="AB737" s="46"/>
      <c r="AC737" s="46"/>
      <c r="AD737" s="46"/>
      <c r="AE737" s="46"/>
      <c r="AF737" s="46"/>
      <c r="AG737" s="127"/>
      <c r="AH737" s="127"/>
      <c r="AI737" s="127"/>
      <c r="AJ737" s="127"/>
      <c r="AK737" s="46"/>
      <c r="AL737" s="46"/>
      <c r="AM737" s="46"/>
      <c r="AN737" s="46"/>
      <c r="AO737" s="46"/>
    </row>
    <row r="738">
      <c r="A738" s="17"/>
      <c r="B738" s="46"/>
      <c r="C738" s="46"/>
      <c r="D738" s="46"/>
      <c r="E738" s="17"/>
      <c r="F738" s="46"/>
      <c r="G738" s="46"/>
      <c r="H738" s="46"/>
      <c r="I738" s="17"/>
      <c r="J738" s="46"/>
      <c r="K738" s="46"/>
      <c r="L738" s="46"/>
      <c r="M738" s="17"/>
      <c r="N738" s="46"/>
      <c r="O738" s="46"/>
      <c r="P738" s="46"/>
      <c r="Q738" s="46"/>
      <c r="R738" s="46"/>
      <c r="S738" s="46"/>
      <c r="T738" s="46"/>
      <c r="U738" s="46"/>
      <c r="V738" s="46"/>
      <c r="W738" s="46"/>
      <c r="X738" s="46"/>
      <c r="Y738" s="46"/>
      <c r="Z738" s="46"/>
      <c r="AA738" s="46"/>
      <c r="AB738" s="46"/>
      <c r="AC738" s="46"/>
      <c r="AD738" s="46"/>
      <c r="AE738" s="46"/>
      <c r="AF738" s="46"/>
      <c r="AG738" s="127"/>
      <c r="AH738" s="127"/>
      <c r="AI738" s="127"/>
      <c r="AJ738" s="127"/>
      <c r="AK738" s="46"/>
      <c r="AL738" s="46"/>
      <c r="AM738" s="46"/>
      <c r="AN738" s="46"/>
      <c r="AO738" s="46"/>
    </row>
    <row r="739">
      <c r="A739" s="17"/>
      <c r="B739" s="46"/>
      <c r="C739" s="46"/>
      <c r="D739" s="46"/>
      <c r="E739" s="17"/>
      <c r="F739" s="46"/>
      <c r="G739" s="46"/>
      <c r="H739" s="46"/>
      <c r="I739" s="17"/>
      <c r="J739" s="46"/>
      <c r="K739" s="46"/>
      <c r="L739" s="46"/>
      <c r="M739" s="17"/>
      <c r="N739" s="46"/>
      <c r="O739" s="46"/>
      <c r="P739" s="46"/>
      <c r="Q739" s="46"/>
      <c r="R739" s="46"/>
      <c r="S739" s="46"/>
      <c r="T739" s="46"/>
      <c r="U739" s="46"/>
      <c r="V739" s="46"/>
      <c r="W739" s="46"/>
      <c r="X739" s="46"/>
      <c r="Y739" s="46"/>
      <c r="Z739" s="46"/>
      <c r="AA739" s="46"/>
      <c r="AB739" s="46"/>
      <c r="AC739" s="46"/>
      <c r="AD739" s="46"/>
      <c r="AE739" s="46"/>
      <c r="AF739" s="46"/>
      <c r="AG739" s="127"/>
      <c r="AH739" s="127"/>
      <c r="AI739" s="127"/>
      <c r="AJ739" s="127"/>
      <c r="AK739" s="46"/>
      <c r="AL739" s="46"/>
      <c r="AM739" s="46"/>
      <c r="AN739" s="46"/>
      <c r="AO739" s="46"/>
    </row>
    <row r="740">
      <c r="A740" s="17"/>
      <c r="B740" s="46"/>
      <c r="C740" s="46"/>
      <c r="D740" s="46"/>
      <c r="E740" s="17"/>
      <c r="F740" s="46"/>
      <c r="G740" s="46"/>
      <c r="H740" s="46"/>
      <c r="I740" s="17"/>
      <c r="J740" s="46"/>
      <c r="K740" s="46"/>
      <c r="L740" s="46"/>
      <c r="M740" s="17"/>
      <c r="N740" s="46"/>
      <c r="O740" s="46"/>
      <c r="P740" s="46"/>
      <c r="Q740" s="46"/>
      <c r="R740" s="46"/>
      <c r="S740" s="46"/>
      <c r="T740" s="46"/>
      <c r="U740" s="46"/>
      <c r="V740" s="46"/>
      <c r="W740" s="46"/>
      <c r="X740" s="46"/>
      <c r="Y740" s="46"/>
      <c r="Z740" s="46"/>
      <c r="AA740" s="46"/>
      <c r="AB740" s="46"/>
      <c r="AC740" s="46"/>
      <c r="AD740" s="46"/>
      <c r="AE740" s="46"/>
      <c r="AF740" s="46"/>
      <c r="AG740" s="127"/>
      <c r="AH740" s="127"/>
      <c r="AI740" s="127"/>
      <c r="AJ740" s="127"/>
      <c r="AK740" s="46"/>
      <c r="AL740" s="46"/>
      <c r="AM740" s="46"/>
      <c r="AN740" s="46"/>
      <c r="AO740" s="46"/>
    </row>
    <row r="741">
      <c r="A741" s="17"/>
      <c r="B741" s="46"/>
      <c r="C741" s="46"/>
      <c r="D741" s="46"/>
      <c r="E741" s="17"/>
      <c r="F741" s="46"/>
      <c r="G741" s="46"/>
      <c r="H741" s="46"/>
      <c r="I741" s="17"/>
      <c r="J741" s="46"/>
      <c r="K741" s="46"/>
      <c r="L741" s="46"/>
      <c r="M741" s="17"/>
      <c r="N741" s="46"/>
      <c r="O741" s="46"/>
      <c r="P741" s="46"/>
      <c r="Q741" s="46"/>
      <c r="R741" s="46"/>
      <c r="S741" s="46"/>
      <c r="T741" s="46"/>
      <c r="U741" s="46"/>
      <c r="V741" s="46"/>
      <c r="W741" s="46"/>
      <c r="X741" s="46"/>
      <c r="Y741" s="46"/>
      <c r="Z741" s="46"/>
      <c r="AA741" s="46"/>
      <c r="AB741" s="46"/>
      <c r="AC741" s="46"/>
      <c r="AD741" s="46"/>
      <c r="AE741" s="46"/>
      <c r="AF741" s="46"/>
      <c r="AG741" s="127"/>
      <c r="AH741" s="127"/>
      <c r="AI741" s="127"/>
      <c r="AJ741" s="127"/>
      <c r="AK741" s="46"/>
      <c r="AL741" s="46"/>
      <c r="AM741" s="46"/>
      <c r="AN741" s="46"/>
      <c r="AO741" s="46"/>
    </row>
    <row r="742">
      <c r="A742" s="17"/>
      <c r="B742" s="46"/>
      <c r="C742" s="46"/>
      <c r="D742" s="46"/>
      <c r="E742" s="17"/>
      <c r="F742" s="46"/>
      <c r="G742" s="46"/>
      <c r="H742" s="46"/>
      <c r="I742" s="17"/>
      <c r="J742" s="46"/>
      <c r="K742" s="46"/>
      <c r="L742" s="46"/>
      <c r="M742" s="17"/>
      <c r="N742" s="46"/>
      <c r="O742" s="46"/>
      <c r="P742" s="46"/>
      <c r="Q742" s="46"/>
      <c r="R742" s="46"/>
      <c r="S742" s="46"/>
      <c r="T742" s="46"/>
      <c r="U742" s="46"/>
      <c r="V742" s="46"/>
      <c r="W742" s="46"/>
      <c r="X742" s="46"/>
      <c r="Y742" s="46"/>
      <c r="Z742" s="46"/>
      <c r="AA742" s="46"/>
      <c r="AB742" s="46"/>
      <c r="AC742" s="46"/>
      <c r="AD742" s="46"/>
      <c r="AE742" s="46"/>
      <c r="AF742" s="46"/>
      <c r="AG742" s="127"/>
      <c r="AH742" s="127"/>
      <c r="AI742" s="127"/>
      <c r="AJ742" s="127"/>
      <c r="AK742" s="46"/>
      <c r="AL742" s="46"/>
      <c r="AM742" s="46"/>
      <c r="AN742" s="46"/>
      <c r="AO742" s="46"/>
    </row>
    <row r="743">
      <c r="A743" s="17"/>
      <c r="B743" s="46"/>
      <c r="C743" s="46"/>
      <c r="D743" s="46"/>
      <c r="E743" s="17"/>
      <c r="F743" s="46"/>
      <c r="G743" s="46"/>
      <c r="H743" s="46"/>
      <c r="I743" s="17"/>
      <c r="J743" s="46"/>
      <c r="K743" s="46"/>
      <c r="L743" s="46"/>
      <c r="M743" s="17"/>
      <c r="N743" s="46"/>
      <c r="O743" s="46"/>
      <c r="P743" s="46"/>
      <c r="Q743" s="46"/>
      <c r="R743" s="46"/>
      <c r="S743" s="46"/>
      <c r="T743" s="46"/>
      <c r="U743" s="46"/>
      <c r="V743" s="46"/>
      <c r="W743" s="46"/>
      <c r="X743" s="46"/>
      <c r="Y743" s="46"/>
      <c r="Z743" s="46"/>
      <c r="AA743" s="46"/>
      <c r="AB743" s="46"/>
      <c r="AC743" s="46"/>
      <c r="AD743" s="46"/>
      <c r="AE743" s="46"/>
      <c r="AF743" s="46"/>
      <c r="AG743" s="127"/>
      <c r="AH743" s="127"/>
      <c r="AI743" s="127"/>
      <c r="AJ743" s="127"/>
      <c r="AK743" s="46"/>
      <c r="AL743" s="46"/>
      <c r="AM743" s="46"/>
      <c r="AN743" s="46"/>
      <c r="AO743" s="46"/>
    </row>
    <row r="744">
      <c r="A744" s="17"/>
      <c r="B744" s="46"/>
      <c r="C744" s="46"/>
      <c r="D744" s="46"/>
      <c r="E744" s="17"/>
      <c r="F744" s="46"/>
      <c r="G744" s="46"/>
      <c r="H744" s="46"/>
      <c r="I744" s="17"/>
      <c r="J744" s="46"/>
      <c r="K744" s="46"/>
      <c r="L744" s="46"/>
      <c r="M744" s="17"/>
      <c r="N744" s="46"/>
      <c r="O744" s="46"/>
      <c r="P744" s="46"/>
      <c r="Q744" s="46"/>
      <c r="R744" s="46"/>
      <c r="S744" s="46"/>
      <c r="T744" s="46"/>
      <c r="U744" s="46"/>
      <c r="V744" s="46"/>
      <c r="W744" s="46"/>
      <c r="X744" s="46"/>
      <c r="Y744" s="46"/>
      <c r="Z744" s="46"/>
      <c r="AA744" s="46"/>
      <c r="AB744" s="46"/>
      <c r="AC744" s="46"/>
      <c r="AD744" s="46"/>
      <c r="AE744" s="46"/>
      <c r="AF744" s="46"/>
      <c r="AG744" s="127"/>
      <c r="AH744" s="127"/>
      <c r="AI744" s="127"/>
      <c r="AJ744" s="127"/>
      <c r="AK744" s="46"/>
      <c r="AL744" s="46"/>
      <c r="AM744" s="46"/>
      <c r="AN744" s="46"/>
      <c r="AO744" s="46"/>
    </row>
    <row r="745">
      <c r="A745" s="17"/>
      <c r="B745" s="46"/>
      <c r="C745" s="46"/>
      <c r="D745" s="46"/>
      <c r="E745" s="17"/>
      <c r="F745" s="46"/>
      <c r="G745" s="46"/>
      <c r="H745" s="46"/>
      <c r="I745" s="17"/>
      <c r="J745" s="46"/>
      <c r="K745" s="46"/>
      <c r="L745" s="46"/>
      <c r="M745" s="17"/>
      <c r="N745" s="46"/>
      <c r="O745" s="46"/>
      <c r="P745" s="46"/>
      <c r="Q745" s="46"/>
      <c r="R745" s="46"/>
      <c r="S745" s="46"/>
      <c r="T745" s="46"/>
      <c r="U745" s="46"/>
      <c r="V745" s="46"/>
      <c r="W745" s="46"/>
      <c r="X745" s="46"/>
      <c r="Y745" s="46"/>
      <c r="Z745" s="46"/>
      <c r="AA745" s="46"/>
      <c r="AB745" s="46"/>
      <c r="AC745" s="46"/>
      <c r="AD745" s="46"/>
      <c r="AE745" s="46"/>
      <c r="AF745" s="46"/>
      <c r="AG745" s="127"/>
      <c r="AH745" s="127"/>
      <c r="AI745" s="127"/>
      <c r="AJ745" s="127"/>
      <c r="AK745" s="46"/>
      <c r="AL745" s="46"/>
      <c r="AM745" s="46"/>
      <c r="AN745" s="46"/>
      <c r="AO745" s="46"/>
    </row>
    <row r="746">
      <c r="A746" s="17"/>
      <c r="B746" s="46"/>
      <c r="C746" s="46"/>
      <c r="D746" s="46"/>
      <c r="E746" s="17"/>
      <c r="F746" s="46"/>
      <c r="G746" s="46"/>
      <c r="H746" s="46"/>
      <c r="I746" s="17"/>
      <c r="J746" s="46"/>
      <c r="K746" s="46"/>
      <c r="L746" s="46"/>
      <c r="M746" s="17"/>
      <c r="N746" s="46"/>
      <c r="O746" s="46"/>
      <c r="P746" s="46"/>
      <c r="Q746" s="46"/>
      <c r="R746" s="46"/>
      <c r="S746" s="46"/>
      <c r="T746" s="46"/>
      <c r="U746" s="46"/>
      <c r="V746" s="46"/>
      <c r="W746" s="46"/>
      <c r="X746" s="46"/>
      <c r="Y746" s="46"/>
      <c r="Z746" s="46"/>
      <c r="AA746" s="46"/>
      <c r="AB746" s="46"/>
      <c r="AC746" s="46"/>
      <c r="AD746" s="46"/>
      <c r="AE746" s="46"/>
      <c r="AF746" s="46"/>
      <c r="AG746" s="127"/>
      <c r="AH746" s="127"/>
      <c r="AI746" s="127"/>
      <c r="AJ746" s="127"/>
      <c r="AK746" s="46"/>
      <c r="AL746" s="46"/>
      <c r="AM746" s="46"/>
      <c r="AN746" s="46"/>
      <c r="AO746" s="46"/>
    </row>
    <row r="747">
      <c r="A747" s="17"/>
      <c r="B747" s="46"/>
      <c r="C747" s="46"/>
      <c r="D747" s="46"/>
      <c r="E747" s="17"/>
      <c r="F747" s="46"/>
      <c r="G747" s="46"/>
      <c r="H747" s="46"/>
      <c r="I747" s="17"/>
      <c r="J747" s="46"/>
      <c r="K747" s="46"/>
      <c r="L747" s="46"/>
      <c r="M747" s="17"/>
      <c r="N747" s="46"/>
      <c r="O747" s="46"/>
      <c r="P747" s="46"/>
      <c r="Q747" s="46"/>
      <c r="R747" s="46"/>
      <c r="S747" s="46"/>
      <c r="T747" s="46"/>
      <c r="U747" s="46"/>
      <c r="V747" s="46"/>
      <c r="W747" s="46"/>
      <c r="X747" s="46"/>
      <c r="Y747" s="46"/>
      <c r="Z747" s="46"/>
      <c r="AA747" s="46"/>
      <c r="AB747" s="46"/>
      <c r="AC747" s="46"/>
      <c r="AD747" s="46"/>
      <c r="AE747" s="46"/>
      <c r="AF747" s="46"/>
      <c r="AG747" s="127"/>
      <c r="AH747" s="127"/>
      <c r="AI747" s="127"/>
      <c r="AJ747" s="127"/>
      <c r="AK747" s="46"/>
      <c r="AL747" s="46"/>
      <c r="AM747" s="46"/>
      <c r="AN747" s="46"/>
      <c r="AO747" s="46"/>
    </row>
    <row r="748">
      <c r="A748" s="17"/>
      <c r="B748" s="46"/>
      <c r="C748" s="46"/>
      <c r="D748" s="46"/>
      <c r="E748" s="17"/>
      <c r="F748" s="46"/>
      <c r="G748" s="46"/>
      <c r="H748" s="46"/>
      <c r="I748" s="17"/>
      <c r="J748" s="46"/>
      <c r="K748" s="46"/>
      <c r="L748" s="46"/>
      <c r="M748" s="17"/>
      <c r="N748" s="46"/>
      <c r="O748" s="46"/>
      <c r="P748" s="46"/>
      <c r="Q748" s="46"/>
      <c r="R748" s="46"/>
      <c r="S748" s="46"/>
      <c r="T748" s="46"/>
      <c r="U748" s="46"/>
      <c r="V748" s="46"/>
      <c r="W748" s="46"/>
      <c r="X748" s="46"/>
      <c r="Y748" s="46"/>
      <c r="Z748" s="46"/>
      <c r="AA748" s="46"/>
      <c r="AB748" s="46"/>
      <c r="AC748" s="46"/>
      <c r="AD748" s="46"/>
      <c r="AE748" s="46"/>
      <c r="AF748" s="46"/>
      <c r="AG748" s="127"/>
      <c r="AH748" s="127"/>
      <c r="AI748" s="127"/>
      <c r="AJ748" s="127"/>
      <c r="AK748" s="46"/>
      <c r="AL748" s="46"/>
      <c r="AM748" s="46"/>
      <c r="AN748" s="46"/>
      <c r="AO748" s="46"/>
    </row>
    <row r="749">
      <c r="A749" s="17"/>
      <c r="B749" s="46"/>
      <c r="C749" s="46"/>
      <c r="D749" s="46"/>
      <c r="E749" s="17"/>
      <c r="F749" s="46"/>
      <c r="G749" s="46"/>
      <c r="H749" s="46"/>
      <c r="I749" s="17"/>
      <c r="J749" s="46"/>
      <c r="K749" s="46"/>
      <c r="L749" s="46"/>
      <c r="M749" s="17"/>
      <c r="N749" s="46"/>
      <c r="O749" s="46"/>
      <c r="P749" s="46"/>
      <c r="Q749" s="46"/>
      <c r="R749" s="46"/>
      <c r="S749" s="46"/>
      <c r="T749" s="46"/>
      <c r="U749" s="46"/>
      <c r="V749" s="46"/>
      <c r="W749" s="46"/>
      <c r="X749" s="46"/>
      <c r="Y749" s="46"/>
      <c r="Z749" s="46"/>
      <c r="AA749" s="46"/>
      <c r="AB749" s="46"/>
      <c r="AC749" s="46"/>
      <c r="AD749" s="46"/>
      <c r="AE749" s="46"/>
      <c r="AF749" s="46"/>
      <c r="AG749" s="127"/>
      <c r="AH749" s="127"/>
      <c r="AI749" s="127"/>
      <c r="AJ749" s="127"/>
      <c r="AK749" s="46"/>
      <c r="AL749" s="46"/>
      <c r="AM749" s="46"/>
      <c r="AN749" s="46"/>
      <c r="AO749" s="46"/>
    </row>
    <row r="750">
      <c r="A750" s="17"/>
      <c r="B750" s="46"/>
      <c r="C750" s="46"/>
      <c r="D750" s="46"/>
      <c r="E750" s="17"/>
      <c r="F750" s="46"/>
      <c r="G750" s="46"/>
      <c r="H750" s="46"/>
      <c r="I750" s="17"/>
      <c r="J750" s="46"/>
      <c r="K750" s="46"/>
      <c r="L750" s="46"/>
      <c r="M750" s="17"/>
      <c r="N750" s="46"/>
      <c r="O750" s="46"/>
      <c r="P750" s="46"/>
      <c r="Q750" s="46"/>
      <c r="R750" s="46"/>
      <c r="S750" s="46"/>
      <c r="T750" s="46"/>
      <c r="U750" s="46"/>
      <c r="V750" s="46"/>
      <c r="W750" s="46"/>
      <c r="X750" s="46"/>
      <c r="Y750" s="46"/>
      <c r="Z750" s="46"/>
      <c r="AA750" s="46"/>
      <c r="AB750" s="46"/>
      <c r="AC750" s="46"/>
      <c r="AD750" s="46"/>
      <c r="AE750" s="46"/>
      <c r="AF750" s="46"/>
      <c r="AG750" s="127"/>
      <c r="AH750" s="127"/>
      <c r="AI750" s="127"/>
      <c r="AJ750" s="127"/>
      <c r="AK750" s="46"/>
      <c r="AL750" s="46"/>
      <c r="AM750" s="46"/>
      <c r="AN750" s="46"/>
      <c r="AO750" s="46"/>
    </row>
    <row r="751">
      <c r="A751" s="17"/>
      <c r="B751" s="46"/>
      <c r="C751" s="46"/>
      <c r="D751" s="46"/>
      <c r="E751" s="17"/>
      <c r="F751" s="46"/>
      <c r="G751" s="46"/>
      <c r="H751" s="46"/>
      <c r="I751" s="17"/>
      <c r="J751" s="46"/>
      <c r="K751" s="46"/>
      <c r="L751" s="46"/>
      <c r="M751" s="17"/>
      <c r="N751" s="46"/>
      <c r="O751" s="46"/>
      <c r="P751" s="46"/>
      <c r="Q751" s="46"/>
      <c r="R751" s="46"/>
      <c r="S751" s="46"/>
      <c r="T751" s="46"/>
      <c r="U751" s="46"/>
      <c r="V751" s="46"/>
      <c r="W751" s="46"/>
      <c r="X751" s="46"/>
      <c r="Y751" s="46"/>
      <c r="Z751" s="46"/>
      <c r="AA751" s="46"/>
      <c r="AB751" s="46"/>
      <c r="AC751" s="46"/>
      <c r="AD751" s="46"/>
      <c r="AE751" s="46"/>
      <c r="AF751" s="46"/>
      <c r="AG751" s="127"/>
      <c r="AH751" s="127"/>
      <c r="AI751" s="127"/>
      <c r="AJ751" s="127"/>
      <c r="AK751" s="46"/>
      <c r="AL751" s="46"/>
      <c r="AM751" s="46"/>
      <c r="AN751" s="46"/>
      <c r="AO751" s="46"/>
    </row>
    <row r="752">
      <c r="A752" s="17"/>
      <c r="B752" s="46"/>
      <c r="C752" s="46"/>
      <c r="D752" s="46"/>
      <c r="E752" s="17"/>
      <c r="F752" s="46"/>
      <c r="G752" s="46"/>
      <c r="H752" s="46"/>
      <c r="I752" s="17"/>
      <c r="J752" s="46"/>
      <c r="K752" s="46"/>
      <c r="L752" s="46"/>
      <c r="M752" s="17"/>
      <c r="N752" s="46"/>
      <c r="O752" s="46"/>
      <c r="P752" s="46"/>
      <c r="Q752" s="46"/>
      <c r="R752" s="46"/>
      <c r="S752" s="46"/>
      <c r="T752" s="46"/>
      <c r="U752" s="46"/>
      <c r="V752" s="46"/>
      <c r="W752" s="46"/>
      <c r="X752" s="46"/>
      <c r="Y752" s="46"/>
      <c r="Z752" s="46"/>
      <c r="AA752" s="46"/>
      <c r="AB752" s="46"/>
      <c r="AC752" s="46"/>
      <c r="AD752" s="46"/>
      <c r="AE752" s="46"/>
      <c r="AF752" s="46"/>
      <c r="AG752" s="127"/>
      <c r="AH752" s="127"/>
      <c r="AI752" s="127"/>
      <c r="AJ752" s="127"/>
      <c r="AK752" s="46"/>
      <c r="AL752" s="46"/>
      <c r="AM752" s="46"/>
      <c r="AN752" s="46"/>
      <c r="AO752" s="46"/>
    </row>
    <row r="753">
      <c r="A753" s="17"/>
      <c r="B753" s="46"/>
      <c r="C753" s="46"/>
      <c r="D753" s="46"/>
      <c r="E753" s="17"/>
      <c r="F753" s="46"/>
      <c r="G753" s="46"/>
      <c r="H753" s="46"/>
      <c r="I753" s="17"/>
      <c r="J753" s="46"/>
      <c r="K753" s="46"/>
      <c r="L753" s="46"/>
      <c r="M753" s="17"/>
      <c r="N753" s="46"/>
      <c r="O753" s="46"/>
      <c r="P753" s="46"/>
      <c r="Q753" s="46"/>
      <c r="R753" s="46"/>
      <c r="S753" s="46"/>
      <c r="T753" s="46"/>
      <c r="U753" s="46"/>
      <c r="V753" s="46"/>
      <c r="W753" s="46"/>
      <c r="X753" s="46"/>
      <c r="Y753" s="46"/>
      <c r="Z753" s="46"/>
      <c r="AA753" s="46"/>
      <c r="AB753" s="46"/>
      <c r="AC753" s="46"/>
      <c r="AD753" s="46"/>
      <c r="AE753" s="46"/>
      <c r="AF753" s="46"/>
      <c r="AG753" s="127"/>
      <c r="AH753" s="127"/>
      <c r="AI753" s="127"/>
      <c r="AJ753" s="127"/>
      <c r="AK753" s="46"/>
      <c r="AL753" s="46"/>
      <c r="AM753" s="46"/>
      <c r="AN753" s="46"/>
      <c r="AO753" s="46"/>
    </row>
    <row r="754">
      <c r="A754" s="17"/>
      <c r="B754" s="46"/>
      <c r="C754" s="46"/>
      <c r="D754" s="46"/>
      <c r="E754" s="17"/>
      <c r="F754" s="46"/>
      <c r="G754" s="46"/>
      <c r="H754" s="46"/>
      <c r="I754" s="17"/>
      <c r="J754" s="46"/>
      <c r="K754" s="46"/>
      <c r="L754" s="46"/>
      <c r="M754" s="17"/>
      <c r="N754" s="46"/>
      <c r="O754" s="46"/>
      <c r="P754" s="46"/>
      <c r="Q754" s="46"/>
      <c r="R754" s="46"/>
      <c r="S754" s="46"/>
      <c r="T754" s="46"/>
      <c r="U754" s="46"/>
      <c r="V754" s="46"/>
      <c r="W754" s="46"/>
      <c r="X754" s="46"/>
      <c r="Y754" s="46"/>
      <c r="Z754" s="46"/>
      <c r="AA754" s="46"/>
      <c r="AB754" s="46"/>
      <c r="AC754" s="46"/>
      <c r="AD754" s="46"/>
      <c r="AE754" s="46"/>
      <c r="AF754" s="46"/>
      <c r="AG754" s="127"/>
      <c r="AH754" s="127"/>
      <c r="AI754" s="127"/>
      <c r="AJ754" s="127"/>
      <c r="AK754" s="46"/>
      <c r="AL754" s="46"/>
      <c r="AM754" s="46"/>
      <c r="AN754" s="46"/>
      <c r="AO754" s="46"/>
    </row>
    <row r="755">
      <c r="A755" s="17"/>
      <c r="B755" s="46"/>
      <c r="C755" s="46"/>
      <c r="D755" s="46"/>
      <c r="E755" s="17"/>
      <c r="F755" s="46"/>
      <c r="G755" s="46"/>
      <c r="H755" s="46"/>
      <c r="I755" s="17"/>
      <c r="J755" s="46"/>
      <c r="K755" s="46"/>
      <c r="L755" s="46"/>
      <c r="M755" s="17"/>
      <c r="N755" s="46"/>
      <c r="O755" s="46"/>
      <c r="P755" s="46"/>
      <c r="Q755" s="46"/>
      <c r="R755" s="46"/>
      <c r="S755" s="46"/>
      <c r="T755" s="46"/>
      <c r="U755" s="46"/>
      <c r="V755" s="46"/>
      <c r="W755" s="46"/>
      <c r="X755" s="46"/>
      <c r="Y755" s="46"/>
      <c r="Z755" s="46"/>
      <c r="AA755" s="46"/>
      <c r="AB755" s="46"/>
      <c r="AC755" s="46"/>
      <c r="AD755" s="46"/>
      <c r="AE755" s="46"/>
      <c r="AF755" s="46"/>
      <c r="AG755" s="127"/>
      <c r="AH755" s="127"/>
      <c r="AI755" s="127"/>
      <c r="AJ755" s="127"/>
      <c r="AK755" s="46"/>
      <c r="AL755" s="46"/>
      <c r="AM755" s="46"/>
      <c r="AN755" s="46"/>
      <c r="AO755" s="46"/>
    </row>
    <row r="756">
      <c r="A756" s="17"/>
      <c r="B756" s="46"/>
      <c r="C756" s="46"/>
      <c r="D756" s="46"/>
      <c r="E756" s="17"/>
      <c r="F756" s="46"/>
      <c r="G756" s="46"/>
      <c r="H756" s="46"/>
      <c r="I756" s="17"/>
      <c r="J756" s="46"/>
      <c r="K756" s="46"/>
      <c r="L756" s="46"/>
      <c r="M756" s="17"/>
      <c r="N756" s="46"/>
      <c r="O756" s="46"/>
      <c r="P756" s="46"/>
      <c r="Q756" s="46"/>
      <c r="R756" s="46"/>
      <c r="S756" s="46"/>
      <c r="T756" s="46"/>
      <c r="U756" s="46"/>
      <c r="V756" s="46"/>
      <c r="W756" s="46"/>
      <c r="X756" s="46"/>
      <c r="Y756" s="46"/>
      <c r="Z756" s="46"/>
      <c r="AA756" s="46"/>
      <c r="AB756" s="46"/>
      <c r="AC756" s="46"/>
      <c r="AD756" s="46"/>
      <c r="AE756" s="46"/>
      <c r="AF756" s="46"/>
      <c r="AG756" s="127"/>
      <c r="AH756" s="127"/>
      <c r="AI756" s="127"/>
      <c r="AJ756" s="127"/>
      <c r="AK756" s="46"/>
      <c r="AL756" s="46"/>
      <c r="AM756" s="46"/>
      <c r="AN756" s="46"/>
      <c r="AO756" s="46"/>
    </row>
    <row r="757">
      <c r="A757" s="17"/>
      <c r="B757" s="46"/>
      <c r="C757" s="46"/>
      <c r="D757" s="46"/>
      <c r="E757" s="17"/>
      <c r="F757" s="46"/>
      <c r="G757" s="46"/>
      <c r="H757" s="46"/>
      <c r="I757" s="17"/>
      <c r="J757" s="46"/>
      <c r="K757" s="46"/>
      <c r="L757" s="46"/>
      <c r="M757" s="17"/>
      <c r="N757" s="46"/>
      <c r="O757" s="46"/>
      <c r="P757" s="46"/>
      <c r="Q757" s="46"/>
      <c r="R757" s="46"/>
      <c r="S757" s="46"/>
      <c r="T757" s="46"/>
      <c r="U757" s="46"/>
      <c r="V757" s="46"/>
      <c r="W757" s="46"/>
      <c r="X757" s="46"/>
      <c r="Y757" s="46"/>
      <c r="Z757" s="46"/>
      <c r="AA757" s="46"/>
      <c r="AB757" s="46"/>
      <c r="AC757" s="46"/>
      <c r="AD757" s="46"/>
      <c r="AE757" s="46"/>
      <c r="AF757" s="46"/>
      <c r="AG757" s="127"/>
      <c r="AH757" s="127"/>
      <c r="AI757" s="127"/>
      <c r="AJ757" s="127"/>
      <c r="AK757" s="46"/>
      <c r="AL757" s="46"/>
      <c r="AM757" s="46"/>
      <c r="AN757" s="46"/>
      <c r="AO757" s="46"/>
    </row>
    <row r="758">
      <c r="A758" s="17"/>
      <c r="B758" s="46"/>
      <c r="C758" s="46"/>
      <c r="D758" s="46"/>
      <c r="E758" s="17"/>
      <c r="F758" s="46"/>
      <c r="G758" s="46"/>
      <c r="H758" s="46"/>
      <c r="I758" s="17"/>
      <c r="J758" s="46"/>
      <c r="K758" s="46"/>
      <c r="L758" s="46"/>
      <c r="M758" s="17"/>
      <c r="N758" s="46"/>
      <c r="O758" s="46"/>
      <c r="P758" s="46"/>
      <c r="Q758" s="46"/>
      <c r="R758" s="46"/>
      <c r="S758" s="46"/>
      <c r="T758" s="46"/>
      <c r="U758" s="46"/>
      <c r="V758" s="46"/>
      <c r="W758" s="46"/>
      <c r="X758" s="46"/>
      <c r="Y758" s="46"/>
      <c r="Z758" s="46"/>
      <c r="AA758" s="46"/>
      <c r="AB758" s="46"/>
      <c r="AC758" s="46"/>
      <c r="AD758" s="46"/>
      <c r="AE758" s="46"/>
      <c r="AF758" s="46"/>
      <c r="AG758" s="127"/>
      <c r="AH758" s="127"/>
      <c r="AI758" s="127"/>
      <c r="AJ758" s="127"/>
      <c r="AK758" s="46"/>
      <c r="AL758" s="46"/>
      <c r="AM758" s="46"/>
      <c r="AN758" s="46"/>
      <c r="AO758" s="46"/>
    </row>
    <row r="759">
      <c r="A759" s="17"/>
      <c r="B759" s="46"/>
      <c r="C759" s="46"/>
      <c r="D759" s="46"/>
      <c r="E759" s="17"/>
      <c r="F759" s="46"/>
      <c r="G759" s="46"/>
      <c r="H759" s="46"/>
      <c r="I759" s="17"/>
      <c r="J759" s="46"/>
      <c r="K759" s="46"/>
      <c r="L759" s="46"/>
      <c r="M759" s="17"/>
      <c r="N759" s="46"/>
      <c r="O759" s="46"/>
      <c r="P759" s="46"/>
      <c r="Q759" s="46"/>
      <c r="R759" s="46"/>
      <c r="S759" s="46"/>
      <c r="T759" s="46"/>
      <c r="U759" s="46"/>
      <c r="V759" s="46"/>
      <c r="W759" s="46"/>
      <c r="X759" s="46"/>
      <c r="Y759" s="46"/>
      <c r="Z759" s="46"/>
      <c r="AA759" s="46"/>
      <c r="AB759" s="46"/>
      <c r="AC759" s="46"/>
      <c r="AD759" s="46"/>
      <c r="AE759" s="46"/>
      <c r="AF759" s="46"/>
      <c r="AG759" s="127"/>
      <c r="AH759" s="127"/>
      <c r="AI759" s="127"/>
      <c r="AJ759" s="127"/>
      <c r="AK759" s="46"/>
      <c r="AL759" s="46"/>
      <c r="AM759" s="46"/>
      <c r="AN759" s="46"/>
      <c r="AO759" s="46"/>
    </row>
    <row r="760">
      <c r="A760" s="17"/>
      <c r="B760" s="46"/>
      <c r="C760" s="46"/>
      <c r="D760" s="46"/>
      <c r="E760" s="17"/>
      <c r="F760" s="46"/>
      <c r="G760" s="46"/>
      <c r="H760" s="46"/>
      <c r="I760" s="17"/>
      <c r="J760" s="46"/>
      <c r="K760" s="46"/>
      <c r="L760" s="46"/>
      <c r="M760" s="17"/>
      <c r="N760" s="46"/>
      <c r="O760" s="46"/>
      <c r="P760" s="46"/>
      <c r="Q760" s="46"/>
      <c r="R760" s="46"/>
      <c r="S760" s="46"/>
      <c r="T760" s="46"/>
      <c r="U760" s="46"/>
      <c r="V760" s="46"/>
      <c r="W760" s="46"/>
      <c r="X760" s="46"/>
      <c r="Y760" s="46"/>
      <c r="Z760" s="46"/>
      <c r="AA760" s="46"/>
      <c r="AB760" s="46"/>
      <c r="AC760" s="46"/>
      <c r="AD760" s="46"/>
      <c r="AE760" s="46"/>
      <c r="AF760" s="46"/>
      <c r="AG760" s="127"/>
      <c r="AH760" s="127"/>
      <c r="AI760" s="127"/>
      <c r="AJ760" s="127"/>
      <c r="AK760" s="46"/>
      <c r="AL760" s="46"/>
      <c r="AM760" s="46"/>
      <c r="AN760" s="46"/>
      <c r="AO760" s="46"/>
    </row>
    <row r="761">
      <c r="A761" s="17"/>
      <c r="B761" s="46"/>
      <c r="C761" s="46"/>
      <c r="D761" s="46"/>
      <c r="E761" s="17"/>
      <c r="F761" s="46"/>
      <c r="G761" s="46"/>
      <c r="H761" s="46"/>
      <c r="I761" s="17"/>
      <c r="J761" s="46"/>
      <c r="K761" s="46"/>
      <c r="L761" s="46"/>
      <c r="M761" s="17"/>
      <c r="N761" s="46"/>
      <c r="O761" s="46"/>
      <c r="P761" s="46"/>
      <c r="Q761" s="46"/>
      <c r="R761" s="46"/>
      <c r="S761" s="46"/>
      <c r="T761" s="46"/>
      <c r="U761" s="46"/>
      <c r="V761" s="46"/>
      <c r="W761" s="46"/>
      <c r="X761" s="46"/>
      <c r="Y761" s="46"/>
      <c r="Z761" s="46"/>
      <c r="AA761" s="46"/>
      <c r="AB761" s="46"/>
      <c r="AC761" s="46"/>
      <c r="AD761" s="46"/>
      <c r="AE761" s="46"/>
      <c r="AF761" s="46"/>
      <c r="AG761" s="127"/>
      <c r="AH761" s="127"/>
      <c r="AI761" s="127"/>
      <c r="AJ761" s="127"/>
      <c r="AK761" s="46"/>
      <c r="AL761" s="46"/>
      <c r="AM761" s="46"/>
      <c r="AN761" s="46"/>
      <c r="AO761" s="46"/>
    </row>
    <row r="762">
      <c r="A762" s="17"/>
      <c r="B762" s="46"/>
      <c r="C762" s="46"/>
      <c r="D762" s="46"/>
      <c r="E762" s="17"/>
      <c r="F762" s="46"/>
      <c r="G762" s="46"/>
      <c r="H762" s="46"/>
      <c r="I762" s="17"/>
      <c r="J762" s="46"/>
      <c r="K762" s="46"/>
      <c r="L762" s="46"/>
      <c r="M762" s="17"/>
      <c r="N762" s="46"/>
      <c r="O762" s="46"/>
      <c r="P762" s="46"/>
      <c r="Q762" s="46"/>
      <c r="R762" s="46"/>
      <c r="S762" s="46"/>
      <c r="T762" s="46"/>
      <c r="U762" s="46"/>
      <c r="V762" s="46"/>
      <c r="W762" s="46"/>
      <c r="X762" s="46"/>
      <c r="Y762" s="46"/>
      <c r="Z762" s="46"/>
      <c r="AA762" s="46"/>
      <c r="AB762" s="46"/>
      <c r="AC762" s="46"/>
      <c r="AD762" s="46"/>
      <c r="AE762" s="46"/>
      <c r="AF762" s="46"/>
      <c r="AG762" s="127"/>
      <c r="AH762" s="127"/>
      <c r="AI762" s="127"/>
      <c r="AJ762" s="127"/>
      <c r="AK762" s="46"/>
      <c r="AL762" s="46"/>
      <c r="AM762" s="46"/>
      <c r="AN762" s="46"/>
      <c r="AO762" s="46"/>
    </row>
    <row r="763">
      <c r="A763" s="17"/>
      <c r="B763" s="46"/>
      <c r="C763" s="46"/>
      <c r="D763" s="46"/>
      <c r="E763" s="17"/>
      <c r="F763" s="46"/>
      <c r="G763" s="46"/>
      <c r="H763" s="46"/>
      <c r="I763" s="17"/>
      <c r="J763" s="46"/>
      <c r="K763" s="46"/>
      <c r="L763" s="46"/>
      <c r="M763" s="17"/>
      <c r="N763" s="46"/>
      <c r="O763" s="46"/>
      <c r="P763" s="46"/>
      <c r="Q763" s="46"/>
      <c r="R763" s="46"/>
      <c r="S763" s="46"/>
      <c r="T763" s="46"/>
      <c r="U763" s="46"/>
      <c r="V763" s="46"/>
      <c r="W763" s="46"/>
      <c r="X763" s="46"/>
      <c r="Y763" s="46"/>
      <c r="Z763" s="46"/>
      <c r="AA763" s="46"/>
      <c r="AB763" s="46"/>
      <c r="AC763" s="46"/>
      <c r="AD763" s="46"/>
      <c r="AE763" s="46"/>
      <c r="AF763" s="46"/>
      <c r="AG763" s="127"/>
      <c r="AH763" s="127"/>
      <c r="AI763" s="127"/>
      <c r="AJ763" s="127"/>
      <c r="AK763" s="46"/>
      <c r="AL763" s="46"/>
      <c r="AM763" s="46"/>
      <c r="AN763" s="46"/>
      <c r="AO763" s="46"/>
    </row>
    <row r="764">
      <c r="A764" s="17"/>
      <c r="B764" s="46"/>
      <c r="C764" s="46"/>
      <c r="D764" s="46"/>
      <c r="E764" s="17"/>
      <c r="F764" s="46"/>
      <c r="G764" s="46"/>
      <c r="H764" s="46"/>
      <c r="I764" s="17"/>
      <c r="J764" s="46"/>
      <c r="K764" s="46"/>
      <c r="L764" s="46"/>
      <c r="M764" s="17"/>
      <c r="N764" s="46"/>
      <c r="O764" s="46"/>
      <c r="P764" s="46"/>
      <c r="Q764" s="46"/>
      <c r="R764" s="46"/>
      <c r="S764" s="46"/>
      <c r="T764" s="46"/>
      <c r="U764" s="46"/>
      <c r="V764" s="46"/>
      <c r="W764" s="46"/>
      <c r="X764" s="46"/>
      <c r="Y764" s="46"/>
      <c r="Z764" s="46"/>
      <c r="AA764" s="46"/>
      <c r="AB764" s="46"/>
      <c r="AC764" s="46"/>
      <c r="AD764" s="46"/>
      <c r="AE764" s="46"/>
      <c r="AF764" s="46"/>
      <c r="AG764" s="127"/>
      <c r="AH764" s="127"/>
      <c r="AI764" s="127"/>
      <c r="AJ764" s="127"/>
      <c r="AK764" s="46"/>
      <c r="AL764" s="46"/>
      <c r="AM764" s="46"/>
      <c r="AN764" s="46"/>
      <c r="AO764" s="46"/>
    </row>
    <row r="765">
      <c r="A765" s="17"/>
      <c r="B765" s="46"/>
      <c r="C765" s="46"/>
      <c r="D765" s="46"/>
      <c r="E765" s="17"/>
      <c r="F765" s="46"/>
      <c r="G765" s="46"/>
      <c r="H765" s="46"/>
      <c r="I765" s="17"/>
      <c r="J765" s="46"/>
      <c r="K765" s="46"/>
      <c r="L765" s="46"/>
      <c r="M765" s="17"/>
      <c r="N765" s="46"/>
      <c r="O765" s="46"/>
      <c r="P765" s="46"/>
      <c r="Q765" s="46"/>
      <c r="R765" s="46"/>
      <c r="S765" s="46"/>
      <c r="T765" s="46"/>
      <c r="U765" s="46"/>
      <c r="V765" s="46"/>
      <c r="W765" s="46"/>
      <c r="X765" s="46"/>
      <c r="Y765" s="46"/>
      <c r="Z765" s="46"/>
      <c r="AA765" s="46"/>
      <c r="AB765" s="46"/>
      <c r="AC765" s="46"/>
      <c r="AD765" s="46"/>
      <c r="AE765" s="46"/>
      <c r="AF765" s="46"/>
      <c r="AG765" s="127"/>
      <c r="AH765" s="127"/>
      <c r="AI765" s="127"/>
      <c r="AJ765" s="127"/>
      <c r="AK765" s="46"/>
      <c r="AL765" s="46"/>
      <c r="AM765" s="46"/>
      <c r="AN765" s="46"/>
      <c r="AO765" s="46"/>
    </row>
    <row r="766">
      <c r="A766" s="17"/>
      <c r="B766" s="46"/>
      <c r="C766" s="46"/>
      <c r="D766" s="46"/>
      <c r="E766" s="17"/>
      <c r="F766" s="46"/>
      <c r="G766" s="46"/>
      <c r="H766" s="46"/>
      <c r="I766" s="17"/>
      <c r="J766" s="46"/>
      <c r="K766" s="46"/>
      <c r="L766" s="46"/>
      <c r="M766" s="17"/>
      <c r="N766" s="46"/>
      <c r="O766" s="46"/>
      <c r="P766" s="46"/>
      <c r="Q766" s="46"/>
      <c r="R766" s="46"/>
      <c r="S766" s="46"/>
      <c r="T766" s="46"/>
      <c r="U766" s="46"/>
      <c r="V766" s="46"/>
      <c r="W766" s="46"/>
      <c r="X766" s="46"/>
      <c r="Y766" s="46"/>
      <c r="Z766" s="46"/>
      <c r="AA766" s="46"/>
      <c r="AB766" s="46"/>
      <c r="AC766" s="46"/>
      <c r="AD766" s="46"/>
      <c r="AE766" s="46"/>
      <c r="AF766" s="46"/>
      <c r="AG766" s="127"/>
      <c r="AH766" s="127"/>
      <c r="AI766" s="127"/>
      <c r="AJ766" s="127"/>
      <c r="AK766" s="46"/>
      <c r="AL766" s="46"/>
      <c r="AM766" s="46"/>
      <c r="AN766" s="46"/>
      <c r="AO766" s="46"/>
    </row>
    <row r="767">
      <c r="A767" s="17"/>
      <c r="B767" s="46"/>
      <c r="C767" s="46"/>
      <c r="D767" s="46"/>
      <c r="E767" s="17"/>
      <c r="F767" s="46"/>
      <c r="G767" s="46"/>
      <c r="H767" s="46"/>
      <c r="I767" s="17"/>
      <c r="J767" s="46"/>
      <c r="K767" s="46"/>
      <c r="L767" s="46"/>
      <c r="M767" s="17"/>
      <c r="N767" s="46"/>
      <c r="O767" s="46"/>
      <c r="P767" s="46"/>
      <c r="Q767" s="46"/>
      <c r="R767" s="46"/>
      <c r="S767" s="46"/>
      <c r="T767" s="46"/>
      <c r="U767" s="46"/>
      <c r="V767" s="46"/>
      <c r="W767" s="46"/>
      <c r="X767" s="46"/>
      <c r="Y767" s="46"/>
      <c r="Z767" s="46"/>
      <c r="AA767" s="46"/>
      <c r="AB767" s="46"/>
      <c r="AC767" s="46"/>
      <c r="AD767" s="46"/>
      <c r="AE767" s="46"/>
      <c r="AF767" s="46"/>
      <c r="AG767" s="127"/>
      <c r="AH767" s="127"/>
      <c r="AI767" s="127"/>
      <c r="AJ767" s="127"/>
      <c r="AK767" s="46"/>
      <c r="AL767" s="46"/>
      <c r="AM767" s="46"/>
      <c r="AN767" s="46"/>
      <c r="AO767" s="46"/>
    </row>
    <row r="768">
      <c r="A768" s="17"/>
      <c r="B768" s="46"/>
      <c r="C768" s="46"/>
      <c r="D768" s="46"/>
      <c r="E768" s="17"/>
      <c r="F768" s="46"/>
      <c r="G768" s="46"/>
      <c r="H768" s="46"/>
      <c r="I768" s="17"/>
      <c r="J768" s="46"/>
      <c r="K768" s="46"/>
      <c r="L768" s="46"/>
      <c r="M768" s="17"/>
      <c r="N768" s="46"/>
      <c r="O768" s="46"/>
      <c r="P768" s="46"/>
      <c r="Q768" s="46"/>
      <c r="R768" s="46"/>
      <c r="S768" s="46"/>
      <c r="T768" s="46"/>
      <c r="U768" s="46"/>
      <c r="V768" s="46"/>
      <c r="W768" s="46"/>
      <c r="X768" s="46"/>
      <c r="Y768" s="46"/>
      <c r="Z768" s="46"/>
      <c r="AA768" s="46"/>
      <c r="AB768" s="46"/>
      <c r="AC768" s="46"/>
      <c r="AD768" s="46"/>
      <c r="AE768" s="46"/>
      <c r="AF768" s="46"/>
      <c r="AG768" s="127"/>
      <c r="AH768" s="127"/>
      <c r="AI768" s="127"/>
      <c r="AJ768" s="127"/>
      <c r="AK768" s="46"/>
      <c r="AL768" s="46"/>
      <c r="AM768" s="46"/>
      <c r="AN768" s="46"/>
      <c r="AO768" s="46"/>
    </row>
    <row r="769">
      <c r="A769" s="17"/>
      <c r="B769" s="46"/>
      <c r="C769" s="46"/>
      <c r="D769" s="46"/>
      <c r="E769" s="17"/>
      <c r="F769" s="46"/>
      <c r="G769" s="46"/>
      <c r="H769" s="46"/>
      <c r="I769" s="17"/>
      <c r="J769" s="46"/>
      <c r="K769" s="46"/>
      <c r="L769" s="46"/>
      <c r="M769" s="17"/>
      <c r="N769" s="46"/>
      <c r="O769" s="46"/>
      <c r="P769" s="46"/>
      <c r="Q769" s="46"/>
      <c r="R769" s="46"/>
      <c r="S769" s="46"/>
      <c r="T769" s="46"/>
      <c r="U769" s="46"/>
      <c r="V769" s="46"/>
      <c r="W769" s="46"/>
      <c r="X769" s="46"/>
      <c r="Y769" s="46"/>
      <c r="Z769" s="46"/>
      <c r="AA769" s="46"/>
      <c r="AB769" s="46"/>
      <c r="AC769" s="46"/>
      <c r="AD769" s="46"/>
      <c r="AE769" s="46"/>
      <c r="AF769" s="46"/>
      <c r="AG769" s="127"/>
      <c r="AH769" s="127"/>
      <c r="AI769" s="127"/>
      <c r="AJ769" s="127"/>
      <c r="AK769" s="46"/>
      <c r="AL769" s="46"/>
      <c r="AM769" s="46"/>
      <c r="AN769" s="46"/>
      <c r="AO769" s="46"/>
    </row>
    <row r="770">
      <c r="A770" s="17"/>
      <c r="B770" s="46"/>
      <c r="C770" s="46"/>
      <c r="D770" s="46"/>
      <c r="E770" s="17"/>
      <c r="F770" s="46"/>
      <c r="G770" s="46"/>
      <c r="H770" s="46"/>
      <c r="I770" s="17"/>
      <c r="J770" s="46"/>
      <c r="K770" s="46"/>
      <c r="L770" s="46"/>
      <c r="M770" s="17"/>
      <c r="N770" s="46"/>
      <c r="O770" s="46"/>
      <c r="P770" s="46"/>
      <c r="Q770" s="46"/>
      <c r="R770" s="46"/>
      <c r="S770" s="46"/>
      <c r="T770" s="46"/>
      <c r="U770" s="46"/>
      <c r="V770" s="46"/>
      <c r="W770" s="46"/>
      <c r="X770" s="46"/>
      <c r="Y770" s="46"/>
      <c r="Z770" s="46"/>
      <c r="AA770" s="46"/>
      <c r="AB770" s="46"/>
      <c r="AC770" s="46"/>
      <c r="AD770" s="46"/>
      <c r="AE770" s="46"/>
      <c r="AF770" s="46"/>
      <c r="AG770" s="127"/>
      <c r="AH770" s="127"/>
      <c r="AI770" s="127"/>
      <c r="AJ770" s="127"/>
      <c r="AK770" s="46"/>
      <c r="AL770" s="46"/>
      <c r="AM770" s="46"/>
      <c r="AN770" s="46"/>
      <c r="AO770" s="46"/>
    </row>
    <row r="771">
      <c r="A771" s="17"/>
      <c r="B771" s="46"/>
      <c r="C771" s="46"/>
      <c r="D771" s="46"/>
      <c r="E771" s="17"/>
      <c r="F771" s="46"/>
      <c r="G771" s="46"/>
      <c r="H771" s="46"/>
      <c r="I771" s="17"/>
      <c r="J771" s="46"/>
      <c r="K771" s="46"/>
      <c r="L771" s="46"/>
      <c r="M771" s="17"/>
      <c r="N771" s="46"/>
      <c r="O771" s="46"/>
      <c r="P771" s="46"/>
      <c r="Q771" s="46"/>
      <c r="R771" s="46"/>
      <c r="S771" s="46"/>
      <c r="T771" s="46"/>
      <c r="U771" s="46"/>
      <c r="V771" s="46"/>
      <c r="W771" s="46"/>
      <c r="X771" s="46"/>
      <c r="Y771" s="46"/>
      <c r="Z771" s="46"/>
      <c r="AA771" s="46"/>
      <c r="AB771" s="46"/>
      <c r="AC771" s="46"/>
      <c r="AD771" s="46"/>
      <c r="AE771" s="46"/>
      <c r="AF771" s="46"/>
      <c r="AG771" s="127"/>
      <c r="AH771" s="127"/>
      <c r="AI771" s="127"/>
      <c r="AJ771" s="127"/>
      <c r="AK771" s="46"/>
      <c r="AL771" s="46"/>
      <c r="AM771" s="46"/>
      <c r="AN771" s="46"/>
      <c r="AO771" s="46"/>
    </row>
    <row r="772">
      <c r="A772" s="17"/>
      <c r="B772" s="46"/>
      <c r="C772" s="46"/>
      <c r="D772" s="46"/>
      <c r="E772" s="17"/>
      <c r="F772" s="46"/>
      <c r="G772" s="46"/>
      <c r="H772" s="46"/>
      <c r="I772" s="17"/>
      <c r="J772" s="46"/>
      <c r="K772" s="46"/>
      <c r="L772" s="46"/>
      <c r="M772" s="17"/>
      <c r="N772" s="46"/>
      <c r="O772" s="46"/>
      <c r="P772" s="46"/>
      <c r="Q772" s="46"/>
      <c r="R772" s="46"/>
      <c r="S772" s="46"/>
      <c r="T772" s="46"/>
      <c r="U772" s="46"/>
      <c r="V772" s="46"/>
      <c r="W772" s="46"/>
      <c r="X772" s="46"/>
      <c r="Y772" s="46"/>
      <c r="Z772" s="46"/>
      <c r="AA772" s="46"/>
      <c r="AB772" s="46"/>
      <c r="AC772" s="46"/>
      <c r="AD772" s="46"/>
      <c r="AE772" s="46"/>
      <c r="AF772" s="46"/>
      <c r="AG772" s="127"/>
      <c r="AH772" s="127"/>
      <c r="AI772" s="127"/>
      <c r="AJ772" s="127"/>
      <c r="AK772" s="46"/>
      <c r="AL772" s="46"/>
      <c r="AM772" s="46"/>
      <c r="AN772" s="46"/>
      <c r="AO772" s="46"/>
    </row>
    <row r="773">
      <c r="A773" s="17"/>
      <c r="B773" s="46"/>
      <c r="C773" s="46"/>
      <c r="D773" s="46"/>
      <c r="E773" s="17"/>
      <c r="F773" s="46"/>
      <c r="G773" s="46"/>
      <c r="H773" s="46"/>
      <c r="I773" s="17"/>
      <c r="J773" s="46"/>
      <c r="K773" s="46"/>
      <c r="L773" s="46"/>
      <c r="M773" s="17"/>
      <c r="N773" s="46"/>
      <c r="O773" s="46"/>
      <c r="P773" s="46"/>
      <c r="Q773" s="46"/>
      <c r="R773" s="46"/>
      <c r="S773" s="46"/>
      <c r="T773" s="46"/>
      <c r="U773" s="46"/>
      <c r="V773" s="46"/>
      <c r="W773" s="46"/>
      <c r="X773" s="46"/>
      <c r="Y773" s="46"/>
      <c r="Z773" s="46"/>
      <c r="AA773" s="46"/>
      <c r="AB773" s="46"/>
      <c r="AC773" s="46"/>
      <c r="AD773" s="46"/>
      <c r="AE773" s="46"/>
      <c r="AF773" s="46"/>
      <c r="AG773" s="127"/>
      <c r="AH773" s="127"/>
      <c r="AI773" s="127"/>
      <c r="AJ773" s="127"/>
      <c r="AK773" s="46"/>
      <c r="AL773" s="46"/>
      <c r="AM773" s="46"/>
      <c r="AN773" s="46"/>
      <c r="AO773" s="46"/>
    </row>
    <row r="774">
      <c r="A774" s="17"/>
      <c r="B774" s="46"/>
      <c r="C774" s="46"/>
      <c r="D774" s="46"/>
      <c r="E774" s="17"/>
      <c r="F774" s="46"/>
      <c r="G774" s="46"/>
      <c r="H774" s="46"/>
      <c r="I774" s="17"/>
      <c r="J774" s="46"/>
      <c r="K774" s="46"/>
      <c r="L774" s="46"/>
      <c r="M774" s="17"/>
      <c r="N774" s="46"/>
      <c r="O774" s="46"/>
      <c r="P774" s="46"/>
      <c r="Q774" s="46"/>
      <c r="R774" s="46"/>
      <c r="S774" s="46"/>
      <c r="T774" s="46"/>
      <c r="U774" s="46"/>
      <c r="V774" s="46"/>
      <c r="W774" s="46"/>
      <c r="X774" s="46"/>
      <c r="Y774" s="46"/>
      <c r="Z774" s="46"/>
      <c r="AA774" s="46"/>
      <c r="AB774" s="46"/>
      <c r="AC774" s="46"/>
      <c r="AD774" s="46"/>
      <c r="AE774" s="46"/>
      <c r="AF774" s="46"/>
      <c r="AG774" s="127"/>
      <c r="AH774" s="127"/>
      <c r="AI774" s="127"/>
      <c r="AJ774" s="127"/>
      <c r="AK774" s="46"/>
      <c r="AL774" s="46"/>
      <c r="AM774" s="46"/>
      <c r="AN774" s="46"/>
      <c r="AO774" s="46"/>
    </row>
    <row r="775">
      <c r="A775" s="17"/>
      <c r="B775" s="46"/>
      <c r="C775" s="46"/>
      <c r="D775" s="46"/>
      <c r="E775" s="17"/>
      <c r="F775" s="46"/>
      <c r="G775" s="46"/>
      <c r="H775" s="46"/>
      <c r="I775" s="17"/>
      <c r="J775" s="46"/>
      <c r="K775" s="46"/>
      <c r="L775" s="46"/>
      <c r="M775" s="17"/>
      <c r="N775" s="46"/>
      <c r="O775" s="46"/>
      <c r="P775" s="46"/>
      <c r="Q775" s="46"/>
      <c r="R775" s="46"/>
      <c r="S775" s="46"/>
      <c r="T775" s="46"/>
      <c r="U775" s="46"/>
      <c r="V775" s="46"/>
      <c r="W775" s="46"/>
      <c r="X775" s="46"/>
      <c r="Y775" s="46"/>
      <c r="Z775" s="46"/>
      <c r="AA775" s="46"/>
      <c r="AB775" s="46"/>
      <c r="AC775" s="46"/>
      <c r="AD775" s="46"/>
      <c r="AE775" s="46"/>
      <c r="AF775" s="46"/>
      <c r="AG775" s="127"/>
      <c r="AH775" s="127"/>
      <c r="AI775" s="127"/>
      <c r="AJ775" s="127"/>
      <c r="AK775" s="46"/>
      <c r="AL775" s="46"/>
      <c r="AM775" s="46"/>
      <c r="AN775" s="46"/>
      <c r="AO775" s="46"/>
    </row>
    <row r="776">
      <c r="A776" s="17"/>
      <c r="B776" s="46"/>
      <c r="C776" s="46"/>
      <c r="D776" s="46"/>
      <c r="E776" s="17"/>
      <c r="F776" s="46"/>
      <c r="G776" s="46"/>
      <c r="H776" s="46"/>
      <c r="I776" s="17"/>
      <c r="J776" s="46"/>
      <c r="K776" s="46"/>
      <c r="L776" s="46"/>
      <c r="M776" s="17"/>
      <c r="N776" s="46"/>
      <c r="O776" s="46"/>
      <c r="P776" s="46"/>
      <c r="Q776" s="46"/>
      <c r="R776" s="46"/>
      <c r="S776" s="46"/>
      <c r="T776" s="46"/>
      <c r="U776" s="46"/>
      <c r="V776" s="46"/>
      <c r="W776" s="46"/>
      <c r="X776" s="46"/>
      <c r="Y776" s="46"/>
      <c r="Z776" s="46"/>
      <c r="AA776" s="46"/>
      <c r="AB776" s="46"/>
      <c r="AC776" s="46"/>
      <c r="AD776" s="46"/>
      <c r="AE776" s="46"/>
      <c r="AF776" s="46"/>
      <c r="AG776" s="127"/>
      <c r="AH776" s="127"/>
      <c r="AI776" s="127"/>
      <c r="AJ776" s="127"/>
      <c r="AK776" s="46"/>
      <c r="AL776" s="46"/>
      <c r="AM776" s="46"/>
      <c r="AN776" s="46"/>
      <c r="AO776" s="46"/>
    </row>
    <row r="777">
      <c r="A777" s="17"/>
      <c r="B777" s="46"/>
      <c r="C777" s="46"/>
      <c r="D777" s="46"/>
      <c r="E777" s="17"/>
      <c r="F777" s="46"/>
      <c r="G777" s="46"/>
      <c r="H777" s="46"/>
      <c r="I777" s="17"/>
      <c r="J777" s="46"/>
      <c r="K777" s="46"/>
      <c r="L777" s="46"/>
      <c r="M777" s="17"/>
      <c r="N777" s="46"/>
      <c r="O777" s="46"/>
      <c r="P777" s="46"/>
      <c r="Q777" s="46"/>
      <c r="R777" s="46"/>
      <c r="S777" s="46"/>
      <c r="T777" s="46"/>
      <c r="U777" s="46"/>
      <c r="V777" s="46"/>
      <c r="W777" s="46"/>
      <c r="X777" s="46"/>
      <c r="Y777" s="46"/>
      <c r="Z777" s="46"/>
      <c r="AA777" s="46"/>
      <c r="AB777" s="46"/>
      <c r="AC777" s="46"/>
      <c r="AD777" s="46"/>
      <c r="AE777" s="46"/>
      <c r="AF777" s="46"/>
      <c r="AG777" s="127"/>
      <c r="AH777" s="127"/>
      <c r="AI777" s="127"/>
      <c r="AJ777" s="127"/>
      <c r="AK777" s="46"/>
      <c r="AL777" s="46"/>
      <c r="AM777" s="46"/>
      <c r="AN777" s="46"/>
      <c r="AO777" s="46"/>
    </row>
    <row r="778">
      <c r="A778" s="17"/>
      <c r="B778" s="46"/>
      <c r="C778" s="46"/>
      <c r="D778" s="46"/>
      <c r="E778" s="17"/>
      <c r="F778" s="46"/>
      <c r="G778" s="46"/>
      <c r="H778" s="46"/>
      <c r="I778" s="17"/>
      <c r="J778" s="46"/>
      <c r="K778" s="46"/>
      <c r="L778" s="46"/>
      <c r="M778" s="17"/>
      <c r="N778" s="46"/>
      <c r="O778" s="46"/>
      <c r="P778" s="46"/>
      <c r="Q778" s="46"/>
      <c r="R778" s="46"/>
      <c r="S778" s="46"/>
      <c r="T778" s="46"/>
      <c r="U778" s="46"/>
      <c r="V778" s="46"/>
      <c r="W778" s="46"/>
      <c r="X778" s="46"/>
      <c r="Y778" s="46"/>
      <c r="Z778" s="46"/>
      <c r="AA778" s="46"/>
      <c r="AB778" s="46"/>
      <c r="AC778" s="46"/>
      <c r="AD778" s="46"/>
      <c r="AE778" s="46"/>
      <c r="AF778" s="46"/>
      <c r="AG778" s="127"/>
      <c r="AH778" s="127"/>
      <c r="AI778" s="127"/>
      <c r="AJ778" s="127"/>
      <c r="AK778" s="46"/>
      <c r="AL778" s="46"/>
      <c r="AM778" s="46"/>
      <c r="AN778" s="46"/>
      <c r="AO778" s="46"/>
    </row>
    <row r="779">
      <c r="A779" s="17"/>
      <c r="B779" s="46"/>
      <c r="C779" s="46"/>
      <c r="D779" s="46"/>
      <c r="E779" s="17"/>
      <c r="F779" s="46"/>
      <c r="G779" s="46"/>
      <c r="H779" s="46"/>
      <c r="I779" s="17"/>
      <c r="J779" s="46"/>
      <c r="K779" s="46"/>
      <c r="L779" s="46"/>
      <c r="M779" s="17"/>
      <c r="N779" s="46"/>
      <c r="O779" s="46"/>
      <c r="P779" s="46"/>
      <c r="Q779" s="46"/>
      <c r="R779" s="46"/>
      <c r="S779" s="46"/>
      <c r="T779" s="46"/>
      <c r="U779" s="46"/>
      <c r="V779" s="46"/>
      <c r="W779" s="46"/>
      <c r="X779" s="46"/>
      <c r="Y779" s="46"/>
      <c r="Z779" s="46"/>
      <c r="AA779" s="46"/>
      <c r="AB779" s="46"/>
      <c r="AC779" s="46"/>
      <c r="AD779" s="46"/>
      <c r="AE779" s="46"/>
      <c r="AF779" s="46"/>
      <c r="AG779" s="127"/>
      <c r="AH779" s="127"/>
      <c r="AI779" s="127"/>
      <c r="AJ779" s="127"/>
      <c r="AK779" s="46"/>
      <c r="AL779" s="46"/>
      <c r="AM779" s="46"/>
      <c r="AN779" s="46"/>
      <c r="AO779" s="46"/>
    </row>
    <row r="780">
      <c r="A780" s="17"/>
      <c r="B780" s="46"/>
      <c r="C780" s="46"/>
      <c r="D780" s="46"/>
      <c r="E780" s="17"/>
      <c r="F780" s="46"/>
      <c r="G780" s="46"/>
      <c r="H780" s="46"/>
      <c r="I780" s="17"/>
      <c r="J780" s="46"/>
      <c r="K780" s="46"/>
      <c r="L780" s="46"/>
      <c r="M780" s="17"/>
      <c r="N780" s="46"/>
      <c r="O780" s="46"/>
      <c r="P780" s="46"/>
      <c r="Q780" s="46"/>
      <c r="R780" s="46"/>
      <c r="S780" s="46"/>
      <c r="T780" s="46"/>
      <c r="U780" s="46"/>
      <c r="V780" s="46"/>
      <c r="W780" s="46"/>
      <c r="X780" s="46"/>
      <c r="Y780" s="46"/>
      <c r="Z780" s="46"/>
      <c r="AA780" s="46"/>
      <c r="AB780" s="46"/>
      <c r="AC780" s="46"/>
      <c r="AD780" s="46"/>
      <c r="AE780" s="46"/>
      <c r="AF780" s="46"/>
      <c r="AG780" s="127"/>
      <c r="AH780" s="127"/>
      <c r="AI780" s="127"/>
      <c r="AJ780" s="127"/>
      <c r="AK780" s="46"/>
      <c r="AL780" s="46"/>
      <c r="AM780" s="46"/>
      <c r="AN780" s="46"/>
      <c r="AO780" s="46"/>
    </row>
    <row r="781">
      <c r="A781" s="17"/>
      <c r="B781" s="46"/>
      <c r="C781" s="46"/>
      <c r="D781" s="46"/>
      <c r="E781" s="17"/>
      <c r="F781" s="46"/>
      <c r="G781" s="46"/>
      <c r="H781" s="46"/>
      <c r="I781" s="17"/>
      <c r="J781" s="46"/>
      <c r="K781" s="46"/>
      <c r="L781" s="46"/>
      <c r="M781" s="17"/>
      <c r="N781" s="46"/>
      <c r="O781" s="46"/>
      <c r="P781" s="46"/>
      <c r="Q781" s="46"/>
      <c r="R781" s="46"/>
      <c r="S781" s="46"/>
      <c r="T781" s="46"/>
      <c r="U781" s="46"/>
      <c r="V781" s="46"/>
      <c r="W781" s="46"/>
      <c r="X781" s="46"/>
      <c r="Y781" s="46"/>
      <c r="Z781" s="46"/>
      <c r="AA781" s="46"/>
      <c r="AB781" s="46"/>
      <c r="AC781" s="46"/>
      <c r="AD781" s="46"/>
      <c r="AE781" s="46"/>
      <c r="AF781" s="46"/>
      <c r="AG781" s="127"/>
      <c r="AH781" s="127"/>
      <c r="AI781" s="127"/>
      <c r="AJ781" s="127"/>
      <c r="AK781" s="46"/>
      <c r="AL781" s="46"/>
      <c r="AM781" s="46"/>
      <c r="AN781" s="46"/>
      <c r="AO781" s="46"/>
    </row>
    <row r="782">
      <c r="A782" s="17"/>
      <c r="B782" s="46"/>
      <c r="C782" s="46"/>
      <c r="D782" s="46"/>
      <c r="E782" s="17"/>
      <c r="F782" s="46"/>
      <c r="G782" s="46"/>
      <c r="H782" s="46"/>
      <c r="I782" s="17"/>
      <c r="J782" s="46"/>
      <c r="K782" s="46"/>
      <c r="L782" s="46"/>
      <c r="M782" s="17"/>
      <c r="N782" s="46"/>
      <c r="O782" s="46"/>
      <c r="P782" s="46"/>
      <c r="Q782" s="46"/>
      <c r="R782" s="46"/>
      <c r="S782" s="46"/>
      <c r="T782" s="46"/>
      <c r="U782" s="46"/>
      <c r="V782" s="46"/>
      <c r="W782" s="46"/>
      <c r="X782" s="46"/>
      <c r="Y782" s="46"/>
      <c r="Z782" s="46"/>
      <c r="AA782" s="46"/>
      <c r="AB782" s="46"/>
      <c r="AC782" s="46"/>
      <c r="AD782" s="46"/>
      <c r="AE782" s="46"/>
      <c r="AF782" s="46"/>
      <c r="AG782" s="127"/>
      <c r="AH782" s="127"/>
      <c r="AI782" s="127"/>
      <c r="AJ782" s="127"/>
      <c r="AK782" s="46"/>
      <c r="AL782" s="46"/>
      <c r="AM782" s="46"/>
      <c r="AN782" s="46"/>
      <c r="AO782" s="46"/>
    </row>
    <row r="783">
      <c r="A783" s="17"/>
      <c r="B783" s="46"/>
      <c r="C783" s="46"/>
      <c r="D783" s="46"/>
      <c r="E783" s="17"/>
      <c r="F783" s="46"/>
      <c r="G783" s="46"/>
      <c r="H783" s="46"/>
      <c r="I783" s="17"/>
      <c r="J783" s="46"/>
      <c r="K783" s="46"/>
      <c r="L783" s="46"/>
      <c r="M783" s="17"/>
      <c r="N783" s="46"/>
      <c r="O783" s="46"/>
      <c r="P783" s="46"/>
      <c r="Q783" s="46"/>
      <c r="R783" s="46"/>
      <c r="S783" s="46"/>
      <c r="T783" s="46"/>
      <c r="U783" s="46"/>
      <c r="V783" s="46"/>
      <c r="W783" s="46"/>
      <c r="X783" s="46"/>
      <c r="Y783" s="46"/>
      <c r="Z783" s="46"/>
      <c r="AA783" s="46"/>
      <c r="AB783" s="46"/>
      <c r="AC783" s="46"/>
      <c r="AD783" s="46"/>
      <c r="AE783" s="46"/>
      <c r="AF783" s="46"/>
      <c r="AG783" s="127"/>
      <c r="AH783" s="127"/>
      <c r="AI783" s="127"/>
      <c r="AJ783" s="127"/>
      <c r="AK783" s="46"/>
      <c r="AL783" s="46"/>
      <c r="AM783" s="46"/>
      <c r="AN783" s="46"/>
      <c r="AO783" s="46"/>
    </row>
    <row r="784">
      <c r="A784" s="17"/>
      <c r="B784" s="46"/>
      <c r="C784" s="46"/>
      <c r="D784" s="46"/>
      <c r="E784" s="17"/>
      <c r="F784" s="46"/>
      <c r="G784" s="46"/>
      <c r="H784" s="46"/>
      <c r="I784" s="17"/>
      <c r="J784" s="46"/>
      <c r="K784" s="46"/>
      <c r="L784" s="46"/>
      <c r="M784" s="17"/>
      <c r="N784" s="46"/>
      <c r="O784" s="46"/>
      <c r="P784" s="46"/>
      <c r="Q784" s="46"/>
      <c r="R784" s="46"/>
      <c r="S784" s="46"/>
      <c r="T784" s="46"/>
      <c r="U784" s="46"/>
      <c r="V784" s="46"/>
      <c r="W784" s="46"/>
      <c r="X784" s="46"/>
      <c r="Y784" s="46"/>
      <c r="Z784" s="46"/>
      <c r="AA784" s="46"/>
      <c r="AB784" s="46"/>
      <c r="AC784" s="46"/>
      <c r="AD784" s="46"/>
      <c r="AE784" s="46"/>
      <c r="AF784" s="46"/>
      <c r="AG784" s="127"/>
      <c r="AH784" s="127"/>
      <c r="AI784" s="127"/>
      <c r="AJ784" s="127"/>
      <c r="AK784" s="46"/>
      <c r="AL784" s="46"/>
      <c r="AM784" s="46"/>
      <c r="AN784" s="46"/>
      <c r="AO784" s="46"/>
    </row>
    <row r="785">
      <c r="A785" s="17"/>
      <c r="B785" s="46"/>
      <c r="C785" s="46"/>
      <c r="D785" s="46"/>
      <c r="E785" s="17"/>
      <c r="F785" s="46"/>
      <c r="G785" s="46"/>
      <c r="H785" s="46"/>
      <c r="I785" s="17"/>
      <c r="J785" s="46"/>
      <c r="K785" s="46"/>
      <c r="L785" s="46"/>
      <c r="M785" s="17"/>
      <c r="N785" s="46"/>
      <c r="O785" s="46"/>
      <c r="P785" s="46"/>
      <c r="Q785" s="46"/>
      <c r="R785" s="46"/>
      <c r="S785" s="46"/>
      <c r="T785" s="46"/>
      <c r="U785" s="46"/>
      <c r="V785" s="46"/>
      <c r="W785" s="46"/>
      <c r="X785" s="46"/>
      <c r="Y785" s="46"/>
      <c r="Z785" s="46"/>
      <c r="AA785" s="46"/>
      <c r="AB785" s="46"/>
      <c r="AC785" s="46"/>
      <c r="AD785" s="46"/>
      <c r="AE785" s="46"/>
      <c r="AF785" s="46"/>
      <c r="AG785" s="127"/>
      <c r="AH785" s="127"/>
      <c r="AI785" s="127"/>
      <c r="AJ785" s="127"/>
      <c r="AK785" s="46"/>
      <c r="AL785" s="46"/>
      <c r="AM785" s="46"/>
      <c r="AN785" s="46"/>
      <c r="AO785" s="46"/>
    </row>
    <row r="786">
      <c r="A786" s="17"/>
      <c r="B786" s="46"/>
      <c r="C786" s="46"/>
      <c r="D786" s="46"/>
      <c r="E786" s="17"/>
      <c r="F786" s="46"/>
      <c r="G786" s="46"/>
      <c r="H786" s="46"/>
      <c r="I786" s="17"/>
      <c r="J786" s="46"/>
      <c r="K786" s="46"/>
      <c r="L786" s="46"/>
      <c r="M786" s="17"/>
      <c r="N786" s="46"/>
      <c r="O786" s="46"/>
      <c r="P786" s="46"/>
      <c r="Q786" s="46"/>
      <c r="R786" s="46"/>
      <c r="S786" s="46"/>
      <c r="T786" s="46"/>
      <c r="U786" s="46"/>
      <c r="V786" s="46"/>
      <c r="W786" s="46"/>
      <c r="X786" s="46"/>
      <c r="Y786" s="46"/>
      <c r="Z786" s="46"/>
      <c r="AA786" s="46"/>
      <c r="AB786" s="46"/>
      <c r="AC786" s="46"/>
      <c r="AD786" s="46"/>
      <c r="AE786" s="46"/>
      <c r="AF786" s="46"/>
      <c r="AG786" s="127"/>
      <c r="AH786" s="127"/>
      <c r="AI786" s="127"/>
      <c r="AJ786" s="127"/>
      <c r="AK786" s="46"/>
      <c r="AL786" s="46"/>
      <c r="AM786" s="46"/>
      <c r="AN786" s="46"/>
      <c r="AO786" s="46"/>
    </row>
    <row r="787">
      <c r="A787" s="17"/>
      <c r="B787" s="46"/>
      <c r="C787" s="46"/>
      <c r="D787" s="46"/>
      <c r="E787" s="17"/>
      <c r="F787" s="46"/>
      <c r="G787" s="46"/>
      <c r="H787" s="46"/>
      <c r="I787" s="17"/>
      <c r="J787" s="46"/>
      <c r="K787" s="46"/>
      <c r="L787" s="46"/>
      <c r="M787" s="17"/>
      <c r="N787" s="46"/>
      <c r="O787" s="46"/>
      <c r="P787" s="46"/>
      <c r="Q787" s="46"/>
      <c r="R787" s="46"/>
      <c r="S787" s="46"/>
      <c r="T787" s="46"/>
      <c r="U787" s="46"/>
      <c r="V787" s="46"/>
      <c r="W787" s="46"/>
      <c r="X787" s="46"/>
      <c r="Y787" s="46"/>
      <c r="Z787" s="46"/>
      <c r="AA787" s="46"/>
      <c r="AB787" s="46"/>
      <c r="AC787" s="46"/>
      <c r="AD787" s="46"/>
      <c r="AE787" s="46"/>
      <c r="AF787" s="46"/>
      <c r="AG787" s="127"/>
      <c r="AH787" s="127"/>
      <c r="AI787" s="127"/>
      <c r="AJ787" s="127"/>
      <c r="AK787" s="46"/>
      <c r="AL787" s="46"/>
      <c r="AM787" s="46"/>
      <c r="AN787" s="46"/>
      <c r="AO787" s="46"/>
    </row>
    <row r="788">
      <c r="A788" s="17"/>
      <c r="B788" s="46"/>
      <c r="C788" s="46"/>
      <c r="D788" s="46"/>
      <c r="E788" s="17"/>
      <c r="F788" s="46"/>
      <c r="G788" s="46"/>
      <c r="H788" s="46"/>
      <c r="I788" s="17"/>
      <c r="J788" s="46"/>
      <c r="K788" s="46"/>
      <c r="L788" s="46"/>
      <c r="M788" s="17"/>
      <c r="N788" s="46"/>
      <c r="O788" s="46"/>
      <c r="P788" s="46"/>
      <c r="Q788" s="46"/>
      <c r="R788" s="46"/>
      <c r="S788" s="46"/>
      <c r="T788" s="46"/>
      <c r="U788" s="46"/>
      <c r="V788" s="46"/>
      <c r="W788" s="46"/>
      <c r="X788" s="46"/>
      <c r="Y788" s="46"/>
      <c r="Z788" s="46"/>
      <c r="AA788" s="46"/>
      <c r="AB788" s="46"/>
      <c r="AC788" s="46"/>
      <c r="AD788" s="46"/>
      <c r="AE788" s="46"/>
      <c r="AF788" s="46"/>
      <c r="AG788" s="127"/>
      <c r="AH788" s="127"/>
      <c r="AI788" s="127"/>
      <c r="AJ788" s="127"/>
      <c r="AK788" s="46"/>
      <c r="AL788" s="46"/>
      <c r="AM788" s="46"/>
      <c r="AN788" s="46"/>
      <c r="AO788" s="46"/>
    </row>
    <row r="789">
      <c r="A789" s="17"/>
      <c r="B789" s="46"/>
      <c r="C789" s="46"/>
      <c r="D789" s="46"/>
      <c r="E789" s="17"/>
      <c r="F789" s="46"/>
      <c r="G789" s="46"/>
      <c r="H789" s="46"/>
      <c r="I789" s="17"/>
      <c r="J789" s="46"/>
      <c r="K789" s="46"/>
      <c r="L789" s="46"/>
      <c r="M789" s="17"/>
      <c r="N789" s="46"/>
      <c r="O789" s="46"/>
      <c r="P789" s="46"/>
      <c r="Q789" s="46"/>
      <c r="R789" s="46"/>
      <c r="S789" s="46"/>
      <c r="T789" s="46"/>
      <c r="U789" s="46"/>
      <c r="V789" s="46"/>
      <c r="W789" s="46"/>
      <c r="X789" s="46"/>
      <c r="Y789" s="46"/>
      <c r="Z789" s="46"/>
      <c r="AA789" s="46"/>
      <c r="AB789" s="46"/>
      <c r="AC789" s="46"/>
      <c r="AD789" s="46"/>
      <c r="AE789" s="46"/>
      <c r="AF789" s="46"/>
      <c r="AG789" s="127"/>
      <c r="AH789" s="127"/>
      <c r="AI789" s="127"/>
      <c r="AJ789" s="127"/>
      <c r="AK789" s="46"/>
      <c r="AL789" s="46"/>
      <c r="AM789" s="46"/>
      <c r="AN789" s="46"/>
      <c r="AO789" s="46"/>
    </row>
    <row r="790">
      <c r="A790" s="17"/>
      <c r="B790" s="46"/>
      <c r="C790" s="46"/>
      <c r="D790" s="46"/>
      <c r="E790" s="17"/>
      <c r="F790" s="46"/>
      <c r="G790" s="46"/>
      <c r="H790" s="46"/>
      <c r="I790" s="17"/>
      <c r="J790" s="46"/>
      <c r="K790" s="46"/>
      <c r="L790" s="46"/>
      <c r="M790" s="17"/>
      <c r="N790" s="46"/>
      <c r="O790" s="46"/>
      <c r="P790" s="46"/>
      <c r="Q790" s="46"/>
      <c r="R790" s="46"/>
      <c r="S790" s="46"/>
      <c r="T790" s="46"/>
      <c r="U790" s="46"/>
      <c r="V790" s="46"/>
      <c r="W790" s="46"/>
      <c r="X790" s="46"/>
      <c r="Y790" s="46"/>
      <c r="Z790" s="46"/>
      <c r="AA790" s="46"/>
      <c r="AB790" s="46"/>
      <c r="AC790" s="46"/>
      <c r="AD790" s="46"/>
      <c r="AE790" s="46"/>
      <c r="AF790" s="46"/>
      <c r="AG790" s="127"/>
      <c r="AH790" s="127"/>
      <c r="AI790" s="127"/>
      <c r="AJ790" s="127"/>
      <c r="AK790" s="46"/>
      <c r="AL790" s="46"/>
      <c r="AM790" s="46"/>
      <c r="AN790" s="46"/>
      <c r="AO790" s="46"/>
    </row>
    <row r="791">
      <c r="A791" s="17"/>
      <c r="B791" s="46"/>
      <c r="C791" s="46"/>
      <c r="D791" s="46"/>
      <c r="E791" s="17"/>
      <c r="F791" s="46"/>
      <c r="G791" s="46"/>
      <c r="H791" s="46"/>
      <c r="I791" s="17"/>
      <c r="J791" s="46"/>
      <c r="K791" s="46"/>
      <c r="L791" s="46"/>
      <c r="M791" s="17"/>
      <c r="N791" s="46"/>
      <c r="O791" s="46"/>
      <c r="P791" s="46"/>
      <c r="Q791" s="46"/>
      <c r="R791" s="46"/>
      <c r="S791" s="46"/>
      <c r="T791" s="46"/>
      <c r="U791" s="46"/>
      <c r="V791" s="46"/>
      <c r="W791" s="46"/>
      <c r="X791" s="46"/>
      <c r="Y791" s="46"/>
      <c r="Z791" s="46"/>
      <c r="AA791" s="46"/>
      <c r="AB791" s="46"/>
      <c r="AC791" s="46"/>
      <c r="AD791" s="46"/>
      <c r="AE791" s="46"/>
      <c r="AF791" s="46"/>
      <c r="AG791" s="127"/>
      <c r="AH791" s="127"/>
      <c r="AI791" s="127"/>
      <c r="AJ791" s="127"/>
      <c r="AK791" s="46"/>
      <c r="AL791" s="46"/>
      <c r="AM791" s="46"/>
      <c r="AN791" s="46"/>
      <c r="AO791" s="46"/>
    </row>
    <row r="792">
      <c r="A792" s="17"/>
      <c r="B792" s="46"/>
      <c r="C792" s="46"/>
      <c r="D792" s="46"/>
      <c r="E792" s="17"/>
      <c r="F792" s="46"/>
      <c r="G792" s="46"/>
      <c r="H792" s="46"/>
      <c r="I792" s="17"/>
      <c r="J792" s="46"/>
      <c r="K792" s="46"/>
      <c r="L792" s="46"/>
      <c r="M792" s="17"/>
      <c r="N792" s="46"/>
      <c r="O792" s="46"/>
      <c r="P792" s="46"/>
      <c r="Q792" s="46"/>
      <c r="R792" s="46"/>
      <c r="S792" s="46"/>
      <c r="T792" s="46"/>
      <c r="U792" s="46"/>
      <c r="V792" s="46"/>
      <c r="W792" s="46"/>
      <c r="X792" s="46"/>
      <c r="Y792" s="46"/>
      <c r="Z792" s="46"/>
      <c r="AA792" s="46"/>
      <c r="AB792" s="46"/>
      <c r="AC792" s="46"/>
      <c r="AD792" s="46"/>
      <c r="AE792" s="46"/>
      <c r="AF792" s="46"/>
      <c r="AG792" s="127"/>
      <c r="AH792" s="127"/>
      <c r="AI792" s="127"/>
      <c r="AJ792" s="127"/>
      <c r="AK792" s="46"/>
      <c r="AL792" s="46"/>
      <c r="AM792" s="46"/>
      <c r="AN792" s="46"/>
      <c r="AO792" s="46"/>
    </row>
    <row r="793">
      <c r="A793" s="17"/>
      <c r="B793" s="46"/>
      <c r="C793" s="46"/>
      <c r="D793" s="46"/>
      <c r="E793" s="17"/>
      <c r="F793" s="46"/>
      <c r="G793" s="46"/>
      <c r="H793" s="46"/>
      <c r="I793" s="17"/>
      <c r="J793" s="46"/>
      <c r="K793" s="46"/>
      <c r="L793" s="46"/>
      <c r="M793" s="17"/>
      <c r="N793" s="46"/>
      <c r="O793" s="46"/>
      <c r="P793" s="46"/>
      <c r="Q793" s="46"/>
      <c r="R793" s="46"/>
      <c r="S793" s="46"/>
      <c r="T793" s="46"/>
      <c r="U793" s="46"/>
      <c r="V793" s="46"/>
      <c r="W793" s="46"/>
      <c r="X793" s="46"/>
      <c r="Y793" s="46"/>
      <c r="Z793" s="46"/>
      <c r="AA793" s="46"/>
      <c r="AB793" s="46"/>
      <c r="AC793" s="46"/>
      <c r="AD793" s="46"/>
      <c r="AE793" s="46"/>
      <c r="AF793" s="46"/>
      <c r="AG793" s="127"/>
      <c r="AH793" s="127"/>
      <c r="AI793" s="127"/>
      <c r="AJ793" s="127"/>
      <c r="AK793" s="46"/>
      <c r="AL793" s="46"/>
      <c r="AM793" s="46"/>
      <c r="AN793" s="46"/>
      <c r="AO793" s="46"/>
    </row>
    <row r="794">
      <c r="A794" s="17"/>
      <c r="B794" s="46"/>
      <c r="C794" s="46"/>
      <c r="D794" s="46"/>
      <c r="E794" s="17"/>
      <c r="F794" s="46"/>
      <c r="G794" s="46"/>
      <c r="H794" s="46"/>
      <c r="I794" s="17"/>
      <c r="J794" s="46"/>
      <c r="K794" s="46"/>
      <c r="L794" s="46"/>
      <c r="M794" s="17"/>
      <c r="N794" s="46"/>
      <c r="O794" s="46"/>
      <c r="P794" s="46"/>
      <c r="Q794" s="46"/>
      <c r="R794" s="46"/>
      <c r="S794" s="46"/>
      <c r="T794" s="46"/>
      <c r="U794" s="46"/>
      <c r="V794" s="46"/>
      <c r="W794" s="46"/>
      <c r="X794" s="46"/>
      <c r="Y794" s="46"/>
      <c r="Z794" s="46"/>
      <c r="AA794" s="46"/>
      <c r="AB794" s="46"/>
      <c r="AC794" s="46"/>
      <c r="AD794" s="46"/>
      <c r="AE794" s="46"/>
      <c r="AF794" s="46"/>
      <c r="AG794" s="127"/>
      <c r="AH794" s="127"/>
      <c r="AI794" s="127"/>
      <c r="AJ794" s="127"/>
      <c r="AK794" s="46"/>
      <c r="AL794" s="46"/>
      <c r="AM794" s="46"/>
      <c r="AN794" s="46"/>
      <c r="AO794" s="46"/>
    </row>
    <row r="795">
      <c r="A795" s="17"/>
      <c r="B795" s="46"/>
      <c r="C795" s="46"/>
      <c r="D795" s="46"/>
      <c r="E795" s="17"/>
      <c r="F795" s="46"/>
      <c r="G795" s="46"/>
      <c r="H795" s="46"/>
      <c r="I795" s="17"/>
      <c r="J795" s="46"/>
      <c r="K795" s="46"/>
      <c r="L795" s="46"/>
      <c r="M795" s="17"/>
      <c r="N795" s="46"/>
      <c r="O795" s="46"/>
      <c r="P795" s="46"/>
      <c r="Q795" s="46"/>
      <c r="R795" s="46"/>
      <c r="S795" s="46"/>
      <c r="T795" s="46"/>
      <c r="U795" s="46"/>
      <c r="V795" s="46"/>
      <c r="W795" s="46"/>
      <c r="X795" s="46"/>
      <c r="Y795" s="46"/>
      <c r="Z795" s="46"/>
      <c r="AA795" s="46"/>
      <c r="AB795" s="46"/>
      <c r="AC795" s="46"/>
      <c r="AD795" s="46"/>
      <c r="AE795" s="46"/>
      <c r="AF795" s="46"/>
      <c r="AG795" s="127"/>
      <c r="AH795" s="127"/>
      <c r="AI795" s="127"/>
      <c r="AJ795" s="127"/>
      <c r="AK795" s="46"/>
      <c r="AL795" s="46"/>
      <c r="AM795" s="46"/>
      <c r="AN795" s="46"/>
      <c r="AO795" s="46"/>
    </row>
    <row r="796">
      <c r="A796" s="17"/>
      <c r="B796" s="46"/>
      <c r="C796" s="46"/>
      <c r="D796" s="46"/>
      <c r="E796" s="17"/>
      <c r="F796" s="46"/>
      <c r="G796" s="46"/>
      <c r="H796" s="46"/>
      <c r="I796" s="17"/>
      <c r="J796" s="46"/>
      <c r="K796" s="46"/>
      <c r="L796" s="46"/>
      <c r="M796" s="17"/>
      <c r="N796" s="46"/>
      <c r="O796" s="46"/>
      <c r="P796" s="46"/>
      <c r="Q796" s="46"/>
      <c r="R796" s="46"/>
      <c r="S796" s="46"/>
      <c r="T796" s="46"/>
      <c r="U796" s="46"/>
      <c r="V796" s="46"/>
      <c r="W796" s="46"/>
      <c r="X796" s="46"/>
      <c r="Y796" s="46"/>
      <c r="Z796" s="46"/>
      <c r="AA796" s="46"/>
      <c r="AB796" s="46"/>
      <c r="AC796" s="46"/>
      <c r="AD796" s="46"/>
      <c r="AE796" s="46"/>
      <c r="AF796" s="46"/>
      <c r="AG796" s="127"/>
      <c r="AH796" s="127"/>
      <c r="AI796" s="127"/>
      <c r="AJ796" s="127"/>
      <c r="AK796" s="46"/>
      <c r="AL796" s="46"/>
      <c r="AM796" s="46"/>
      <c r="AN796" s="46"/>
      <c r="AO796" s="46"/>
    </row>
    <row r="797">
      <c r="A797" s="17"/>
      <c r="B797" s="46"/>
      <c r="C797" s="46"/>
      <c r="D797" s="46"/>
      <c r="E797" s="17"/>
      <c r="F797" s="46"/>
      <c r="G797" s="46"/>
      <c r="H797" s="46"/>
      <c r="I797" s="17"/>
      <c r="J797" s="46"/>
      <c r="K797" s="46"/>
      <c r="L797" s="46"/>
      <c r="M797" s="17"/>
      <c r="N797" s="46"/>
      <c r="O797" s="46"/>
      <c r="P797" s="46"/>
      <c r="Q797" s="46"/>
      <c r="R797" s="46"/>
      <c r="S797" s="46"/>
      <c r="T797" s="46"/>
      <c r="U797" s="46"/>
      <c r="V797" s="46"/>
      <c r="W797" s="46"/>
      <c r="X797" s="46"/>
      <c r="Y797" s="46"/>
      <c r="Z797" s="46"/>
      <c r="AA797" s="46"/>
      <c r="AB797" s="46"/>
      <c r="AC797" s="46"/>
      <c r="AD797" s="46"/>
      <c r="AE797" s="46"/>
      <c r="AF797" s="46"/>
      <c r="AG797" s="127"/>
      <c r="AH797" s="127"/>
      <c r="AI797" s="127"/>
      <c r="AJ797" s="127"/>
      <c r="AK797" s="46"/>
      <c r="AL797" s="46"/>
      <c r="AM797" s="46"/>
      <c r="AN797" s="46"/>
      <c r="AO797" s="46"/>
    </row>
    <row r="798">
      <c r="A798" s="17"/>
      <c r="B798" s="46"/>
      <c r="C798" s="46"/>
      <c r="D798" s="46"/>
      <c r="E798" s="17"/>
      <c r="F798" s="46"/>
      <c r="G798" s="46"/>
      <c r="H798" s="46"/>
      <c r="I798" s="17"/>
      <c r="J798" s="46"/>
      <c r="K798" s="46"/>
      <c r="L798" s="46"/>
      <c r="M798" s="17"/>
      <c r="N798" s="46"/>
      <c r="O798" s="46"/>
      <c r="P798" s="46"/>
      <c r="Q798" s="46"/>
      <c r="R798" s="46"/>
      <c r="S798" s="46"/>
      <c r="T798" s="46"/>
      <c r="U798" s="46"/>
      <c r="V798" s="46"/>
      <c r="W798" s="46"/>
      <c r="X798" s="46"/>
      <c r="Y798" s="46"/>
      <c r="Z798" s="46"/>
      <c r="AA798" s="46"/>
      <c r="AB798" s="46"/>
      <c r="AC798" s="46"/>
      <c r="AD798" s="46"/>
      <c r="AE798" s="46"/>
      <c r="AF798" s="46"/>
      <c r="AG798" s="127"/>
      <c r="AH798" s="127"/>
      <c r="AI798" s="127"/>
      <c r="AJ798" s="127"/>
      <c r="AK798" s="46"/>
      <c r="AL798" s="46"/>
      <c r="AM798" s="46"/>
      <c r="AN798" s="46"/>
      <c r="AO798" s="46"/>
    </row>
    <row r="799">
      <c r="A799" s="17"/>
      <c r="B799" s="46"/>
      <c r="C799" s="46"/>
      <c r="D799" s="46"/>
      <c r="E799" s="17"/>
      <c r="F799" s="46"/>
      <c r="G799" s="46"/>
      <c r="H799" s="46"/>
      <c r="I799" s="17"/>
      <c r="J799" s="46"/>
      <c r="K799" s="46"/>
      <c r="L799" s="46"/>
      <c r="M799" s="17"/>
      <c r="N799" s="46"/>
      <c r="O799" s="46"/>
      <c r="P799" s="46"/>
      <c r="Q799" s="46"/>
      <c r="R799" s="46"/>
      <c r="S799" s="46"/>
      <c r="T799" s="46"/>
      <c r="U799" s="46"/>
      <c r="V799" s="46"/>
      <c r="W799" s="46"/>
      <c r="X799" s="46"/>
      <c r="Y799" s="46"/>
      <c r="Z799" s="46"/>
      <c r="AA799" s="46"/>
      <c r="AB799" s="46"/>
      <c r="AC799" s="46"/>
      <c r="AD799" s="46"/>
      <c r="AE799" s="46"/>
      <c r="AF799" s="46"/>
      <c r="AG799" s="127"/>
      <c r="AH799" s="127"/>
      <c r="AI799" s="127"/>
      <c r="AJ799" s="127"/>
      <c r="AK799" s="46"/>
      <c r="AL799" s="46"/>
      <c r="AM799" s="46"/>
      <c r="AN799" s="46"/>
      <c r="AO799" s="46"/>
    </row>
    <row r="800">
      <c r="A800" s="17"/>
      <c r="B800" s="46"/>
      <c r="C800" s="46"/>
      <c r="D800" s="46"/>
      <c r="E800" s="17"/>
      <c r="F800" s="46"/>
      <c r="G800" s="46"/>
      <c r="H800" s="46"/>
      <c r="I800" s="17"/>
      <c r="J800" s="46"/>
      <c r="K800" s="46"/>
      <c r="L800" s="46"/>
      <c r="M800" s="17"/>
      <c r="N800" s="46"/>
      <c r="O800" s="46"/>
      <c r="P800" s="46"/>
      <c r="Q800" s="46"/>
      <c r="R800" s="46"/>
      <c r="S800" s="46"/>
      <c r="T800" s="46"/>
      <c r="U800" s="46"/>
      <c r="V800" s="46"/>
      <c r="W800" s="46"/>
      <c r="X800" s="46"/>
      <c r="Y800" s="46"/>
      <c r="Z800" s="46"/>
      <c r="AA800" s="46"/>
      <c r="AB800" s="46"/>
      <c r="AC800" s="46"/>
      <c r="AD800" s="46"/>
      <c r="AE800" s="46"/>
      <c r="AF800" s="46"/>
      <c r="AG800" s="127"/>
      <c r="AH800" s="127"/>
      <c r="AI800" s="127"/>
      <c r="AJ800" s="127"/>
      <c r="AK800" s="46"/>
      <c r="AL800" s="46"/>
      <c r="AM800" s="46"/>
      <c r="AN800" s="46"/>
      <c r="AO800" s="46"/>
    </row>
    <row r="801">
      <c r="A801" s="17"/>
      <c r="B801" s="46"/>
      <c r="C801" s="46"/>
      <c r="D801" s="46"/>
      <c r="E801" s="17"/>
      <c r="F801" s="46"/>
      <c r="G801" s="46"/>
      <c r="H801" s="46"/>
      <c r="I801" s="17"/>
      <c r="J801" s="46"/>
      <c r="K801" s="46"/>
      <c r="L801" s="46"/>
      <c r="M801" s="17"/>
      <c r="N801" s="46"/>
      <c r="O801" s="46"/>
      <c r="P801" s="46"/>
      <c r="Q801" s="46"/>
      <c r="R801" s="46"/>
      <c r="S801" s="46"/>
      <c r="T801" s="46"/>
      <c r="U801" s="46"/>
      <c r="V801" s="46"/>
      <c r="W801" s="46"/>
      <c r="X801" s="46"/>
      <c r="Y801" s="46"/>
      <c r="Z801" s="46"/>
      <c r="AA801" s="46"/>
      <c r="AB801" s="46"/>
      <c r="AC801" s="46"/>
      <c r="AD801" s="46"/>
      <c r="AE801" s="46"/>
      <c r="AF801" s="46"/>
      <c r="AG801" s="127"/>
      <c r="AH801" s="127"/>
      <c r="AI801" s="127"/>
      <c r="AJ801" s="127"/>
      <c r="AK801" s="46"/>
      <c r="AL801" s="46"/>
      <c r="AM801" s="46"/>
      <c r="AN801" s="46"/>
      <c r="AO801" s="46"/>
    </row>
    <row r="802">
      <c r="A802" s="17"/>
      <c r="B802" s="46"/>
      <c r="C802" s="46"/>
      <c r="D802" s="46"/>
      <c r="E802" s="17"/>
      <c r="F802" s="46"/>
      <c r="G802" s="46"/>
      <c r="H802" s="46"/>
      <c r="I802" s="17"/>
      <c r="J802" s="46"/>
      <c r="K802" s="46"/>
      <c r="L802" s="46"/>
      <c r="M802" s="17"/>
      <c r="N802" s="46"/>
      <c r="O802" s="46"/>
      <c r="P802" s="46"/>
      <c r="Q802" s="46"/>
      <c r="R802" s="46"/>
      <c r="S802" s="46"/>
      <c r="T802" s="46"/>
      <c r="U802" s="46"/>
      <c r="V802" s="46"/>
      <c r="W802" s="46"/>
      <c r="X802" s="46"/>
      <c r="Y802" s="46"/>
      <c r="Z802" s="46"/>
      <c r="AA802" s="46"/>
      <c r="AB802" s="46"/>
      <c r="AC802" s="46"/>
      <c r="AD802" s="46"/>
      <c r="AE802" s="46"/>
      <c r="AF802" s="46"/>
      <c r="AG802" s="127"/>
      <c r="AH802" s="127"/>
      <c r="AI802" s="127"/>
      <c r="AJ802" s="127"/>
      <c r="AK802" s="46"/>
      <c r="AL802" s="46"/>
      <c r="AM802" s="46"/>
      <c r="AN802" s="46"/>
      <c r="AO802" s="46"/>
    </row>
    <row r="803">
      <c r="A803" s="17"/>
      <c r="B803" s="46"/>
      <c r="C803" s="46"/>
      <c r="D803" s="46"/>
      <c r="E803" s="17"/>
      <c r="F803" s="46"/>
      <c r="G803" s="46"/>
      <c r="H803" s="46"/>
      <c r="I803" s="17"/>
      <c r="J803" s="46"/>
      <c r="K803" s="46"/>
      <c r="L803" s="46"/>
      <c r="M803" s="17"/>
      <c r="N803" s="46"/>
      <c r="O803" s="46"/>
      <c r="P803" s="46"/>
      <c r="Q803" s="46"/>
      <c r="R803" s="46"/>
      <c r="S803" s="46"/>
      <c r="T803" s="46"/>
      <c r="U803" s="46"/>
      <c r="V803" s="46"/>
      <c r="W803" s="46"/>
      <c r="X803" s="46"/>
      <c r="Y803" s="46"/>
      <c r="Z803" s="46"/>
      <c r="AA803" s="46"/>
      <c r="AB803" s="46"/>
      <c r="AC803" s="46"/>
      <c r="AD803" s="46"/>
      <c r="AE803" s="46"/>
      <c r="AF803" s="46"/>
      <c r="AG803" s="127"/>
      <c r="AH803" s="127"/>
      <c r="AI803" s="127"/>
      <c r="AJ803" s="127"/>
      <c r="AK803" s="46"/>
      <c r="AL803" s="46"/>
      <c r="AM803" s="46"/>
      <c r="AN803" s="46"/>
      <c r="AO803" s="46"/>
    </row>
    <row r="804">
      <c r="A804" s="17"/>
      <c r="B804" s="46"/>
      <c r="C804" s="46"/>
      <c r="D804" s="46"/>
      <c r="E804" s="17"/>
      <c r="F804" s="46"/>
      <c r="G804" s="46"/>
      <c r="H804" s="46"/>
      <c r="I804" s="17"/>
      <c r="J804" s="46"/>
      <c r="K804" s="46"/>
      <c r="L804" s="46"/>
      <c r="M804" s="17"/>
      <c r="N804" s="46"/>
      <c r="O804" s="46"/>
      <c r="P804" s="46"/>
      <c r="Q804" s="46"/>
      <c r="R804" s="46"/>
      <c r="S804" s="46"/>
      <c r="T804" s="46"/>
      <c r="U804" s="46"/>
      <c r="V804" s="46"/>
      <c r="W804" s="46"/>
      <c r="X804" s="46"/>
      <c r="Y804" s="46"/>
      <c r="Z804" s="46"/>
      <c r="AA804" s="46"/>
      <c r="AB804" s="46"/>
      <c r="AC804" s="46"/>
      <c r="AD804" s="46"/>
      <c r="AE804" s="46"/>
      <c r="AF804" s="46"/>
      <c r="AG804" s="127"/>
      <c r="AH804" s="127"/>
      <c r="AI804" s="127"/>
      <c r="AJ804" s="127"/>
      <c r="AK804" s="46"/>
      <c r="AL804" s="46"/>
      <c r="AM804" s="46"/>
      <c r="AN804" s="46"/>
      <c r="AO804" s="46"/>
    </row>
    <row r="805">
      <c r="A805" s="17"/>
      <c r="B805" s="46"/>
      <c r="C805" s="46"/>
      <c r="D805" s="46"/>
      <c r="E805" s="17"/>
      <c r="F805" s="46"/>
      <c r="G805" s="46"/>
      <c r="H805" s="46"/>
      <c r="I805" s="17"/>
      <c r="J805" s="46"/>
      <c r="K805" s="46"/>
      <c r="L805" s="46"/>
      <c r="M805" s="17"/>
      <c r="N805" s="46"/>
      <c r="O805" s="46"/>
      <c r="P805" s="46"/>
      <c r="Q805" s="46"/>
      <c r="R805" s="46"/>
      <c r="S805" s="46"/>
      <c r="T805" s="46"/>
      <c r="U805" s="46"/>
      <c r="V805" s="46"/>
      <c r="W805" s="46"/>
      <c r="X805" s="46"/>
      <c r="Y805" s="46"/>
      <c r="Z805" s="46"/>
      <c r="AA805" s="46"/>
      <c r="AB805" s="46"/>
      <c r="AC805" s="46"/>
      <c r="AD805" s="46"/>
      <c r="AE805" s="46"/>
      <c r="AF805" s="46"/>
      <c r="AG805" s="127"/>
      <c r="AH805" s="127"/>
      <c r="AI805" s="127"/>
      <c r="AJ805" s="127"/>
      <c r="AK805" s="46"/>
      <c r="AL805" s="46"/>
      <c r="AM805" s="46"/>
      <c r="AN805" s="46"/>
      <c r="AO805" s="46"/>
    </row>
    <row r="806">
      <c r="A806" s="17"/>
      <c r="B806" s="46"/>
      <c r="C806" s="46"/>
      <c r="D806" s="46"/>
      <c r="E806" s="17"/>
      <c r="F806" s="46"/>
      <c r="G806" s="46"/>
      <c r="H806" s="46"/>
      <c r="I806" s="17"/>
      <c r="J806" s="46"/>
      <c r="K806" s="46"/>
      <c r="L806" s="46"/>
      <c r="M806" s="17"/>
      <c r="N806" s="46"/>
      <c r="O806" s="46"/>
      <c r="P806" s="46"/>
      <c r="Q806" s="46"/>
      <c r="R806" s="46"/>
      <c r="S806" s="46"/>
      <c r="T806" s="46"/>
      <c r="U806" s="46"/>
      <c r="V806" s="46"/>
      <c r="W806" s="46"/>
      <c r="X806" s="46"/>
      <c r="Y806" s="46"/>
      <c r="Z806" s="46"/>
      <c r="AA806" s="46"/>
      <c r="AB806" s="46"/>
      <c r="AC806" s="46"/>
      <c r="AD806" s="46"/>
      <c r="AE806" s="46"/>
      <c r="AF806" s="46"/>
      <c r="AG806" s="127"/>
      <c r="AH806" s="127"/>
      <c r="AI806" s="127"/>
      <c r="AJ806" s="127"/>
      <c r="AK806" s="46"/>
      <c r="AL806" s="46"/>
      <c r="AM806" s="46"/>
      <c r="AN806" s="46"/>
      <c r="AO806" s="46"/>
    </row>
    <row r="807">
      <c r="A807" s="17"/>
      <c r="B807" s="46"/>
      <c r="C807" s="46"/>
      <c r="D807" s="46"/>
      <c r="E807" s="17"/>
      <c r="F807" s="46"/>
      <c r="G807" s="46"/>
      <c r="H807" s="46"/>
      <c r="I807" s="17"/>
      <c r="J807" s="46"/>
      <c r="K807" s="46"/>
      <c r="L807" s="46"/>
      <c r="M807" s="17"/>
      <c r="N807" s="46"/>
      <c r="O807" s="46"/>
      <c r="P807" s="46"/>
      <c r="Q807" s="46"/>
      <c r="R807" s="46"/>
      <c r="S807" s="46"/>
      <c r="T807" s="46"/>
      <c r="U807" s="46"/>
      <c r="V807" s="46"/>
      <c r="W807" s="46"/>
      <c r="X807" s="46"/>
      <c r="Y807" s="46"/>
      <c r="Z807" s="46"/>
      <c r="AA807" s="46"/>
      <c r="AB807" s="46"/>
      <c r="AC807" s="46"/>
      <c r="AD807" s="46"/>
      <c r="AE807" s="46"/>
      <c r="AF807" s="46"/>
      <c r="AG807" s="127"/>
      <c r="AH807" s="127"/>
      <c r="AI807" s="127"/>
      <c r="AJ807" s="127"/>
      <c r="AK807" s="46"/>
      <c r="AL807" s="46"/>
      <c r="AM807" s="46"/>
      <c r="AN807" s="46"/>
      <c r="AO807" s="46"/>
    </row>
    <row r="808">
      <c r="A808" s="17"/>
      <c r="B808" s="46"/>
      <c r="C808" s="46"/>
      <c r="D808" s="46"/>
      <c r="E808" s="17"/>
      <c r="F808" s="46"/>
      <c r="G808" s="46"/>
      <c r="H808" s="46"/>
      <c r="I808" s="17"/>
      <c r="J808" s="46"/>
      <c r="K808" s="46"/>
      <c r="L808" s="46"/>
      <c r="M808" s="17"/>
      <c r="N808" s="46"/>
      <c r="O808" s="46"/>
      <c r="P808" s="46"/>
      <c r="Q808" s="46"/>
      <c r="R808" s="46"/>
      <c r="S808" s="46"/>
      <c r="T808" s="46"/>
      <c r="U808" s="46"/>
      <c r="V808" s="46"/>
      <c r="W808" s="46"/>
      <c r="X808" s="46"/>
      <c r="Y808" s="46"/>
      <c r="Z808" s="46"/>
      <c r="AA808" s="46"/>
      <c r="AB808" s="46"/>
      <c r="AC808" s="46"/>
      <c r="AD808" s="46"/>
      <c r="AE808" s="46"/>
      <c r="AF808" s="46"/>
      <c r="AG808" s="127"/>
      <c r="AH808" s="127"/>
      <c r="AI808" s="127"/>
      <c r="AJ808" s="127"/>
      <c r="AK808" s="46"/>
      <c r="AL808" s="46"/>
      <c r="AM808" s="46"/>
      <c r="AN808" s="46"/>
      <c r="AO808" s="46"/>
    </row>
    <row r="809">
      <c r="A809" s="17"/>
      <c r="B809" s="46"/>
      <c r="C809" s="46"/>
      <c r="D809" s="46"/>
      <c r="E809" s="17"/>
      <c r="F809" s="46"/>
      <c r="G809" s="46"/>
      <c r="H809" s="46"/>
      <c r="I809" s="17"/>
      <c r="J809" s="46"/>
      <c r="K809" s="46"/>
      <c r="L809" s="46"/>
      <c r="M809" s="17"/>
      <c r="N809" s="46"/>
      <c r="O809" s="46"/>
      <c r="P809" s="46"/>
      <c r="Q809" s="46"/>
      <c r="R809" s="46"/>
      <c r="S809" s="46"/>
      <c r="T809" s="46"/>
      <c r="U809" s="46"/>
      <c r="V809" s="46"/>
      <c r="W809" s="46"/>
      <c r="X809" s="46"/>
      <c r="Y809" s="46"/>
      <c r="Z809" s="46"/>
      <c r="AA809" s="46"/>
      <c r="AB809" s="46"/>
      <c r="AC809" s="46"/>
      <c r="AD809" s="46"/>
      <c r="AE809" s="46"/>
      <c r="AF809" s="46"/>
      <c r="AG809" s="127"/>
      <c r="AH809" s="127"/>
      <c r="AI809" s="127"/>
      <c r="AJ809" s="127"/>
      <c r="AK809" s="46"/>
      <c r="AL809" s="46"/>
      <c r="AM809" s="46"/>
      <c r="AN809" s="46"/>
      <c r="AO809" s="46"/>
    </row>
    <row r="810">
      <c r="A810" s="17"/>
      <c r="B810" s="46"/>
      <c r="C810" s="46"/>
      <c r="D810" s="46"/>
      <c r="E810" s="17"/>
      <c r="F810" s="46"/>
      <c r="G810" s="46"/>
      <c r="H810" s="46"/>
      <c r="I810" s="17"/>
      <c r="J810" s="46"/>
      <c r="K810" s="46"/>
      <c r="L810" s="46"/>
      <c r="M810" s="17"/>
      <c r="N810" s="46"/>
      <c r="O810" s="46"/>
      <c r="P810" s="46"/>
      <c r="Q810" s="46"/>
      <c r="R810" s="46"/>
      <c r="S810" s="46"/>
      <c r="T810" s="46"/>
      <c r="U810" s="46"/>
      <c r="V810" s="46"/>
      <c r="W810" s="46"/>
      <c r="X810" s="46"/>
      <c r="Y810" s="46"/>
      <c r="Z810" s="46"/>
      <c r="AA810" s="46"/>
      <c r="AB810" s="46"/>
      <c r="AC810" s="46"/>
      <c r="AD810" s="46"/>
      <c r="AE810" s="46"/>
      <c r="AF810" s="46"/>
      <c r="AG810" s="127"/>
      <c r="AH810" s="127"/>
      <c r="AI810" s="127"/>
      <c r="AJ810" s="127"/>
      <c r="AK810" s="46"/>
      <c r="AL810" s="46"/>
      <c r="AM810" s="46"/>
      <c r="AN810" s="46"/>
      <c r="AO810" s="46"/>
    </row>
    <row r="811">
      <c r="A811" s="17"/>
      <c r="B811" s="46"/>
      <c r="C811" s="46"/>
      <c r="D811" s="46"/>
      <c r="E811" s="17"/>
      <c r="F811" s="46"/>
      <c r="G811" s="46"/>
      <c r="H811" s="46"/>
      <c r="I811" s="17"/>
      <c r="J811" s="46"/>
      <c r="K811" s="46"/>
      <c r="L811" s="46"/>
      <c r="M811" s="17"/>
      <c r="N811" s="46"/>
      <c r="O811" s="46"/>
      <c r="P811" s="46"/>
      <c r="Q811" s="46"/>
      <c r="R811" s="46"/>
      <c r="S811" s="46"/>
      <c r="T811" s="46"/>
      <c r="U811" s="46"/>
      <c r="V811" s="46"/>
      <c r="W811" s="46"/>
      <c r="X811" s="46"/>
      <c r="Y811" s="46"/>
      <c r="Z811" s="46"/>
      <c r="AA811" s="46"/>
      <c r="AB811" s="46"/>
      <c r="AC811" s="46"/>
      <c r="AD811" s="46"/>
      <c r="AE811" s="46"/>
      <c r="AF811" s="46"/>
      <c r="AG811" s="127"/>
      <c r="AH811" s="127"/>
      <c r="AI811" s="127"/>
      <c r="AJ811" s="127"/>
      <c r="AK811" s="46"/>
      <c r="AL811" s="46"/>
      <c r="AM811" s="46"/>
      <c r="AN811" s="46"/>
      <c r="AO811" s="46"/>
    </row>
    <row r="812">
      <c r="A812" s="17"/>
      <c r="B812" s="46"/>
      <c r="C812" s="46"/>
      <c r="D812" s="46"/>
      <c r="E812" s="17"/>
      <c r="F812" s="46"/>
      <c r="G812" s="46"/>
      <c r="H812" s="46"/>
      <c r="I812" s="17"/>
      <c r="J812" s="46"/>
      <c r="K812" s="46"/>
      <c r="L812" s="46"/>
      <c r="M812" s="17"/>
      <c r="N812" s="46"/>
      <c r="O812" s="46"/>
      <c r="P812" s="46"/>
      <c r="Q812" s="46"/>
      <c r="R812" s="46"/>
      <c r="S812" s="46"/>
      <c r="T812" s="46"/>
      <c r="U812" s="46"/>
      <c r="V812" s="46"/>
      <c r="W812" s="46"/>
      <c r="X812" s="46"/>
      <c r="Y812" s="46"/>
      <c r="Z812" s="46"/>
      <c r="AA812" s="46"/>
      <c r="AB812" s="46"/>
      <c r="AC812" s="46"/>
      <c r="AD812" s="46"/>
      <c r="AE812" s="46"/>
      <c r="AF812" s="46"/>
      <c r="AG812" s="127"/>
      <c r="AH812" s="127"/>
      <c r="AI812" s="127"/>
      <c r="AJ812" s="127"/>
      <c r="AK812" s="46"/>
      <c r="AL812" s="46"/>
      <c r="AM812" s="46"/>
      <c r="AN812" s="46"/>
      <c r="AO812" s="46"/>
    </row>
    <row r="813">
      <c r="A813" s="17"/>
      <c r="B813" s="46"/>
      <c r="C813" s="46"/>
      <c r="D813" s="46"/>
      <c r="E813" s="17"/>
      <c r="F813" s="46"/>
      <c r="G813" s="46"/>
      <c r="H813" s="46"/>
      <c r="I813" s="17"/>
      <c r="J813" s="46"/>
      <c r="K813" s="46"/>
      <c r="L813" s="46"/>
      <c r="M813" s="17"/>
      <c r="N813" s="46"/>
      <c r="O813" s="46"/>
      <c r="P813" s="46"/>
      <c r="Q813" s="46"/>
      <c r="R813" s="46"/>
      <c r="S813" s="46"/>
      <c r="T813" s="46"/>
      <c r="U813" s="46"/>
      <c r="V813" s="46"/>
      <c r="W813" s="46"/>
      <c r="X813" s="46"/>
      <c r="Y813" s="46"/>
      <c r="Z813" s="46"/>
      <c r="AA813" s="46"/>
      <c r="AB813" s="46"/>
      <c r="AC813" s="46"/>
      <c r="AD813" s="46"/>
      <c r="AE813" s="46"/>
      <c r="AF813" s="46"/>
      <c r="AG813" s="127"/>
      <c r="AH813" s="127"/>
      <c r="AI813" s="127"/>
      <c r="AJ813" s="127"/>
      <c r="AK813" s="46"/>
      <c r="AL813" s="46"/>
      <c r="AM813" s="46"/>
      <c r="AN813" s="46"/>
      <c r="AO813" s="46"/>
    </row>
    <row r="814">
      <c r="A814" s="17"/>
      <c r="B814" s="46"/>
      <c r="C814" s="46"/>
      <c r="D814" s="46"/>
      <c r="E814" s="17"/>
      <c r="F814" s="46"/>
      <c r="G814" s="46"/>
      <c r="H814" s="46"/>
      <c r="I814" s="17"/>
      <c r="J814" s="46"/>
      <c r="K814" s="46"/>
      <c r="L814" s="46"/>
      <c r="M814" s="17"/>
      <c r="N814" s="46"/>
      <c r="O814" s="46"/>
      <c r="P814" s="46"/>
      <c r="Q814" s="46"/>
      <c r="R814" s="46"/>
      <c r="S814" s="46"/>
      <c r="T814" s="46"/>
      <c r="U814" s="46"/>
      <c r="V814" s="46"/>
      <c r="W814" s="46"/>
      <c r="X814" s="46"/>
      <c r="Y814" s="46"/>
      <c r="Z814" s="46"/>
      <c r="AA814" s="46"/>
      <c r="AB814" s="46"/>
      <c r="AC814" s="46"/>
      <c r="AD814" s="46"/>
      <c r="AE814" s="46"/>
      <c r="AF814" s="46"/>
      <c r="AG814" s="127"/>
      <c r="AH814" s="127"/>
      <c r="AI814" s="127"/>
      <c r="AJ814" s="127"/>
      <c r="AK814" s="46"/>
      <c r="AL814" s="46"/>
      <c r="AM814" s="46"/>
      <c r="AN814" s="46"/>
      <c r="AO814" s="46"/>
    </row>
    <row r="815">
      <c r="A815" s="17"/>
      <c r="B815" s="46"/>
      <c r="C815" s="46"/>
      <c r="D815" s="46"/>
      <c r="E815" s="17"/>
      <c r="F815" s="46"/>
      <c r="G815" s="46"/>
      <c r="H815" s="46"/>
      <c r="I815" s="17"/>
      <c r="J815" s="46"/>
      <c r="K815" s="46"/>
      <c r="L815" s="46"/>
      <c r="M815" s="17"/>
      <c r="N815" s="46"/>
      <c r="O815" s="46"/>
      <c r="P815" s="46"/>
      <c r="Q815" s="46"/>
      <c r="R815" s="46"/>
      <c r="S815" s="46"/>
      <c r="T815" s="46"/>
      <c r="U815" s="46"/>
      <c r="V815" s="46"/>
      <c r="W815" s="46"/>
      <c r="X815" s="46"/>
      <c r="Y815" s="46"/>
      <c r="Z815" s="46"/>
      <c r="AA815" s="46"/>
      <c r="AB815" s="46"/>
      <c r="AC815" s="46"/>
      <c r="AD815" s="46"/>
      <c r="AE815" s="46"/>
      <c r="AF815" s="46"/>
      <c r="AG815" s="127"/>
      <c r="AH815" s="127"/>
      <c r="AI815" s="127"/>
      <c r="AJ815" s="127"/>
      <c r="AK815" s="46"/>
      <c r="AL815" s="46"/>
      <c r="AM815" s="46"/>
      <c r="AN815" s="46"/>
      <c r="AO815" s="46"/>
    </row>
    <row r="816">
      <c r="A816" s="17"/>
      <c r="B816" s="46"/>
      <c r="C816" s="46"/>
      <c r="D816" s="46"/>
      <c r="E816" s="17"/>
      <c r="F816" s="46"/>
      <c r="G816" s="46"/>
      <c r="H816" s="46"/>
      <c r="I816" s="17"/>
      <c r="J816" s="46"/>
      <c r="K816" s="46"/>
      <c r="L816" s="46"/>
      <c r="M816" s="17"/>
      <c r="N816" s="46"/>
      <c r="O816" s="46"/>
      <c r="P816" s="46"/>
      <c r="Q816" s="46"/>
      <c r="R816" s="46"/>
      <c r="S816" s="46"/>
      <c r="T816" s="46"/>
      <c r="U816" s="46"/>
      <c r="V816" s="46"/>
      <c r="W816" s="46"/>
      <c r="X816" s="46"/>
      <c r="Y816" s="46"/>
      <c r="Z816" s="46"/>
      <c r="AA816" s="46"/>
      <c r="AB816" s="46"/>
      <c r="AC816" s="46"/>
      <c r="AD816" s="46"/>
      <c r="AE816" s="46"/>
      <c r="AF816" s="46"/>
      <c r="AG816" s="127"/>
      <c r="AH816" s="127"/>
      <c r="AI816" s="127"/>
      <c r="AJ816" s="127"/>
      <c r="AK816" s="46"/>
      <c r="AL816" s="46"/>
      <c r="AM816" s="46"/>
      <c r="AN816" s="46"/>
      <c r="AO816" s="46"/>
    </row>
    <row r="817">
      <c r="A817" s="17"/>
      <c r="B817" s="46"/>
      <c r="C817" s="46"/>
      <c r="D817" s="46"/>
      <c r="E817" s="17"/>
      <c r="F817" s="46"/>
      <c r="G817" s="46"/>
      <c r="H817" s="46"/>
      <c r="I817" s="17"/>
      <c r="J817" s="46"/>
      <c r="K817" s="46"/>
      <c r="L817" s="46"/>
      <c r="M817" s="17"/>
      <c r="N817" s="46"/>
      <c r="O817" s="46"/>
      <c r="P817" s="46"/>
      <c r="Q817" s="46"/>
      <c r="R817" s="46"/>
      <c r="S817" s="46"/>
      <c r="T817" s="46"/>
      <c r="U817" s="46"/>
      <c r="V817" s="46"/>
      <c r="W817" s="46"/>
      <c r="X817" s="46"/>
      <c r="Y817" s="46"/>
      <c r="Z817" s="46"/>
      <c r="AA817" s="46"/>
      <c r="AB817" s="46"/>
      <c r="AC817" s="46"/>
      <c r="AD817" s="46"/>
      <c r="AE817" s="46"/>
      <c r="AF817" s="46"/>
      <c r="AG817" s="127"/>
      <c r="AH817" s="127"/>
      <c r="AI817" s="127"/>
      <c r="AJ817" s="127"/>
      <c r="AK817" s="46"/>
      <c r="AL817" s="46"/>
      <c r="AM817" s="46"/>
      <c r="AN817" s="46"/>
      <c r="AO817" s="46"/>
    </row>
    <row r="818">
      <c r="A818" s="17"/>
      <c r="B818" s="46"/>
      <c r="C818" s="46"/>
      <c r="D818" s="46"/>
      <c r="E818" s="17"/>
      <c r="F818" s="46"/>
      <c r="G818" s="46"/>
      <c r="H818" s="46"/>
      <c r="I818" s="17"/>
      <c r="J818" s="46"/>
      <c r="K818" s="46"/>
      <c r="L818" s="46"/>
      <c r="M818" s="17"/>
      <c r="N818" s="46"/>
      <c r="O818" s="46"/>
      <c r="P818" s="46"/>
      <c r="Q818" s="46"/>
      <c r="R818" s="46"/>
      <c r="S818" s="46"/>
      <c r="T818" s="46"/>
      <c r="U818" s="46"/>
      <c r="V818" s="46"/>
      <c r="W818" s="46"/>
      <c r="X818" s="46"/>
      <c r="Y818" s="46"/>
      <c r="Z818" s="46"/>
      <c r="AA818" s="46"/>
      <c r="AB818" s="46"/>
      <c r="AC818" s="46"/>
      <c r="AD818" s="46"/>
      <c r="AE818" s="46"/>
      <c r="AF818" s="46"/>
      <c r="AG818" s="127"/>
      <c r="AH818" s="127"/>
      <c r="AI818" s="127"/>
      <c r="AJ818" s="127"/>
      <c r="AK818" s="46"/>
      <c r="AL818" s="46"/>
      <c r="AM818" s="46"/>
      <c r="AN818" s="46"/>
      <c r="AO818" s="46"/>
    </row>
    <row r="819">
      <c r="A819" s="17"/>
      <c r="B819" s="46"/>
      <c r="C819" s="46"/>
      <c r="D819" s="46"/>
      <c r="E819" s="17"/>
      <c r="F819" s="46"/>
      <c r="G819" s="46"/>
      <c r="H819" s="46"/>
      <c r="I819" s="17"/>
      <c r="J819" s="46"/>
      <c r="K819" s="46"/>
      <c r="L819" s="46"/>
      <c r="M819" s="17"/>
      <c r="N819" s="46"/>
      <c r="O819" s="46"/>
      <c r="P819" s="46"/>
      <c r="Q819" s="46"/>
      <c r="R819" s="46"/>
      <c r="S819" s="46"/>
      <c r="T819" s="46"/>
      <c r="U819" s="46"/>
      <c r="V819" s="46"/>
      <c r="W819" s="46"/>
      <c r="X819" s="46"/>
      <c r="Y819" s="46"/>
      <c r="Z819" s="46"/>
      <c r="AA819" s="46"/>
      <c r="AB819" s="46"/>
      <c r="AC819" s="46"/>
      <c r="AD819" s="46"/>
      <c r="AE819" s="46"/>
      <c r="AF819" s="46"/>
      <c r="AG819" s="127"/>
      <c r="AH819" s="127"/>
      <c r="AI819" s="127"/>
      <c r="AJ819" s="127"/>
      <c r="AK819" s="46"/>
      <c r="AL819" s="46"/>
      <c r="AM819" s="46"/>
      <c r="AN819" s="46"/>
      <c r="AO819" s="46"/>
    </row>
    <row r="820">
      <c r="A820" s="17"/>
      <c r="B820" s="46"/>
      <c r="C820" s="46"/>
      <c r="D820" s="46"/>
      <c r="E820" s="17"/>
      <c r="F820" s="46"/>
      <c r="G820" s="46"/>
      <c r="H820" s="46"/>
      <c r="I820" s="17"/>
      <c r="J820" s="46"/>
      <c r="K820" s="46"/>
      <c r="L820" s="46"/>
      <c r="M820" s="17"/>
      <c r="N820" s="46"/>
      <c r="O820" s="46"/>
      <c r="P820" s="46"/>
      <c r="Q820" s="46"/>
      <c r="R820" s="46"/>
      <c r="S820" s="46"/>
      <c r="T820" s="46"/>
      <c r="U820" s="46"/>
      <c r="V820" s="46"/>
      <c r="W820" s="46"/>
      <c r="X820" s="46"/>
      <c r="Y820" s="46"/>
      <c r="Z820" s="46"/>
      <c r="AA820" s="46"/>
      <c r="AB820" s="46"/>
      <c r="AC820" s="46"/>
      <c r="AD820" s="46"/>
      <c r="AE820" s="46"/>
      <c r="AF820" s="46"/>
      <c r="AG820" s="127"/>
      <c r="AH820" s="127"/>
      <c r="AI820" s="127"/>
      <c r="AJ820" s="127"/>
      <c r="AK820" s="46"/>
      <c r="AL820" s="46"/>
      <c r="AM820" s="46"/>
      <c r="AN820" s="46"/>
      <c r="AO820" s="46"/>
    </row>
    <row r="821">
      <c r="A821" s="17"/>
      <c r="B821" s="46"/>
      <c r="C821" s="46"/>
      <c r="D821" s="46"/>
      <c r="E821" s="17"/>
      <c r="F821" s="46"/>
      <c r="G821" s="46"/>
      <c r="H821" s="46"/>
      <c r="I821" s="17"/>
      <c r="J821" s="46"/>
      <c r="K821" s="46"/>
      <c r="L821" s="46"/>
      <c r="M821" s="17"/>
      <c r="N821" s="46"/>
      <c r="O821" s="46"/>
      <c r="P821" s="46"/>
      <c r="Q821" s="46"/>
      <c r="R821" s="46"/>
      <c r="S821" s="46"/>
      <c r="T821" s="46"/>
      <c r="U821" s="46"/>
      <c r="V821" s="46"/>
      <c r="W821" s="46"/>
      <c r="X821" s="46"/>
      <c r="Y821" s="46"/>
      <c r="Z821" s="46"/>
      <c r="AA821" s="46"/>
      <c r="AB821" s="46"/>
      <c r="AC821" s="46"/>
      <c r="AD821" s="46"/>
      <c r="AE821" s="46"/>
      <c r="AF821" s="46"/>
      <c r="AG821" s="127"/>
      <c r="AH821" s="127"/>
      <c r="AI821" s="127"/>
      <c r="AJ821" s="127"/>
      <c r="AK821" s="46"/>
      <c r="AL821" s="46"/>
      <c r="AM821" s="46"/>
      <c r="AN821" s="46"/>
      <c r="AO821" s="46"/>
    </row>
    <row r="822">
      <c r="A822" s="17"/>
      <c r="B822" s="46"/>
      <c r="C822" s="46"/>
      <c r="D822" s="46"/>
      <c r="E822" s="17"/>
      <c r="F822" s="46"/>
      <c r="G822" s="46"/>
      <c r="H822" s="46"/>
      <c r="I822" s="17"/>
      <c r="J822" s="46"/>
      <c r="K822" s="46"/>
      <c r="L822" s="46"/>
      <c r="M822" s="17"/>
      <c r="N822" s="46"/>
      <c r="O822" s="46"/>
      <c r="P822" s="46"/>
      <c r="Q822" s="46"/>
      <c r="R822" s="46"/>
      <c r="S822" s="46"/>
      <c r="T822" s="46"/>
      <c r="U822" s="46"/>
      <c r="V822" s="46"/>
      <c r="W822" s="46"/>
      <c r="X822" s="46"/>
      <c r="Y822" s="46"/>
      <c r="Z822" s="46"/>
      <c r="AA822" s="46"/>
      <c r="AB822" s="46"/>
      <c r="AC822" s="46"/>
      <c r="AD822" s="46"/>
      <c r="AE822" s="46"/>
      <c r="AF822" s="46"/>
      <c r="AG822" s="127"/>
      <c r="AH822" s="127"/>
      <c r="AI822" s="127"/>
      <c r="AJ822" s="127"/>
      <c r="AK822" s="46"/>
      <c r="AL822" s="46"/>
      <c r="AM822" s="46"/>
      <c r="AN822" s="46"/>
      <c r="AO822" s="46"/>
    </row>
    <row r="823">
      <c r="A823" s="17"/>
      <c r="B823" s="46"/>
      <c r="C823" s="46"/>
      <c r="D823" s="46"/>
      <c r="E823" s="17"/>
      <c r="F823" s="46"/>
      <c r="G823" s="46"/>
      <c r="H823" s="46"/>
      <c r="I823" s="17"/>
      <c r="J823" s="46"/>
      <c r="K823" s="46"/>
      <c r="L823" s="46"/>
      <c r="M823" s="17"/>
      <c r="N823" s="46"/>
      <c r="O823" s="46"/>
      <c r="P823" s="46"/>
      <c r="Q823" s="46"/>
      <c r="R823" s="46"/>
      <c r="S823" s="46"/>
      <c r="T823" s="46"/>
      <c r="U823" s="46"/>
      <c r="V823" s="46"/>
      <c r="W823" s="46"/>
      <c r="X823" s="46"/>
      <c r="Y823" s="46"/>
      <c r="Z823" s="46"/>
      <c r="AA823" s="46"/>
      <c r="AB823" s="46"/>
      <c r="AC823" s="46"/>
      <c r="AD823" s="46"/>
      <c r="AE823" s="46"/>
      <c r="AF823" s="46"/>
      <c r="AG823" s="127"/>
      <c r="AH823" s="127"/>
      <c r="AI823" s="127"/>
      <c r="AJ823" s="127"/>
      <c r="AK823" s="46"/>
      <c r="AL823" s="46"/>
      <c r="AM823" s="46"/>
      <c r="AN823" s="46"/>
      <c r="AO823" s="46"/>
    </row>
    <row r="824">
      <c r="A824" s="17"/>
      <c r="B824" s="46"/>
      <c r="C824" s="46"/>
      <c r="D824" s="46"/>
      <c r="E824" s="17"/>
      <c r="F824" s="46"/>
      <c r="G824" s="46"/>
      <c r="H824" s="46"/>
      <c r="I824" s="17"/>
      <c r="J824" s="46"/>
      <c r="K824" s="46"/>
      <c r="L824" s="46"/>
      <c r="M824" s="17"/>
      <c r="N824" s="46"/>
      <c r="O824" s="46"/>
      <c r="P824" s="46"/>
      <c r="Q824" s="46"/>
      <c r="R824" s="46"/>
      <c r="S824" s="46"/>
      <c r="T824" s="46"/>
      <c r="U824" s="46"/>
      <c r="V824" s="46"/>
      <c r="W824" s="46"/>
      <c r="X824" s="46"/>
      <c r="Y824" s="46"/>
      <c r="Z824" s="46"/>
      <c r="AA824" s="46"/>
      <c r="AB824" s="46"/>
      <c r="AC824" s="46"/>
      <c r="AD824" s="46"/>
      <c r="AE824" s="46"/>
      <c r="AF824" s="46"/>
      <c r="AG824" s="127"/>
      <c r="AH824" s="127"/>
      <c r="AI824" s="127"/>
      <c r="AJ824" s="127"/>
      <c r="AK824" s="46"/>
      <c r="AL824" s="46"/>
      <c r="AM824" s="46"/>
      <c r="AN824" s="46"/>
      <c r="AO824" s="46"/>
    </row>
    <row r="825">
      <c r="A825" s="17"/>
      <c r="B825" s="46"/>
      <c r="C825" s="46"/>
      <c r="D825" s="46"/>
      <c r="E825" s="17"/>
      <c r="F825" s="46"/>
      <c r="G825" s="46"/>
      <c r="H825" s="46"/>
      <c r="I825" s="17"/>
      <c r="J825" s="46"/>
      <c r="K825" s="46"/>
      <c r="L825" s="46"/>
      <c r="M825" s="17"/>
      <c r="N825" s="46"/>
      <c r="O825" s="46"/>
      <c r="P825" s="46"/>
      <c r="Q825" s="46"/>
      <c r="R825" s="46"/>
      <c r="S825" s="46"/>
      <c r="T825" s="46"/>
      <c r="U825" s="46"/>
      <c r="V825" s="46"/>
      <c r="W825" s="46"/>
      <c r="X825" s="46"/>
      <c r="Y825" s="46"/>
      <c r="Z825" s="46"/>
      <c r="AA825" s="46"/>
      <c r="AB825" s="46"/>
      <c r="AC825" s="46"/>
      <c r="AD825" s="46"/>
      <c r="AE825" s="46"/>
      <c r="AF825" s="46"/>
      <c r="AG825" s="127"/>
      <c r="AH825" s="127"/>
      <c r="AI825" s="127"/>
      <c r="AJ825" s="127"/>
      <c r="AK825" s="46"/>
      <c r="AL825" s="46"/>
      <c r="AM825" s="46"/>
      <c r="AN825" s="46"/>
      <c r="AO825" s="46"/>
    </row>
    <row r="826">
      <c r="A826" s="17"/>
      <c r="B826" s="46"/>
      <c r="C826" s="46"/>
      <c r="D826" s="46"/>
      <c r="E826" s="17"/>
      <c r="F826" s="46"/>
      <c r="G826" s="46"/>
      <c r="H826" s="46"/>
      <c r="I826" s="17"/>
      <c r="J826" s="46"/>
      <c r="K826" s="46"/>
      <c r="L826" s="46"/>
      <c r="M826" s="17"/>
      <c r="N826" s="46"/>
      <c r="O826" s="46"/>
      <c r="P826" s="46"/>
      <c r="Q826" s="46"/>
      <c r="R826" s="46"/>
      <c r="S826" s="46"/>
      <c r="T826" s="46"/>
      <c r="U826" s="46"/>
      <c r="V826" s="46"/>
      <c r="W826" s="46"/>
      <c r="X826" s="46"/>
      <c r="Y826" s="46"/>
      <c r="Z826" s="46"/>
      <c r="AA826" s="46"/>
      <c r="AB826" s="46"/>
      <c r="AC826" s="46"/>
      <c r="AD826" s="46"/>
      <c r="AE826" s="46"/>
      <c r="AF826" s="46"/>
      <c r="AG826" s="127"/>
      <c r="AH826" s="127"/>
      <c r="AI826" s="127"/>
      <c r="AJ826" s="127"/>
      <c r="AK826" s="46"/>
      <c r="AL826" s="46"/>
      <c r="AM826" s="46"/>
      <c r="AN826" s="46"/>
      <c r="AO826" s="46"/>
    </row>
    <row r="827">
      <c r="A827" s="17"/>
      <c r="B827" s="46"/>
      <c r="C827" s="46"/>
      <c r="D827" s="46"/>
      <c r="E827" s="17"/>
      <c r="F827" s="46"/>
      <c r="G827" s="46"/>
      <c r="H827" s="46"/>
      <c r="I827" s="17"/>
      <c r="J827" s="46"/>
      <c r="K827" s="46"/>
      <c r="L827" s="46"/>
      <c r="M827" s="17"/>
      <c r="N827" s="46"/>
      <c r="O827" s="46"/>
      <c r="P827" s="46"/>
      <c r="Q827" s="46"/>
      <c r="R827" s="46"/>
      <c r="S827" s="46"/>
      <c r="T827" s="46"/>
      <c r="U827" s="46"/>
      <c r="V827" s="46"/>
      <c r="W827" s="46"/>
      <c r="X827" s="46"/>
      <c r="Y827" s="46"/>
      <c r="Z827" s="46"/>
      <c r="AA827" s="46"/>
      <c r="AB827" s="46"/>
      <c r="AC827" s="46"/>
      <c r="AD827" s="46"/>
      <c r="AE827" s="46"/>
      <c r="AF827" s="46"/>
      <c r="AG827" s="127"/>
      <c r="AH827" s="127"/>
      <c r="AI827" s="127"/>
      <c r="AJ827" s="127"/>
      <c r="AK827" s="46"/>
      <c r="AL827" s="46"/>
      <c r="AM827" s="46"/>
      <c r="AN827" s="46"/>
      <c r="AO827" s="46"/>
    </row>
    <row r="828">
      <c r="A828" s="17"/>
      <c r="B828" s="46"/>
      <c r="C828" s="46"/>
      <c r="D828" s="46"/>
      <c r="E828" s="17"/>
      <c r="F828" s="46"/>
      <c r="G828" s="46"/>
      <c r="H828" s="46"/>
      <c r="I828" s="17"/>
      <c r="J828" s="46"/>
      <c r="K828" s="46"/>
      <c r="L828" s="46"/>
      <c r="M828" s="17"/>
      <c r="N828" s="46"/>
      <c r="O828" s="46"/>
      <c r="P828" s="46"/>
      <c r="Q828" s="46"/>
      <c r="R828" s="46"/>
      <c r="S828" s="46"/>
      <c r="T828" s="46"/>
      <c r="U828" s="46"/>
      <c r="V828" s="46"/>
      <c r="W828" s="46"/>
      <c r="X828" s="46"/>
      <c r="Y828" s="46"/>
      <c r="Z828" s="46"/>
      <c r="AA828" s="46"/>
      <c r="AB828" s="46"/>
      <c r="AC828" s="46"/>
      <c r="AD828" s="46"/>
      <c r="AE828" s="46"/>
      <c r="AF828" s="46"/>
      <c r="AG828" s="127"/>
      <c r="AH828" s="127"/>
      <c r="AI828" s="127"/>
      <c r="AJ828" s="127"/>
      <c r="AK828" s="46"/>
      <c r="AL828" s="46"/>
      <c r="AM828" s="46"/>
      <c r="AN828" s="46"/>
      <c r="AO828" s="46"/>
    </row>
    <row r="829">
      <c r="A829" s="17"/>
      <c r="B829" s="46"/>
      <c r="C829" s="46"/>
      <c r="D829" s="46"/>
      <c r="E829" s="17"/>
      <c r="F829" s="46"/>
      <c r="G829" s="46"/>
      <c r="H829" s="46"/>
      <c r="I829" s="17"/>
      <c r="J829" s="46"/>
      <c r="K829" s="46"/>
      <c r="L829" s="46"/>
      <c r="M829" s="17"/>
      <c r="N829" s="46"/>
      <c r="O829" s="46"/>
      <c r="P829" s="46"/>
      <c r="Q829" s="46"/>
      <c r="R829" s="46"/>
      <c r="S829" s="46"/>
      <c r="T829" s="46"/>
      <c r="U829" s="46"/>
      <c r="V829" s="46"/>
      <c r="W829" s="46"/>
      <c r="X829" s="46"/>
      <c r="Y829" s="46"/>
      <c r="Z829" s="46"/>
      <c r="AA829" s="46"/>
      <c r="AB829" s="46"/>
      <c r="AC829" s="46"/>
      <c r="AD829" s="46"/>
      <c r="AE829" s="46"/>
      <c r="AF829" s="46"/>
      <c r="AG829" s="127"/>
      <c r="AH829" s="127"/>
      <c r="AI829" s="127"/>
      <c r="AJ829" s="127"/>
      <c r="AK829" s="46"/>
      <c r="AL829" s="46"/>
      <c r="AM829" s="46"/>
      <c r="AN829" s="46"/>
      <c r="AO829" s="46"/>
    </row>
    <row r="830">
      <c r="A830" s="17"/>
      <c r="B830" s="46"/>
      <c r="C830" s="46"/>
      <c r="D830" s="46"/>
      <c r="E830" s="17"/>
      <c r="F830" s="46"/>
      <c r="G830" s="46"/>
      <c r="H830" s="46"/>
      <c r="I830" s="17"/>
      <c r="J830" s="46"/>
      <c r="K830" s="46"/>
      <c r="L830" s="46"/>
      <c r="M830" s="17"/>
      <c r="N830" s="46"/>
      <c r="O830" s="46"/>
      <c r="P830" s="46"/>
      <c r="Q830" s="46"/>
      <c r="R830" s="46"/>
      <c r="S830" s="46"/>
      <c r="T830" s="46"/>
      <c r="U830" s="46"/>
      <c r="V830" s="46"/>
      <c r="W830" s="46"/>
      <c r="X830" s="46"/>
      <c r="Y830" s="46"/>
      <c r="Z830" s="46"/>
      <c r="AA830" s="46"/>
      <c r="AB830" s="46"/>
      <c r="AC830" s="46"/>
      <c r="AD830" s="46"/>
      <c r="AE830" s="46"/>
      <c r="AF830" s="46"/>
      <c r="AG830" s="127"/>
      <c r="AH830" s="127"/>
      <c r="AI830" s="127"/>
      <c r="AJ830" s="127"/>
      <c r="AK830" s="46"/>
      <c r="AL830" s="46"/>
      <c r="AM830" s="46"/>
      <c r="AN830" s="46"/>
      <c r="AO830" s="46"/>
    </row>
    <row r="831">
      <c r="A831" s="17"/>
      <c r="B831" s="46"/>
      <c r="C831" s="46"/>
      <c r="D831" s="46"/>
      <c r="E831" s="17"/>
      <c r="F831" s="46"/>
      <c r="G831" s="46"/>
      <c r="H831" s="46"/>
      <c r="I831" s="17"/>
      <c r="J831" s="46"/>
      <c r="K831" s="46"/>
      <c r="L831" s="46"/>
      <c r="M831" s="17"/>
      <c r="N831" s="46"/>
      <c r="O831" s="46"/>
      <c r="P831" s="46"/>
      <c r="Q831" s="46"/>
      <c r="R831" s="46"/>
      <c r="S831" s="46"/>
      <c r="T831" s="46"/>
      <c r="U831" s="46"/>
      <c r="V831" s="46"/>
      <c r="W831" s="46"/>
      <c r="X831" s="46"/>
      <c r="Y831" s="46"/>
      <c r="Z831" s="46"/>
      <c r="AA831" s="46"/>
      <c r="AB831" s="46"/>
      <c r="AC831" s="46"/>
      <c r="AD831" s="46"/>
      <c r="AE831" s="46"/>
      <c r="AF831" s="46"/>
      <c r="AG831" s="127"/>
      <c r="AH831" s="127"/>
      <c r="AI831" s="127"/>
      <c r="AJ831" s="127"/>
      <c r="AK831" s="46"/>
      <c r="AL831" s="46"/>
      <c r="AM831" s="46"/>
      <c r="AN831" s="46"/>
      <c r="AO831" s="46"/>
    </row>
    <row r="832">
      <c r="A832" s="17"/>
      <c r="B832" s="46"/>
      <c r="C832" s="46"/>
      <c r="D832" s="46"/>
      <c r="E832" s="17"/>
      <c r="F832" s="46"/>
      <c r="G832" s="46"/>
      <c r="H832" s="46"/>
      <c r="I832" s="17"/>
      <c r="J832" s="46"/>
      <c r="K832" s="46"/>
      <c r="L832" s="46"/>
      <c r="M832" s="17"/>
      <c r="N832" s="46"/>
      <c r="O832" s="46"/>
      <c r="P832" s="46"/>
      <c r="Q832" s="46"/>
      <c r="R832" s="46"/>
      <c r="S832" s="46"/>
      <c r="T832" s="46"/>
      <c r="U832" s="46"/>
      <c r="V832" s="46"/>
      <c r="W832" s="46"/>
      <c r="X832" s="46"/>
      <c r="Y832" s="46"/>
      <c r="Z832" s="46"/>
      <c r="AA832" s="46"/>
      <c r="AB832" s="46"/>
      <c r="AC832" s="46"/>
      <c r="AD832" s="46"/>
      <c r="AE832" s="46"/>
      <c r="AF832" s="46"/>
      <c r="AG832" s="127"/>
      <c r="AH832" s="127"/>
      <c r="AI832" s="127"/>
      <c r="AJ832" s="127"/>
      <c r="AK832" s="46"/>
      <c r="AL832" s="46"/>
      <c r="AM832" s="46"/>
      <c r="AN832" s="46"/>
      <c r="AO832" s="46"/>
    </row>
    <row r="833">
      <c r="A833" s="17"/>
      <c r="B833" s="46"/>
      <c r="C833" s="46"/>
      <c r="D833" s="46"/>
      <c r="E833" s="17"/>
      <c r="F833" s="46"/>
      <c r="G833" s="46"/>
      <c r="H833" s="46"/>
      <c r="I833" s="17"/>
      <c r="J833" s="46"/>
      <c r="K833" s="46"/>
      <c r="L833" s="46"/>
      <c r="M833" s="17"/>
      <c r="N833" s="46"/>
      <c r="O833" s="46"/>
      <c r="P833" s="46"/>
      <c r="Q833" s="46"/>
      <c r="R833" s="46"/>
      <c r="S833" s="46"/>
      <c r="T833" s="46"/>
      <c r="U833" s="46"/>
      <c r="V833" s="46"/>
      <c r="W833" s="46"/>
      <c r="X833" s="46"/>
      <c r="Y833" s="46"/>
      <c r="Z833" s="46"/>
      <c r="AA833" s="46"/>
      <c r="AB833" s="46"/>
      <c r="AC833" s="46"/>
      <c r="AD833" s="46"/>
      <c r="AE833" s="46"/>
      <c r="AF833" s="46"/>
      <c r="AG833" s="127"/>
      <c r="AH833" s="127"/>
      <c r="AI833" s="127"/>
      <c r="AJ833" s="127"/>
      <c r="AK833" s="46"/>
      <c r="AL833" s="46"/>
      <c r="AM833" s="46"/>
      <c r="AN833" s="46"/>
      <c r="AO833" s="46"/>
    </row>
    <row r="834">
      <c r="A834" s="17"/>
      <c r="B834" s="46"/>
      <c r="C834" s="46"/>
      <c r="D834" s="46"/>
      <c r="E834" s="17"/>
      <c r="F834" s="46"/>
      <c r="G834" s="46"/>
      <c r="H834" s="46"/>
      <c r="I834" s="17"/>
      <c r="J834" s="46"/>
      <c r="K834" s="46"/>
      <c r="L834" s="46"/>
      <c r="M834" s="17"/>
      <c r="N834" s="46"/>
      <c r="O834" s="46"/>
      <c r="P834" s="46"/>
      <c r="Q834" s="46"/>
      <c r="R834" s="46"/>
      <c r="S834" s="46"/>
      <c r="T834" s="46"/>
      <c r="U834" s="46"/>
      <c r="V834" s="46"/>
      <c r="W834" s="46"/>
      <c r="X834" s="46"/>
      <c r="Y834" s="46"/>
      <c r="Z834" s="46"/>
      <c r="AA834" s="46"/>
      <c r="AB834" s="46"/>
      <c r="AC834" s="46"/>
      <c r="AD834" s="46"/>
      <c r="AE834" s="46"/>
      <c r="AF834" s="46"/>
      <c r="AG834" s="127"/>
      <c r="AH834" s="127"/>
      <c r="AI834" s="127"/>
      <c r="AJ834" s="127"/>
      <c r="AK834" s="46"/>
      <c r="AL834" s="46"/>
      <c r="AM834" s="46"/>
      <c r="AN834" s="46"/>
      <c r="AO834" s="46"/>
    </row>
    <row r="835">
      <c r="A835" s="17"/>
      <c r="B835" s="46"/>
      <c r="C835" s="46"/>
      <c r="D835" s="46"/>
      <c r="E835" s="17"/>
      <c r="F835" s="46"/>
      <c r="G835" s="46"/>
      <c r="H835" s="46"/>
      <c r="I835" s="17"/>
      <c r="J835" s="46"/>
      <c r="K835" s="46"/>
      <c r="L835" s="46"/>
      <c r="M835" s="17"/>
      <c r="N835" s="46"/>
      <c r="O835" s="46"/>
      <c r="P835" s="46"/>
      <c r="Q835" s="46"/>
      <c r="R835" s="46"/>
      <c r="S835" s="46"/>
      <c r="T835" s="46"/>
      <c r="U835" s="46"/>
      <c r="V835" s="46"/>
      <c r="W835" s="46"/>
      <c r="X835" s="46"/>
      <c r="Y835" s="46"/>
      <c r="Z835" s="46"/>
      <c r="AA835" s="46"/>
      <c r="AB835" s="46"/>
      <c r="AC835" s="46"/>
      <c r="AD835" s="46"/>
      <c r="AE835" s="46"/>
      <c r="AF835" s="46"/>
      <c r="AG835" s="127"/>
      <c r="AH835" s="127"/>
      <c r="AI835" s="127"/>
      <c r="AJ835" s="127"/>
      <c r="AK835" s="46"/>
      <c r="AL835" s="46"/>
      <c r="AM835" s="46"/>
      <c r="AN835" s="46"/>
      <c r="AO835" s="46"/>
    </row>
    <row r="836">
      <c r="A836" s="17"/>
      <c r="B836" s="46"/>
      <c r="C836" s="46"/>
      <c r="D836" s="46"/>
      <c r="E836" s="17"/>
      <c r="F836" s="46"/>
      <c r="G836" s="46"/>
      <c r="H836" s="46"/>
      <c r="I836" s="17"/>
      <c r="J836" s="46"/>
      <c r="K836" s="46"/>
      <c r="L836" s="46"/>
      <c r="M836" s="17"/>
      <c r="N836" s="46"/>
      <c r="O836" s="46"/>
      <c r="P836" s="46"/>
      <c r="Q836" s="46"/>
      <c r="R836" s="46"/>
      <c r="S836" s="46"/>
      <c r="T836" s="46"/>
      <c r="U836" s="46"/>
      <c r="V836" s="46"/>
      <c r="W836" s="46"/>
      <c r="X836" s="46"/>
      <c r="Y836" s="46"/>
      <c r="Z836" s="46"/>
      <c r="AA836" s="46"/>
      <c r="AB836" s="46"/>
      <c r="AC836" s="46"/>
      <c r="AD836" s="46"/>
      <c r="AE836" s="46"/>
      <c r="AF836" s="46"/>
      <c r="AG836" s="127"/>
      <c r="AH836" s="127"/>
      <c r="AI836" s="127"/>
      <c r="AJ836" s="127"/>
      <c r="AK836" s="46"/>
      <c r="AL836" s="46"/>
      <c r="AM836" s="46"/>
      <c r="AN836" s="46"/>
      <c r="AO836" s="46"/>
    </row>
    <row r="837">
      <c r="A837" s="17"/>
      <c r="B837" s="46"/>
      <c r="C837" s="46"/>
      <c r="D837" s="46"/>
      <c r="E837" s="17"/>
      <c r="F837" s="46"/>
      <c r="G837" s="46"/>
      <c r="H837" s="46"/>
      <c r="I837" s="17"/>
      <c r="J837" s="46"/>
      <c r="K837" s="46"/>
      <c r="L837" s="46"/>
      <c r="M837" s="17"/>
      <c r="N837" s="46"/>
      <c r="O837" s="46"/>
      <c r="P837" s="46"/>
      <c r="Q837" s="46"/>
      <c r="R837" s="46"/>
      <c r="S837" s="46"/>
      <c r="T837" s="46"/>
      <c r="U837" s="46"/>
      <c r="V837" s="46"/>
      <c r="W837" s="46"/>
      <c r="X837" s="46"/>
      <c r="Y837" s="46"/>
      <c r="Z837" s="46"/>
      <c r="AA837" s="46"/>
      <c r="AB837" s="46"/>
      <c r="AC837" s="46"/>
      <c r="AD837" s="46"/>
      <c r="AE837" s="46"/>
      <c r="AF837" s="46"/>
      <c r="AG837" s="127"/>
      <c r="AH837" s="127"/>
      <c r="AI837" s="127"/>
      <c r="AJ837" s="127"/>
      <c r="AK837" s="46"/>
      <c r="AL837" s="46"/>
      <c r="AM837" s="46"/>
      <c r="AN837" s="46"/>
      <c r="AO837" s="46"/>
    </row>
    <row r="838">
      <c r="A838" s="17"/>
      <c r="B838" s="46"/>
      <c r="C838" s="46"/>
      <c r="D838" s="46"/>
      <c r="E838" s="17"/>
      <c r="F838" s="46"/>
      <c r="G838" s="46"/>
      <c r="H838" s="46"/>
      <c r="I838" s="17"/>
      <c r="J838" s="46"/>
      <c r="K838" s="46"/>
      <c r="L838" s="46"/>
      <c r="M838" s="17"/>
      <c r="N838" s="46"/>
      <c r="O838" s="46"/>
      <c r="P838" s="46"/>
      <c r="Q838" s="46"/>
      <c r="R838" s="46"/>
      <c r="S838" s="46"/>
      <c r="T838" s="46"/>
      <c r="U838" s="46"/>
      <c r="V838" s="46"/>
      <c r="W838" s="46"/>
      <c r="X838" s="46"/>
      <c r="Y838" s="46"/>
      <c r="Z838" s="46"/>
      <c r="AA838" s="46"/>
      <c r="AB838" s="46"/>
      <c r="AC838" s="46"/>
      <c r="AD838" s="46"/>
      <c r="AE838" s="46"/>
      <c r="AF838" s="46"/>
      <c r="AG838" s="127"/>
      <c r="AH838" s="127"/>
      <c r="AI838" s="127"/>
      <c r="AJ838" s="127"/>
      <c r="AK838" s="46"/>
      <c r="AL838" s="46"/>
      <c r="AM838" s="46"/>
      <c r="AN838" s="46"/>
      <c r="AO838" s="46"/>
    </row>
    <row r="839">
      <c r="A839" s="17"/>
      <c r="B839" s="46"/>
      <c r="C839" s="46"/>
      <c r="D839" s="46"/>
      <c r="E839" s="17"/>
      <c r="F839" s="46"/>
      <c r="G839" s="46"/>
      <c r="H839" s="46"/>
      <c r="I839" s="17"/>
      <c r="J839" s="46"/>
      <c r="K839" s="46"/>
      <c r="L839" s="46"/>
      <c r="M839" s="17"/>
      <c r="N839" s="46"/>
      <c r="O839" s="46"/>
      <c r="P839" s="46"/>
      <c r="Q839" s="46"/>
      <c r="R839" s="46"/>
      <c r="S839" s="46"/>
      <c r="T839" s="46"/>
      <c r="U839" s="46"/>
      <c r="V839" s="46"/>
      <c r="W839" s="46"/>
      <c r="X839" s="46"/>
      <c r="Y839" s="46"/>
      <c r="Z839" s="46"/>
      <c r="AA839" s="46"/>
      <c r="AB839" s="46"/>
      <c r="AC839" s="46"/>
      <c r="AD839" s="46"/>
      <c r="AE839" s="46"/>
      <c r="AF839" s="46"/>
      <c r="AG839" s="127"/>
      <c r="AH839" s="127"/>
      <c r="AI839" s="127"/>
      <c r="AJ839" s="127"/>
      <c r="AK839" s="46"/>
      <c r="AL839" s="46"/>
      <c r="AM839" s="46"/>
      <c r="AN839" s="46"/>
      <c r="AO839" s="46"/>
    </row>
    <row r="840">
      <c r="A840" s="17"/>
      <c r="B840" s="46"/>
      <c r="C840" s="46"/>
      <c r="D840" s="46"/>
      <c r="E840" s="17"/>
      <c r="F840" s="46"/>
      <c r="G840" s="46"/>
      <c r="H840" s="46"/>
      <c r="I840" s="17"/>
      <c r="J840" s="46"/>
      <c r="K840" s="46"/>
      <c r="L840" s="46"/>
      <c r="M840" s="17"/>
      <c r="N840" s="46"/>
      <c r="O840" s="46"/>
      <c r="P840" s="46"/>
      <c r="Q840" s="46"/>
      <c r="R840" s="46"/>
      <c r="S840" s="46"/>
      <c r="T840" s="46"/>
      <c r="U840" s="46"/>
      <c r="V840" s="46"/>
      <c r="W840" s="46"/>
      <c r="X840" s="46"/>
      <c r="Y840" s="46"/>
      <c r="Z840" s="46"/>
      <c r="AA840" s="46"/>
      <c r="AB840" s="46"/>
      <c r="AC840" s="46"/>
      <c r="AD840" s="46"/>
      <c r="AE840" s="46"/>
      <c r="AF840" s="46"/>
      <c r="AG840" s="127"/>
      <c r="AH840" s="127"/>
      <c r="AI840" s="127"/>
      <c r="AJ840" s="127"/>
      <c r="AK840" s="46"/>
      <c r="AL840" s="46"/>
      <c r="AM840" s="46"/>
      <c r="AN840" s="46"/>
      <c r="AO840" s="46"/>
    </row>
    <row r="841">
      <c r="A841" s="17"/>
      <c r="B841" s="46"/>
      <c r="C841" s="46"/>
      <c r="D841" s="46"/>
      <c r="E841" s="17"/>
      <c r="F841" s="46"/>
      <c r="G841" s="46"/>
      <c r="H841" s="46"/>
      <c r="I841" s="17"/>
      <c r="J841" s="46"/>
      <c r="K841" s="46"/>
      <c r="L841" s="46"/>
      <c r="M841" s="17"/>
      <c r="N841" s="46"/>
      <c r="O841" s="46"/>
      <c r="P841" s="46"/>
      <c r="Q841" s="46"/>
      <c r="R841" s="46"/>
      <c r="S841" s="46"/>
      <c r="T841" s="46"/>
      <c r="U841" s="46"/>
      <c r="V841" s="46"/>
      <c r="W841" s="46"/>
      <c r="X841" s="46"/>
      <c r="Y841" s="46"/>
      <c r="Z841" s="46"/>
      <c r="AA841" s="46"/>
      <c r="AB841" s="46"/>
      <c r="AC841" s="46"/>
      <c r="AD841" s="46"/>
      <c r="AE841" s="46"/>
      <c r="AF841" s="46"/>
      <c r="AG841" s="127"/>
      <c r="AH841" s="127"/>
      <c r="AI841" s="127"/>
      <c r="AJ841" s="127"/>
      <c r="AK841" s="46"/>
      <c r="AL841" s="46"/>
      <c r="AM841" s="46"/>
      <c r="AN841" s="46"/>
      <c r="AO841" s="46"/>
    </row>
    <row r="842">
      <c r="A842" s="17"/>
      <c r="B842" s="46"/>
      <c r="C842" s="46"/>
      <c r="D842" s="46"/>
      <c r="E842" s="17"/>
      <c r="F842" s="46"/>
      <c r="G842" s="46"/>
      <c r="H842" s="46"/>
      <c r="I842" s="17"/>
      <c r="J842" s="46"/>
      <c r="K842" s="46"/>
      <c r="L842" s="46"/>
      <c r="M842" s="17"/>
      <c r="N842" s="46"/>
      <c r="O842" s="46"/>
      <c r="P842" s="46"/>
      <c r="Q842" s="46"/>
      <c r="R842" s="46"/>
      <c r="S842" s="46"/>
      <c r="T842" s="46"/>
      <c r="U842" s="46"/>
      <c r="V842" s="46"/>
      <c r="W842" s="46"/>
      <c r="X842" s="46"/>
      <c r="Y842" s="46"/>
      <c r="Z842" s="46"/>
      <c r="AA842" s="46"/>
      <c r="AB842" s="46"/>
      <c r="AC842" s="46"/>
      <c r="AD842" s="46"/>
      <c r="AE842" s="46"/>
      <c r="AF842" s="46"/>
      <c r="AG842" s="127"/>
      <c r="AH842" s="127"/>
      <c r="AI842" s="127"/>
      <c r="AJ842" s="127"/>
      <c r="AK842" s="46"/>
      <c r="AL842" s="46"/>
      <c r="AM842" s="46"/>
      <c r="AN842" s="46"/>
      <c r="AO842" s="46"/>
    </row>
    <row r="843">
      <c r="A843" s="17"/>
      <c r="B843" s="46"/>
      <c r="C843" s="46"/>
      <c r="D843" s="46"/>
      <c r="E843" s="17"/>
      <c r="F843" s="46"/>
      <c r="G843" s="46"/>
      <c r="H843" s="46"/>
      <c r="I843" s="17"/>
      <c r="J843" s="46"/>
      <c r="K843" s="46"/>
      <c r="L843" s="46"/>
      <c r="M843" s="17"/>
      <c r="N843" s="46"/>
      <c r="O843" s="46"/>
      <c r="P843" s="46"/>
      <c r="Q843" s="46"/>
      <c r="R843" s="46"/>
      <c r="S843" s="46"/>
      <c r="T843" s="46"/>
      <c r="U843" s="46"/>
      <c r="V843" s="46"/>
      <c r="W843" s="46"/>
      <c r="X843" s="46"/>
      <c r="Y843" s="46"/>
      <c r="Z843" s="46"/>
      <c r="AA843" s="46"/>
      <c r="AB843" s="46"/>
      <c r="AC843" s="46"/>
      <c r="AD843" s="46"/>
      <c r="AE843" s="46"/>
      <c r="AF843" s="46"/>
      <c r="AG843" s="127"/>
      <c r="AH843" s="127"/>
      <c r="AI843" s="127"/>
      <c r="AJ843" s="127"/>
      <c r="AK843" s="46"/>
      <c r="AL843" s="46"/>
      <c r="AM843" s="46"/>
      <c r="AN843" s="46"/>
      <c r="AO843" s="46"/>
    </row>
    <row r="844">
      <c r="A844" s="17"/>
      <c r="B844" s="46"/>
      <c r="C844" s="46"/>
      <c r="D844" s="46"/>
      <c r="E844" s="17"/>
      <c r="F844" s="46"/>
      <c r="G844" s="46"/>
      <c r="H844" s="46"/>
      <c r="I844" s="17"/>
      <c r="J844" s="46"/>
      <c r="K844" s="46"/>
      <c r="L844" s="46"/>
      <c r="M844" s="17"/>
      <c r="N844" s="46"/>
      <c r="O844" s="46"/>
      <c r="P844" s="46"/>
      <c r="Q844" s="46"/>
      <c r="R844" s="46"/>
      <c r="S844" s="46"/>
      <c r="T844" s="46"/>
      <c r="U844" s="46"/>
      <c r="V844" s="46"/>
      <c r="W844" s="46"/>
      <c r="X844" s="46"/>
      <c r="Y844" s="46"/>
      <c r="Z844" s="46"/>
      <c r="AA844" s="46"/>
      <c r="AB844" s="46"/>
      <c r="AC844" s="46"/>
      <c r="AD844" s="46"/>
      <c r="AE844" s="46"/>
      <c r="AF844" s="46"/>
      <c r="AG844" s="127"/>
      <c r="AH844" s="127"/>
      <c r="AI844" s="127"/>
      <c r="AJ844" s="127"/>
      <c r="AK844" s="46"/>
      <c r="AL844" s="46"/>
      <c r="AM844" s="46"/>
      <c r="AN844" s="46"/>
      <c r="AO844" s="46"/>
    </row>
    <row r="845">
      <c r="A845" s="17"/>
      <c r="B845" s="46"/>
      <c r="C845" s="46"/>
      <c r="D845" s="46"/>
      <c r="E845" s="17"/>
      <c r="F845" s="46"/>
      <c r="G845" s="46"/>
      <c r="H845" s="46"/>
      <c r="I845" s="17"/>
      <c r="J845" s="46"/>
      <c r="K845" s="46"/>
      <c r="L845" s="46"/>
      <c r="M845" s="17"/>
      <c r="N845" s="46"/>
      <c r="O845" s="46"/>
      <c r="P845" s="46"/>
      <c r="Q845" s="46"/>
      <c r="R845" s="46"/>
      <c r="S845" s="46"/>
      <c r="T845" s="46"/>
      <c r="U845" s="46"/>
      <c r="V845" s="46"/>
      <c r="W845" s="46"/>
      <c r="X845" s="46"/>
      <c r="Y845" s="46"/>
      <c r="Z845" s="46"/>
      <c r="AA845" s="46"/>
      <c r="AB845" s="46"/>
      <c r="AC845" s="46"/>
      <c r="AD845" s="46"/>
      <c r="AE845" s="46"/>
      <c r="AF845" s="46"/>
      <c r="AG845" s="127"/>
      <c r="AH845" s="127"/>
      <c r="AI845" s="127"/>
      <c r="AJ845" s="127"/>
      <c r="AK845" s="46"/>
      <c r="AL845" s="46"/>
      <c r="AM845" s="46"/>
      <c r="AN845" s="46"/>
      <c r="AO845" s="46"/>
    </row>
    <row r="846">
      <c r="A846" s="17"/>
      <c r="B846" s="46"/>
      <c r="C846" s="46"/>
      <c r="D846" s="46"/>
      <c r="E846" s="17"/>
      <c r="F846" s="46"/>
      <c r="G846" s="46"/>
      <c r="H846" s="46"/>
      <c r="I846" s="17"/>
      <c r="J846" s="46"/>
      <c r="K846" s="46"/>
      <c r="L846" s="46"/>
      <c r="M846" s="17"/>
      <c r="N846" s="46"/>
      <c r="O846" s="46"/>
      <c r="P846" s="46"/>
      <c r="Q846" s="46"/>
      <c r="R846" s="46"/>
      <c r="S846" s="46"/>
      <c r="T846" s="46"/>
      <c r="U846" s="46"/>
      <c r="V846" s="46"/>
      <c r="W846" s="46"/>
      <c r="X846" s="46"/>
      <c r="Y846" s="46"/>
      <c r="Z846" s="46"/>
      <c r="AA846" s="46"/>
      <c r="AB846" s="46"/>
      <c r="AC846" s="46"/>
      <c r="AD846" s="46"/>
      <c r="AE846" s="46"/>
      <c r="AF846" s="46"/>
      <c r="AG846" s="127"/>
      <c r="AH846" s="127"/>
      <c r="AI846" s="127"/>
      <c r="AJ846" s="127"/>
      <c r="AK846" s="46"/>
      <c r="AL846" s="46"/>
      <c r="AM846" s="46"/>
      <c r="AN846" s="46"/>
      <c r="AO846" s="46"/>
    </row>
    <row r="847">
      <c r="A847" s="17"/>
      <c r="B847" s="46"/>
      <c r="C847" s="46"/>
      <c r="D847" s="46"/>
      <c r="E847" s="17"/>
      <c r="F847" s="46"/>
      <c r="G847" s="46"/>
      <c r="H847" s="46"/>
      <c r="I847" s="17"/>
      <c r="J847" s="46"/>
      <c r="K847" s="46"/>
      <c r="L847" s="46"/>
      <c r="M847" s="17"/>
      <c r="N847" s="46"/>
      <c r="O847" s="46"/>
      <c r="P847" s="46"/>
      <c r="Q847" s="46"/>
      <c r="R847" s="46"/>
      <c r="S847" s="46"/>
      <c r="T847" s="46"/>
      <c r="U847" s="46"/>
      <c r="V847" s="46"/>
      <c r="W847" s="46"/>
      <c r="X847" s="46"/>
      <c r="Y847" s="46"/>
      <c r="Z847" s="46"/>
      <c r="AA847" s="46"/>
      <c r="AB847" s="46"/>
      <c r="AC847" s="46"/>
      <c r="AD847" s="46"/>
      <c r="AE847" s="46"/>
      <c r="AF847" s="46"/>
      <c r="AG847" s="127"/>
      <c r="AH847" s="127"/>
      <c r="AI847" s="127"/>
      <c r="AJ847" s="127"/>
      <c r="AK847" s="46"/>
      <c r="AL847" s="46"/>
      <c r="AM847" s="46"/>
      <c r="AN847" s="46"/>
      <c r="AO847" s="46"/>
    </row>
    <row r="848">
      <c r="A848" s="17"/>
      <c r="B848" s="46"/>
      <c r="C848" s="46"/>
      <c r="D848" s="46"/>
      <c r="E848" s="17"/>
      <c r="F848" s="46"/>
      <c r="G848" s="46"/>
      <c r="H848" s="46"/>
      <c r="I848" s="17"/>
      <c r="J848" s="46"/>
      <c r="K848" s="46"/>
      <c r="L848" s="46"/>
      <c r="M848" s="17"/>
      <c r="N848" s="46"/>
      <c r="O848" s="46"/>
      <c r="P848" s="46"/>
      <c r="Q848" s="46"/>
      <c r="R848" s="46"/>
      <c r="S848" s="46"/>
      <c r="T848" s="46"/>
      <c r="U848" s="46"/>
      <c r="V848" s="46"/>
      <c r="W848" s="46"/>
      <c r="X848" s="46"/>
      <c r="Y848" s="46"/>
      <c r="Z848" s="46"/>
      <c r="AA848" s="46"/>
      <c r="AB848" s="46"/>
      <c r="AC848" s="46"/>
      <c r="AD848" s="46"/>
      <c r="AE848" s="46"/>
      <c r="AF848" s="46"/>
      <c r="AG848" s="127"/>
      <c r="AH848" s="127"/>
      <c r="AI848" s="127"/>
      <c r="AJ848" s="127"/>
      <c r="AK848" s="46"/>
      <c r="AL848" s="46"/>
      <c r="AM848" s="46"/>
      <c r="AN848" s="46"/>
      <c r="AO848" s="46"/>
    </row>
    <row r="849">
      <c r="A849" s="17"/>
      <c r="B849" s="46"/>
      <c r="C849" s="46"/>
      <c r="D849" s="46"/>
      <c r="E849" s="17"/>
      <c r="F849" s="46"/>
      <c r="G849" s="46"/>
      <c r="H849" s="46"/>
      <c r="I849" s="17"/>
      <c r="J849" s="46"/>
      <c r="K849" s="46"/>
      <c r="L849" s="46"/>
      <c r="M849" s="17"/>
      <c r="N849" s="46"/>
      <c r="O849" s="46"/>
      <c r="P849" s="46"/>
      <c r="Q849" s="46"/>
      <c r="R849" s="46"/>
      <c r="S849" s="46"/>
      <c r="T849" s="46"/>
      <c r="U849" s="46"/>
      <c r="V849" s="46"/>
      <c r="W849" s="46"/>
      <c r="X849" s="46"/>
      <c r="Y849" s="46"/>
      <c r="Z849" s="46"/>
      <c r="AA849" s="46"/>
      <c r="AB849" s="46"/>
      <c r="AC849" s="46"/>
      <c r="AD849" s="46"/>
      <c r="AE849" s="46"/>
      <c r="AF849" s="46"/>
      <c r="AG849" s="127"/>
      <c r="AH849" s="127"/>
      <c r="AI849" s="127"/>
      <c r="AJ849" s="127"/>
      <c r="AK849" s="46"/>
      <c r="AL849" s="46"/>
      <c r="AM849" s="46"/>
      <c r="AN849" s="46"/>
      <c r="AO849" s="46"/>
    </row>
    <row r="850">
      <c r="A850" s="17"/>
      <c r="B850" s="46"/>
      <c r="C850" s="46"/>
      <c r="D850" s="46"/>
      <c r="E850" s="17"/>
      <c r="F850" s="46"/>
      <c r="G850" s="46"/>
      <c r="H850" s="46"/>
      <c r="I850" s="17"/>
      <c r="J850" s="46"/>
      <c r="K850" s="46"/>
      <c r="L850" s="46"/>
      <c r="M850" s="17"/>
      <c r="N850" s="46"/>
      <c r="O850" s="46"/>
      <c r="P850" s="46"/>
      <c r="Q850" s="46"/>
      <c r="R850" s="46"/>
      <c r="S850" s="46"/>
      <c r="T850" s="46"/>
      <c r="U850" s="46"/>
      <c r="V850" s="46"/>
      <c r="W850" s="46"/>
      <c r="X850" s="46"/>
      <c r="Y850" s="46"/>
      <c r="Z850" s="46"/>
      <c r="AA850" s="46"/>
      <c r="AB850" s="46"/>
      <c r="AC850" s="46"/>
      <c r="AD850" s="46"/>
      <c r="AE850" s="46"/>
      <c r="AF850" s="46"/>
      <c r="AG850" s="127"/>
      <c r="AH850" s="127"/>
      <c r="AI850" s="127"/>
      <c r="AJ850" s="127"/>
      <c r="AK850" s="46"/>
      <c r="AL850" s="46"/>
      <c r="AM850" s="46"/>
      <c r="AN850" s="46"/>
      <c r="AO850" s="46"/>
    </row>
    <row r="851">
      <c r="A851" s="17"/>
      <c r="B851" s="46"/>
      <c r="C851" s="46"/>
      <c r="D851" s="46"/>
      <c r="E851" s="17"/>
      <c r="F851" s="46"/>
      <c r="G851" s="46"/>
      <c r="H851" s="46"/>
      <c r="I851" s="17"/>
      <c r="J851" s="46"/>
      <c r="K851" s="46"/>
      <c r="L851" s="46"/>
      <c r="M851" s="17"/>
      <c r="N851" s="46"/>
      <c r="O851" s="46"/>
      <c r="P851" s="46"/>
      <c r="Q851" s="46"/>
      <c r="R851" s="46"/>
      <c r="S851" s="46"/>
      <c r="T851" s="46"/>
      <c r="U851" s="46"/>
      <c r="V851" s="46"/>
      <c r="W851" s="46"/>
      <c r="X851" s="46"/>
      <c r="Y851" s="46"/>
      <c r="Z851" s="46"/>
      <c r="AA851" s="46"/>
      <c r="AB851" s="46"/>
      <c r="AC851" s="46"/>
      <c r="AD851" s="46"/>
      <c r="AE851" s="46"/>
      <c r="AF851" s="46"/>
      <c r="AG851" s="127"/>
      <c r="AH851" s="127"/>
      <c r="AI851" s="127"/>
      <c r="AJ851" s="127"/>
      <c r="AK851" s="46"/>
      <c r="AL851" s="46"/>
      <c r="AM851" s="46"/>
      <c r="AN851" s="46"/>
      <c r="AO851" s="46"/>
    </row>
    <row r="852">
      <c r="A852" s="17"/>
      <c r="B852" s="46"/>
      <c r="C852" s="46"/>
      <c r="D852" s="46"/>
      <c r="E852" s="17"/>
      <c r="F852" s="46"/>
      <c r="G852" s="46"/>
      <c r="H852" s="46"/>
      <c r="I852" s="17"/>
      <c r="J852" s="46"/>
      <c r="K852" s="46"/>
      <c r="L852" s="46"/>
      <c r="M852" s="17"/>
      <c r="N852" s="46"/>
      <c r="O852" s="46"/>
      <c r="P852" s="46"/>
      <c r="Q852" s="46"/>
      <c r="R852" s="46"/>
      <c r="S852" s="46"/>
      <c r="T852" s="46"/>
      <c r="U852" s="46"/>
      <c r="V852" s="46"/>
      <c r="W852" s="46"/>
      <c r="X852" s="46"/>
      <c r="Y852" s="46"/>
      <c r="Z852" s="46"/>
      <c r="AA852" s="46"/>
      <c r="AB852" s="46"/>
      <c r="AC852" s="46"/>
      <c r="AD852" s="46"/>
      <c r="AE852" s="46"/>
      <c r="AF852" s="46"/>
      <c r="AG852" s="127"/>
      <c r="AH852" s="127"/>
      <c r="AI852" s="127"/>
      <c r="AJ852" s="127"/>
      <c r="AK852" s="46"/>
      <c r="AL852" s="46"/>
      <c r="AM852" s="46"/>
      <c r="AN852" s="46"/>
      <c r="AO852" s="46"/>
    </row>
    <row r="853">
      <c r="A853" s="17"/>
      <c r="B853" s="46"/>
      <c r="C853" s="46"/>
      <c r="D853" s="46"/>
      <c r="E853" s="17"/>
      <c r="F853" s="46"/>
      <c r="G853" s="46"/>
      <c r="H853" s="46"/>
      <c r="I853" s="17"/>
      <c r="J853" s="46"/>
      <c r="K853" s="46"/>
      <c r="L853" s="46"/>
      <c r="M853" s="17"/>
      <c r="N853" s="46"/>
      <c r="O853" s="46"/>
      <c r="P853" s="46"/>
      <c r="Q853" s="46"/>
      <c r="R853" s="46"/>
      <c r="S853" s="46"/>
      <c r="T853" s="46"/>
      <c r="U853" s="46"/>
      <c r="V853" s="46"/>
      <c r="W853" s="46"/>
      <c r="X853" s="46"/>
      <c r="Y853" s="46"/>
      <c r="Z853" s="46"/>
      <c r="AA853" s="46"/>
      <c r="AB853" s="46"/>
      <c r="AC853" s="46"/>
      <c r="AD853" s="46"/>
      <c r="AE853" s="46"/>
      <c r="AF853" s="46"/>
      <c r="AG853" s="127"/>
      <c r="AH853" s="127"/>
      <c r="AI853" s="127"/>
      <c r="AJ853" s="127"/>
      <c r="AK853" s="46"/>
      <c r="AL853" s="46"/>
      <c r="AM853" s="46"/>
      <c r="AN853" s="46"/>
      <c r="AO853" s="46"/>
    </row>
    <row r="854">
      <c r="A854" s="17"/>
      <c r="B854" s="46"/>
      <c r="C854" s="46"/>
      <c r="D854" s="46"/>
      <c r="E854" s="17"/>
      <c r="F854" s="46"/>
      <c r="G854" s="46"/>
      <c r="H854" s="46"/>
      <c r="I854" s="17"/>
      <c r="J854" s="46"/>
      <c r="K854" s="46"/>
      <c r="L854" s="46"/>
      <c r="M854" s="17"/>
      <c r="N854" s="46"/>
      <c r="O854" s="46"/>
      <c r="P854" s="46"/>
      <c r="Q854" s="46"/>
      <c r="R854" s="46"/>
      <c r="S854" s="46"/>
      <c r="T854" s="46"/>
      <c r="U854" s="46"/>
      <c r="V854" s="46"/>
      <c r="W854" s="46"/>
      <c r="X854" s="46"/>
      <c r="Y854" s="46"/>
      <c r="Z854" s="46"/>
      <c r="AA854" s="46"/>
      <c r="AB854" s="46"/>
      <c r="AC854" s="46"/>
      <c r="AD854" s="46"/>
      <c r="AE854" s="46"/>
      <c r="AF854" s="46"/>
      <c r="AG854" s="127"/>
      <c r="AH854" s="127"/>
      <c r="AI854" s="127"/>
      <c r="AJ854" s="127"/>
      <c r="AK854" s="46"/>
      <c r="AL854" s="46"/>
      <c r="AM854" s="46"/>
      <c r="AN854" s="46"/>
      <c r="AO854" s="46"/>
    </row>
    <row r="855">
      <c r="A855" s="17"/>
      <c r="B855" s="46"/>
      <c r="C855" s="46"/>
      <c r="D855" s="46"/>
      <c r="E855" s="17"/>
      <c r="F855" s="46"/>
      <c r="G855" s="46"/>
      <c r="H855" s="46"/>
      <c r="I855" s="17"/>
      <c r="J855" s="46"/>
      <c r="K855" s="46"/>
      <c r="L855" s="46"/>
      <c r="M855" s="17"/>
      <c r="N855" s="46"/>
      <c r="O855" s="46"/>
      <c r="P855" s="46"/>
      <c r="Q855" s="46"/>
      <c r="R855" s="46"/>
      <c r="S855" s="46"/>
      <c r="T855" s="46"/>
      <c r="U855" s="46"/>
      <c r="V855" s="46"/>
      <c r="W855" s="46"/>
      <c r="X855" s="46"/>
      <c r="Y855" s="46"/>
      <c r="Z855" s="46"/>
      <c r="AA855" s="46"/>
      <c r="AB855" s="46"/>
      <c r="AC855" s="46"/>
      <c r="AD855" s="46"/>
      <c r="AE855" s="46"/>
      <c r="AF855" s="46"/>
      <c r="AG855" s="127"/>
      <c r="AH855" s="127"/>
      <c r="AI855" s="127"/>
      <c r="AJ855" s="127"/>
      <c r="AK855" s="46"/>
      <c r="AL855" s="46"/>
      <c r="AM855" s="46"/>
      <c r="AN855" s="46"/>
      <c r="AO855" s="46"/>
    </row>
    <row r="856">
      <c r="A856" s="17"/>
      <c r="B856" s="46"/>
      <c r="C856" s="46"/>
      <c r="D856" s="46"/>
      <c r="E856" s="17"/>
      <c r="F856" s="46"/>
      <c r="G856" s="46"/>
      <c r="H856" s="46"/>
      <c r="I856" s="17"/>
      <c r="J856" s="46"/>
      <c r="K856" s="46"/>
      <c r="L856" s="46"/>
      <c r="M856" s="17"/>
      <c r="N856" s="46"/>
      <c r="O856" s="46"/>
      <c r="P856" s="46"/>
      <c r="Q856" s="46"/>
      <c r="R856" s="46"/>
      <c r="S856" s="46"/>
      <c r="T856" s="46"/>
      <c r="U856" s="46"/>
      <c r="V856" s="46"/>
      <c r="W856" s="46"/>
      <c r="X856" s="46"/>
      <c r="Y856" s="46"/>
      <c r="Z856" s="46"/>
      <c r="AA856" s="46"/>
      <c r="AB856" s="46"/>
      <c r="AC856" s="46"/>
      <c r="AD856" s="46"/>
      <c r="AE856" s="46"/>
      <c r="AF856" s="46"/>
      <c r="AG856" s="127"/>
      <c r="AH856" s="127"/>
      <c r="AI856" s="127"/>
      <c r="AJ856" s="127"/>
      <c r="AK856" s="46"/>
      <c r="AL856" s="46"/>
      <c r="AM856" s="46"/>
      <c r="AN856" s="46"/>
      <c r="AO856" s="46"/>
    </row>
    <row r="857">
      <c r="A857" s="17"/>
      <c r="B857" s="46"/>
      <c r="C857" s="46"/>
      <c r="D857" s="46"/>
      <c r="E857" s="17"/>
      <c r="F857" s="46"/>
      <c r="G857" s="46"/>
      <c r="H857" s="46"/>
      <c r="I857" s="17"/>
      <c r="J857" s="46"/>
      <c r="K857" s="46"/>
      <c r="L857" s="46"/>
      <c r="M857" s="17"/>
      <c r="N857" s="46"/>
      <c r="O857" s="46"/>
      <c r="P857" s="46"/>
      <c r="Q857" s="46"/>
      <c r="R857" s="46"/>
      <c r="S857" s="46"/>
      <c r="T857" s="46"/>
      <c r="U857" s="46"/>
      <c r="V857" s="46"/>
      <c r="W857" s="46"/>
      <c r="X857" s="46"/>
      <c r="Y857" s="46"/>
      <c r="Z857" s="46"/>
      <c r="AA857" s="46"/>
      <c r="AB857" s="46"/>
      <c r="AC857" s="46"/>
      <c r="AD857" s="46"/>
      <c r="AE857" s="46"/>
      <c r="AF857" s="46"/>
      <c r="AG857" s="127"/>
      <c r="AH857" s="127"/>
      <c r="AI857" s="127"/>
      <c r="AJ857" s="127"/>
      <c r="AK857" s="46"/>
      <c r="AL857" s="46"/>
      <c r="AM857" s="46"/>
      <c r="AN857" s="46"/>
      <c r="AO857" s="46"/>
    </row>
    <row r="858">
      <c r="A858" s="17"/>
      <c r="B858" s="46"/>
      <c r="C858" s="46"/>
      <c r="D858" s="46"/>
      <c r="E858" s="17"/>
      <c r="F858" s="46"/>
      <c r="G858" s="46"/>
      <c r="H858" s="46"/>
      <c r="I858" s="17"/>
      <c r="J858" s="46"/>
      <c r="K858" s="46"/>
      <c r="L858" s="46"/>
      <c r="M858" s="17"/>
      <c r="N858" s="46"/>
      <c r="O858" s="46"/>
      <c r="P858" s="46"/>
      <c r="Q858" s="46"/>
      <c r="R858" s="46"/>
      <c r="S858" s="46"/>
      <c r="T858" s="46"/>
      <c r="U858" s="46"/>
      <c r="V858" s="46"/>
      <c r="W858" s="46"/>
      <c r="X858" s="46"/>
      <c r="Y858" s="46"/>
      <c r="Z858" s="46"/>
      <c r="AA858" s="46"/>
      <c r="AB858" s="46"/>
      <c r="AC858" s="46"/>
      <c r="AD858" s="46"/>
      <c r="AE858" s="46"/>
      <c r="AF858" s="46"/>
      <c r="AG858" s="127"/>
      <c r="AH858" s="127"/>
      <c r="AI858" s="127"/>
      <c r="AJ858" s="127"/>
      <c r="AK858" s="46"/>
      <c r="AL858" s="46"/>
      <c r="AM858" s="46"/>
      <c r="AN858" s="46"/>
      <c r="AO858" s="46"/>
    </row>
    <row r="859">
      <c r="A859" s="17"/>
      <c r="B859" s="46"/>
      <c r="C859" s="46"/>
      <c r="D859" s="46"/>
      <c r="E859" s="17"/>
      <c r="F859" s="46"/>
      <c r="G859" s="46"/>
      <c r="H859" s="46"/>
      <c r="I859" s="17"/>
      <c r="J859" s="46"/>
      <c r="K859" s="46"/>
      <c r="L859" s="46"/>
      <c r="M859" s="17"/>
      <c r="N859" s="46"/>
      <c r="O859" s="46"/>
      <c r="P859" s="46"/>
      <c r="Q859" s="46"/>
      <c r="R859" s="46"/>
      <c r="S859" s="46"/>
      <c r="T859" s="46"/>
      <c r="U859" s="46"/>
      <c r="V859" s="46"/>
      <c r="W859" s="46"/>
      <c r="X859" s="46"/>
      <c r="Y859" s="46"/>
      <c r="Z859" s="46"/>
      <c r="AA859" s="46"/>
      <c r="AB859" s="46"/>
      <c r="AC859" s="46"/>
      <c r="AD859" s="46"/>
      <c r="AE859" s="46"/>
      <c r="AF859" s="46"/>
      <c r="AG859" s="127"/>
      <c r="AH859" s="127"/>
      <c r="AI859" s="127"/>
      <c r="AJ859" s="127"/>
      <c r="AK859" s="46"/>
      <c r="AL859" s="46"/>
      <c r="AM859" s="46"/>
      <c r="AN859" s="46"/>
      <c r="AO859" s="46"/>
    </row>
    <row r="860">
      <c r="A860" s="17"/>
      <c r="B860" s="46"/>
      <c r="C860" s="46"/>
      <c r="D860" s="46"/>
      <c r="E860" s="17"/>
      <c r="F860" s="46"/>
      <c r="G860" s="46"/>
      <c r="H860" s="46"/>
      <c r="I860" s="17"/>
      <c r="J860" s="46"/>
      <c r="K860" s="46"/>
      <c r="L860" s="46"/>
      <c r="M860" s="17"/>
      <c r="N860" s="46"/>
      <c r="O860" s="46"/>
      <c r="P860" s="46"/>
      <c r="Q860" s="46"/>
      <c r="R860" s="46"/>
      <c r="S860" s="46"/>
      <c r="T860" s="46"/>
      <c r="U860" s="46"/>
      <c r="V860" s="46"/>
      <c r="W860" s="46"/>
      <c r="X860" s="46"/>
      <c r="Y860" s="46"/>
      <c r="Z860" s="46"/>
      <c r="AA860" s="46"/>
      <c r="AB860" s="46"/>
      <c r="AC860" s="46"/>
      <c r="AD860" s="46"/>
      <c r="AE860" s="46"/>
      <c r="AF860" s="46"/>
      <c r="AG860" s="127"/>
      <c r="AH860" s="127"/>
      <c r="AI860" s="127"/>
      <c r="AJ860" s="127"/>
      <c r="AK860" s="46"/>
      <c r="AL860" s="46"/>
      <c r="AM860" s="46"/>
      <c r="AN860" s="46"/>
      <c r="AO860" s="46"/>
    </row>
    <row r="861">
      <c r="A861" s="17"/>
      <c r="B861" s="46"/>
      <c r="C861" s="46"/>
      <c r="D861" s="46"/>
      <c r="E861" s="17"/>
      <c r="F861" s="46"/>
      <c r="G861" s="46"/>
      <c r="H861" s="46"/>
      <c r="I861" s="17"/>
      <c r="J861" s="46"/>
      <c r="K861" s="46"/>
      <c r="L861" s="46"/>
      <c r="M861" s="17"/>
      <c r="N861" s="46"/>
      <c r="O861" s="46"/>
      <c r="P861" s="46"/>
      <c r="Q861" s="46"/>
      <c r="R861" s="46"/>
      <c r="S861" s="46"/>
      <c r="T861" s="46"/>
      <c r="U861" s="46"/>
      <c r="V861" s="46"/>
      <c r="W861" s="46"/>
      <c r="X861" s="46"/>
      <c r="Y861" s="46"/>
      <c r="Z861" s="46"/>
      <c r="AA861" s="46"/>
      <c r="AB861" s="46"/>
      <c r="AC861" s="46"/>
      <c r="AD861" s="46"/>
      <c r="AE861" s="46"/>
      <c r="AF861" s="46"/>
      <c r="AG861" s="127"/>
      <c r="AH861" s="127"/>
      <c r="AI861" s="127"/>
      <c r="AJ861" s="127"/>
      <c r="AK861" s="46"/>
      <c r="AL861" s="46"/>
      <c r="AM861" s="46"/>
      <c r="AN861" s="46"/>
      <c r="AO861" s="46"/>
    </row>
    <row r="862">
      <c r="A862" s="17"/>
      <c r="B862" s="46"/>
      <c r="C862" s="46"/>
      <c r="D862" s="46"/>
      <c r="E862" s="17"/>
      <c r="F862" s="46"/>
      <c r="G862" s="46"/>
      <c r="H862" s="46"/>
      <c r="I862" s="17"/>
      <c r="J862" s="46"/>
      <c r="K862" s="46"/>
      <c r="L862" s="46"/>
      <c r="M862" s="17"/>
      <c r="N862" s="46"/>
      <c r="O862" s="46"/>
      <c r="P862" s="46"/>
      <c r="Q862" s="46"/>
      <c r="R862" s="46"/>
      <c r="S862" s="46"/>
      <c r="T862" s="46"/>
      <c r="U862" s="46"/>
      <c r="V862" s="46"/>
      <c r="W862" s="46"/>
      <c r="X862" s="46"/>
      <c r="Y862" s="46"/>
      <c r="Z862" s="46"/>
      <c r="AA862" s="46"/>
      <c r="AB862" s="46"/>
      <c r="AC862" s="46"/>
      <c r="AD862" s="46"/>
      <c r="AE862" s="46"/>
      <c r="AF862" s="46"/>
      <c r="AG862" s="127"/>
      <c r="AH862" s="127"/>
      <c r="AI862" s="127"/>
      <c r="AJ862" s="127"/>
      <c r="AK862" s="46"/>
      <c r="AL862" s="46"/>
      <c r="AM862" s="46"/>
      <c r="AN862" s="46"/>
      <c r="AO862" s="46"/>
    </row>
    <row r="863">
      <c r="A863" s="17"/>
      <c r="B863" s="46"/>
      <c r="C863" s="46"/>
      <c r="D863" s="46"/>
      <c r="E863" s="17"/>
      <c r="F863" s="46"/>
      <c r="G863" s="46"/>
      <c r="H863" s="46"/>
      <c r="I863" s="17"/>
      <c r="J863" s="46"/>
      <c r="K863" s="46"/>
      <c r="L863" s="46"/>
      <c r="M863" s="17"/>
      <c r="N863" s="46"/>
      <c r="O863" s="46"/>
      <c r="P863" s="46"/>
      <c r="Q863" s="46"/>
      <c r="R863" s="46"/>
      <c r="S863" s="46"/>
      <c r="T863" s="46"/>
      <c r="U863" s="46"/>
      <c r="V863" s="46"/>
      <c r="W863" s="46"/>
      <c r="X863" s="46"/>
      <c r="Y863" s="46"/>
      <c r="Z863" s="46"/>
      <c r="AA863" s="46"/>
      <c r="AB863" s="46"/>
      <c r="AC863" s="46"/>
      <c r="AD863" s="46"/>
      <c r="AE863" s="46"/>
      <c r="AF863" s="46"/>
      <c r="AG863" s="127"/>
      <c r="AH863" s="127"/>
      <c r="AI863" s="127"/>
      <c r="AJ863" s="127"/>
      <c r="AK863" s="46"/>
      <c r="AL863" s="46"/>
      <c r="AM863" s="46"/>
      <c r="AN863" s="46"/>
      <c r="AO863" s="46"/>
    </row>
    <row r="864">
      <c r="A864" s="17"/>
      <c r="B864" s="46"/>
      <c r="C864" s="46"/>
      <c r="D864" s="46"/>
      <c r="E864" s="17"/>
      <c r="F864" s="46"/>
      <c r="G864" s="46"/>
      <c r="H864" s="46"/>
      <c r="I864" s="17"/>
      <c r="J864" s="46"/>
      <c r="K864" s="46"/>
      <c r="L864" s="46"/>
      <c r="M864" s="17"/>
      <c r="N864" s="46"/>
      <c r="O864" s="46"/>
      <c r="P864" s="46"/>
      <c r="Q864" s="46"/>
      <c r="R864" s="46"/>
      <c r="S864" s="46"/>
      <c r="T864" s="46"/>
      <c r="U864" s="46"/>
      <c r="V864" s="46"/>
      <c r="W864" s="46"/>
      <c r="X864" s="46"/>
      <c r="Y864" s="46"/>
      <c r="Z864" s="46"/>
      <c r="AA864" s="46"/>
      <c r="AB864" s="46"/>
      <c r="AC864" s="46"/>
      <c r="AD864" s="46"/>
      <c r="AE864" s="46"/>
      <c r="AF864" s="46"/>
      <c r="AG864" s="127"/>
      <c r="AH864" s="127"/>
      <c r="AI864" s="127"/>
      <c r="AJ864" s="127"/>
      <c r="AK864" s="46"/>
      <c r="AL864" s="46"/>
      <c r="AM864" s="46"/>
      <c r="AN864" s="46"/>
      <c r="AO864" s="46"/>
    </row>
    <row r="865">
      <c r="A865" s="17"/>
      <c r="B865" s="46"/>
      <c r="C865" s="46"/>
      <c r="D865" s="46"/>
      <c r="E865" s="17"/>
      <c r="F865" s="46"/>
      <c r="G865" s="46"/>
      <c r="H865" s="46"/>
      <c r="I865" s="17"/>
      <c r="J865" s="46"/>
      <c r="K865" s="46"/>
      <c r="L865" s="46"/>
      <c r="M865" s="17"/>
      <c r="N865" s="46"/>
      <c r="O865" s="46"/>
      <c r="P865" s="46"/>
      <c r="Q865" s="46"/>
      <c r="R865" s="46"/>
      <c r="S865" s="46"/>
      <c r="T865" s="46"/>
      <c r="U865" s="46"/>
      <c r="V865" s="46"/>
      <c r="W865" s="46"/>
      <c r="X865" s="46"/>
      <c r="Y865" s="46"/>
      <c r="Z865" s="46"/>
      <c r="AA865" s="46"/>
      <c r="AB865" s="46"/>
      <c r="AC865" s="46"/>
      <c r="AD865" s="46"/>
      <c r="AE865" s="46"/>
      <c r="AF865" s="46"/>
      <c r="AG865" s="127"/>
      <c r="AH865" s="127"/>
      <c r="AI865" s="127"/>
      <c r="AJ865" s="127"/>
      <c r="AK865" s="46"/>
      <c r="AL865" s="46"/>
      <c r="AM865" s="46"/>
      <c r="AN865" s="46"/>
      <c r="AO865" s="46"/>
    </row>
    <row r="866">
      <c r="A866" s="17"/>
      <c r="B866" s="46"/>
      <c r="C866" s="46"/>
      <c r="D866" s="46"/>
      <c r="E866" s="17"/>
      <c r="F866" s="46"/>
      <c r="G866" s="46"/>
      <c r="H866" s="46"/>
      <c r="I866" s="17"/>
      <c r="J866" s="46"/>
      <c r="K866" s="46"/>
      <c r="L866" s="46"/>
      <c r="M866" s="17"/>
      <c r="N866" s="46"/>
      <c r="O866" s="46"/>
      <c r="P866" s="46"/>
      <c r="Q866" s="46"/>
      <c r="R866" s="46"/>
      <c r="S866" s="46"/>
      <c r="T866" s="46"/>
      <c r="U866" s="46"/>
      <c r="V866" s="46"/>
      <c r="W866" s="46"/>
      <c r="X866" s="46"/>
      <c r="Y866" s="46"/>
      <c r="Z866" s="46"/>
      <c r="AA866" s="46"/>
      <c r="AB866" s="46"/>
      <c r="AC866" s="46"/>
      <c r="AD866" s="46"/>
      <c r="AE866" s="46"/>
      <c r="AF866" s="46"/>
      <c r="AG866" s="127"/>
      <c r="AH866" s="127"/>
      <c r="AI866" s="127"/>
      <c r="AJ866" s="127"/>
      <c r="AK866" s="46"/>
      <c r="AL866" s="46"/>
      <c r="AM866" s="46"/>
      <c r="AN866" s="46"/>
      <c r="AO866" s="46"/>
    </row>
    <row r="867">
      <c r="A867" s="17"/>
      <c r="B867" s="46"/>
      <c r="C867" s="46"/>
      <c r="D867" s="46"/>
      <c r="E867" s="17"/>
      <c r="F867" s="46"/>
      <c r="G867" s="46"/>
      <c r="H867" s="46"/>
      <c r="I867" s="17"/>
      <c r="J867" s="46"/>
      <c r="K867" s="46"/>
      <c r="L867" s="46"/>
      <c r="M867" s="17"/>
      <c r="N867" s="46"/>
      <c r="O867" s="46"/>
      <c r="P867" s="46"/>
      <c r="Q867" s="46"/>
      <c r="R867" s="46"/>
      <c r="S867" s="46"/>
      <c r="T867" s="46"/>
      <c r="U867" s="46"/>
      <c r="V867" s="46"/>
      <c r="W867" s="46"/>
      <c r="X867" s="46"/>
      <c r="Y867" s="46"/>
      <c r="Z867" s="46"/>
      <c r="AA867" s="46"/>
      <c r="AB867" s="46"/>
      <c r="AC867" s="46"/>
      <c r="AD867" s="46"/>
      <c r="AE867" s="46"/>
      <c r="AF867" s="46"/>
      <c r="AG867" s="127"/>
      <c r="AH867" s="127"/>
      <c r="AI867" s="127"/>
      <c r="AJ867" s="127"/>
      <c r="AK867" s="46"/>
      <c r="AL867" s="46"/>
      <c r="AM867" s="46"/>
      <c r="AN867" s="46"/>
      <c r="AO867" s="46"/>
    </row>
    <row r="868">
      <c r="A868" s="17"/>
      <c r="B868" s="46"/>
      <c r="C868" s="46"/>
      <c r="D868" s="46"/>
      <c r="E868" s="17"/>
      <c r="F868" s="46"/>
      <c r="G868" s="46"/>
      <c r="H868" s="46"/>
      <c r="I868" s="17"/>
      <c r="J868" s="46"/>
      <c r="K868" s="46"/>
      <c r="L868" s="46"/>
      <c r="M868" s="17"/>
      <c r="N868" s="46"/>
      <c r="O868" s="46"/>
      <c r="P868" s="46"/>
      <c r="Q868" s="46"/>
      <c r="R868" s="46"/>
      <c r="S868" s="46"/>
      <c r="T868" s="46"/>
      <c r="U868" s="46"/>
      <c r="V868" s="46"/>
      <c r="W868" s="46"/>
      <c r="X868" s="46"/>
      <c r="Y868" s="46"/>
      <c r="Z868" s="46"/>
      <c r="AA868" s="46"/>
      <c r="AB868" s="46"/>
      <c r="AC868" s="46"/>
      <c r="AD868" s="46"/>
      <c r="AE868" s="46"/>
      <c r="AF868" s="46"/>
      <c r="AG868" s="127"/>
      <c r="AH868" s="127"/>
      <c r="AI868" s="127"/>
      <c r="AJ868" s="127"/>
      <c r="AK868" s="46"/>
      <c r="AL868" s="46"/>
      <c r="AM868" s="46"/>
      <c r="AN868" s="46"/>
      <c r="AO868" s="46"/>
    </row>
    <row r="869">
      <c r="A869" s="17"/>
      <c r="B869" s="46"/>
      <c r="C869" s="46"/>
      <c r="D869" s="46"/>
      <c r="E869" s="17"/>
      <c r="F869" s="46"/>
      <c r="G869" s="46"/>
      <c r="H869" s="46"/>
      <c r="I869" s="17"/>
      <c r="J869" s="46"/>
      <c r="K869" s="46"/>
      <c r="L869" s="46"/>
      <c r="M869" s="17"/>
      <c r="N869" s="46"/>
      <c r="O869" s="46"/>
      <c r="P869" s="46"/>
      <c r="Q869" s="46"/>
      <c r="R869" s="46"/>
      <c r="S869" s="46"/>
      <c r="T869" s="46"/>
      <c r="U869" s="46"/>
      <c r="V869" s="46"/>
      <c r="W869" s="46"/>
      <c r="X869" s="46"/>
      <c r="Y869" s="46"/>
      <c r="Z869" s="46"/>
      <c r="AA869" s="46"/>
      <c r="AB869" s="46"/>
      <c r="AC869" s="46"/>
      <c r="AD869" s="46"/>
      <c r="AE869" s="46"/>
      <c r="AF869" s="46"/>
      <c r="AG869" s="127"/>
      <c r="AH869" s="127"/>
      <c r="AI869" s="127"/>
      <c r="AJ869" s="127"/>
      <c r="AK869" s="46"/>
      <c r="AL869" s="46"/>
      <c r="AM869" s="46"/>
      <c r="AN869" s="46"/>
      <c r="AO869" s="46"/>
    </row>
    <row r="870">
      <c r="A870" s="17"/>
      <c r="B870" s="46"/>
      <c r="C870" s="46"/>
      <c r="D870" s="46"/>
      <c r="E870" s="17"/>
      <c r="F870" s="46"/>
      <c r="G870" s="46"/>
      <c r="H870" s="46"/>
      <c r="I870" s="17"/>
      <c r="J870" s="46"/>
      <c r="K870" s="46"/>
      <c r="L870" s="46"/>
      <c r="M870" s="17"/>
      <c r="N870" s="46"/>
      <c r="O870" s="46"/>
      <c r="P870" s="46"/>
      <c r="Q870" s="46"/>
      <c r="R870" s="46"/>
      <c r="S870" s="46"/>
      <c r="T870" s="46"/>
      <c r="U870" s="46"/>
      <c r="V870" s="46"/>
      <c r="W870" s="46"/>
      <c r="X870" s="46"/>
      <c r="Y870" s="46"/>
      <c r="Z870" s="46"/>
      <c r="AA870" s="46"/>
      <c r="AB870" s="46"/>
      <c r="AC870" s="46"/>
      <c r="AD870" s="46"/>
      <c r="AE870" s="46"/>
      <c r="AF870" s="46"/>
      <c r="AG870" s="127"/>
      <c r="AH870" s="127"/>
      <c r="AI870" s="127"/>
      <c r="AJ870" s="127"/>
      <c r="AK870" s="46"/>
      <c r="AL870" s="46"/>
      <c r="AM870" s="46"/>
      <c r="AN870" s="46"/>
      <c r="AO870" s="46"/>
    </row>
    <row r="871">
      <c r="A871" s="17"/>
      <c r="B871" s="46"/>
      <c r="C871" s="46"/>
      <c r="D871" s="46"/>
      <c r="E871" s="17"/>
      <c r="F871" s="46"/>
      <c r="G871" s="46"/>
      <c r="H871" s="46"/>
      <c r="I871" s="17"/>
      <c r="J871" s="46"/>
      <c r="K871" s="46"/>
      <c r="L871" s="46"/>
      <c r="M871" s="17"/>
      <c r="N871" s="46"/>
      <c r="O871" s="46"/>
      <c r="P871" s="46"/>
      <c r="Q871" s="46"/>
      <c r="R871" s="46"/>
      <c r="S871" s="46"/>
      <c r="T871" s="46"/>
      <c r="U871" s="46"/>
      <c r="V871" s="46"/>
      <c r="W871" s="46"/>
      <c r="X871" s="46"/>
      <c r="Y871" s="46"/>
      <c r="Z871" s="46"/>
      <c r="AA871" s="46"/>
      <c r="AB871" s="46"/>
      <c r="AC871" s="46"/>
      <c r="AD871" s="46"/>
      <c r="AE871" s="46"/>
      <c r="AF871" s="46"/>
      <c r="AG871" s="127"/>
      <c r="AH871" s="127"/>
      <c r="AI871" s="127"/>
      <c r="AJ871" s="127"/>
      <c r="AK871" s="46"/>
      <c r="AL871" s="46"/>
      <c r="AM871" s="46"/>
      <c r="AN871" s="46"/>
      <c r="AO871" s="46"/>
    </row>
    <row r="872">
      <c r="A872" s="17"/>
      <c r="B872" s="46"/>
      <c r="C872" s="46"/>
      <c r="D872" s="46"/>
      <c r="E872" s="17"/>
      <c r="F872" s="46"/>
      <c r="G872" s="46"/>
      <c r="H872" s="46"/>
      <c r="I872" s="17"/>
      <c r="J872" s="46"/>
      <c r="K872" s="46"/>
      <c r="L872" s="46"/>
      <c r="M872" s="17"/>
      <c r="N872" s="46"/>
      <c r="O872" s="46"/>
      <c r="P872" s="46"/>
      <c r="Q872" s="46"/>
      <c r="R872" s="46"/>
      <c r="S872" s="46"/>
      <c r="T872" s="46"/>
      <c r="U872" s="46"/>
      <c r="V872" s="46"/>
      <c r="W872" s="46"/>
      <c r="X872" s="46"/>
      <c r="Y872" s="46"/>
      <c r="Z872" s="46"/>
      <c r="AA872" s="46"/>
      <c r="AB872" s="46"/>
      <c r="AC872" s="46"/>
      <c r="AD872" s="46"/>
      <c r="AE872" s="46"/>
      <c r="AF872" s="46"/>
      <c r="AG872" s="127"/>
      <c r="AH872" s="127"/>
      <c r="AI872" s="127"/>
      <c r="AJ872" s="127"/>
      <c r="AK872" s="46"/>
      <c r="AL872" s="46"/>
      <c r="AM872" s="46"/>
      <c r="AN872" s="46"/>
      <c r="AO872" s="46"/>
    </row>
    <row r="873">
      <c r="A873" s="17"/>
      <c r="B873" s="46"/>
      <c r="C873" s="46"/>
      <c r="D873" s="46"/>
      <c r="E873" s="17"/>
      <c r="F873" s="46"/>
      <c r="G873" s="46"/>
      <c r="H873" s="46"/>
      <c r="I873" s="17"/>
      <c r="J873" s="46"/>
      <c r="K873" s="46"/>
      <c r="L873" s="46"/>
      <c r="M873" s="17"/>
      <c r="N873" s="46"/>
      <c r="O873" s="46"/>
      <c r="P873" s="46"/>
      <c r="Q873" s="46"/>
      <c r="R873" s="46"/>
      <c r="S873" s="46"/>
      <c r="T873" s="46"/>
      <c r="U873" s="46"/>
      <c r="V873" s="46"/>
      <c r="W873" s="46"/>
      <c r="X873" s="46"/>
      <c r="Y873" s="46"/>
      <c r="Z873" s="46"/>
      <c r="AA873" s="46"/>
      <c r="AB873" s="46"/>
      <c r="AC873" s="46"/>
      <c r="AD873" s="46"/>
      <c r="AE873" s="46"/>
      <c r="AF873" s="46"/>
      <c r="AG873" s="127"/>
      <c r="AH873" s="127"/>
      <c r="AI873" s="127"/>
      <c r="AJ873" s="127"/>
      <c r="AK873" s="46"/>
      <c r="AL873" s="46"/>
      <c r="AM873" s="46"/>
      <c r="AN873" s="46"/>
      <c r="AO873" s="46"/>
    </row>
    <row r="874">
      <c r="A874" s="17"/>
      <c r="B874" s="46"/>
      <c r="C874" s="46"/>
      <c r="D874" s="46"/>
      <c r="E874" s="17"/>
      <c r="F874" s="46"/>
      <c r="G874" s="46"/>
      <c r="H874" s="46"/>
      <c r="I874" s="17"/>
      <c r="J874" s="46"/>
      <c r="K874" s="46"/>
      <c r="L874" s="46"/>
      <c r="M874" s="17"/>
      <c r="N874" s="46"/>
      <c r="O874" s="46"/>
      <c r="P874" s="46"/>
      <c r="Q874" s="46"/>
      <c r="R874" s="46"/>
      <c r="S874" s="46"/>
      <c r="T874" s="46"/>
      <c r="U874" s="46"/>
      <c r="V874" s="46"/>
      <c r="W874" s="46"/>
      <c r="X874" s="46"/>
      <c r="Y874" s="46"/>
      <c r="Z874" s="46"/>
      <c r="AA874" s="46"/>
      <c r="AB874" s="46"/>
      <c r="AC874" s="46"/>
      <c r="AD874" s="46"/>
      <c r="AE874" s="46"/>
      <c r="AF874" s="46"/>
      <c r="AG874" s="127"/>
      <c r="AH874" s="127"/>
      <c r="AI874" s="127"/>
      <c r="AJ874" s="127"/>
      <c r="AK874" s="46"/>
      <c r="AL874" s="46"/>
      <c r="AM874" s="46"/>
      <c r="AN874" s="46"/>
      <c r="AO874" s="46"/>
    </row>
    <row r="875">
      <c r="A875" s="17"/>
      <c r="B875" s="46"/>
      <c r="C875" s="46"/>
      <c r="D875" s="46"/>
      <c r="E875" s="17"/>
      <c r="F875" s="46"/>
      <c r="G875" s="46"/>
      <c r="H875" s="46"/>
      <c r="I875" s="17"/>
      <c r="J875" s="46"/>
      <c r="K875" s="46"/>
      <c r="L875" s="46"/>
      <c r="M875" s="17"/>
      <c r="N875" s="46"/>
      <c r="O875" s="46"/>
      <c r="P875" s="46"/>
      <c r="Q875" s="46"/>
      <c r="R875" s="46"/>
      <c r="S875" s="46"/>
      <c r="T875" s="46"/>
      <c r="U875" s="46"/>
      <c r="V875" s="46"/>
      <c r="W875" s="46"/>
      <c r="X875" s="46"/>
      <c r="Y875" s="46"/>
      <c r="Z875" s="46"/>
      <c r="AA875" s="46"/>
      <c r="AB875" s="46"/>
      <c r="AC875" s="46"/>
      <c r="AD875" s="46"/>
      <c r="AE875" s="46"/>
      <c r="AF875" s="46"/>
      <c r="AG875" s="127"/>
      <c r="AH875" s="127"/>
      <c r="AI875" s="127"/>
      <c r="AJ875" s="127"/>
      <c r="AK875" s="46"/>
      <c r="AL875" s="46"/>
      <c r="AM875" s="46"/>
      <c r="AN875" s="46"/>
      <c r="AO875" s="46"/>
    </row>
    <row r="876">
      <c r="A876" s="17"/>
      <c r="B876" s="46"/>
      <c r="C876" s="46"/>
      <c r="D876" s="46"/>
      <c r="E876" s="17"/>
      <c r="F876" s="46"/>
      <c r="G876" s="46"/>
      <c r="H876" s="46"/>
      <c r="I876" s="17"/>
      <c r="J876" s="46"/>
      <c r="K876" s="46"/>
      <c r="L876" s="46"/>
      <c r="M876" s="17"/>
      <c r="N876" s="46"/>
      <c r="O876" s="46"/>
      <c r="P876" s="46"/>
      <c r="Q876" s="46"/>
      <c r="R876" s="46"/>
      <c r="S876" s="46"/>
      <c r="T876" s="46"/>
      <c r="U876" s="46"/>
      <c r="V876" s="46"/>
      <c r="W876" s="46"/>
      <c r="X876" s="46"/>
      <c r="Y876" s="46"/>
      <c r="Z876" s="46"/>
      <c r="AA876" s="46"/>
      <c r="AB876" s="46"/>
      <c r="AC876" s="46"/>
      <c r="AD876" s="46"/>
      <c r="AE876" s="46"/>
      <c r="AF876" s="46"/>
      <c r="AG876" s="127"/>
      <c r="AH876" s="127"/>
      <c r="AI876" s="127"/>
      <c r="AJ876" s="127"/>
      <c r="AK876" s="46"/>
      <c r="AL876" s="46"/>
      <c r="AM876" s="46"/>
      <c r="AN876" s="46"/>
      <c r="AO876" s="46"/>
    </row>
    <row r="877">
      <c r="A877" s="17"/>
      <c r="B877" s="46"/>
      <c r="C877" s="46"/>
      <c r="D877" s="46"/>
      <c r="E877" s="17"/>
      <c r="F877" s="46"/>
      <c r="G877" s="46"/>
      <c r="H877" s="46"/>
      <c r="I877" s="17"/>
      <c r="J877" s="46"/>
      <c r="K877" s="46"/>
      <c r="L877" s="46"/>
      <c r="M877" s="17"/>
      <c r="N877" s="46"/>
      <c r="O877" s="46"/>
      <c r="P877" s="46"/>
      <c r="Q877" s="46"/>
      <c r="R877" s="46"/>
      <c r="S877" s="46"/>
      <c r="T877" s="46"/>
      <c r="U877" s="46"/>
      <c r="V877" s="46"/>
      <c r="W877" s="46"/>
      <c r="X877" s="46"/>
      <c r="Y877" s="46"/>
      <c r="Z877" s="46"/>
      <c r="AA877" s="46"/>
      <c r="AB877" s="46"/>
      <c r="AC877" s="46"/>
      <c r="AD877" s="46"/>
      <c r="AE877" s="46"/>
      <c r="AF877" s="46"/>
      <c r="AG877" s="127"/>
      <c r="AH877" s="127"/>
      <c r="AI877" s="127"/>
      <c r="AJ877" s="127"/>
      <c r="AK877" s="46"/>
      <c r="AL877" s="46"/>
      <c r="AM877" s="46"/>
      <c r="AN877" s="46"/>
      <c r="AO877" s="46"/>
    </row>
    <row r="878">
      <c r="A878" s="17"/>
      <c r="B878" s="46"/>
      <c r="C878" s="46"/>
      <c r="D878" s="46"/>
      <c r="E878" s="17"/>
      <c r="F878" s="46"/>
      <c r="G878" s="46"/>
      <c r="H878" s="46"/>
      <c r="I878" s="17"/>
      <c r="J878" s="46"/>
      <c r="K878" s="46"/>
      <c r="L878" s="46"/>
      <c r="M878" s="17"/>
      <c r="N878" s="46"/>
      <c r="O878" s="46"/>
      <c r="P878" s="46"/>
      <c r="Q878" s="46"/>
      <c r="R878" s="46"/>
      <c r="S878" s="46"/>
      <c r="T878" s="46"/>
      <c r="U878" s="46"/>
      <c r="V878" s="46"/>
      <c r="W878" s="46"/>
      <c r="X878" s="46"/>
      <c r="Y878" s="46"/>
      <c r="Z878" s="46"/>
      <c r="AA878" s="46"/>
      <c r="AB878" s="46"/>
      <c r="AC878" s="46"/>
      <c r="AD878" s="46"/>
      <c r="AE878" s="46"/>
      <c r="AF878" s="46"/>
      <c r="AG878" s="127"/>
      <c r="AH878" s="127"/>
      <c r="AI878" s="127"/>
      <c r="AJ878" s="127"/>
      <c r="AK878" s="46"/>
      <c r="AL878" s="46"/>
      <c r="AM878" s="46"/>
      <c r="AN878" s="46"/>
      <c r="AO878" s="46"/>
    </row>
    <row r="879">
      <c r="A879" s="17"/>
      <c r="B879" s="46"/>
      <c r="C879" s="46"/>
      <c r="D879" s="46"/>
      <c r="E879" s="17"/>
      <c r="F879" s="46"/>
      <c r="G879" s="46"/>
      <c r="H879" s="46"/>
      <c r="I879" s="17"/>
      <c r="J879" s="46"/>
      <c r="K879" s="46"/>
      <c r="L879" s="46"/>
      <c r="M879" s="17"/>
      <c r="N879" s="46"/>
      <c r="O879" s="46"/>
      <c r="P879" s="46"/>
      <c r="Q879" s="46"/>
      <c r="R879" s="46"/>
      <c r="S879" s="46"/>
      <c r="T879" s="46"/>
      <c r="U879" s="46"/>
      <c r="V879" s="46"/>
      <c r="W879" s="46"/>
      <c r="X879" s="46"/>
      <c r="Y879" s="46"/>
      <c r="Z879" s="46"/>
      <c r="AA879" s="46"/>
      <c r="AB879" s="46"/>
      <c r="AC879" s="46"/>
      <c r="AD879" s="46"/>
      <c r="AE879" s="46"/>
      <c r="AF879" s="46"/>
      <c r="AG879" s="127"/>
      <c r="AH879" s="127"/>
      <c r="AI879" s="127"/>
      <c r="AJ879" s="127"/>
      <c r="AK879" s="46"/>
      <c r="AL879" s="46"/>
      <c r="AM879" s="46"/>
      <c r="AN879" s="46"/>
      <c r="AO879" s="46"/>
    </row>
    <row r="880">
      <c r="A880" s="17"/>
      <c r="B880" s="46"/>
      <c r="C880" s="46"/>
      <c r="D880" s="46"/>
      <c r="E880" s="17"/>
      <c r="F880" s="46"/>
      <c r="G880" s="46"/>
      <c r="H880" s="46"/>
      <c r="I880" s="17"/>
      <c r="J880" s="46"/>
      <c r="K880" s="46"/>
      <c r="L880" s="46"/>
      <c r="M880" s="17"/>
      <c r="N880" s="46"/>
      <c r="O880" s="46"/>
      <c r="P880" s="46"/>
      <c r="Q880" s="46"/>
      <c r="R880" s="46"/>
      <c r="S880" s="46"/>
      <c r="T880" s="46"/>
      <c r="U880" s="46"/>
      <c r="V880" s="46"/>
      <c r="W880" s="46"/>
      <c r="X880" s="46"/>
      <c r="Y880" s="46"/>
      <c r="Z880" s="46"/>
      <c r="AA880" s="46"/>
      <c r="AB880" s="46"/>
      <c r="AC880" s="46"/>
      <c r="AD880" s="46"/>
      <c r="AE880" s="46"/>
      <c r="AF880" s="46"/>
      <c r="AG880" s="127"/>
      <c r="AH880" s="127"/>
      <c r="AI880" s="127"/>
      <c r="AJ880" s="127"/>
      <c r="AK880" s="46"/>
      <c r="AL880" s="46"/>
      <c r="AM880" s="46"/>
      <c r="AN880" s="46"/>
      <c r="AO880" s="46"/>
    </row>
    <row r="881">
      <c r="A881" s="17"/>
      <c r="B881" s="46"/>
      <c r="C881" s="46"/>
      <c r="D881" s="46"/>
      <c r="E881" s="17"/>
      <c r="F881" s="46"/>
      <c r="G881" s="46"/>
      <c r="H881" s="46"/>
      <c r="I881" s="17"/>
      <c r="J881" s="46"/>
      <c r="K881" s="46"/>
      <c r="L881" s="46"/>
      <c r="M881" s="17"/>
      <c r="N881" s="46"/>
      <c r="O881" s="46"/>
      <c r="P881" s="46"/>
      <c r="Q881" s="46"/>
      <c r="R881" s="46"/>
      <c r="S881" s="46"/>
      <c r="T881" s="46"/>
      <c r="U881" s="46"/>
      <c r="V881" s="46"/>
      <c r="W881" s="46"/>
      <c r="X881" s="46"/>
      <c r="Y881" s="46"/>
      <c r="Z881" s="46"/>
      <c r="AA881" s="46"/>
      <c r="AB881" s="46"/>
      <c r="AC881" s="46"/>
      <c r="AD881" s="46"/>
      <c r="AE881" s="46"/>
      <c r="AF881" s="46"/>
      <c r="AG881" s="127"/>
      <c r="AH881" s="127"/>
      <c r="AI881" s="127"/>
      <c r="AJ881" s="127"/>
      <c r="AK881" s="46"/>
      <c r="AL881" s="46"/>
      <c r="AM881" s="46"/>
      <c r="AN881" s="46"/>
      <c r="AO881" s="46"/>
    </row>
    <row r="882">
      <c r="A882" s="17"/>
      <c r="B882" s="46"/>
      <c r="C882" s="46"/>
      <c r="D882" s="46"/>
      <c r="E882" s="17"/>
      <c r="F882" s="46"/>
      <c r="G882" s="46"/>
      <c r="H882" s="46"/>
      <c r="I882" s="17"/>
      <c r="J882" s="46"/>
      <c r="K882" s="46"/>
      <c r="L882" s="46"/>
      <c r="M882" s="17"/>
      <c r="N882" s="46"/>
      <c r="O882" s="46"/>
      <c r="P882" s="46"/>
      <c r="Q882" s="46"/>
      <c r="R882" s="46"/>
      <c r="S882" s="46"/>
      <c r="T882" s="46"/>
      <c r="U882" s="46"/>
      <c r="V882" s="46"/>
      <c r="W882" s="46"/>
      <c r="X882" s="46"/>
      <c r="Y882" s="46"/>
      <c r="Z882" s="46"/>
      <c r="AA882" s="46"/>
      <c r="AB882" s="46"/>
      <c r="AC882" s="46"/>
      <c r="AD882" s="46"/>
      <c r="AE882" s="46"/>
      <c r="AF882" s="46"/>
      <c r="AG882" s="127"/>
      <c r="AH882" s="127"/>
      <c r="AI882" s="127"/>
      <c r="AJ882" s="127"/>
      <c r="AK882" s="46"/>
      <c r="AL882" s="46"/>
      <c r="AM882" s="46"/>
      <c r="AN882" s="46"/>
      <c r="AO882" s="46"/>
    </row>
    <row r="883">
      <c r="A883" s="17"/>
      <c r="B883" s="46"/>
      <c r="C883" s="46"/>
      <c r="D883" s="46"/>
      <c r="E883" s="17"/>
      <c r="F883" s="46"/>
      <c r="G883" s="46"/>
      <c r="H883" s="46"/>
      <c r="I883" s="17"/>
      <c r="J883" s="46"/>
      <c r="K883" s="46"/>
      <c r="L883" s="46"/>
      <c r="M883" s="17"/>
      <c r="N883" s="46"/>
      <c r="O883" s="46"/>
      <c r="P883" s="46"/>
      <c r="Q883" s="46"/>
      <c r="R883" s="46"/>
      <c r="S883" s="46"/>
      <c r="T883" s="46"/>
      <c r="U883" s="46"/>
      <c r="V883" s="46"/>
      <c r="W883" s="46"/>
      <c r="X883" s="46"/>
      <c r="Y883" s="46"/>
      <c r="Z883" s="46"/>
      <c r="AA883" s="46"/>
      <c r="AB883" s="46"/>
      <c r="AC883" s="46"/>
      <c r="AD883" s="46"/>
      <c r="AE883" s="46"/>
      <c r="AF883" s="46"/>
      <c r="AG883" s="127"/>
      <c r="AH883" s="127"/>
      <c r="AI883" s="127"/>
      <c r="AJ883" s="127"/>
      <c r="AK883" s="46"/>
      <c r="AL883" s="46"/>
      <c r="AM883" s="46"/>
      <c r="AN883" s="46"/>
      <c r="AO883" s="46"/>
    </row>
    <row r="884">
      <c r="A884" s="17"/>
      <c r="B884" s="46"/>
      <c r="C884" s="46"/>
      <c r="D884" s="46"/>
      <c r="E884" s="17"/>
      <c r="F884" s="46"/>
      <c r="G884" s="46"/>
      <c r="H884" s="46"/>
      <c r="I884" s="17"/>
      <c r="J884" s="46"/>
      <c r="K884" s="46"/>
      <c r="L884" s="46"/>
      <c r="M884" s="17"/>
      <c r="N884" s="46"/>
      <c r="O884" s="46"/>
      <c r="P884" s="46"/>
      <c r="Q884" s="46"/>
      <c r="R884" s="46"/>
      <c r="S884" s="46"/>
      <c r="T884" s="46"/>
      <c r="U884" s="46"/>
      <c r="V884" s="46"/>
      <c r="W884" s="46"/>
      <c r="X884" s="46"/>
      <c r="Y884" s="46"/>
      <c r="Z884" s="46"/>
      <c r="AA884" s="46"/>
      <c r="AB884" s="46"/>
      <c r="AC884" s="46"/>
      <c r="AD884" s="46"/>
      <c r="AE884" s="46"/>
      <c r="AF884" s="46"/>
      <c r="AG884" s="127"/>
      <c r="AH884" s="127"/>
      <c r="AI884" s="127"/>
      <c r="AJ884" s="127"/>
      <c r="AK884" s="46"/>
      <c r="AL884" s="46"/>
      <c r="AM884" s="46"/>
      <c r="AN884" s="46"/>
      <c r="AO884" s="46"/>
    </row>
    <row r="885">
      <c r="A885" s="17"/>
      <c r="B885" s="46"/>
      <c r="C885" s="46"/>
      <c r="D885" s="46"/>
      <c r="E885" s="17"/>
      <c r="F885" s="46"/>
      <c r="G885" s="46"/>
      <c r="H885" s="46"/>
      <c r="I885" s="17"/>
      <c r="J885" s="46"/>
      <c r="K885" s="46"/>
      <c r="L885" s="46"/>
      <c r="M885" s="17"/>
      <c r="N885" s="46"/>
      <c r="O885" s="46"/>
      <c r="P885" s="46"/>
      <c r="Q885" s="46"/>
      <c r="R885" s="46"/>
      <c r="S885" s="46"/>
      <c r="T885" s="46"/>
      <c r="U885" s="46"/>
      <c r="V885" s="46"/>
      <c r="W885" s="46"/>
      <c r="X885" s="46"/>
      <c r="Y885" s="46"/>
      <c r="Z885" s="46"/>
      <c r="AA885" s="46"/>
      <c r="AB885" s="46"/>
      <c r="AC885" s="46"/>
      <c r="AD885" s="46"/>
      <c r="AE885" s="46"/>
      <c r="AF885" s="46"/>
      <c r="AG885" s="127"/>
      <c r="AH885" s="127"/>
      <c r="AI885" s="127"/>
      <c r="AJ885" s="127"/>
      <c r="AK885" s="46"/>
      <c r="AL885" s="46"/>
      <c r="AM885" s="46"/>
      <c r="AN885" s="46"/>
      <c r="AO885" s="46"/>
    </row>
    <row r="886">
      <c r="A886" s="17"/>
      <c r="B886" s="46"/>
      <c r="C886" s="46"/>
      <c r="D886" s="46"/>
      <c r="E886" s="17"/>
      <c r="F886" s="46"/>
      <c r="G886" s="46"/>
      <c r="H886" s="46"/>
      <c r="I886" s="17"/>
      <c r="J886" s="46"/>
      <c r="K886" s="46"/>
      <c r="L886" s="46"/>
      <c r="M886" s="17"/>
      <c r="N886" s="46"/>
      <c r="O886" s="46"/>
      <c r="P886" s="46"/>
      <c r="Q886" s="46"/>
      <c r="R886" s="46"/>
      <c r="S886" s="46"/>
      <c r="T886" s="46"/>
      <c r="U886" s="46"/>
      <c r="V886" s="46"/>
      <c r="W886" s="46"/>
      <c r="X886" s="46"/>
      <c r="Y886" s="46"/>
      <c r="Z886" s="46"/>
      <c r="AA886" s="46"/>
      <c r="AB886" s="46"/>
      <c r="AC886" s="46"/>
      <c r="AD886" s="46"/>
      <c r="AE886" s="46"/>
      <c r="AF886" s="46"/>
      <c r="AG886" s="127"/>
      <c r="AH886" s="127"/>
      <c r="AI886" s="127"/>
      <c r="AJ886" s="127"/>
      <c r="AK886" s="46"/>
      <c r="AL886" s="46"/>
      <c r="AM886" s="46"/>
      <c r="AN886" s="46"/>
      <c r="AO886" s="46"/>
    </row>
    <row r="887">
      <c r="A887" s="17"/>
      <c r="B887" s="46"/>
      <c r="C887" s="46"/>
      <c r="D887" s="46"/>
      <c r="E887" s="17"/>
      <c r="F887" s="46"/>
      <c r="G887" s="46"/>
      <c r="H887" s="46"/>
      <c r="I887" s="17"/>
      <c r="J887" s="46"/>
      <c r="K887" s="46"/>
      <c r="L887" s="46"/>
      <c r="M887" s="17"/>
      <c r="N887" s="46"/>
      <c r="O887" s="46"/>
      <c r="P887" s="46"/>
      <c r="Q887" s="46"/>
      <c r="R887" s="46"/>
      <c r="S887" s="46"/>
      <c r="T887" s="46"/>
      <c r="U887" s="46"/>
      <c r="V887" s="46"/>
      <c r="W887" s="46"/>
      <c r="X887" s="46"/>
      <c r="Y887" s="46"/>
      <c r="Z887" s="46"/>
      <c r="AA887" s="46"/>
      <c r="AB887" s="46"/>
      <c r="AC887" s="46"/>
      <c r="AD887" s="46"/>
      <c r="AE887" s="46"/>
      <c r="AF887" s="46"/>
      <c r="AG887" s="127"/>
      <c r="AH887" s="127"/>
      <c r="AI887" s="127"/>
      <c r="AJ887" s="127"/>
      <c r="AK887" s="46"/>
      <c r="AL887" s="46"/>
      <c r="AM887" s="46"/>
      <c r="AN887" s="46"/>
      <c r="AO887" s="46"/>
    </row>
    <row r="888">
      <c r="A888" s="17"/>
      <c r="B888" s="46"/>
      <c r="C888" s="46"/>
      <c r="D888" s="46"/>
      <c r="E888" s="17"/>
      <c r="F888" s="46"/>
      <c r="G888" s="46"/>
      <c r="H888" s="46"/>
      <c r="I888" s="17"/>
      <c r="J888" s="46"/>
      <c r="K888" s="46"/>
      <c r="L888" s="46"/>
      <c r="M888" s="17"/>
      <c r="N888" s="46"/>
      <c r="O888" s="46"/>
      <c r="P888" s="46"/>
      <c r="Q888" s="46"/>
      <c r="R888" s="46"/>
      <c r="S888" s="46"/>
      <c r="T888" s="46"/>
      <c r="U888" s="46"/>
      <c r="V888" s="46"/>
      <c r="W888" s="46"/>
      <c r="X888" s="46"/>
      <c r="Y888" s="46"/>
      <c r="Z888" s="46"/>
      <c r="AA888" s="46"/>
      <c r="AB888" s="46"/>
      <c r="AC888" s="46"/>
      <c r="AD888" s="46"/>
      <c r="AE888" s="46"/>
      <c r="AF888" s="46"/>
      <c r="AG888" s="127"/>
      <c r="AH888" s="127"/>
      <c r="AI888" s="127"/>
      <c r="AJ888" s="127"/>
      <c r="AK888" s="46"/>
      <c r="AL888" s="46"/>
      <c r="AM888" s="46"/>
      <c r="AN888" s="46"/>
      <c r="AO888" s="46"/>
    </row>
    <row r="889">
      <c r="A889" s="17"/>
      <c r="B889" s="46"/>
      <c r="C889" s="46"/>
      <c r="D889" s="46"/>
      <c r="E889" s="17"/>
      <c r="F889" s="46"/>
      <c r="G889" s="46"/>
      <c r="H889" s="46"/>
      <c r="I889" s="17"/>
      <c r="J889" s="46"/>
      <c r="K889" s="46"/>
      <c r="L889" s="46"/>
      <c r="M889" s="17"/>
      <c r="N889" s="46"/>
      <c r="O889" s="46"/>
      <c r="P889" s="46"/>
      <c r="Q889" s="46"/>
      <c r="R889" s="46"/>
      <c r="S889" s="46"/>
      <c r="T889" s="46"/>
      <c r="U889" s="46"/>
      <c r="V889" s="46"/>
      <c r="W889" s="46"/>
      <c r="X889" s="46"/>
      <c r="Y889" s="46"/>
      <c r="Z889" s="46"/>
      <c r="AA889" s="46"/>
      <c r="AB889" s="46"/>
      <c r="AC889" s="46"/>
      <c r="AD889" s="46"/>
      <c r="AE889" s="46"/>
      <c r="AF889" s="46"/>
      <c r="AG889" s="127"/>
      <c r="AH889" s="127"/>
      <c r="AI889" s="127"/>
      <c r="AJ889" s="127"/>
      <c r="AK889" s="46"/>
      <c r="AL889" s="46"/>
      <c r="AM889" s="46"/>
      <c r="AN889" s="46"/>
      <c r="AO889" s="46"/>
    </row>
    <row r="890">
      <c r="A890" s="17"/>
      <c r="B890" s="46"/>
      <c r="C890" s="46"/>
      <c r="D890" s="46"/>
      <c r="E890" s="17"/>
      <c r="F890" s="46"/>
      <c r="G890" s="46"/>
      <c r="H890" s="46"/>
      <c r="I890" s="17"/>
      <c r="J890" s="46"/>
      <c r="K890" s="46"/>
      <c r="L890" s="46"/>
      <c r="M890" s="17"/>
      <c r="N890" s="46"/>
      <c r="O890" s="46"/>
      <c r="P890" s="46"/>
      <c r="Q890" s="46"/>
      <c r="R890" s="46"/>
      <c r="S890" s="46"/>
      <c r="T890" s="46"/>
      <c r="U890" s="46"/>
      <c r="V890" s="46"/>
      <c r="W890" s="46"/>
      <c r="X890" s="46"/>
      <c r="Y890" s="46"/>
      <c r="Z890" s="46"/>
      <c r="AA890" s="46"/>
      <c r="AB890" s="46"/>
      <c r="AC890" s="46"/>
      <c r="AD890" s="46"/>
      <c r="AE890" s="46"/>
      <c r="AF890" s="46"/>
      <c r="AG890" s="127"/>
      <c r="AH890" s="127"/>
      <c r="AI890" s="127"/>
      <c r="AJ890" s="127"/>
      <c r="AK890" s="46"/>
      <c r="AL890" s="46"/>
      <c r="AM890" s="46"/>
      <c r="AN890" s="46"/>
      <c r="AO890" s="46"/>
    </row>
    <row r="891">
      <c r="A891" s="17"/>
      <c r="B891" s="46"/>
      <c r="C891" s="46"/>
      <c r="D891" s="46"/>
      <c r="E891" s="17"/>
      <c r="F891" s="46"/>
      <c r="G891" s="46"/>
      <c r="H891" s="46"/>
      <c r="I891" s="17"/>
      <c r="J891" s="46"/>
      <c r="K891" s="46"/>
      <c r="L891" s="46"/>
      <c r="M891" s="17"/>
      <c r="N891" s="46"/>
      <c r="O891" s="46"/>
      <c r="P891" s="46"/>
      <c r="Q891" s="46"/>
      <c r="R891" s="46"/>
      <c r="S891" s="46"/>
      <c r="T891" s="46"/>
      <c r="U891" s="46"/>
      <c r="V891" s="46"/>
      <c r="W891" s="46"/>
      <c r="X891" s="46"/>
      <c r="Y891" s="46"/>
      <c r="Z891" s="46"/>
      <c r="AA891" s="46"/>
      <c r="AB891" s="46"/>
      <c r="AC891" s="46"/>
      <c r="AD891" s="46"/>
      <c r="AE891" s="46"/>
      <c r="AF891" s="46"/>
      <c r="AG891" s="127"/>
      <c r="AH891" s="127"/>
      <c r="AI891" s="127"/>
      <c r="AJ891" s="127"/>
      <c r="AK891" s="46"/>
      <c r="AL891" s="46"/>
      <c r="AM891" s="46"/>
      <c r="AN891" s="46"/>
      <c r="AO891" s="46"/>
    </row>
    <row r="892">
      <c r="A892" s="17"/>
      <c r="B892" s="46"/>
      <c r="C892" s="46"/>
      <c r="D892" s="46"/>
      <c r="E892" s="17"/>
      <c r="F892" s="46"/>
      <c r="G892" s="46"/>
      <c r="H892" s="46"/>
      <c r="I892" s="17"/>
      <c r="J892" s="46"/>
      <c r="K892" s="46"/>
      <c r="L892" s="46"/>
      <c r="M892" s="17"/>
      <c r="N892" s="46"/>
      <c r="O892" s="46"/>
      <c r="P892" s="46"/>
      <c r="Q892" s="46"/>
      <c r="R892" s="46"/>
      <c r="S892" s="46"/>
      <c r="T892" s="46"/>
      <c r="U892" s="46"/>
      <c r="V892" s="46"/>
      <c r="W892" s="46"/>
      <c r="X892" s="46"/>
      <c r="Y892" s="46"/>
      <c r="Z892" s="46"/>
      <c r="AA892" s="46"/>
      <c r="AB892" s="46"/>
      <c r="AC892" s="46"/>
      <c r="AD892" s="46"/>
      <c r="AE892" s="46"/>
      <c r="AF892" s="46"/>
      <c r="AG892" s="127"/>
      <c r="AH892" s="127"/>
      <c r="AI892" s="127"/>
      <c r="AJ892" s="127"/>
      <c r="AK892" s="46"/>
      <c r="AL892" s="46"/>
      <c r="AM892" s="46"/>
      <c r="AN892" s="46"/>
      <c r="AO892" s="46"/>
    </row>
    <row r="893">
      <c r="A893" s="17"/>
      <c r="B893" s="46"/>
      <c r="C893" s="46"/>
      <c r="D893" s="46"/>
      <c r="E893" s="17"/>
      <c r="F893" s="46"/>
      <c r="G893" s="46"/>
      <c r="H893" s="46"/>
      <c r="I893" s="17"/>
      <c r="J893" s="46"/>
      <c r="K893" s="46"/>
      <c r="L893" s="46"/>
      <c r="M893" s="17"/>
      <c r="N893" s="46"/>
      <c r="O893" s="46"/>
      <c r="P893" s="46"/>
      <c r="Q893" s="46"/>
      <c r="R893" s="46"/>
      <c r="S893" s="46"/>
      <c r="T893" s="46"/>
      <c r="U893" s="46"/>
      <c r="V893" s="46"/>
      <c r="W893" s="46"/>
      <c r="X893" s="46"/>
      <c r="Y893" s="46"/>
      <c r="Z893" s="46"/>
      <c r="AA893" s="46"/>
      <c r="AB893" s="46"/>
      <c r="AC893" s="46"/>
      <c r="AD893" s="46"/>
      <c r="AE893" s="46"/>
      <c r="AF893" s="46"/>
      <c r="AG893" s="127"/>
      <c r="AH893" s="127"/>
      <c r="AI893" s="127"/>
      <c r="AJ893" s="127"/>
      <c r="AK893" s="46"/>
      <c r="AL893" s="46"/>
      <c r="AM893" s="46"/>
      <c r="AN893" s="46"/>
      <c r="AO893" s="46"/>
    </row>
    <row r="894">
      <c r="A894" s="17"/>
      <c r="B894" s="46"/>
      <c r="C894" s="46"/>
      <c r="D894" s="46"/>
      <c r="E894" s="17"/>
      <c r="F894" s="46"/>
      <c r="G894" s="46"/>
      <c r="H894" s="46"/>
      <c r="I894" s="17"/>
      <c r="J894" s="46"/>
      <c r="K894" s="46"/>
      <c r="L894" s="46"/>
      <c r="M894" s="17"/>
      <c r="N894" s="46"/>
      <c r="O894" s="46"/>
      <c r="P894" s="46"/>
      <c r="Q894" s="46"/>
      <c r="R894" s="46"/>
      <c r="S894" s="46"/>
      <c r="T894" s="46"/>
      <c r="U894" s="46"/>
      <c r="V894" s="46"/>
      <c r="W894" s="46"/>
      <c r="X894" s="46"/>
      <c r="Y894" s="46"/>
      <c r="Z894" s="46"/>
      <c r="AA894" s="46"/>
      <c r="AB894" s="46"/>
      <c r="AC894" s="46"/>
      <c r="AD894" s="46"/>
      <c r="AE894" s="46"/>
      <c r="AF894" s="46"/>
      <c r="AG894" s="127"/>
      <c r="AH894" s="127"/>
      <c r="AI894" s="127"/>
      <c r="AJ894" s="127"/>
      <c r="AK894" s="46"/>
      <c r="AL894" s="46"/>
      <c r="AM894" s="46"/>
      <c r="AN894" s="46"/>
      <c r="AO894" s="46"/>
    </row>
    <row r="895">
      <c r="A895" s="17"/>
      <c r="B895" s="46"/>
      <c r="C895" s="46"/>
      <c r="D895" s="46"/>
      <c r="E895" s="17"/>
      <c r="F895" s="46"/>
      <c r="G895" s="46"/>
      <c r="H895" s="46"/>
      <c r="I895" s="17"/>
      <c r="J895" s="46"/>
      <c r="K895" s="46"/>
      <c r="L895" s="46"/>
      <c r="M895" s="17"/>
      <c r="N895" s="46"/>
      <c r="O895" s="46"/>
      <c r="P895" s="46"/>
      <c r="Q895" s="46"/>
      <c r="R895" s="46"/>
      <c r="S895" s="46"/>
      <c r="T895" s="46"/>
      <c r="U895" s="46"/>
      <c r="V895" s="46"/>
      <c r="W895" s="46"/>
      <c r="X895" s="46"/>
      <c r="Y895" s="46"/>
      <c r="Z895" s="46"/>
      <c r="AA895" s="46"/>
      <c r="AB895" s="46"/>
      <c r="AC895" s="46"/>
      <c r="AD895" s="46"/>
      <c r="AE895" s="46"/>
      <c r="AF895" s="46"/>
      <c r="AG895" s="127"/>
      <c r="AH895" s="127"/>
      <c r="AI895" s="127"/>
      <c r="AJ895" s="127"/>
      <c r="AK895" s="46"/>
      <c r="AL895" s="46"/>
      <c r="AM895" s="46"/>
      <c r="AN895" s="46"/>
      <c r="AO895" s="46"/>
    </row>
    <row r="896">
      <c r="A896" s="17"/>
      <c r="B896" s="46"/>
      <c r="C896" s="46"/>
      <c r="D896" s="46"/>
      <c r="E896" s="17"/>
      <c r="F896" s="46"/>
      <c r="G896" s="46"/>
      <c r="H896" s="46"/>
      <c r="I896" s="17"/>
      <c r="J896" s="46"/>
      <c r="K896" s="46"/>
      <c r="L896" s="46"/>
      <c r="M896" s="17"/>
      <c r="N896" s="46"/>
      <c r="O896" s="46"/>
      <c r="P896" s="46"/>
      <c r="Q896" s="46"/>
      <c r="R896" s="46"/>
      <c r="S896" s="46"/>
      <c r="T896" s="46"/>
      <c r="U896" s="46"/>
      <c r="V896" s="46"/>
      <c r="W896" s="46"/>
      <c r="X896" s="46"/>
      <c r="Y896" s="46"/>
      <c r="Z896" s="46"/>
      <c r="AA896" s="46"/>
      <c r="AB896" s="46"/>
      <c r="AC896" s="46"/>
      <c r="AD896" s="46"/>
      <c r="AE896" s="46"/>
      <c r="AF896" s="46"/>
      <c r="AG896" s="127"/>
      <c r="AH896" s="127"/>
      <c r="AI896" s="127"/>
      <c r="AJ896" s="127"/>
      <c r="AK896" s="46"/>
      <c r="AL896" s="46"/>
      <c r="AM896" s="46"/>
      <c r="AN896" s="46"/>
      <c r="AO896" s="46"/>
    </row>
    <row r="897">
      <c r="A897" s="17"/>
      <c r="B897" s="46"/>
      <c r="C897" s="46"/>
      <c r="D897" s="46"/>
      <c r="E897" s="17"/>
      <c r="F897" s="46"/>
      <c r="G897" s="46"/>
      <c r="H897" s="46"/>
      <c r="I897" s="17"/>
      <c r="J897" s="46"/>
      <c r="K897" s="46"/>
      <c r="L897" s="46"/>
      <c r="M897" s="17"/>
      <c r="N897" s="46"/>
      <c r="O897" s="46"/>
      <c r="P897" s="46"/>
      <c r="Q897" s="46"/>
      <c r="R897" s="46"/>
      <c r="S897" s="46"/>
      <c r="T897" s="46"/>
      <c r="U897" s="46"/>
      <c r="V897" s="46"/>
      <c r="W897" s="46"/>
      <c r="X897" s="46"/>
      <c r="Y897" s="46"/>
      <c r="Z897" s="46"/>
      <c r="AA897" s="46"/>
      <c r="AB897" s="46"/>
      <c r="AC897" s="46"/>
      <c r="AD897" s="46"/>
      <c r="AE897" s="46"/>
      <c r="AF897" s="46"/>
      <c r="AG897" s="127"/>
      <c r="AH897" s="127"/>
      <c r="AI897" s="127"/>
      <c r="AJ897" s="127"/>
      <c r="AK897" s="46"/>
      <c r="AL897" s="46"/>
      <c r="AM897" s="46"/>
      <c r="AN897" s="46"/>
      <c r="AO897" s="46"/>
    </row>
    <row r="898">
      <c r="A898" s="17"/>
      <c r="B898" s="46"/>
      <c r="C898" s="46"/>
      <c r="D898" s="46"/>
      <c r="E898" s="17"/>
      <c r="F898" s="46"/>
      <c r="G898" s="46"/>
      <c r="H898" s="46"/>
      <c r="I898" s="17"/>
      <c r="J898" s="46"/>
      <c r="K898" s="46"/>
      <c r="L898" s="46"/>
      <c r="M898" s="17"/>
      <c r="N898" s="46"/>
      <c r="O898" s="46"/>
      <c r="P898" s="46"/>
      <c r="Q898" s="46"/>
      <c r="R898" s="46"/>
      <c r="S898" s="46"/>
      <c r="T898" s="46"/>
      <c r="U898" s="46"/>
      <c r="V898" s="46"/>
      <c r="W898" s="46"/>
      <c r="X898" s="46"/>
      <c r="Y898" s="46"/>
      <c r="Z898" s="46"/>
      <c r="AA898" s="46"/>
      <c r="AB898" s="46"/>
      <c r="AC898" s="46"/>
      <c r="AD898" s="46"/>
      <c r="AE898" s="46"/>
      <c r="AF898" s="46"/>
      <c r="AG898" s="127"/>
      <c r="AH898" s="127"/>
      <c r="AI898" s="127"/>
      <c r="AJ898" s="127"/>
      <c r="AK898" s="46"/>
      <c r="AL898" s="46"/>
      <c r="AM898" s="46"/>
      <c r="AN898" s="46"/>
      <c r="AO898" s="46"/>
    </row>
    <row r="899">
      <c r="A899" s="17"/>
      <c r="B899" s="46"/>
      <c r="C899" s="46"/>
      <c r="D899" s="46"/>
      <c r="E899" s="17"/>
      <c r="F899" s="46"/>
      <c r="G899" s="46"/>
      <c r="H899" s="46"/>
      <c r="I899" s="17"/>
      <c r="J899" s="46"/>
      <c r="K899" s="46"/>
      <c r="L899" s="46"/>
      <c r="M899" s="17"/>
      <c r="N899" s="46"/>
      <c r="O899" s="46"/>
      <c r="P899" s="46"/>
      <c r="Q899" s="46"/>
      <c r="R899" s="46"/>
      <c r="S899" s="46"/>
      <c r="T899" s="46"/>
      <c r="U899" s="46"/>
      <c r="V899" s="46"/>
      <c r="W899" s="46"/>
      <c r="X899" s="46"/>
      <c r="Y899" s="46"/>
      <c r="Z899" s="46"/>
      <c r="AA899" s="46"/>
      <c r="AB899" s="46"/>
      <c r="AC899" s="46"/>
      <c r="AD899" s="46"/>
      <c r="AE899" s="46"/>
      <c r="AF899" s="46"/>
      <c r="AG899" s="127"/>
      <c r="AH899" s="127"/>
      <c r="AI899" s="127"/>
      <c r="AJ899" s="127"/>
      <c r="AK899" s="46"/>
      <c r="AL899" s="46"/>
      <c r="AM899" s="46"/>
      <c r="AN899" s="46"/>
      <c r="AO899" s="46"/>
    </row>
    <row r="900">
      <c r="A900" s="17"/>
      <c r="B900" s="46"/>
      <c r="C900" s="46"/>
      <c r="D900" s="46"/>
      <c r="E900" s="17"/>
      <c r="F900" s="46"/>
      <c r="G900" s="46"/>
      <c r="H900" s="46"/>
      <c r="I900" s="17"/>
      <c r="J900" s="46"/>
      <c r="K900" s="46"/>
      <c r="L900" s="46"/>
      <c r="M900" s="17"/>
      <c r="N900" s="46"/>
      <c r="O900" s="46"/>
      <c r="P900" s="46"/>
      <c r="Q900" s="46"/>
      <c r="R900" s="46"/>
      <c r="S900" s="46"/>
      <c r="T900" s="46"/>
      <c r="U900" s="46"/>
      <c r="V900" s="46"/>
      <c r="W900" s="46"/>
      <c r="X900" s="46"/>
      <c r="Y900" s="46"/>
      <c r="Z900" s="46"/>
      <c r="AA900" s="46"/>
      <c r="AB900" s="46"/>
      <c r="AC900" s="46"/>
      <c r="AD900" s="46"/>
      <c r="AE900" s="46"/>
      <c r="AF900" s="46"/>
      <c r="AG900" s="127"/>
      <c r="AH900" s="127"/>
      <c r="AI900" s="127"/>
      <c r="AJ900" s="127"/>
      <c r="AK900" s="46"/>
      <c r="AL900" s="46"/>
      <c r="AM900" s="46"/>
      <c r="AN900" s="46"/>
      <c r="AO900" s="46"/>
    </row>
    <row r="901">
      <c r="A901" s="17"/>
      <c r="B901" s="46"/>
      <c r="C901" s="46"/>
      <c r="D901" s="46"/>
      <c r="E901" s="17"/>
      <c r="F901" s="46"/>
      <c r="G901" s="46"/>
      <c r="H901" s="46"/>
      <c r="I901" s="17"/>
      <c r="J901" s="46"/>
      <c r="K901" s="46"/>
      <c r="L901" s="46"/>
      <c r="M901" s="17"/>
      <c r="N901" s="46"/>
      <c r="O901" s="46"/>
      <c r="P901" s="46"/>
      <c r="Q901" s="46"/>
      <c r="R901" s="46"/>
      <c r="S901" s="46"/>
      <c r="T901" s="46"/>
      <c r="U901" s="46"/>
      <c r="V901" s="46"/>
      <c r="W901" s="46"/>
      <c r="X901" s="46"/>
      <c r="Y901" s="46"/>
      <c r="Z901" s="46"/>
      <c r="AA901" s="46"/>
      <c r="AB901" s="46"/>
      <c r="AC901" s="46"/>
      <c r="AD901" s="46"/>
      <c r="AE901" s="46"/>
      <c r="AF901" s="46"/>
      <c r="AG901" s="127"/>
      <c r="AH901" s="127"/>
      <c r="AI901" s="127"/>
      <c r="AJ901" s="127"/>
      <c r="AK901" s="46"/>
      <c r="AL901" s="46"/>
      <c r="AM901" s="46"/>
      <c r="AN901" s="46"/>
      <c r="AO901" s="46"/>
    </row>
    <row r="902">
      <c r="A902" s="17"/>
      <c r="B902" s="46"/>
      <c r="C902" s="46"/>
      <c r="D902" s="46"/>
      <c r="E902" s="17"/>
      <c r="F902" s="46"/>
      <c r="G902" s="46"/>
      <c r="H902" s="46"/>
      <c r="I902" s="17"/>
      <c r="J902" s="46"/>
      <c r="K902" s="46"/>
      <c r="L902" s="46"/>
      <c r="M902" s="17"/>
      <c r="N902" s="46"/>
      <c r="O902" s="46"/>
      <c r="P902" s="46"/>
      <c r="Q902" s="46"/>
      <c r="R902" s="46"/>
      <c r="S902" s="46"/>
      <c r="T902" s="46"/>
      <c r="U902" s="46"/>
      <c r="V902" s="46"/>
      <c r="W902" s="46"/>
      <c r="X902" s="46"/>
      <c r="Y902" s="46"/>
      <c r="Z902" s="46"/>
      <c r="AA902" s="46"/>
      <c r="AB902" s="46"/>
      <c r="AC902" s="46"/>
      <c r="AD902" s="46"/>
      <c r="AE902" s="46"/>
      <c r="AF902" s="46"/>
      <c r="AG902" s="127"/>
      <c r="AH902" s="127"/>
      <c r="AI902" s="127"/>
      <c r="AJ902" s="127"/>
      <c r="AK902" s="46"/>
      <c r="AL902" s="46"/>
      <c r="AM902" s="46"/>
      <c r="AN902" s="46"/>
      <c r="AO902" s="46"/>
    </row>
    <row r="903">
      <c r="A903" s="17"/>
      <c r="B903" s="46"/>
      <c r="C903" s="46"/>
      <c r="D903" s="46"/>
      <c r="E903" s="17"/>
      <c r="F903" s="46"/>
      <c r="G903" s="46"/>
      <c r="H903" s="46"/>
      <c r="I903" s="17"/>
      <c r="J903" s="46"/>
      <c r="K903" s="46"/>
      <c r="L903" s="46"/>
      <c r="M903" s="17"/>
      <c r="N903" s="46"/>
      <c r="O903" s="46"/>
      <c r="P903" s="46"/>
      <c r="Q903" s="46"/>
      <c r="R903" s="46"/>
      <c r="S903" s="46"/>
      <c r="T903" s="46"/>
      <c r="U903" s="46"/>
      <c r="V903" s="46"/>
      <c r="W903" s="46"/>
      <c r="X903" s="46"/>
      <c r="Y903" s="46"/>
      <c r="Z903" s="46"/>
      <c r="AA903" s="46"/>
      <c r="AB903" s="46"/>
      <c r="AC903" s="46"/>
      <c r="AD903" s="46"/>
      <c r="AE903" s="46"/>
      <c r="AF903" s="46"/>
      <c r="AG903" s="127"/>
      <c r="AH903" s="127"/>
      <c r="AI903" s="127"/>
      <c r="AJ903" s="127"/>
      <c r="AK903" s="46"/>
      <c r="AL903" s="46"/>
      <c r="AM903" s="46"/>
      <c r="AN903" s="46"/>
      <c r="AO903" s="46"/>
    </row>
    <row r="904">
      <c r="A904" s="17"/>
      <c r="B904" s="46"/>
      <c r="C904" s="46"/>
      <c r="D904" s="46"/>
      <c r="E904" s="17"/>
      <c r="F904" s="46"/>
      <c r="G904" s="46"/>
      <c r="H904" s="46"/>
      <c r="I904" s="17"/>
      <c r="J904" s="46"/>
      <c r="K904" s="46"/>
      <c r="L904" s="46"/>
      <c r="M904" s="17"/>
      <c r="N904" s="46"/>
      <c r="O904" s="46"/>
      <c r="P904" s="46"/>
      <c r="Q904" s="46"/>
      <c r="R904" s="46"/>
      <c r="S904" s="46"/>
      <c r="T904" s="46"/>
      <c r="U904" s="46"/>
      <c r="V904" s="46"/>
      <c r="W904" s="46"/>
      <c r="X904" s="46"/>
      <c r="Y904" s="46"/>
      <c r="Z904" s="46"/>
      <c r="AA904" s="46"/>
      <c r="AB904" s="46"/>
      <c r="AC904" s="46"/>
      <c r="AD904" s="46"/>
      <c r="AE904" s="46"/>
      <c r="AF904" s="46"/>
      <c r="AG904" s="127"/>
      <c r="AH904" s="127"/>
      <c r="AI904" s="127"/>
      <c r="AJ904" s="127"/>
      <c r="AK904" s="46"/>
      <c r="AL904" s="46"/>
      <c r="AM904" s="46"/>
      <c r="AN904" s="46"/>
      <c r="AO904" s="46"/>
    </row>
    <row r="905">
      <c r="A905" s="17"/>
      <c r="B905" s="46"/>
      <c r="C905" s="46"/>
      <c r="D905" s="46"/>
      <c r="E905" s="17"/>
      <c r="F905" s="46"/>
      <c r="G905" s="46"/>
      <c r="H905" s="46"/>
      <c r="I905" s="17"/>
      <c r="J905" s="46"/>
      <c r="K905" s="46"/>
      <c r="L905" s="46"/>
      <c r="M905" s="17"/>
      <c r="N905" s="46"/>
      <c r="O905" s="46"/>
      <c r="P905" s="46"/>
      <c r="Q905" s="46"/>
      <c r="R905" s="46"/>
      <c r="S905" s="46"/>
      <c r="T905" s="46"/>
      <c r="U905" s="46"/>
      <c r="V905" s="46"/>
      <c r="W905" s="46"/>
      <c r="X905" s="46"/>
      <c r="Y905" s="46"/>
      <c r="Z905" s="46"/>
      <c r="AA905" s="46"/>
      <c r="AB905" s="46"/>
      <c r="AC905" s="46"/>
      <c r="AD905" s="46"/>
      <c r="AE905" s="46"/>
      <c r="AF905" s="46"/>
      <c r="AG905" s="127"/>
      <c r="AH905" s="127"/>
      <c r="AI905" s="127"/>
      <c r="AJ905" s="127"/>
      <c r="AK905" s="46"/>
      <c r="AL905" s="46"/>
      <c r="AM905" s="46"/>
      <c r="AN905" s="46"/>
      <c r="AO905" s="46"/>
    </row>
    <row r="906">
      <c r="A906" s="17"/>
      <c r="B906" s="46"/>
      <c r="C906" s="46"/>
      <c r="D906" s="46"/>
      <c r="E906" s="17"/>
      <c r="F906" s="46"/>
      <c r="G906" s="46"/>
      <c r="H906" s="46"/>
      <c r="I906" s="17"/>
      <c r="J906" s="46"/>
      <c r="K906" s="46"/>
      <c r="L906" s="46"/>
      <c r="M906" s="17"/>
      <c r="N906" s="46"/>
      <c r="O906" s="46"/>
      <c r="P906" s="46"/>
      <c r="Q906" s="46"/>
      <c r="R906" s="46"/>
      <c r="S906" s="46"/>
      <c r="T906" s="46"/>
      <c r="U906" s="46"/>
      <c r="V906" s="46"/>
      <c r="W906" s="46"/>
      <c r="X906" s="46"/>
      <c r="Y906" s="46"/>
      <c r="Z906" s="46"/>
      <c r="AA906" s="46"/>
      <c r="AB906" s="46"/>
      <c r="AC906" s="46"/>
      <c r="AD906" s="46"/>
      <c r="AE906" s="46"/>
      <c r="AF906" s="46"/>
      <c r="AG906" s="127"/>
      <c r="AH906" s="127"/>
      <c r="AI906" s="127"/>
      <c r="AJ906" s="127"/>
      <c r="AK906" s="46"/>
      <c r="AL906" s="46"/>
      <c r="AM906" s="46"/>
      <c r="AN906" s="46"/>
      <c r="AO906" s="46"/>
    </row>
    <row r="907">
      <c r="A907" s="17"/>
      <c r="B907" s="46"/>
      <c r="C907" s="46"/>
      <c r="D907" s="46"/>
      <c r="E907" s="17"/>
      <c r="F907" s="46"/>
      <c r="G907" s="46"/>
      <c r="H907" s="46"/>
      <c r="I907" s="17"/>
      <c r="J907" s="46"/>
      <c r="K907" s="46"/>
      <c r="L907" s="46"/>
      <c r="M907" s="17"/>
      <c r="N907" s="46"/>
      <c r="O907" s="46"/>
      <c r="P907" s="46"/>
      <c r="Q907" s="46"/>
      <c r="R907" s="46"/>
      <c r="S907" s="46"/>
      <c r="T907" s="46"/>
      <c r="U907" s="46"/>
      <c r="V907" s="46"/>
      <c r="W907" s="46"/>
      <c r="X907" s="46"/>
      <c r="Y907" s="46"/>
      <c r="Z907" s="46"/>
      <c r="AA907" s="46"/>
      <c r="AB907" s="46"/>
      <c r="AC907" s="46"/>
      <c r="AD907" s="46"/>
      <c r="AE907" s="46"/>
      <c r="AF907" s="46"/>
      <c r="AG907" s="127"/>
      <c r="AH907" s="127"/>
      <c r="AI907" s="127"/>
      <c r="AJ907" s="127"/>
      <c r="AK907" s="46"/>
      <c r="AL907" s="46"/>
      <c r="AM907" s="46"/>
      <c r="AN907" s="46"/>
      <c r="AO907" s="46"/>
    </row>
    <row r="908">
      <c r="A908" s="17"/>
      <c r="B908" s="46"/>
      <c r="C908" s="46"/>
      <c r="D908" s="46"/>
      <c r="E908" s="17"/>
      <c r="F908" s="46"/>
      <c r="G908" s="46"/>
      <c r="H908" s="46"/>
      <c r="I908" s="17"/>
      <c r="J908" s="46"/>
      <c r="K908" s="46"/>
      <c r="L908" s="46"/>
      <c r="M908" s="17"/>
      <c r="N908" s="46"/>
      <c r="O908" s="46"/>
      <c r="P908" s="46"/>
      <c r="Q908" s="46"/>
      <c r="R908" s="46"/>
      <c r="S908" s="46"/>
      <c r="T908" s="46"/>
      <c r="U908" s="46"/>
      <c r="V908" s="46"/>
      <c r="W908" s="46"/>
      <c r="X908" s="46"/>
      <c r="Y908" s="46"/>
      <c r="Z908" s="46"/>
      <c r="AA908" s="46"/>
      <c r="AB908" s="46"/>
      <c r="AC908" s="46"/>
      <c r="AD908" s="46"/>
      <c r="AE908" s="46"/>
      <c r="AF908" s="46"/>
      <c r="AG908" s="127"/>
      <c r="AH908" s="127"/>
      <c r="AI908" s="127"/>
      <c r="AJ908" s="127"/>
      <c r="AK908" s="46"/>
      <c r="AL908" s="46"/>
      <c r="AM908" s="46"/>
      <c r="AN908" s="46"/>
      <c r="AO908" s="46"/>
    </row>
    <row r="909">
      <c r="A909" s="17"/>
      <c r="B909" s="46"/>
      <c r="C909" s="46"/>
      <c r="D909" s="46"/>
      <c r="E909" s="17"/>
      <c r="F909" s="46"/>
      <c r="G909" s="46"/>
      <c r="H909" s="46"/>
      <c r="I909" s="17"/>
      <c r="J909" s="46"/>
      <c r="K909" s="46"/>
      <c r="L909" s="46"/>
      <c r="M909" s="17"/>
      <c r="N909" s="46"/>
      <c r="O909" s="46"/>
      <c r="P909" s="46"/>
      <c r="Q909" s="46"/>
      <c r="R909" s="46"/>
      <c r="S909" s="46"/>
      <c r="T909" s="46"/>
      <c r="U909" s="46"/>
      <c r="V909" s="46"/>
      <c r="W909" s="46"/>
      <c r="X909" s="46"/>
      <c r="Y909" s="46"/>
      <c r="Z909" s="46"/>
      <c r="AA909" s="46"/>
      <c r="AB909" s="46"/>
      <c r="AC909" s="46"/>
      <c r="AD909" s="46"/>
      <c r="AE909" s="46"/>
      <c r="AF909" s="46"/>
      <c r="AG909" s="127"/>
      <c r="AH909" s="127"/>
      <c r="AI909" s="127"/>
      <c r="AJ909" s="127"/>
      <c r="AK909" s="46"/>
      <c r="AL909" s="46"/>
      <c r="AM909" s="46"/>
      <c r="AN909" s="46"/>
      <c r="AO909" s="46"/>
    </row>
    <row r="910">
      <c r="A910" s="17"/>
      <c r="B910" s="46"/>
      <c r="C910" s="46"/>
      <c r="D910" s="46"/>
      <c r="E910" s="17"/>
      <c r="F910" s="46"/>
      <c r="G910" s="46"/>
      <c r="H910" s="46"/>
      <c r="I910" s="17"/>
      <c r="J910" s="46"/>
      <c r="K910" s="46"/>
      <c r="L910" s="46"/>
      <c r="M910" s="17"/>
      <c r="N910" s="46"/>
      <c r="O910" s="46"/>
      <c r="P910" s="46"/>
      <c r="Q910" s="46"/>
      <c r="R910" s="46"/>
      <c r="S910" s="46"/>
      <c r="T910" s="46"/>
      <c r="U910" s="46"/>
      <c r="V910" s="46"/>
      <c r="W910" s="46"/>
      <c r="X910" s="46"/>
      <c r="Y910" s="46"/>
      <c r="Z910" s="46"/>
      <c r="AA910" s="46"/>
      <c r="AB910" s="46"/>
      <c r="AC910" s="46"/>
      <c r="AD910" s="46"/>
      <c r="AE910" s="46"/>
      <c r="AF910" s="46"/>
      <c r="AG910" s="127"/>
      <c r="AH910" s="127"/>
      <c r="AI910" s="127"/>
      <c r="AJ910" s="127"/>
      <c r="AK910" s="46"/>
      <c r="AL910" s="46"/>
      <c r="AM910" s="46"/>
      <c r="AN910" s="46"/>
      <c r="AO910" s="46"/>
    </row>
    <row r="911">
      <c r="A911" s="17"/>
      <c r="B911" s="46"/>
      <c r="C911" s="46"/>
      <c r="D911" s="46"/>
      <c r="E911" s="17"/>
      <c r="F911" s="46"/>
      <c r="G911" s="46"/>
      <c r="H911" s="46"/>
      <c r="I911" s="17"/>
      <c r="J911" s="46"/>
      <c r="K911" s="46"/>
      <c r="L911" s="46"/>
      <c r="M911" s="17"/>
      <c r="N911" s="46"/>
      <c r="O911" s="46"/>
      <c r="P911" s="46"/>
      <c r="Q911" s="46"/>
      <c r="R911" s="46"/>
      <c r="S911" s="46"/>
      <c r="T911" s="46"/>
      <c r="U911" s="46"/>
      <c r="V911" s="46"/>
      <c r="W911" s="46"/>
      <c r="X911" s="46"/>
      <c r="Y911" s="46"/>
      <c r="Z911" s="46"/>
      <c r="AA911" s="46"/>
      <c r="AB911" s="46"/>
      <c r="AC911" s="46"/>
      <c r="AD911" s="46"/>
      <c r="AE911" s="46"/>
      <c r="AF911" s="46"/>
      <c r="AG911" s="127"/>
      <c r="AH911" s="127"/>
      <c r="AI911" s="127"/>
      <c r="AJ911" s="127"/>
      <c r="AK911" s="46"/>
      <c r="AL911" s="46"/>
      <c r="AM911" s="46"/>
      <c r="AN911" s="46"/>
      <c r="AO911" s="46"/>
    </row>
    <row r="912">
      <c r="A912" s="17"/>
      <c r="B912" s="46"/>
      <c r="C912" s="46"/>
      <c r="D912" s="46"/>
      <c r="E912" s="17"/>
      <c r="F912" s="46"/>
      <c r="G912" s="46"/>
      <c r="H912" s="46"/>
      <c r="I912" s="17"/>
      <c r="J912" s="46"/>
      <c r="K912" s="46"/>
      <c r="L912" s="46"/>
      <c r="M912" s="17"/>
      <c r="N912" s="46"/>
      <c r="O912" s="46"/>
      <c r="P912" s="46"/>
      <c r="Q912" s="46"/>
      <c r="R912" s="46"/>
      <c r="S912" s="46"/>
      <c r="T912" s="46"/>
      <c r="U912" s="46"/>
      <c r="V912" s="46"/>
      <c r="W912" s="46"/>
      <c r="X912" s="46"/>
      <c r="Y912" s="46"/>
      <c r="Z912" s="46"/>
      <c r="AA912" s="46"/>
      <c r="AB912" s="46"/>
      <c r="AC912" s="46"/>
      <c r="AD912" s="46"/>
      <c r="AE912" s="46"/>
      <c r="AF912" s="46"/>
      <c r="AG912" s="127"/>
      <c r="AH912" s="127"/>
      <c r="AI912" s="127"/>
      <c r="AJ912" s="127"/>
      <c r="AK912" s="46"/>
      <c r="AL912" s="46"/>
      <c r="AM912" s="46"/>
      <c r="AN912" s="46"/>
      <c r="AO912" s="46"/>
    </row>
    <row r="913">
      <c r="A913" s="17"/>
      <c r="B913" s="46"/>
      <c r="C913" s="46"/>
      <c r="D913" s="46"/>
      <c r="E913" s="17"/>
      <c r="F913" s="46"/>
      <c r="G913" s="46"/>
      <c r="H913" s="46"/>
      <c r="I913" s="17"/>
      <c r="J913" s="46"/>
      <c r="K913" s="46"/>
      <c r="L913" s="46"/>
      <c r="M913" s="17"/>
      <c r="N913" s="46"/>
      <c r="O913" s="46"/>
      <c r="P913" s="46"/>
      <c r="Q913" s="46"/>
      <c r="R913" s="46"/>
      <c r="S913" s="46"/>
      <c r="T913" s="46"/>
      <c r="U913" s="46"/>
      <c r="V913" s="46"/>
      <c r="W913" s="46"/>
      <c r="X913" s="46"/>
      <c r="Y913" s="46"/>
      <c r="Z913" s="46"/>
      <c r="AA913" s="46"/>
      <c r="AB913" s="46"/>
      <c r="AC913" s="46"/>
      <c r="AD913" s="46"/>
      <c r="AE913" s="46"/>
      <c r="AF913" s="46"/>
      <c r="AG913" s="127"/>
      <c r="AH913" s="127"/>
      <c r="AI913" s="127"/>
      <c r="AJ913" s="127"/>
      <c r="AK913" s="46"/>
      <c r="AL913" s="46"/>
      <c r="AM913" s="46"/>
      <c r="AN913" s="46"/>
      <c r="AO913" s="46"/>
    </row>
    <row r="914">
      <c r="A914" s="17"/>
      <c r="B914" s="46"/>
      <c r="C914" s="46"/>
      <c r="D914" s="46"/>
      <c r="E914" s="17"/>
      <c r="F914" s="46"/>
      <c r="G914" s="46"/>
      <c r="H914" s="46"/>
      <c r="I914" s="17"/>
      <c r="J914" s="46"/>
      <c r="K914" s="46"/>
      <c r="L914" s="46"/>
      <c r="M914" s="17"/>
      <c r="N914" s="46"/>
      <c r="O914" s="46"/>
      <c r="P914" s="46"/>
      <c r="Q914" s="46"/>
      <c r="R914" s="46"/>
      <c r="S914" s="46"/>
      <c r="T914" s="46"/>
      <c r="U914" s="46"/>
      <c r="V914" s="46"/>
      <c r="W914" s="46"/>
      <c r="X914" s="46"/>
      <c r="Y914" s="46"/>
      <c r="Z914" s="46"/>
      <c r="AA914" s="46"/>
      <c r="AB914" s="46"/>
      <c r="AC914" s="46"/>
      <c r="AD914" s="46"/>
      <c r="AE914" s="46"/>
      <c r="AF914" s="46"/>
      <c r="AG914" s="127"/>
      <c r="AH914" s="127"/>
      <c r="AI914" s="127"/>
      <c r="AJ914" s="127"/>
      <c r="AK914" s="46"/>
      <c r="AL914" s="46"/>
      <c r="AM914" s="46"/>
      <c r="AN914" s="46"/>
      <c r="AO914" s="46"/>
    </row>
    <row r="915">
      <c r="A915" s="17"/>
      <c r="B915" s="46"/>
      <c r="C915" s="46"/>
      <c r="D915" s="46"/>
      <c r="E915" s="17"/>
      <c r="F915" s="46"/>
      <c r="G915" s="46"/>
      <c r="H915" s="46"/>
      <c r="I915" s="17"/>
      <c r="J915" s="46"/>
      <c r="K915" s="46"/>
      <c r="L915" s="46"/>
      <c r="M915" s="17"/>
      <c r="N915" s="46"/>
      <c r="O915" s="46"/>
      <c r="P915" s="46"/>
      <c r="Q915" s="46"/>
      <c r="R915" s="46"/>
      <c r="S915" s="46"/>
      <c r="T915" s="46"/>
      <c r="U915" s="46"/>
      <c r="V915" s="46"/>
      <c r="W915" s="46"/>
      <c r="X915" s="46"/>
      <c r="Y915" s="46"/>
      <c r="Z915" s="46"/>
      <c r="AA915" s="46"/>
      <c r="AB915" s="46"/>
      <c r="AC915" s="46"/>
      <c r="AD915" s="46"/>
      <c r="AE915" s="46"/>
      <c r="AF915" s="46"/>
      <c r="AG915" s="127"/>
      <c r="AH915" s="127"/>
      <c r="AI915" s="127"/>
      <c r="AJ915" s="127"/>
      <c r="AK915" s="46"/>
      <c r="AL915" s="46"/>
      <c r="AM915" s="46"/>
      <c r="AN915" s="46"/>
      <c r="AO915" s="46"/>
    </row>
    <row r="916">
      <c r="A916" s="17"/>
      <c r="B916" s="46"/>
      <c r="C916" s="46"/>
      <c r="D916" s="46"/>
      <c r="E916" s="17"/>
      <c r="F916" s="46"/>
      <c r="G916" s="46"/>
      <c r="H916" s="46"/>
      <c r="I916" s="17"/>
      <c r="J916" s="46"/>
      <c r="K916" s="46"/>
      <c r="L916" s="46"/>
      <c r="M916" s="17"/>
      <c r="N916" s="46"/>
      <c r="O916" s="46"/>
      <c r="P916" s="46"/>
      <c r="Q916" s="46"/>
      <c r="R916" s="46"/>
      <c r="S916" s="46"/>
      <c r="T916" s="46"/>
      <c r="U916" s="46"/>
      <c r="V916" s="46"/>
      <c r="W916" s="46"/>
      <c r="X916" s="46"/>
      <c r="Y916" s="46"/>
      <c r="Z916" s="46"/>
      <c r="AA916" s="46"/>
      <c r="AB916" s="46"/>
      <c r="AC916" s="46"/>
      <c r="AD916" s="46"/>
      <c r="AE916" s="46"/>
      <c r="AF916" s="46"/>
      <c r="AG916" s="127"/>
      <c r="AH916" s="127"/>
      <c r="AI916" s="127"/>
      <c r="AJ916" s="127"/>
      <c r="AK916" s="46"/>
      <c r="AL916" s="46"/>
      <c r="AM916" s="46"/>
      <c r="AN916" s="46"/>
      <c r="AO916" s="46"/>
    </row>
    <row r="917">
      <c r="A917" s="17"/>
      <c r="B917" s="46"/>
      <c r="C917" s="46"/>
      <c r="D917" s="46"/>
      <c r="E917" s="17"/>
      <c r="F917" s="46"/>
      <c r="G917" s="46"/>
      <c r="H917" s="46"/>
      <c r="I917" s="17"/>
      <c r="J917" s="46"/>
      <c r="K917" s="46"/>
      <c r="L917" s="46"/>
      <c r="M917" s="17"/>
      <c r="N917" s="46"/>
      <c r="O917" s="46"/>
      <c r="P917" s="46"/>
      <c r="Q917" s="46"/>
      <c r="R917" s="46"/>
      <c r="S917" s="46"/>
      <c r="T917" s="46"/>
      <c r="U917" s="46"/>
      <c r="V917" s="46"/>
      <c r="W917" s="46"/>
      <c r="X917" s="46"/>
      <c r="Y917" s="46"/>
      <c r="Z917" s="46"/>
      <c r="AA917" s="46"/>
      <c r="AB917" s="46"/>
      <c r="AC917" s="46"/>
      <c r="AD917" s="46"/>
      <c r="AE917" s="46"/>
      <c r="AF917" s="46"/>
      <c r="AG917" s="127"/>
      <c r="AH917" s="127"/>
      <c r="AI917" s="127"/>
      <c r="AJ917" s="127"/>
      <c r="AK917" s="46"/>
      <c r="AL917" s="46"/>
      <c r="AM917" s="46"/>
      <c r="AN917" s="46"/>
      <c r="AO917" s="46"/>
    </row>
    <row r="918">
      <c r="A918" s="17"/>
      <c r="B918" s="46"/>
      <c r="C918" s="46"/>
      <c r="D918" s="46"/>
      <c r="E918" s="17"/>
      <c r="F918" s="46"/>
      <c r="G918" s="46"/>
      <c r="H918" s="46"/>
      <c r="I918" s="17"/>
      <c r="J918" s="46"/>
      <c r="K918" s="46"/>
      <c r="L918" s="46"/>
      <c r="M918" s="17"/>
      <c r="N918" s="46"/>
      <c r="O918" s="46"/>
      <c r="P918" s="46"/>
      <c r="Q918" s="46"/>
      <c r="R918" s="46"/>
      <c r="S918" s="46"/>
      <c r="T918" s="46"/>
      <c r="U918" s="46"/>
      <c r="V918" s="46"/>
      <c r="W918" s="46"/>
      <c r="X918" s="46"/>
      <c r="Y918" s="46"/>
      <c r="Z918" s="46"/>
      <c r="AA918" s="46"/>
      <c r="AB918" s="46"/>
      <c r="AC918" s="46"/>
      <c r="AD918" s="46"/>
      <c r="AE918" s="46"/>
      <c r="AF918" s="46"/>
      <c r="AG918" s="127"/>
      <c r="AH918" s="127"/>
      <c r="AI918" s="127"/>
      <c r="AJ918" s="127"/>
      <c r="AK918" s="46"/>
      <c r="AL918" s="46"/>
      <c r="AM918" s="46"/>
      <c r="AN918" s="46"/>
      <c r="AO918" s="46"/>
    </row>
    <row r="919">
      <c r="A919" s="17"/>
      <c r="B919" s="46"/>
      <c r="C919" s="46"/>
      <c r="D919" s="46"/>
      <c r="E919" s="17"/>
      <c r="F919" s="46"/>
      <c r="G919" s="46"/>
      <c r="H919" s="46"/>
      <c r="I919" s="17"/>
      <c r="J919" s="46"/>
      <c r="K919" s="46"/>
      <c r="L919" s="46"/>
      <c r="M919" s="17"/>
      <c r="N919" s="46"/>
      <c r="O919" s="46"/>
      <c r="P919" s="46"/>
      <c r="Q919" s="46"/>
      <c r="R919" s="46"/>
      <c r="S919" s="46"/>
      <c r="T919" s="46"/>
      <c r="U919" s="46"/>
      <c r="V919" s="46"/>
      <c r="W919" s="46"/>
      <c r="X919" s="46"/>
      <c r="Y919" s="46"/>
      <c r="Z919" s="46"/>
      <c r="AA919" s="46"/>
      <c r="AB919" s="46"/>
      <c r="AC919" s="46"/>
      <c r="AD919" s="46"/>
      <c r="AE919" s="46"/>
      <c r="AF919" s="46"/>
      <c r="AG919" s="127"/>
      <c r="AH919" s="127"/>
      <c r="AI919" s="127"/>
      <c r="AJ919" s="127"/>
      <c r="AK919" s="46"/>
      <c r="AL919" s="46"/>
      <c r="AM919" s="46"/>
      <c r="AN919" s="46"/>
      <c r="AO919" s="46"/>
    </row>
    <row r="920">
      <c r="A920" s="17"/>
      <c r="B920" s="46"/>
      <c r="C920" s="46"/>
      <c r="D920" s="46"/>
      <c r="E920" s="17"/>
      <c r="F920" s="46"/>
      <c r="G920" s="46"/>
      <c r="H920" s="46"/>
      <c r="I920" s="17"/>
      <c r="J920" s="46"/>
      <c r="K920" s="46"/>
      <c r="L920" s="46"/>
      <c r="M920" s="17"/>
      <c r="N920" s="46"/>
      <c r="O920" s="46"/>
      <c r="P920" s="46"/>
      <c r="Q920" s="46"/>
      <c r="R920" s="46"/>
      <c r="S920" s="46"/>
      <c r="T920" s="46"/>
      <c r="U920" s="46"/>
      <c r="V920" s="46"/>
      <c r="W920" s="46"/>
      <c r="X920" s="46"/>
      <c r="Y920" s="46"/>
      <c r="Z920" s="46"/>
      <c r="AA920" s="46"/>
      <c r="AB920" s="46"/>
      <c r="AC920" s="46"/>
      <c r="AD920" s="46"/>
      <c r="AE920" s="46"/>
      <c r="AF920" s="46"/>
      <c r="AG920" s="127"/>
      <c r="AH920" s="127"/>
      <c r="AI920" s="127"/>
      <c r="AJ920" s="127"/>
      <c r="AK920" s="46"/>
      <c r="AL920" s="46"/>
      <c r="AM920" s="46"/>
      <c r="AN920" s="46"/>
      <c r="AO920" s="46"/>
    </row>
    <row r="921">
      <c r="A921" s="17"/>
      <c r="B921" s="46"/>
      <c r="C921" s="46"/>
      <c r="D921" s="46"/>
      <c r="E921" s="17"/>
      <c r="F921" s="46"/>
      <c r="G921" s="46"/>
      <c r="H921" s="46"/>
      <c r="I921" s="17"/>
      <c r="J921" s="46"/>
      <c r="K921" s="46"/>
      <c r="L921" s="46"/>
      <c r="M921" s="17"/>
      <c r="N921" s="46"/>
      <c r="O921" s="46"/>
      <c r="P921" s="46"/>
      <c r="Q921" s="46"/>
      <c r="R921" s="46"/>
      <c r="S921" s="46"/>
      <c r="T921" s="46"/>
      <c r="U921" s="46"/>
      <c r="V921" s="46"/>
      <c r="W921" s="46"/>
      <c r="X921" s="46"/>
      <c r="Y921" s="46"/>
      <c r="Z921" s="46"/>
      <c r="AA921" s="46"/>
      <c r="AB921" s="46"/>
      <c r="AC921" s="46"/>
      <c r="AD921" s="46"/>
      <c r="AE921" s="46"/>
      <c r="AF921" s="46"/>
      <c r="AG921" s="127"/>
      <c r="AH921" s="127"/>
      <c r="AI921" s="127"/>
      <c r="AJ921" s="127"/>
      <c r="AK921" s="46"/>
      <c r="AL921" s="46"/>
      <c r="AM921" s="46"/>
      <c r="AN921" s="46"/>
      <c r="AO921" s="46"/>
    </row>
    <row r="922">
      <c r="A922" s="17"/>
      <c r="B922" s="46"/>
      <c r="C922" s="46"/>
      <c r="D922" s="46"/>
      <c r="E922" s="17"/>
      <c r="F922" s="46"/>
      <c r="G922" s="46"/>
      <c r="H922" s="46"/>
      <c r="I922" s="17"/>
      <c r="J922" s="46"/>
      <c r="K922" s="46"/>
      <c r="L922" s="46"/>
      <c r="M922" s="17"/>
      <c r="N922" s="46"/>
      <c r="O922" s="46"/>
      <c r="P922" s="46"/>
      <c r="Q922" s="46"/>
      <c r="R922" s="46"/>
      <c r="S922" s="46"/>
      <c r="T922" s="46"/>
      <c r="U922" s="46"/>
      <c r="V922" s="46"/>
      <c r="W922" s="46"/>
      <c r="X922" s="46"/>
      <c r="Y922" s="46"/>
      <c r="Z922" s="46"/>
      <c r="AA922" s="46"/>
      <c r="AB922" s="46"/>
      <c r="AC922" s="46"/>
      <c r="AD922" s="46"/>
      <c r="AE922" s="46"/>
      <c r="AF922" s="46"/>
      <c r="AG922" s="127"/>
      <c r="AH922" s="127"/>
      <c r="AI922" s="127"/>
      <c r="AJ922" s="127"/>
      <c r="AK922" s="46"/>
      <c r="AL922" s="46"/>
      <c r="AM922" s="46"/>
      <c r="AN922" s="46"/>
      <c r="AO922" s="46"/>
    </row>
    <row r="923">
      <c r="A923" s="17"/>
      <c r="B923" s="46"/>
      <c r="C923" s="46"/>
      <c r="D923" s="46"/>
      <c r="E923" s="17"/>
      <c r="F923" s="46"/>
      <c r="G923" s="46"/>
      <c r="H923" s="46"/>
      <c r="I923" s="17"/>
      <c r="J923" s="46"/>
      <c r="K923" s="46"/>
      <c r="L923" s="46"/>
      <c r="M923" s="17"/>
      <c r="N923" s="46"/>
      <c r="O923" s="46"/>
      <c r="P923" s="46"/>
      <c r="Q923" s="46"/>
      <c r="R923" s="46"/>
      <c r="S923" s="46"/>
      <c r="T923" s="46"/>
      <c r="U923" s="46"/>
      <c r="V923" s="46"/>
      <c r="W923" s="46"/>
      <c r="X923" s="46"/>
      <c r="Y923" s="46"/>
      <c r="Z923" s="46"/>
      <c r="AA923" s="46"/>
      <c r="AB923" s="46"/>
      <c r="AC923" s="46"/>
      <c r="AD923" s="46"/>
      <c r="AE923" s="46"/>
      <c r="AF923" s="46"/>
      <c r="AG923" s="127"/>
      <c r="AH923" s="127"/>
      <c r="AI923" s="127"/>
      <c r="AJ923" s="127"/>
      <c r="AK923" s="46"/>
      <c r="AL923" s="46"/>
      <c r="AM923" s="46"/>
      <c r="AN923" s="46"/>
      <c r="AO923" s="46"/>
    </row>
    <row r="924">
      <c r="A924" s="17"/>
      <c r="B924" s="46"/>
      <c r="C924" s="46"/>
      <c r="D924" s="46"/>
      <c r="E924" s="17"/>
      <c r="F924" s="46"/>
      <c r="G924" s="46"/>
      <c r="H924" s="46"/>
      <c r="I924" s="17"/>
      <c r="J924" s="46"/>
      <c r="K924" s="46"/>
      <c r="L924" s="46"/>
      <c r="M924" s="17"/>
      <c r="N924" s="46"/>
      <c r="O924" s="46"/>
      <c r="P924" s="46"/>
      <c r="Q924" s="46"/>
      <c r="R924" s="46"/>
      <c r="S924" s="46"/>
      <c r="T924" s="46"/>
      <c r="U924" s="46"/>
      <c r="V924" s="46"/>
      <c r="W924" s="46"/>
      <c r="X924" s="46"/>
      <c r="Y924" s="46"/>
      <c r="Z924" s="46"/>
      <c r="AA924" s="46"/>
      <c r="AB924" s="46"/>
      <c r="AC924" s="46"/>
      <c r="AD924" s="46"/>
      <c r="AE924" s="46"/>
      <c r="AF924" s="46"/>
      <c r="AG924" s="127"/>
      <c r="AH924" s="127"/>
      <c r="AI924" s="127"/>
      <c r="AJ924" s="127"/>
      <c r="AK924" s="46"/>
      <c r="AL924" s="46"/>
      <c r="AM924" s="46"/>
      <c r="AN924" s="46"/>
      <c r="AO924" s="46"/>
    </row>
    <row r="925">
      <c r="A925" s="17"/>
      <c r="B925" s="46"/>
      <c r="C925" s="46"/>
      <c r="D925" s="46"/>
      <c r="E925" s="17"/>
      <c r="F925" s="46"/>
      <c r="G925" s="46"/>
      <c r="H925" s="46"/>
      <c r="I925" s="17"/>
      <c r="J925" s="46"/>
      <c r="K925" s="46"/>
      <c r="L925" s="46"/>
      <c r="M925" s="17"/>
      <c r="N925" s="46"/>
      <c r="O925" s="46"/>
      <c r="P925" s="46"/>
      <c r="Q925" s="46"/>
      <c r="R925" s="46"/>
      <c r="S925" s="46"/>
      <c r="T925" s="46"/>
      <c r="U925" s="46"/>
      <c r="V925" s="46"/>
      <c r="W925" s="46"/>
      <c r="X925" s="46"/>
      <c r="Y925" s="46"/>
      <c r="Z925" s="46"/>
      <c r="AA925" s="46"/>
      <c r="AB925" s="46"/>
      <c r="AC925" s="46"/>
      <c r="AD925" s="46"/>
      <c r="AE925" s="46"/>
      <c r="AF925" s="46"/>
      <c r="AG925" s="127"/>
      <c r="AH925" s="127"/>
      <c r="AI925" s="127"/>
      <c r="AJ925" s="127"/>
      <c r="AK925" s="46"/>
      <c r="AL925" s="46"/>
      <c r="AM925" s="46"/>
      <c r="AN925" s="46"/>
      <c r="AO925" s="46"/>
    </row>
    <row r="926">
      <c r="A926" s="17"/>
      <c r="B926" s="46"/>
      <c r="C926" s="46"/>
      <c r="D926" s="46"/>
      <c r="E926" s="17"/>
      <c r="F926" s="46"/>
      <c r="G926" s="46"/>
      <c r="H926" s="46"/>
      <c r="I926" s="17"/>
      <c r="J926" s="46"/>
      <c r="K926" s="46"/>
      <c r="L926" s="46"/>
      <c r="M926" s="17"/>
      <c r="N926" s="46"/>
      <c r="O926" s="46"/>
      <c r="P926" s="46"/>
      <c r="Q926" s="46"/>
      <c r="R926" s="46"/>
      <c r="S926" s="46"/>
      <c r="T926" s="46"/>
      <c r="U926" s="46"/>
      <c r="V926" s="46"/>
      <c r="W926" s="46"/>
      <c r="X926" s="46"/>
      <c r="Y926" s="46"/>
      <c r="Z926" s="46"/>
      <c r="AA926" s="46"/>
      <c r="AB926" s="46"/>
      <c r="AC926" s="46"/>
      <c r="AD926" s="46"/>
      <c r="AE926" s="46"/>
      <c r="AF926" s="46"/>
      <c r="AG926" s="127"/>
      <c r="AH926" s="127"/>
      <c r="AI926" s="127"/>
      <c r="AJ926" s="127"/>
      <c r="AK926" s="46"/>
      <c r="AL926" s="46"/>
      <c r="AM926" s="46"/>
      <c r="AN926" s="46"/>
      <c r="AO926" s="46"/>
    </row>
    <row r="927">
      <c r="A927" s="17"/>
      <c r="B927" s="46"/>
      <c r="C927" s="46"/>
      <c r="D927" s="46"/>
      <c r="E927" s="17"/>
      <c r="F927" s="46"/>
      <c r="G927" s="46"/>
      <c r="H927" s="46"/>
      <c r="I927" s="17"/>
      <c r="J927" s="46"/>
      <c r="K927" s="46"/>
      <c r="L927" s="46"/>
      <c r="M927" s="17"/>
      <c r="N927" s="46"/>
      <c r="O927" s="46"/>
      <c r="P927" s="46"/>
      <c r="Q927" s="46"/>
      <c r="R927" s="46"/>
      <c r="S927" s="46"/>
      <c r="T927" s="46"/>
      <c r="U927" s="46"/>
      <c r="V927" s="46"/>
      <c r="W927" s="46"/>
      <c r="X927" s="46"/>
      <c r="Y927" s="46"/>
      <c r="Z927" s="46"/>
      <c r="AA927" s="46"/>
      <c r="AB927" s="46"/>
      <c r="AC927" s="46"/>
      <c r="AD927" s="46"/>
      <c r="AE927" s="46"/>
      <c r="AF927" s="46"/>
      <c r="AG927" s="127"/>
      <c r="AH927" s="127"/>
      <c r="AI927" s="127"/>
      <c r="AJ927" s="127"/>
      <c r="AK927" s="46"/>
      <c r="AL927" s="46"/>
      <c r="AM927" s="46"/>
      <c r="AN927" s="46"/>
      <c r="AO927" s="46"/>
    </row>
    <row r="928">
      <c r="A928" s="17"/>
      <c r="B928" s="46"/>
      <c r="C928" s="46"/>
      <c r="D928" s="46"/>
      <c r="E928" s="17"/>
      <c r="F928" s="46"/>
      <c r="G928" s="46"/>
      <c r="H928" s="46"/>
      <c r="I928" s="17"/>
      <c r="J928" s="46"/>
      <c r="K928" s="46"/>
      <c r="L928" s="46"/>
      <c r="M928" s="17"/>
      <c r="N928" s="46"/>
      <c r="O928" s="46"/>
      <c r="P928" s="46"/>
      <c r="Q928" s="46"/>
      <c r="R928" s="46"/>
      <c r="S928" s="46"/>
      <c r="T928" s="46"/>
      <c r="U928" s="46"/>
      <c r="V928" s="46"/>
      <c r="W928" s="46"/>
      <c r="X928" s="46"/>
      <c r="Y928" s="46"/>
      <c r="Z928" s="46"/>
      <c r="AA928" s="46"/>
      <c r="AB928" s="46"/>
      <c r="AC928" s="46"/>
      <c r="AD928" s="46"/>
      <c r="AE928" s="46"/>
      <c r="AF928" s="46"/>
      <c r="AG928" s="127"/>
      <c r="AH928" s="127"/>
      <c r="AI928" s="127"/>
      <c r="AJ928" s="127"/>
      <c r="AK928" s="46"/>
      <c r="AL928" s="46"/>
      <c r="AM928" s="46"/>
      <c r="AN928" s="46"/>
      <c r="AO928" s="46"/>
    </row>
    <row r="929">
      <c r="A929" s="17"/>
      <c r="B929" s="46"/>
      <c r="C929" s="46"/>
      <c r="D929" s="46"/>
      <c r="E929" s="17"/>
      <c r="F929" s="46"/>
      <c r="G929" s="46"/>
      <c r="H929" s="46"/>
      <c r="I929" s="17"/>
      <c r="J929" s="46"/>
      <c r="K929" s="46"/>
      <c r="L929" s="46"/>
      <c r="M929" s="17"/>
      <c r="N929" s="46"/>
      <c r="O929" s="46"/>
      <c r="P929" s="46"/>
      <c r="Q929" s="46"/>
      <c r="R929" s="46"/>
      <c r="S929" s="46"/>
      <c r="T929" s="46"/>
      <c r="U929" s="46"/>
      <c r="V929" s="46"/>
      <c r="W929" s="46"/>
      <c r="X929" s="46"/>
      <c r="Y929" s="46"/>
      <c r="Z929" s="46"/>
      <c r="AA929" s="46"/>
      <c r="AB929" s="46"/>
      <c r="AC929" s="46"/>
      <c r="AD929" s="46"/>
      <c r="AE929" s="46"/>
      <c r="AF929" s="46"/>
      <c r="AG929" s="127"/>
      <c r="AH929" s="127"/>
      <c r="AI929" s="127"/>
      <c r="AJ929" s="127"/>
      <c r="AK929" s="46"/>
      <c r="AL929" s="46"/>
      <c r="AM929" s="46"/>
      <c r="AN929" s="46"/>
      <c r="AO929" s="46"/>
    </row>
    <row r="930">
      <c r="A930" s="17"/>
      <c r="B930" s="46"/>
      <c r="C930" s="46"/>
      <c r="D930" s="46"/>
      <c r="E930" s="17"/>
      <c r="F930" s="46"/>
      <c r="G930" s="46"/>
      <c r="H930" s="46"/>
      <c r="I930" s="17"/>
      <c r="J930" s="46"/>
      <c r="K930" s="46"/>
      <c r="L930" s="46"/>
      <c r="M930" s="17"/>
      <c r="N930" s="46"/>
      <c r="O930" s="46"/>
      <c r="P930" s="46"/>
      <c r="Q930" s="46"/>
      <c r="R930" s="46"/>
      <c r="S930" s="46"/>
      <c r="T930" s="46"/>
      <c r="U930" s="46"/>
      <c r="V930" s="46"/>
      <c r="W930" s="46"/>
      <c r="X930" s="46"/>
      <c r="Y930" s="46"/>
      <c r="Z930" s="46"/>
      <c r="AA930" s="46"/>
      <c r="AB930" s="46"/>
      <c r="AC930" s="46"/>
      <c r="AD930" s="46"/>
      <c r="AE930" s="46"/>
      <c r="AF930" s="46"/>
      <c r="AG930" s="127"/>
      <c r="AH930" s="127"/>
      <c r="AI930" s="127"/>
      <c r="AJ930" s="127"/>
      <c r="AK930" s="46"/>
      <c r="AL930" s="46"/>
      <c r="AM930" s="46"/>
      <c r="AN930" s="46"/>
      <c r="AO930" s="46"/>
    </row>
    <row r="931">
      <c r="A931" s="17"/>
      <c r="B931" s="46"/>
      <c r="C931" s="46"/>
      <c r="D931" s="46"/>
      <c r="E931" s="17"/>
      <c r="F931" s="46"/>
      <c r="G931" s="46"/>
      <c r="H931" s="46"/>
      <c r="I931" s="17"/>
      <c r="J931" s="46"/>
      <c r="K931" s="46"/>
      <c r="L931" s="46"/>
      <c r="M931" s="17"/>
      <c r="N931" s="46"/>
      <c r="O931" s="46"/>
      <c r="P931" s="46"/>
      <c r="Q931" s="46"/>
      <c r="R931" s="46"/>
      <c r="S931" s="46"/>
      <c r="T931" s="46"/>
      <c r="U931" s="46"/>
      <c r="V931" s="46"/>
      <c r="W931" s="46"/>
      <c r="X931" s="46"/>
      <c r="Y931" s="46"/>
      <c r="Z931" s="46"/>
      <c r="AA931" s="46"/>
      <c r="AB931" s="46"/>
      <c r="AC931" s="46"/>
      <c r="AD931" s="46"/>
      <c r="AE931" s="46"/>
      <c r="AF931" s="46"/>
      <c r="AG931" s="127"/>
      <c r="AH931" s="127"/>
      <c r="AI931" s="127"/>
      <c r="AJ931" s="127"/>
      <c r="AK931" s="46"/>
      <c r="AL931" s="46"/>
      <c r="AM931" s="46"/>
      <c r="AN931" s="46"/>
      <c r="AO931" s="46"/>
    </row>
    <row r="932">
      <c r="A932" s="17"/>
      <c r="B932" s="46"/>
      <c r="C932" s="46"/>
      <c r="D932" s="46"/>
      <c r="E932" s="17"/>
      <c r="F932" s="46"/>
      <c r="G932" s="46"/>
      <c r="H932" s="46"/>
      <c r="I932" s="17"/>
      <c r="J932" s="46"/>
      <c r="K932" s="46"/>
      <c r="L932" s="46"/>
      <c r="M932" s="17"/>
      <c r="N932" s="46"/>
      <c r="O932" s="46"/>
      <c r="P932" s="46"/>
      <c r="Q932" s="46"/>
      <c r="R932" s="46"/>
      <c r="S932" s="46"/>
      <c r="T932" s="46"/>
      <c r="U932" s="46"/>
      <c r="V932" s="46"/>
      <c r="W932" s="46"/>
      <c r="X932" s="46"/>
      <c r="Y932" s="46"/>
      <c r="Z932" s="46"/>
      <c r="AA932" s="46"/>
      <c r="AB932" s="46"/>
      <c r="AC932" s="46"/>
      <c r="AD932" s="46"/>
      <c r="AE932" s="46"/>
      <c r="AF932" s="46"/>
      <c r="AG932" s="127"/>
      <c r="AH932" s="127"/>
      <c r="AI932" s="127"/>
      <c r="AJ932" s="127"/>
      <c r="AK932" s="46"/>
      <c r="AL932" s="46"/>
      <c r="AM932" s="46"/>
      <c r="AN932" s="46"/>
      <c r="AO932" s="46"/>
    </row>
    <row r="933">
      <c r="A933" s="17"/>
      <c r="B933" s="46"/>
      <c r="C933" s="46"/>
      <c r="D933" s="46"/>
      <c r="E933" s="17"/>
      <c r="F933" s="46"/>
      <c r="G933" s="46"/>
      <c r="H933" s="46"/>
      <c r="I933" s="17"/>
      <c r="J933" s="46"/>
      <c r="K933" s="46"/>
      <c r="L933" s="46"/>
      <c r="M933" s="17"/>
      <c r="N933" s="46"/>
      <c r="O933" s="46"/>
      <c r="P933" s="46"/>
      <c r="Q933" s="46"/>
      <c r="R933" s="46"/>
      <c r="S933" s="46"/>
      <c r="T933" s="46"/>
      <c r="U933" s="46"/>
      <c r="V933" s="46"/>
      <c r="W933" s="46"/>
      <c r="X933" s="46"/>
      <c r="Y933" s="46"/>
      <c r="Z933" s="46"/>
      <c r="AA933" s="46"/>
      <c r="AB933" s="46"/>
      <c r="AC933" s="46"/>
      <c r="AD933" s="46"/>
      <c r="AE933" s="46"/>
      <c r="AF933" s="46"/>
      <c r="AG933" s="127"/>
      <c r="AH933" s="127"/>
      <c r="AI933" s="127"/>
      <c r="AJ933" s="127"/>
      <c r="AK933" s="46"/>
      <c r="AL933" s="46"/>
      <c r="AM933" s="46"/>
      <c r="AN933" s="46"/>
      <c r="AO933" s="46"/>
    </row>
    <row r="934">
      <c r="A934" s="17"/>
      <c r="B934" s="46"/>
      <c r="C934" s="46"/>
      <c r="D934" s="46"/>
      <c r="E934" s="17"/>
      <c r="F934" s="46"/>
      <c r="G934" s="46"/>
      <c r="H934" s="46"/>
      <c r="I934" s="17"/>
      <c r="J934" s="46"/>
      <c r="K934" s="46"/>
      <c r="L934" s="46"/>
      <c r="M934" s="17"/>
      <c r="N934" s="46"/>
      <c r="O934" s="46"/>
      <c r="P934" s="46"/>
      <c r="Q934" s="46"/>
      <c r="R934" s="46"/>
      <c r="S934" s="46"/>
      <c r="T934" s="46"/>
      <c r="U934" s="46"/>
      <c r="V934" s="46"/>
      <c r="W934" s="46"/>
      <c r="X934" s="46"/>
      <c r="Y934" s="46"/>
      <c r="Z934" s="46"/>
      <c r="AA934" s="46"/>
      <c r="AB934" s="46"/>
      <c r="AC934" s="46"/>
      <c r="AD934" s="46"/>
      <c r="AE934" s="46"/>
      <c r="AF934" s="46"/>
      <c r="AG934" s="127"/>
      <c r="AH934" s="127"/>
      <c r="AI934" s="127"/>
      <c r="AJ934" s="127"/>
      <c r="AK934" s="46"/>
      <c r="AL934" s="46"/>
      <c r="AM934" s="46"/>
      <c r="AN934" s="46"/>
      <c r="AO934" s="46"/>
    </row>
    <row r="935">
      <c r="A935" s="17"/>
      <c r="B935" s="46"/>
      <c r="C935" s="46"/>
      <c r="D935" s="46"/>
      <c r="E935" s="17"/>
      <c r="F935" s="46"/>
      <c r="G935" s="46"/>
      <c r="H935" s="46"/>
      <c r="I935" s="17"/>
      <c r="J935" s="46"/>
      <c r="K935" s="46"/>
      <c r="L935" s="46"/>
      <c r="M935" s="17"/>
      <c r="N935" s="46"/>
      <c r="O935" s="46"/>
      <c r="P935" s="46"/>
      <c r="Q935" s="46"/>
      <c r="R935" s="46"/>
      <c r="S935" s="46"/>
      <c r="T935" s="46"/>
      <c r="U935" s="46"/>
      <c r="V935" s="46"/>
      <c r="W935" s="46"/>
      <c r="X935" s="46"/>
      <c r="Y935" s="46"/>
      <c r="Z935" s="46"/>
      <c r="AA935" s="46"/>
      <c r="AB935" s="46"/>
      <c r="AC935" s="46"/>
      <c r="AD935" s="46"/>
      <c r="AE935" s="46"/>
      <c r="AF935" s="46"/>
      <c r="AG935" s="127"/>
      <c r="AH935" s="127"/>
      <c r="AI935" s="127"/>
      <c r="AJ935" s="127"/>
      <c r="AK935" s="46"/>
      <c r="AL935" s="46"/>
      <c r="AM935" s="46"/>
      <c r="AN935" s="46"/>
      <c r="AO935" s="46"/>
    </row>
    <row r="936">
      <c r="A936" s="17"/>
      <c r="B936" s="46"/>
      <c r="C936" s="46"/>
      <c r="D936" s="46"/>
      <c r="E936" s="17"/>
      <c r="F936" s="46"/>
      <c r="G936" s="46"/>
      <c r="H936" s="46"/>
      <c r="I936" s="17"/>
      <c r="J936" s="46"/>
      <c r="K936" s="46"/>
      <c r="L936" s="46"/>
      <c r="M936" s="17"/>
      <c r="N936" s="46"/>
      <c r="O936" s="46"/>
      <c r="P936" s="46"/>
      <c r="Q936" s="46"/>
      <c r="R936" s="46"/>
      <c r="S936" s="46"/>
      <c r="T936" s="46"/>
      <c r="U936" s="46"/>
      <c r="V936" s="46"/>
      <c r="W936" s="46"/>
      <c r="X936" s="46"/>
      <c r="Y936" s="46"/>
      <c r="Z936" s="46"/>
      <c r="AA936" s="46"/>
      <c r="AB936" s="46"/>
      <c r="AC936" s="46"/>
      <c r="AD936" s="46"/>
      <c r="AE936" s="46"/>
      <c r="AF936" s="46"/>
      <c r="AG936" s="127"/>
      <c r="AH936" s="127"/>
      <c r="AI936" s="127"/>
      <c r="AJ936" s="127"/>
      <c r="AK936" s="46"/>
      <c r="AL936" s="46"/>
      <c r="AM936" s="46"/>
      <c r="AN936" s="46"/>
      <c r="AO936" s="46"/>
    </row>
    <row r="937">
      <c r="A937" s="17"/>
      <c r="B937" s="46"/>
      <c r="C937" s="46"/>
      <c r="D937" s="46"/>
      <c r="E937" s="17"/>
      <c r="F937" s="46"/>
      <c r="G937" s="46"/>
      <c r="H937" s="46"/>
      <c r="I937" s="17"/>
      <c r="J937" s="46"/>
      <c r="K937" s="46"/>
      <c r="L937" s="46"/>
      <c r="M937" s="17"/>
      <c r="N937" s="46"/>
      <c r="O937" s="46"/>
      <c r="P937" s="46"/>
      <c r="Q937" s="46"/>
      <c r="R937" s="46"/>
      <c r="S937" s="46"/>
      <c r="T937" s="46"/>
      <c r="U937" s="46"/>
      <c r="V937" s="46"/>
      <c r="W937" s="46"/>
      <c r="X937" s="46"/>
      <c r="Y937" s="46"/>
      <c r="Z937" s="46"/>
      <c r="AA937" s="46"/>
      <c r="AB937" s="46"/>
      <c r="AC937" s="46"/>
      <c r="AD937" s="46"/>
      <c r="AE937" s="46"/>
      <c r="AF937" s="46"/>
      <c r="AG937" s="127"/>
      <c r="AH937" s="127"/>
      <c r="AI937" s="127"/>
      <c r="AJ937" s="127"/>
      <c r="AK937" s="46"/>
      <c r="AL937" s="46"/>
      <c r="AM937" s="46"/>
      <c r="AN937" s="46"/>
      <c r="AO937" s="46"/>
    </row>
    <row r="938">
      <c r="A938" s="17"/>
      <c r="B938" s="46"/>
      <c r="C938" s="46"/>
      <c r="D938" s="46"/>
      <c r="E938" s="17"/>
      <c r="F938" s="46"/>
      <c r="G938" s="46"/>
      <c r="H938" s="46"/>
      <c r="I938" s="17"/>
      <c r="J938" s="46"/>
      <c r="K938" s="46"/>
      <c r="L938" s="46"/>
      <c r="M938" s="17"/>
      <c r="N938" s="46"/>
      <c r="O938" s="46"/>
      <c r="P938" s="46"/>
      <c r="Q938" s="46"/>
      <c r="R938" s="46"/>
      <c r="S938" s="46"/>
      <c r="T938" s="46"/>
      <c r="U938" s="46"/>
      <c r="V938" s="46"/>
      <c r="W938" s="46"/>
      <c r="X938" s="46"/>
      <c r="Y938" s="46"/>
      <c r="Z938" s="46"/>
      <c r="AA938" s="46"/>
      <c r="AB938" s="46"/>
      <c r="AC938" s="46"/>
      <c r="AD938" s="46"/>
      <c r="AE938" s="46"/>
      <c r="AF938" s="46"/>
      <c r="AG938" s="127"/>
      <c r="AH938" s="127"/>
      <c r="AI938" s="127"/>
      <c r="AJ938" s="127"/>
      <c r="AK938" s="46"/>
      <c r="AL938" s="46"/>
      <c r="AM938" s="46"/>
      <c r="AN938" s="46"/>
      <c r="AO938" s="46"/>
    </row>
    <row r="939">
      <c r="A939" s="17"/>
      <c r="B939" s="46"/>
      <c r="C939" s="46"/>
      <c r="D939" s="46"/>
      <c r="E939" s="17"/>
      <c r="F939" s="46"/>
      <c r="G939" s="46"/>
      <c r="H939" s="46"/>
      <c r="I939" s="17"/>
      <c r="J939" s="46"/>
      <c r="K939" s="46"/>
      <c r="L939" s="46"/>
      <c r="M939" s="17"/>
      <c r="N939" s="46"/>
      <c r="O939" s="46"/>
      <c r="P939" s="46"/>
      <c r="Q939" s="46"/>
      <c r="R939" s="46"/>
      <c r="S939" s="46"/>
      <c r="T939" s="46"/>
      <c r="U939" s="46"/>
      <c r="V939" s="46"/>
      <c r="W939" s="46"/>
      <c r="X939" s="46"/>
      <c r="Y939" s="46"/>
      <c r="Z939" s="46"/>
      <c r="AA939" s="46"/>
      <c r="AB939" s="46"/>
      <c r="AC939" s="46"/>
      <c r="AD939" s="46"/>
      <c r="AE939" s="46"/>
      <c r="AF939" s="46"/>
      <c r="AG939" s="127"/>
      <c r="AH939" s="127"/>
      <c r="AI939" s="127"/>
      <c r="AJ939" s="127"/>
      <c r="AK939" s="46"/>
      <c r="AL939" s="46"/>
      <c r="AM939" s="46"/>
      <c r="AN939" s="46"/>
      <c r="AO939" s="46"/>
    </row>
    <row r="940">
      <c r="A940" s="17"/>
      <c r="B940" s="46"/>
      <c r="C940" s="46"/>
      <c r="D940" s="46"/>
      <c r="E940" s="17"/>
      <c r="F940" s="46"/>
      <c r="G940" s="46"/>
      <c r="H940" s="46"/>
      <c r="I940" s="17"/>
      <c r="J940" s="46"/>
      <c r="K940" s="46"/>
      <c r="L940" s="46"/>
      <c r="M940" s="17"/>
      <c r="N940" s="46"/>
      <c r="O940" s="46"/>
      <c r="P940" s="46"/>
      <c r="Q940" s="46"/>
      <c r="R940" s="46"/>
      <c r="S940" s="46"/>
      <c r="T940" s="46"/>
      <c r="U940" s="46"/>
      <c r="V940" s="46"/>
      <c r="W940" s="46"/>
      <c r="X940" s="46"/>
      <c r="Y940" s="46"/>
      <c r="Z940" s="46"/>
      <c r="AA940" s="46"/>
      <c r="AB940" s="46"/>
      <c r="AC940" s="46"/>
      <c r="AD940" s="46"/>
      <c r="AE940" s="46"/>
      <c r="AF940" s="46"/>
      <c r="AG940" s="127"/>
      <c r="AH940" s="127"/>
      <c r="AI940" s="127"/>
      <c r="AJ940" s="127"/>
      <c r="AK940" s="46"/>
      <c r="AL940" s="46"/>
      <c r="AM940" s="46"/>
      <c r="AN940" s="46"/>
      <c r="AO940" s="46"/>
    </row>
    <row r="941">
      <c r="A941" s="17"/>
      <c r="B941" s="46"/>
      <c r="C941" s="46"/>
      <c r="D941" s="46"/>
      <c r="E941" s="17"/>
      <c r="F941" s="46"/>
      <c r="G941" s="46"/>
      <c r="H941" s="46"/>
      <c r="I941" s="17"/>
      <c r="J941" s="46"/>
      <c r="K941" s="46"/>
      <c r="L941" s="46"/>
      <c r="M941" s="17"/>
      <c r="N941" s="46"/>
      <c r="O941" s="46"/>
      <c r="P941" s="46"/>
      <c r="Q941" s="46"/>
      <c r="R941" s="46"/>
      <c r="S941" s="46"/>
      <c r="T941" s="46"/>
      <c r="U941" s="46"/>
      <c r="V941" s="46"/>
      <c r="W941" s="46"/>
      <c r="X941" s="46"/>
      <c r="Y941" s="46"/>
      <c r="Z941" s="46"/>
      <c r="AA941" s="46"/>
      <c r="AB941" s="46"/>
      <c r="AC941" s="46"/>
      <c r="AD941" s="46"/>
      <c r="AE941" s="46"/>
      <c r="AF941" s="46"/>
      <c r="AG941" s="127"/>
      <c r="AH941" s="127"/>
      <c r="AI941" s="127"/>
      <c r="AJ941" s="127"/>
      <c r="AK941" s="46"/>
      <c r="AL941" s="46"/>
      <c r="AM941" s="46"/>
      <c r="AN941" s="46"/>
      <c r="AO941" s="46"/>
    </row>
    <row r="942">
      <c r="A942" s="17"/>
      <c r="B942" s="46"/>
      <c r="C942" s="46"/>
      <c r="D942" s="46"/>
      <c r="E942" s="17"/>
      <c r="F942" s="46"/>
      <c r="G942" s="46"/>
      <c r="H942" s="46"/>
      <c r="I942" s="17"/>
      <c r="J942" s="46"/>
      <c r="K942" s="46"/>
      <c r="L942" s="46"/>
      <c r="M942" s="17"/>
      <c r="N942" s="46"/>
      <c r="O942" s="46"/>
      <c r="P942" s="46"/>
      <c r="Q942" s="46"/>
      <c r="R942" s="46"/>
      <c r="S942" s="46"/>
      <c r="T942" s="46"/>
      <c r="U942" s="46"/>
      <c r="V942" s="46"/>
      <c r="W942" s="46"/>
      <c r="X942" s="46"/>
      <c r="Y942" s="46"/>
      <c r="Z942" s="46"/>
      <c r="AA942" s="46"/>
      <c r="AB942" s="46"/>
      <c r="AC942" s="46"/>
      <c r="AD942" s="46"/>
      <c r="AE942" s="46"/>
      <c r="AF942" s="46"/>
      <c r="AG942" s="127"/>
      <c r="AH942" s="127"/>
      <c r="AI942" s="127"/>
      <c r="AJ942" s="127"/>
      <c r="AK942" s="46"/>
      <c r="AL942" s="46"/>
      <c r="AM942" s="46"/>
      <c r="AN942" s="46"/>
      <c r="AO942" s="46"/>
    </row>
    <row r="943">
      <c r="A943" s="17"/>
      <c r="B943" s="46"/>
      <c r="C943" s="46"/>
      <c r="D943" s="46"/>
      <c r="E943" s="17"/>
      <c r="F943" s="46"/>
      <c r="G943" s="46"/>
      <c r="H943" s="46"/>
      <c r="I943" s="17"/>
      <c r="J943" s="46"/>
      <c r="K943" s="46"/>
      <c r="L943" s="46"/>
      <c r="M943" s="17"/>
      <c r="N943" s="46"/>
      <c r="O943" s="46"/>
      <c r="P943" s="46"/>
      <c r="Q943" s="46"/>
      <c r="R943" s="46"/>
      <c r="S943" s="46"/>
      <c r="T943" s="46"/>
      <c r="U943" s="46"/>
      <c r="V943" s="46"/>
      <c r="W943" s="46"/>
      <c r="X943" s="46"/>
      <c r="Y943" s="46"/>
      <c r="Z943" s="46"/>
      <c r="AA943" s="46"/>
      <c r="AB943" s="46"/>
      <c r="AC943" s="46"/>
      <c r="AD943" s="46"/>
      <c r="AE943" s="46"/>
      <c r="AF943" s="46"/>
      <c r="AG943" s="127"/>
      <c r="AH943" s="127"/>
      <c r="AI943" s="127"/>
      <c r="AJ943" s="127"/>
      <c r="AK943" s="46"/>
      <c r="AL943" s="46"/>
      <c r="AM943" s="46"/>
      <c r="AN943" s="46"/>
      <c r="AO943" s="46"/>
    </row>
    <row r="944">
      <c r="A944" s="17"/>
      <c r="B944" s="46"/>
      <c r="C944" s="46"/>
      <c r="D944" s="46"/>
      <c r="E944" s="17"/>
      <c r="F944" s="46"/>
      <c r="G944" s="46"/>
      <c r="H944" s="46"/>
      <c r="I944" s="17"/>
      <c r="J944" s="46"/>
      <c r="K944" s="46"/>
      <c r="L944" s="46"/>
      <c r="M944" s="17"/>
      <c r="N944" s="46"/>
      <c r="O944" s="46"/>
      <c r="P944" s="46"/>
      <c r="Q944" s="46"/>
      <c r="R944" s="46"/>
      <c r="S944" s="46"/>
      <c r="T944" s="46"/>
      <c r="U944" s="46"/>
      <c r="V944" s="46"/>
      <c r="W944" s="46"/>
      <c r="X944" s="46"/>
      <c r="Y944" s="46"/>
      <c r="Z944" s="46"/>
      <c r="AA944" s="46"/>
      <c r="AB944" s="46"/>
      <c r="AC944" s="46"/>
      <c r="AD944" s="46"/>
      <c r="AE944" s="46"/>
      <c r="AF944" s="46"/>
      <c r="AG944" s="135"/>
      <c r="AH944" s="136"/>
      <c r="AI944" s="137"/>
      <c r="AJ944" s="138"/>
      <c r="AK944" s="46"/>
      <c r="AL944" s="46"/>
      <c r="AM944" s="46"/>
      <c r="AN944" s="46"/>
      <c r="AO944" s="46"/>
    </row>
    <row r="945">
      <c r="A945" s="17"/>
      <c r="B945" s="46"/>
      <c r="C945" s="46"/>
      <c r="D945" s="46"/>
      <c r="E945" s="17"/>
      <c r="F945" s="46"/>
      <c r="G945" s="46"/>
      <c r="H945" s="46"/>
      <c r="I945" s="17"/>
      <c r="J945" s="46"/>
      <c r="K945" s="46"/>
      <c r="L945" s="46"/>
      <c r="M945" s="17"/>
      <c r="N945" s="46"/>
      <c r="O945" s="46"/>
      <c r="P945" s="46"/>
      <c r="Q945" s="46"/>
      <c r="R945" s="46"/>
      <c r="S945" s="46"/>
      <c r="T945" s="46"/>
      <c r="U945" s="46"/>
      <c r="V945" s="46"/>
      <c r="W945" s="46"/>
      <c r="X945" s="46"/>
      <c r="Y945" s="46"/>
      <c r="Z945" s="46"/>
      <c r="AA945" s="46"/>
      <c r="AB945" s="46"/>
      <c r="AC945" s="46"/>
      <c r="AD945" s="46"/>
      <c r="AE945" s="46"/>
      <c r="AF945" s="46"/>
      <c r="AG945" s="135"/>
      <c r="AH945" s="136"/>
      <c r="AI945" s="137"/>
      <c r="AJ945" s="138"/>
      <c r="AK945" s="46"/>
      <c r="AL945" s="46"/>
      <c r="AM945" s="46"/>
      <c r="AN945" s="46"/>
      <c r="AO945" s="46"/>
    </row>
    <row r="946">
      <c r="A946" s="17"/>
      <c r="B946" s="46"/>
      <c r="C946" s="46"/>
      <c r="D946" s="46"/>
      <c r="E946" s="17"/>
      <c r="F946" s="46"/>
      <c r="G946" s="46"/>
      <c r="H946" s="46"/>
      <c r="I946" s="17"/>
      <c r="J946" s="46"/>
      <c r="K946" s="46"/>
      <c r="L946" s="46"/>
      <c r="M946" s="17"/>
      <c r="N946" s="46"/>
      <c r="O946" s="46"/>
      <c r="P946" s="46"/>
      <c r="Q946" s="46"/>
      <c r="R946" s="46"/>
      <c r="S946" s="46"/>
      <c r="T946" s="46"/>
      <c r="U946" s="46"/>
      <c r="V946" s="46"/>
      <c r="W946" s="46"/>
      <c r="X946" s="46"/>
      <c r="Y946" s="46"/>
      <c r="Z946" s="46"/>
      <c r="AA946" s="46"/>
      <c r="AB946" s="46"/>
      <c r="AC946" s="46"/>
      <c r="AD946" s="46"/>
      <c r="AE946" s="46"/>
      <c r="AF946" s="46"/>
      <c r="AG946" s="135"/>
      <c r="AH946" s="136"/>
      <c r="AI946" s="137"/>
      <c r="AJ946" s="138"/>
      <c r="AK946" s="46"/>
      <c r="AL946" s="46"/>
      <c r="AM946" s="46"/>
      <c r="AN946" s="46"/>
      <c r="AO946" s="46"/>
    </row>
    <row r="947">
      <c r="A947" s="17"/>
      <c r="B947" s="46"/>
      <c r="C947" s="46"/>
      <c r="D947" s="46"/>
      <c r="E947" s="17"/>
      <c r="F947" s="46"/>
      <c r="G947" s="46"/>
      <c r="H947" s="46"/>
      <c r="I947" s="17"/>
      <c r="J947" s="46"/>
      <c r="K947" s="46"/>
      <c r="L947" s="46"/>
      <c r="M947" s="17"/>
      <c r="N947" s="46"/>
      <c r="O947" s="46"/>
      <c r="P947" s="46"/>
      <c r="Q947" s="46"/>
      <c r="R947" s="46"/>
      <c r="S947" s="46"/>
      <c r="T947" s="46"/>
      <c r="U947" s="46"/>
      <c r="V947" s="46"/>
      <c r="W947" s="46"/>
      <c r="X947" s="46"/>
      <c r="Y947" s="46"/>
      <c r="Z947" s="46"/>
      <c r="AA947" s="46"/>
      <c r="AB947" s="46"/>
      <c r="AC947" s="46"/>
      <c r="AD947" s="46"/>
      <c r="AE947" s="46"/>
      <c r="AF947" s="46"/>
      <c r="AG947" s="135"/>
      <c r="AH947" s="136"/>
      <c r="AI947" s="137"/>
      <c r="AJ947" s="138"/>
      <c r="AK947" s="46"/>
      <c r="AL947" s="46"/>
      <c r="AM947" s="46"/>
      <c r="AN947" s="46"/>
      <c r="AO947" s="46"/>
    </row>
    <row r="948">
      <c r="A948" s="17"/>
      <c r="B948" s="46"/>
      <c r="C948" s="46"/>
      <c r="D948" s="46"/>
      <c r="E948" s="17"/>
      <c r="F948" s="46"/>
      <c r="G948" s="46"/>
      <c r="H948" s="46"/>
      <c r="I948" s="17"/>
      <c r="J948" s="46"/>
      <c r="K948" s="46"/>
      <c r="L948" s="46"/>
      <c r="M948" s="17"/>
      <c r="N948" s="46"/>
      <c r="O948" s="46"/>
      <c r="P948" s="46"/>
      <c r="Q948" s="46"/>
      <c r="R948" s="46"/>
      <c r="S948" s="46"/>
      <c r="T948" s="46"/>
      <c r="U948" s="46"/>
      <c r="V948" s="46"/>
      <c r="W948" s="46"/>
      <c r="X948" s="46"/>
      <c r="Y948" s="46"/>
      <c r="Z948" s="46"/>
      <c r="AA948" s="46"/>
      <c r="AB948" s="46"/>
      <c r="AC948" s="46"/>
      <c r="AD948" s="46"/>
      <c r="AE948" s="46"/>
      <c r="AF948" s="46"/>
      <c r="AG948" s="135"/>
      <c r="AH948" s="136"/>
      <c r="AI948" s="137"/>
      <c r="AJ948" s="138"/>
      <c r="AK948" s="46"/>
      <c r="AL948" s="46"/>
      <c r="AM948" s="46"/>
      <c r="AN948" s="46"/>
      <c r="AO948" s="46"/>
    </row>
    <row r="949">
      <c r="A949" s="17"/>
      <c r="B949" s="46"/>
      <c r="C949" s="46"/>
      <c r="D949" s="46"/>
      <c r="E949" s="17"/>
      <c r="F949" s="46"/>
      <c r="G949" s="46"/>
      <c r="H949" s="46"/>
      <c r="I949" s="17"/>
      <c r="J949" s="46"/>
      <c r="K949" s="46"/>
      <c r="L949" s="46"/>
      <c r="M949" s="17"/>
      <c r="N949" s="46"/>
      <c r="O949" s="46"/>
      <c r="P949" s="46"/>
      <c r="Q949" s="46"/>
      <c r="R949" s="46"/>
      <c r="S949" s="46"/>
      <c r="T949" s="46"/>
      <c r="U949" s="46"/>
      <c r="V949" s="46"/>
      <c r="W949" s="46"/>
      <c r="X949" s="46"/>
      <c r="Y949" s="46"/>
      <c r="Z949" s="46"/>
      <c r="AA949" s="46"/>
      <c r="AB949" s="46"/>
      <c r="AC949" s="46"/>
      <c r="AD949" s="46"/>
      <c r="AE949" s="46"/>
      <c r="AF949" s="46"/>
      <c r="AG949" s="135"/>
      <c r="AH949" s="136"/>
      <c r="AI949" s="137"/>
      <c r="AJ949" s="138"/>
      <c r="AK949" s="46"/>
      <c r="AL949" s="46"/>
      <c r="AM949" s="46"/>
      <c r="AN949" s="46"/>
      <c r="AO949" s="46"/>
    </row>
    <row r="950">
      <c r="A950" s="17"/>
      <c r="B950" s="46"/>
      <c r="C950" s="46"/>
      <c r="D950" s="46"/>
      <c r="E950" s="17"/>
      <c r="F950" s="46"/>
      <c r="G950" s="46"/>
      <c r="H950" s="46"/>
      <c r="I950" s="17"/>
      <c r="J950" s="46"/>
      <c r="K950" s="46"/>
      <c r="L950" s="46"/>
      <c r="M950" s="17"/>
      <c r="N950" s="46"/>
      <c r="O950" s="46"/>
      <c r="P950" s="46"/>
      <c r="Q950" s="46"/>
      <c r="R950" s="46"/>
      <c r="S950" s="46"/>
      <c r="T950" s="46"/>
      <c r="U950" s="46"/>
      <c r="V950" s="46"/>
      <c r="W950" s="46"/>
      <c r="X950" s="46"/>
      <c r="Y950" s="46"/>
      <c r="Z950" s="46"/>
      <c r="AA950" s="46"/>
      <c r="AB950" s="46"/>
      <c r="AC950" s="46"/>
      <c r="AD950" s="46"/>
      <c r="AE950" s="46"/>
      <c r="AF950" s="46"/>
      <c r="AG950" s="135"/>
      <c r="AH950" s="136"/>
      <c r="AI950" s="137"/>
      <c r="AJ950" s="138"/>
      <c r="AK950" s="46"/>
      <c r="AL950" s="46"/>
      <c r="AM950" s="46"/>
      <c r="AN950" s="46"/>
      <c r="AO950" s="46"/>
    </row>
    <row r="951">
      <c r="A951" s="17"/>
      <c r="B951" s="46"/>
      <c r="C951" s="46"/>
      <c r="D951" s="46"/>
      <c r="E951" s="17"/>
      <c r="F951" s="46"/>
      <c r="G951" s="46"/>
      <c r="H951" s="46"/>
      <c r="I951" s="17"/>
      <c r="J951" s="46"/>
      <c r="K951" s="46"/>
      <c r="L951" s="46"/>
      <c r="M951" s="17"/>
      <c r="N951" s="46"/>
      <c r="O951" s="46"/>
      <c r="P951" s="46"/>
      <c r="Q951" s="46"/>
      <c r="R951" s="46"/>
      <c r="S951" s="46"/>
      <c r="T951" s="46"/>
      <c r="U951" s="46"/>
      <c r="V951" s="46"/>
      <c r="W951" s="46"/>
      <c r="X951" s="46"/>
      <c r="Y951" s="46"/>
      <c r="Z951" s="46"/>
      <c r="AA951" s="46"/>
      <c r="AB951" s="46"/>
      <c r="AC951" s="46"/>
      <c r="AD951" s="46"/>
      <c r="AE951" s="46"/>
      <c r="AF951" s="46"/>
      <c r="AG951" s="135"/>
      <c r="AH951" s="136"/>
      <c r="AI951" s="137"/>
      <c r="AJ951" s="138"/>
      <c r="AK951" s="46"/>
      <c r="AL951" s="46"/>
      <c r="AM951" s="46"/>
      <c r="AN951" s="46"/>
      <c r="AO951" s="46"/>
    </row>
    <row r="952">
      <c r="A952" s="17"/>
      <c r="B952" s="46"/>
      <c r="C952" s="46"/>
      <c r="D952" s="46"/>
      <c r="E952" s="17"/>
      <c r="F952" s="46"/>
      <c r="G952" s="46"/>
      <c r="H952" s="46"/>
      <c r="I952" s="17"/>
      <c r="J952" s="46"/>
      <c r="K952" s="46"/>
      <c r="L952" s="46"/>
      <c r="M952" s="17"/>
      <c r="N952" s="46"/>
      <c r="O952" s="46"/>
      <c r="P952" s="46"/>
      <c r="Q952" s="46"/>
      <c r="R952" s="46"/>
      <c r="S952" s="46"/>
      <c r="T952" s="46"/>
      <c r="U952" s="46"/>
      <c r="V952" s="46"/>
      <c r="W952" s="46"/>
      <c r="X952" s="46"/>
      <c r="Y952" s="46"/>
      <c r="Z952" s="46"/>
      <c r="AA952" s="46"/>
      <c r="AB952" s="46"/>
      <c r="AC952" s="46"/>
      <c r="AD952" s="46"/>
      <c r="AE952" s="46"/>
      <c r="AF952" s="46"/>
      <c r="AG952" s="135"/>
      <c r="AH952" s="136"/>
      <c r="AI952" s="137"/>
      <c r="AJ952" s="138"/>
      <c r="AK952" s="46"/>
      <c r="AL952" s="46"/>
      <c r="AM952" s="46"/>
      <c r="AN952" s="46"/>
      <c r="AO952" s="46"/>
    </row>
    <row r="953">
      <c r="A953" s="17"/>
      <c r="B953" s="46"/>
      <c r="C953" s="46"/>
      <c r="D953" s="46"/>
      <c r="E953" s="17"/>
      <c r="F953" s="46"/>
      <c r="G953" s="46"/>
      <c r="H953" s="46"/>
      <c r="I953" s="17"/>
      <c r="J953" s="46"/>
      <c r="K953" s="46"/>
      <c r="L953" s="46"/>
      <c r="M953" s="17"/>
      <c r="N953" s="46"/>
      <c r="O953" s="46"/>
      <c r="P953" s="46"/>
      <c r="Q953" s="46"/>
      <c r="R953" s="46"/>
      <c r="S953" s="46"/>
      <c r="T953" s="46"/>
      <c r="U953" s="46"/>
      <c r="V953" s="46"/>
      <c r="W953" s="46"/>
      <c r="X953" s="46"/>
      <c r="Y953" s="46"/>
      <c r="Z953" s="46"/>
      <c r="AA953" s="46"/>
      <c r="AB953" s="46"/>
      <c r="AC953" s="46"/>
      <c r="AD953" s="46"/>
      <c r="AE953" s="46"/>
      <c r="AF953" s="46"/>
      <c r="AG953" s="135"/>
      <c r="AH953" s="136"/>
      <c r="AI953" s="137"/>
      <c r="AJ953" s="138"/>
      <c r="AK953" s="46"/>
      <c r="AL953" s="46"/>
      <c r="AM953" s="46"/>
      <c r="AN953" s="46"/>
      <c r="AO953" s="46"/>
    </row>
    <row r="954">
      <c r="A954" s="17"/>
      <c r="B954" s="46"/>
      <c r="C954" s="46"/>
      <c r="D954" s="46"/>
      <c r="E954" s="17"/>
      <c r="F954" s="46"/>
      <c r="G954" s="46"/>
      <c r="H954" s="46"/>
      <c r="I954" s="17"/>
      <c r="J954" s="46"/>
      <c r="K954" s="46"/>
      <c r="L954" s="46"/>
      <c r="M954" s="17"/>
      <c r="N954" s="46"/>
      <c r="O954" s="46"/>
      <c r="P954" s="46"/>
      <c r="Q954" s="46"/>
      <c r="R954" s="46"/>
      <c r="S954" s="46"/>
      <c r="T954" s="46"/>
      <c r="U954" s="46"/>
      <c r="V954" s="46"/>
      <c r="W954" s="46"/>
      <c r="X954" s="46"/>
      <c r="Y954" s="46"/>
      <c r="Z954" s="46"/>
      <c r="AA954" s="46"/>
      <c r="AB954" s="46"/>
      <c r="AC954" s="46"/>
      <c r="AD954" s="46"/>
      <c r="AE954" s="46"/>
      <c r="AF954" s="46"/>
      <c r="AG954" s="135"/>
      <c r="AH954" s="136"/>
      <c r="AI954" s="137"/>
      <c r="AJ954" s="138"/>
      <c r="AK954" s="46"/>
      <c r="AL954" s="46"/>
      <c r="AM954" s="46"/>
      <c r="AN954" s="46"/>
      <c r="AO954" s="46"/>
    </row>
    <row r="955">
      <c r="A955" s="17"/>
      <c r="B955" s="46"/>
      <c r="C955" s="46"/>
      <c r="D955" s="46"/>
      <c r="E955" s="17"/>
      <c r="F955" s="46"/>
      <c r="G955" s="46"/>
      <c r="H955" s="46"/>
      <c r="I955" s="17"/>
      <c r="J955" s="46"/>
      <c r="K955" s="46"/>
      <c r="L955" s="46"/>
      <c r="M955" s="17"/>
      <c r="N955" s="46"/>
      <c r="O955" s="46"/>
      <c r="P955" s="46"/>
      <c r="Q955" s="46"/>
      <c r="R955" s="46"/>
      <c r="S955" s="46"/>
      <c r="T955" s="46"/>
      <c r="U955" s="46"/>
      <c r="V955" s="46"/>
      <c r="W955" s="46"/>
      <c r="X955" s="46"/>
      <c r="Y955" s="46"/>
      <c r="Z955" s="46"/>
      <c r="AA955" s="46"/>
      <c r="AB955" s="46"/>
      <c r="AC955" s="46"/>
      <c r="AD955" s="46"/>
      <c r="AE955" s="46"/>
      <c r="AF955" s="46"/>
      <c r="AG955" s="135"/>
      <c r="AH955" s="136"/>
      <c r="AI955" s="137"/>
      <c r="AJ955" s="138"/>
      <c r="AK955" s="46"/>
      <c r="AL955" s="46"/>
      <c r="AM955" s="46"/>
      <c r="AN955" s="46"/>
      <c r="AO955" s="46"/>
    </row>
    <row r="956">
      <c r="A956" s="17"/>
      <c r="B956" s="46"/>
      <c r="C956" s="46"/>
      <c r="D956" s="46"/>
      <c r="E956" s="17"/>
      <c r="F956" s="46"/>
      <c r="G956" s="46"/>
      <c r="H956" s="46"/>
      <c r="I956" s="17"/>
      <c r="J956" s="46"/>
      <c r="K956" s="46"/>
      <c r="L956" s="46"/>
      <c r="M956" s="17"/>
      <c r="N956" s="46"/>
      <c r="O956" s="46"/>
      <c r="P956" s="46"/>
      <c r="Q956" s="46"/>
      <c r="R956" s="46"/>
      <c r="S956" s="46"/>
      <c r="T956" s="46"/>
      <c r="U956" s="46"/>
      <c r="V956" s="46"/>
      <c r="W956" s="46"/>
      <c r="X956" s="46"/>
      <c r="Y956" s="46"/>
      <c r="Z956" s="46"/>
      <c r="AA956" s="46"/>
      <c r="AB956" s="46"/>
      <c r="AC956" s="46"/>
      <c r="AD956" s="46"/>
      <c r="AE956" s="46"/>
      <c r="AF956" s="46"/>
      <c r="AG956" s="135"/>
      <c r="AH956" s="136"/>
      <c r="AI956" s="137"/>
      <c r="AJ956" s="138"/>
      <c r="AK956" s="46"/>
      <c r="AL956" s="46"/>
      <c r="AM956" s="46"/>
      <c r="AN956" s="46"/>
      <c r="AO956" s="46"/>
    </row>
    <row r="957">
      <c r="A957" s="17"/>
      <c r="B957" s="46"/>
      <c r="C957" s="46"/>
      <c r="D957" s="46"/>
      <c r="E957" s="17"/>
      <c r="F957" s="46"/>
      <c r="G957" s="46"/>
      <c r="H957" s="46"/>
      <c r="I957" s="17"/>
      <c r="J957" s="46"/>
      <c r="K957" s="46"/>
      <c r="L957" s="46"/>
      <c r="M957" s="17"/>
      <c r="N957" s="46"/>
      <c r="O957" s="46"/>
      <c r="P957" s="46"/>
      <c r="Q957" s="46"/>
      <c r="R957" s="46"/>
      <c r="S957" s="46"/>
      <c r="T957" s="46"/>
      <c r="U957" s="46"/>
      <c r="V957" s="46"/>
      <c r="W957" s="46"/>
      <c r="X957" s="46"/>
      <c r="Y957" s="46"/>
      <c r="Z957" s="46"/>
      <c r="AA957" s="46"/>
      <c r="AB957" s="46"/>
      <c r="AC957" s="46"/>
      <c r="AD957" s="46"/>
      <c r="AE957" s="46"/>
      <c r="AF957" s="46"/>
      <c r="AG957" s="135"/>
      <c r="AH957" s="136"/>
      <c r="AI957" s="137"/>
      <c r="AJ957" s="138"/>
      <c r="AK957" s="46"/>
      <c r="AL957" s="46"/>
      <c r="AM957" s="46"/>
      <c r="AN957" s="46"/>
      <c r="AO957" s="46"/>
    </row>
    <row r="958">
      <c r="A958" s="17"/>
      <c r="B958" s="46"/>
      <c r="C958" s="46"/>
      <c r="D958" s="46"/>
      <c r="E958" s="17"/>
      <c r="F958" s="46"/>
      <c r="G958" s="46"/>
      <c r="H958" s="46"/>
      <c r="I958" s="17"/>
      <c r="J958" s="46"/>
      <c r="K958" s="46"/>
      <c r="L958" s="46"/>
      <c r="M958" s="17"/>
      <c r="N958" s="46"/>
      <c r="O958" s="46"/>
      <c r="P958" s="46"/>
      <c r="Q958" s="46"/>
      <c r="R958" s="46"/>
      <c r="S958" s="46"/>
      <c r="T958" s="46"/>
      <c r="U958" s="46"/>
      <c r="V958" s="46"/>
      <c r="W958" s="46"/>
      <c r="X958" s="46"/>
      <c r="Y958" s="46"/>
      <c r="Z958" s="46"/>
      <c r="AA958" s="46"/>
      <c r="AB958" s="46"/>
      <c r="AC958" s="46"/>
      <c r="AD958" s="46"/>
      <c r="AE958" s="46"/>
      <c r="AF958" s="46"/>
      <c r="AG958" s="135"/>
      <c r="AH958" s="136"/>
      <c r="AI958" s="137"/>
      <c r="AJ958" s="138"/>
      <c r="AK958" s="46"/>
      <c r="AL958" s="46"/>
      <c r="AM958" s="46"/>
      <c r="AN958" s="46"/>
      <c r="AO958" s="46"/>
    </row>
    <row r="959">
      <c r="A959" s="17"/>
      <c r="B959" s="46"/>
      <c r="C959" s="46"/>
      <c r="D959" s="46"/>
      <c r="E959" s="17"/>
      <c r="F959" s="46"/>
      <c r="G959" s="46"/>
      <c r="H959" s="46"/>
      <c r="I959" s="17"/>
      <c r="J959" s="46"/>
      <c r="K959" s="46"/>
      <c r="L959" s="46"/>
      <c r="M959" s="17"/>
      <c r="N959" s="46"/>
      <c r="O959" s="46"/>
      <c r="P959" s="46"/>
      <c r="Q959" s="46"/>
      <c r="R959" s="46"/>
      <c r="S959" s="46"/>
      <c r="T959" s="46"/>
      <c r="U959" s="46"/>
      <c r="V959" s="46"/>
      <c r="W959" s="46"/>
      <c r="X959" s="46"/>
      <c r="Y959" s="46"/>
      <c r="Z959" s="46"/>
      <c r="AA959" s="46"/>
      <c r="AB959" s="46"/>
      <c r="AC959" s="46"/>
      <c r="AD959" s="46"/>
      <c r="AE959" s="46"/>
      <c r="AF959" s="46"/>
      <c r="AG959" s="135"/>
      <c r="AH959" s="136"/>
      <c r="AI959" s="137"/>
      <c r="AJ959" s="138"/>
      <c r="AK959" s="46"/>
      <c r="AL959" s="46"/>
      <c r="AM959" s="46"/>
      <c r="AN959" s="46"/>
      <c r="AO959" s="46"/>
    </row>
    <row r="960">
      <c r="A960" s="17"/>
      <c r="B960" s="46"/>
      <c r="C960" s="46"/>
      <c r="D960" s="46"/>
      <c r="E960" s="17"/>
      <c r="F960" s="46"/>
      <c r="G960" s="46"/>
      <c r="H960" s="46"/>
      <c r="I960" s="17"/>
      <c r="J960" s="46"/>
      <c r="K960" s="46"/>
      <c r="L960" s="46"/>
      <c r="M960" s="17"/>
      <c r="N960" s="46"/>
      <c r="O960" s="46"/>
      <c r="P960" s="46"/>
      <c r="Q960" s="46"/>
      <c r="R960" s="46"/>
      <c r="S960" s="46"/>
      <c r="T960" s="46"/>
      <c r="U960" s="46"/>
      <c r="V960" s="46"/>
      <c r="W960" s="46"/>
      <c r="X960" s="46"/>
      <c r="Y960" s="46"/>
      <c r="Z960" s="46"/>
      <c r="AA960" s="46"/>
      <c r="AB960" s="46"/>
      <c r="AC960" s="46"/>
      <c r="AD960" s="46"/>
      <c r="AE960" s="46"/>
      <c r="AF960" s="46"/>
      <c r="AG960" s="135"/>
      <c r="AH960" s="136"/>
      <c r="AI960" s="137"/>
      <c r="AJ960" s="138"/>
      <c r="AK960" s="46"/>
      <c r="AL960" s="46"/>
      <c r="AM960" s="46"/>
      <c r="AN960" s="46"/>
      <c r="AO960" s="46"/>
    </row>
    <row r="961">
      <c r="A961" s="17"/>
      <c r="B961" s="46"/>
      <c r="C961" s="46"/>
      <c r="D961" s="46"/>
      <c r="E961" s="17"/>
      <c r="F961" s="46"/>
      <c r="G961" s="46"/>
      <c r="H961" s="46"/>
      <c r="I961" s="17"/>
      <c r="J961" s="46"/>
      <c r="K961" s="46"/>
      <c r="L961" s="46"/>
      <c r="M961" s="17"/>
      <c r="N961" s="46"/>
      <c r="O961" s="46"/>
      <c r="P961" s="46"/>
      <c r="Q961" s="46"/>
      <c r="R961" s="46"/>
      <c r="S961" s="46"/>
      <c r="T961" s="46"/>
      <c r="U961" s="46"/>
      <c r="V961" s="46"/>
      <c r="W961" s="46"/>
      <c r="X961" s="46"/>
      <c r="Y961" s="46"/>
      <c r="Z961" s="46"/>
      <c r="AA961" s="46"/>
      <c r="AB961" s="46"/>
      <c r="AC961" s="46"/>
      <c r="AD961" s="46"/>
      <c r="AE961" s="46"/>
      <c r="AF961" s="46"/>
      <c r="AG961" s="135"/>
      <c r="AH961" s="136"/>
      <c r="AI961" s="137"/>
      <c r="AJ961" s="138"/>
      <c r="AK961" s="46"/>
      <c r="AL961" s="46"/>
      <c r="AM961" s="46"/>
      <c r="AN961" s="46"/>
      <c r="AO961" s="46"/>
    </row>
    <row r="962">
      <c r="A962" s="17"/>
      <c r="B962" s="46"/>
      <c r="C962" s="46"/>
      <c r="D962" s="46"/>
      <c r="E962" s="17"/>
      <c r="F962" s="46"/>
      <c r="G962" s="46"/>
      <c r="H962" s="46"/>
      <c r="I962" s="17"/>
      <c r="J962" s="46"/>
      <c r="K962" s="46"/>
      <c r="L962" s="46"/>
      <c r="M962" s="17"/>
      <c r="N962" s="46"/>
      <c r="O962" s="46"/>
      <c r="P962" s="46"/>
      <c r="Q962" s="46"/>
      <c r="R962" s="46"/>
      <c r="S962" s="46"/>
      <c r="T962" s="46"/>
      <c r="U962" s="46"/>
      <c r="V962" s="46"/>
      <c r="W962" s="46"/>
      <c r="X962" s="46"/>
      <c r="Y962" s="46"/>
      <c r="Z962" s="46"/>
      <c r="AA962" s="46"/>
      <c r="AB962" s="46"/>
      <c r="AC962" s="46"/>
      <c r="AD962" s="46"/>
      <c r="AE962" s="46"/>
      <c r="AF962" s="46"/>
      <c r="AG962" s="135"/>
      <c r="AH962" s="136"/>
      <c r="AI962" s="137"/>
      <c r="AJ962" s="138"/>
      <c r="AK962" s="46"/>
      <c r="AL962" s="46"/>
      <c r="AM962" s="46"/>
      <c r="AN962" s="46"/>
      <c r="AO962" s="46"/>
    </row>
    <row r="963">
      <c r="A963" s="17"/>
      <c r="B963" s="46"/>
      <c r="C963" s="46"/>
      <c r="D963" s="46"/>
      <c r="E963" s="17"/>
      <c r="F963" s="46"/>
      <c r="G963" s="46"/>
      <c r="H963" s="46"/>
      <c r="I963" s="17"/>
      <c r="J963" s="46"/>
      <c r="K963" s="46"/>
      <c r="L963" s="46"/>
      <c r="M963" s="17"/>
      <c r="N963" s="46"/>
      <c r="O963" s="46"/>
      <c r="P963" s="46"/>
      <c r="Q963" s="46"/>
      <c r="R963" s="46"/>
      <c r="S963" s="46"/>
      <c r="T963" s="46"/>
      <c r="U963" s="46"/>
      <c r="V963" s="46"/>
      <c r="W963" s="46"/>
      <c r="X963" s="46"/>
      <c r="Y963" s="46"/>
      <c r="Z963" s="46"/>
      <c r="AA963" s="46"/>
      <c r="AB963" s="46"/>
      <c r="AC963" s="46"/>
      <c r="AD963" s="46"/>
      <c r="AE963" s="46"/>
      <c r="AF963" s="46"/>
      <c r="AG963" s="135"/>
      <c r="AH963" s="136"/>
      <c r="AI963" s="137"/>
      <c r="AJ963" s="138"/>
      <c r="AK963" s="46"/>
      <c r="AL963" s="46"/>
      <c r="AM963" s="46"/>
      <c r="AN963" s="46"/>
      <c r="AO963" s="46"/>
    </row>
    <row r="964">
      <c r="A964" s="17"/>
      <c r="B964" s="46"/>
      <c r="C964" s="46"/>
      <c r="D964" s="46"/>
      <c r="E964" s="17"/>
      <c r="F964" s="46"/>
      <c r="G964" s="46"/>
      <c r="H964" s="46"/>
      <c r="I964" s="17"/>
      <c r="J964" s="46"/>
      <c r="K964" s="46"/>
      <c r="L964" s="46"/>
      <c r="M964" s="17"/>
      <c r="N964" s="46"/>
      <c r="O964" s="46"/>
      <c r="P964" s="46"/>
      <c r="Q964" s="46"/>
      <c r="R964" s="46"/>
      <c r="S964" s="46"/>
      <c r="T964" s="46"/>
      <c r="U964" s="46"/>
      <c r="V964" s="46"/>
      <c r="W964" s="46"/>
      <c r="X964" s="46"/>
      <c r="Y964" s="46"/>
      <c r="Z964" s="46"/>
      <c r="AA964" s="46"/>
      <c r="AB964" s="46"/>
      <c r="AC964" s="46"/>
      <c r="AD964" s="46"/>
      <c r="AE964" s="46"/>
      <c r="AF964" s="46"/>
      <c r="AG964" s="135"/>
      <c r="AH964" s="136"/>
      <c r="AI964" s="137"/>
      <c r="AJ964" s="138"/>
      <c r="AK964" s="46"/>
      <c r="AL964" s="46"/>
      <c r="AM964" s="46"/>
      <c r="AN964" s="46"/>
      <c r="AO964" s="46"/>
    </row>
    <row r="965">
      <c r="A965" s="17"/>
      <c r="B965" s="46"/>
      <c r="C965" s="46"/>
      <c r="D965" s="46"/>
      <c r="E965" s="17"/>
      <c r="F965" s="46"/>
      <c r="G965" s="46"/>
      <c r="H965" s="46"/>
      <c r="I965" s="17"/>
      <c r="J965" s="46"/>
      <c r="K965" s="46"/>
      <c r="L965" s="46"/>
      <c r="M965" s="17"/>
      <c r="N965" s="46"/>
      <c r="O965" s="46"/>
      <c r="P965" s="46"/>
      <c r="Q965" s="46"/>
      <c r="R965" s="46"/>
      <c r="S965" s="46"/>
      <c r="T965" s="46"/>
      <c r="U965" s="46"/>
      <c r="V965" s="46"/>
      <c r="W965" s="46"/>
      <c r="X965" s="46"/>
      <c r="Y965" s="46"/>
      <c r="Z965" s="46"/>
      <c r="AA965" s="46"/>
      <c r="AB965" s="46"/>
      <c r="AC965" s="46"/>
      <c r="AD965" s="46"/>
      <c r="AE965" s="46"/>
      <c r="AF965" s="46"/>
      <c r="AG965" s="135"/>
      <c r="AH965" s="136"/>
      <c r="AI965" s="137"/>
      <c r="AJ965" s="138"/>
      <c r="AK965" s="46"/>
      <c r="AL965" s="46"/>
      <c r="AM965" s="46"/>
      <c r="AN965" s="46"/>
      <c r="AO965" s="46"/>
    </row>
    <row r="966">
      <c r="A966" s="17"/>
      <c r="B966" s="46"/>
      <c r="C966" s="46"/>
      <c r="D966" s="46"/>
      <c r="E966" s="17"/>
      <c r="F966" s="46"/>
      <c r="G966" s="46"/>
      <c r="H966" s="46"/>
      <c r="I966" s="17"/>
      <c r="J966" s="46"/>
      <c r="K966" s="46"/>
      <c r="L966" s="46"/>
      <c r="M966" s="17"/>
      <c r="N966" s="46"/>
      <c r="O966" s="46"/>
      <c r="P966" s="46"/>
      <c r="Q966" s="46"/>
      <c r="R966" s="46"/>
      <c r="S966" s="46"/>
      <c r="T966" s="46"/>
      <c r="U966" s="46"/>
      <c r="V966" s="46"/>
      <c r="W966" s="46"/>
      <c r="X966" s="46"/>
      <c r="Y966" s="46"/>
      <c r="Z966" s="46"/>
      <c r="AA966" s="46"/>
      <c r="AB966" s="46"/>
      <c r="AC966" s="46"/>
      <c r="AD966" s="46"/>
      <c r="AE966" s="46"/>
      <c r="AF966" s="46"/>
      <c r="AG966" s="135"/>
      <c r="AH966" s="136"/>
      <c r="AI966" s="137"/>
      <c r="AJ966" s="138"/>
      <c r="AK966" s="46"/>
      <c r="AL966" s="46"/>
      <c r="AM966" s="46"/>
      <c r="AN966" s="46"/>
      <c r="AO966" s="46"/>
    </row>
    <row r="967">
      <c r="A967" s="17"/>
      <c r="B967" s="46"/>
      <c r="C967" s="46"/>
      <c r="D967" s="46"/>
      <c r="E967" s="17"/>
      <c r="F967" s="46"/>
      <c r="G967" s="46"/>
      <c r="H967" s="46"/>
      <c r="I967" s="17"/>
      <c r="J967" s="46"/>
      <c r="K967" s="46"/>
      <c r="L967" s="46"/>
      <c r="M967" s="17"/>
      <c r="N967" s="46"/>
      <c r="O967" s="46"/>
      <c r="P967" s="46"/>
      <c r="Q967" s="46"/>
      <c r="R967" s="46"/>
      <c r="S967" s="46"/>
      <c r="T967" s="46"/>
      <c r="U967" s="46"/>
      <c r="V967" s="46"/>
      <c r="W967" s="46"/>
      <c r="X967" s="46"/>
      <c r="Y967" s="46"/>
      <c r="Z967" s="46"/>
      <c r="AA967" s="46"/>
      <c r="AB967" s="46"/>
      <c r="AC967" s="46"/>
      <c r="AD967" s="46"/>
      <c r="AE967" s="46"/>
      <c r="AF967" s="46"/>
      <c r="AG967" s="135"/>
      <c r="AH967" s="136"/>
      <c r="AI967" s="137"/>
      <c r="AJ967" s="138"/>
      <c r="AK967" s="46"/>
      <c r="AL967" s="46"/>
      <c r="AM967" s="46"/>
      <c r="AN967" s="46"/>
      <c r="AO967" s="46"/>
    </row>
    <row r="968">
      <c r="A968" s="17"/>
      <c r="B968" s="46"/>
      <c r="C968" s="46"/>
      <c r="D968" s="46"/>
      <c r="E968" s="17"/>
      <c r="F968" s="46"/>
      <c r="G968" s="46"/>
      <c r="H968" s="46"/>
      <c r="I968" s="17"/>
      <c r="J968" s="46"/>
      <c r="K968" s="46"/>
      <c r="L968" s="46"/>
      <c r="M968" s="17"/>
      <c r="N968" s="46"/>
      <c r="O968" s="46"/>
      <c r="P968" s="46"/>
      <c r="Q968" s="46"/>
      <c r="R968" s="46"/>
      <c r="S968" s="46"/>
      <c r="T968" s="46"/>
      <c r="U968" s="46"/>
      <c r="V968" s="46"/>
      <c r="W968" s="46"/>
      <c r="X968" s="46"/>
      <c r="Y968" s="46"/>
      <c r="Z968" s="46"/>
      <c r="AA968" s="46"/>
      <c r="AB968" s="46"/>
      <c r="AC968" s="46"/>
      <c r="AD968" s="46"/>
      <c r="AE968" s="46"/>
      <c r="AF968" s="46"/>
      <c r="AG968" s="135"/>
      <c r="AH968" s="136"/>
      <c r="AI968" s="137"/>
      <c r="AJ968" s="138"/>
      <c r="AK968" s="46"/>
      <c r="AL968" s="46"/>
      <c r="AM968" s="46"/>
      <c r="AN968" s="46"/>
      <c r="AO968" s="46"/>
    </row>
    <row r="969">
      <c r="A969" s="17"/>
      <c r="B969" s="46"/>
      <c r="C969" s="46"/>
      <c r="D969" s="46"/>
      <c r="E969" s="17"/>
      <c r="F969" s="46"/>
      <c r="G969" s="46"/>
      <c r="H969" s="46"/>
      <c r="I969" s="17"/>
      <c r="J969" s="46"/>
      <c r="K969" s="46"/>
      <c r="L969" s="46"/>
      <c r="M969" s="17"/>
      <c r="N969" s="46"/>
      <c r="O969" s="46"/>
      <c r="P969" s="46"/>
      <c r="Q969" s="46"/>
      <c r="R969" s="46"/>
      <c r="S969" s="46"/>
      <c r="T969" s="46"/>
      <c r="U969" s="46"/>
      <c r="V969" s="46"/>
      <c r="W969" s="46"/>
      <c r="X969" s="46"/>
      <c r="Y969" s="46"/>
      <c r="Z969" s="46"/>
      <c r="AA969" s="46"/>
      <c r="AB969" s="46"/>
      <c r="AC969" s="46"/>
      <c r="AD969" s="46"/>
      <c r="AE969" s="46"/>
      <c r="AF969" s="46"/>
      <c r="AG969" s="135"/>
      <c r="AH969" s="136"/>
      <c r="AI969" s="137"/>
      <c r="AJ969" s="138"/>
      <c r="AK969" s="46"/>
      <c r="AL969" s="46"/>
      <c r="AM969" s="46"/>
      <c r="AN969" s="46"/>
      <c r="AO969" s="46"/>
    </row>
    <row r="970">
      <c r="A970" s="17"/>
      <c r="B970" s="46"/>
      <c r="C970" s="46"/>
      <c r="D970" s="46"/>
      <c r="E970" s="17"/>
      <c r="F970" s="46"/>
      <c r="G970" s="46"/>
      <c r="H970" s="46"/>
      <c r="I970" s="17"/>
      <c r="J970" s="46"/>
      <c r="K970" s="46"/>
      <c r="L970" s="46"/>
      <c r="M970" s="17"/>
      <c r="N970" s="46"/>
      <c r="O970" s="46"/>
      <c r="P970" s="46"/>
      <c r="Q970" s="46"/>
      <c r="R970" s="46"/>
      <c r="S970" s="46"/>
      <c r="T970" s="46"/>
      <c r="U970" s="46"/>
      <c r="V970" s="46"/>
      <c r="W970" s="46"/>
      <c r="X970" s="46"/>
      <c r="Y970" s="46"/>
      <c r="Z970" s="46"/>
      <c r="AA970" s="46"/>
      <c r="AB970" s="46"/>
      <c r="AC970" s="46"/>
      <c r="AD970" s="46"/>
      <c r="AE970" s="46"/>
      <c r="AF970" s="46"/>
      <c r="AG970" s="135"/>
      <c r="AH970" s="136"/>
      <c r="AI970" s="137"/>
      <c r="AJ970" s="138"/>
      <c r="AK970" s="46"/>
      <c r="AL970" s="46"/>
      <c r="AM970" s="46"/>
      <c r="AN970" s="46"/>
      <c r="AO970" s="46"/>
    </row>
    <row r="971">
      <c r="A971" s="17"/>
      <c r="B971" s="46"/>
      <c r="C971" s="46"/>
      <c r="D971" s="46"/>
      <c r="E971" s="17"/>
      <c r="F971" s="46"/>
      <c r="G971" s="46"/>
      <c r="H971" s="46"/>
      <c r="I971" s="17"/>
      <c r="J971" s="46"/>
      <c r="K971" s="46"/>
      <c r="L971" s="46"/>
      <c r="M971" s="17"/>
      <c r="N971" s="46"/>
      <c r="O971" s="46"/>
      <c r="P971" s="46"/>
      <c r="Q971" s="46"/>
      <c r="R971" s="46"/>
      <c r="S971" s="46"/>
      <c r="T971" s="46"/>
      <c r="U971" s="46"/>
      <c r="V971" s="46"/>
      <c r="W971" s="46"/>
      <c r="X971" s="46"/>
      <c r="Y971" s="46"/>
      <c r="Z971" s="46"/>
      <c r="AA971" s="46"/>
      <c r="AB971" s="46"/>
      <c r="AC971" s="46"/>
      <c r="AD971" s="46"/>
      <c r="AE971" s="46"/>
      <c r="AF971" s="46"/>
      <c r="AG971" s="135"/>
      <c r="AH971" s="136"/>
      <c r="AI971" s="137"/>
      <c r="AJ971" s="138"/>
      <c r="AK971" s="46"/>
      <c r="AL971" s="46"/>
      <c r="AM971" s="46"/>
      <c r="AN971" s="46"/>
      <c r="AO971" s="46"/>
    </row>
    <row r="972">
      <c r="A972" s="17"/>
      <c r="B972" s="46"/>
      <c r="C972" s="46"/>
      <c r="D972" s="46"/>
      <c r="E972" s="17"/>
      <c r="F972" s="46"/>
      <c r="G972" s="46"/>
      <c r="H972" s="46"/>
      <c r="I972" s="17"/>
      <c r="J972" s="46"/>
      <c r="K972" s="46"/>
      <c r="L972" s="46"/>
      <c r="M972" s="17"/>
      <c r="N972" s="46"/>
      <c r="O972" s="46"/>
      <c r="P972" s="46"/>
      <c r="Q972" s="46"/>
      <c r="R972" s="46"/>
      <c r="S972" s="46"/>
      <c r="T972" s="46"/>
      <c r="U972" s="46"/>
      <c r="V972" s="46"/>
      <c r="W972" s="46"/>
      <c r="X972" s="46"/>
      <c r="Y972" s="46"/>
      <c r="Z972" s="46"/>
      <c r="AA972" s="46"/>
      <c r="AB972" s="46"/>
      <c r="AC972" s="46"/>
      <c r="AD972" s="46"/>
      <c r="AE972" s="46"/>
      <c r="AF972" s="46"/>
      <c r="AG972" s="135"/>
      <c r="AH972" s="136"/>
      <c r="AI972" s="137"/>
      <c r="AJ972" s="138"/>
      <c r="AK972" s="46"/>
      <c r="AL972" s="46"/>
      <c r="AM972" s="46"/>
      <c r="AN972" s="46"/>
      <c r="AO972" s="46"/>
    </row>
    <row r="973">
      <c r="A973" s="17"/>
      <c r="B973" s="46"/>
      <c r="C973" s="46"/>
      <c r="D973" s="46"/>
      <c r="E973" s="17"/>
      <c r="F973" s="46"/>
      <c r="G973" s="46"/>
      <c r="H973" s="46"/>
      <c r="I973" s="17"/>
      <c r="J973" s="46"/>
      <c r="K973" s="46"/>
      <c r="L973" s="46"/>
      <c r="M973" s="17"/>
      <c r="N973" s="46"/>
      <c r="O973" s="46"/>
      <c r="P973" s="46"/>
      <c r="Q973" s="46"/>
      <c r="R973" s="46"/>
      <c r="S973" s="46"/>
      <c r="T973" s="46"/>
      <c r="U973" s="46"/>
      <c r="V973" s="46"/>
      <c r="W973" s="46"/>
      <c r="X973" s="46"/>
      <c r="Y973" s="46"/>
      <c r="Z973" s="46"/>
      <c r="AA973" s="46"/>
      <c r="AB973" s="46"/>
      <c r="AC973" s="46"/>
      <c r="AD973" s="46"/>
      <c r="AE973" s="46"/>
      <c r="AF973" s="46"/>
      <c r="AG973" s="135"/>
      <c r="AH973" s="136"/>
      <c r="AI973" s="137"/>
      <c r="AJ973" s="138"/>
      <c r="AK973" s="46"/>
      <c r="AL973" s="46"/>
      <c r="AM973" s="46"/>
      <c r="AN973" s="46"/>
      <c r="AO973" s="46"/>
    </row>
    <row r="974">
      <c r="A974" s="17"/>
      <c r="B974" s="46"/>
      <c r="C974" s="46"/>
      <c r="D974" s="46"/>
      <c r="E974" s="17"/>
      <c r="F974" s="46"/>
      <c r="G974" s="46"/>
      <c r="H974" s="46"/>
      <c r="I974" s="17"/>
      <c r="J974" s="46"/>
      <c r="K974" s="46"/>
      <c r="L974" s="46"/>
      <c r="M974" s="17"/>
      <c r="N974" s="46"/>
      <c r="O974" s="46"/>
      <c r="P974" s="46"/>
      <c r="Q974" s="46"/>
      <c r="R974" s="46"/>
      <c r="S974" s="46"/>
      <c r="T974" s="46"/>
      <c r="U974" s="46"/>
      <c r="V974" s="46"/>
      <c r="W974" s="46"/>
      <c r="X974" s="46"/>
      <c r="Y974" s="46"/>
      <c r="Z974" s="46"/>
      <c r="AA974" s="46"/>
      <c r="AB974" s="46"/>
      <c r="AC974" s="46"/>
      <c r="AD974" s="46"/>
      <c r="AE974" s="46"/>
      <c r="AF974" s="46"/>
      <c r="AG974" s="135"/>
      <c r="AH974" s="136"/>
      <c r="AI974" s="137"/>
      <c r="AJ974" s="138"/>
      <c r="AK974" s="46"/>
      <c r="AL974" s="46"/>
      <c r="AM974" s="46"/>
      <c r="AN974" s="46"/>
      <c r="AO974" s="46"/>
    </row>
    <row r="975">
      <c r="A975" s="17"/>
      <c r="B975" s="46"/>
      <c r="C975" s="46"/>
      <c r="D975" s="46"/>
      <c r="E975" s="17"/>
      <c r="F975" s="46"/>
      <c r="G975" s="46"/>
      <c r="H975" s="46"/>
      <c r="I975" s="17"/>
      <c r="J975" s="46"/>
      <c r="K975" s="46"/>
      <c r="L975" s="46"/>
      <c r="M975" s="17"/>
      <c r="N975" s="46"/>
      <c r="O975" s="46"/>
      <c r="P975" s="46"/>
      <c r="Q975" s="46"/>
      <c r="R975" s="46"/>
      <c r="S975" s="46"/>
      <c r="T975" s="46"/>
      <c r="U975" s="46"/>
      <c r="V975" s="46"/>
      <c r="W975" s="46"/>
      <c r="X975" s="46"/>
      <c r="Y975" s="46"/>
      <c r="Z975" s="46"/>
      <c r="AA975" s="46"/>
      <c r="AB975" s="46"/>
      <c r="AC975" s="46"/>
      <c r="AD975" s="46"/>
      <c r="AE975" s="46"/>
      <c r="AF975" s="46"/>
      <c r="AG975" s="135"/>
      <c r="AH975" s="136"/>
      <c r="AI975" s="137"/>
      <c r="AJ975" s="138"/>
      <c r="AK975" s="46"/>
      <c r="AL975" s="46"/>
      <c r="AM975" s="46"/>
      <c r="AN975" s="46"/>
      <c r="AO975" s="46"/>
    </row>
    <row r="976">
      <c r="A976" s="17"/>
      <c r="B976" s="46"/>
      <c r="C976" s="46"/>
      <c r="D976" s="46"/>
      <c r="E976" s="17"/>
      <c r="F976" s="46"/>
      <c r="G976" s="46"/>
      <c r="H976" s="46"/>
      <c r="I976" s="17"/>
      <c r="J976" s="46"/>
      <c r="K976" s="46"/>
      <c r="L976" s="46"/>
      <c r="M976" s="17"/>
      <c r="N976" s="46"/>
      <c r="O976" s="46"/>
      <c r="P976" s="46"/>
      <c r="Q976" s="46"/>
      <c r="R976" s="46"/>
      <c r="S976" s="46"/>
      <c r="T976" s="46"/>
      <c r="U976" s="46"/>
      <c r="V976" s="46"/>
      <c r="W976" s="46"/>
      <c r="X976" s="46"/>
      <c r="Y976" s="46"/>
      <c r="Z976" s="46"/>
      <c r="AA976" s="46"/>
      <c r="AB976" s="46"/>
      <c r="AC976" s="46"/>
      <c r="AD976" s="46"/>
      <c r="AE976" s="46"/>
      <c r="AF976" s="46"/>
      <c r="AG976" s="135"/>
      <c r="AH976" s="136"/>
      <c r="AI976" s="137"/>
      <c r="AJ976" s="138"/>
      <c r="AK976" s="46"/>
      <c r="AL976" s="46"/>
      <c r="AM976" s="46"/>
      <c r="AN976" s="46"/>
      <c r="AO976" s="46"/>
    </row>
    <row r="977">
      <c r="A977" s="17"/>
      <c r="B977" s="46"/>
      <c r="C977" s="46"/>
      <c r="D977" s="46"/>
      <c r="E977" s="17"/>
      <c r="F977" s="46"/>
      <c r="G977" s="46"/>
      <c r="H977" s="46"/>
      <c r="I977" s="17"/>
      <c r="J977" s="46"/>
      <c r="K977" s="46"/>
      <c r="L977" s="46"/>
      <c r="M977" s="17"/>
      <c r="N977" s="46"/>
      <c r="O977" s="46"/>
      <c r="P977" s="46"/>
      <c r="Q977" s="46"/>
      <c r="R977" s="46"/>
      <c r="S977" s="46"/>
      <c r="T977" s="46"/>
      <c r="U977" s="46"/>
      <c r="V977" s="46"/>
      <c r="W977" s="46"/>
      <c r="X977" s="46"/>
      <c r="Y977" s="46"/>
      <c r="Z977" s="46"/>
      <c r="AA977" s="46"/>
      <c r="AB977" s="46"/>
      <c r="AC977" s="46"/>
      <c r="AD977" s="46"/>
      <c r="AE977" s="46"/>
      <c r="AF977" s="46"/>
      <c r="AG977" s="135"/>
      <c r="AH977" s="136"/>
      <c r="AI977" s="137"/>
      <c r="AJ977" s="138"/>
      <c r="AK977" s="46"/>
      <c r="AL977" s="46"/>
      <c r="AM977" s="46"/>
      <c r="AN977" s="46"/>
      <c r="AO977" s="46"/>
    </row>
    <row r="978">
      <c r="A978" s="17"/>
      <c r="B978" s="46"/>
      <c r="C978" s="46"/>
      <c r="D978" s="46"/>
      <c r="E978" s="17"/>
      <c r="F978" s="46"/>
      <c r="G978" s="46"/>
      <c r="H978" s="46"/>
      <c r="I978" s="17"/>
      <c r="J978" s="46"/>
      <c r="K978" s="46"/>
      <c r="L978" s="46"/>
      <c r="M978" s="17"/>
      <c r="N978" s="46"/>
      <c r="O978" s="46"/>
      <c r="P978" s="46"/>
      <c r="Q978" s="46"/>
      <c r="R978" s="46"/>
      <c r="S978" s="46"/>
      <c r="T978" s="46"/>
      <c r="U978" s="46"/>
      <c r="V978" s="46"/>
      <c r="W978" s="46"/>
      <c r="X978" s="46"/>
      <c r="Y978" s="46"/>
      <c r="Z978" s="46"/>
      <c r="AA978" s="46"/>
      <c r="AB978" s="46"/>
      <c r="AC978" s="46"/>
      <c r="AD978" s="46"/>
      <c r="AE978" s="46"/>
      <c r="AF978" s="46"/>
      <c r="AG978" s="135"/>
      <c r="AH978" s="136"/>
      <c r="AI978" s="137"/>
      <c r="AJ978" s="138"/>
      <c r="AK978" s="46"/>
      <c r="AL978" s="46"/>
      <c r="AM978" s="46"/>
      <c r="AN978" s="46"/>
      <c r="AO978" s="46"/>
    </row>
    <row r="979">
      <c r="A979" s="17"/>
      <c r="B979" s="46"/>
      <c r="C979" s="46"/>
      <c r="D979" s="46"/>
      <c r="E979" s="17"/>
      <c r="F979" s="46"/>
      <c r="G979" s="46"/>
      <c r="H979" s="46"/>
      <c r="I979" s="17"/>
      <c r="J979" s="46"/>
      <c r="K979" s="46"/>
      <c r="L979" s="46"/>
      <c r="M979" s="17"/>
      <c r="N979" s="46"/>
      <c r="O979" s="46"/>
      <c r="P979" s="46"/>
      <c r="Q979" s="46"/>
      <c r="R979" s="46"/>
      <c r="S979" s="46"/>
      <c r="T979" s="46"/>
      <c r="U979" s="46"/>
      <c r="V979" s="46"/>
      <c r="W979" s="46"/>
      <c r="X979" s="46"/>
      <c r="Y979" s="46"/>
      <c r="Z979" s="46"/>
      <c r="AA979" s="46"/>
      <c r="AB979" s="46"/>
      <c r="AC979" s="46"/>
      <c r="AD979" s="46"/>
      <c r="AE979" s="46"/>
      <c r="AF979" s="46"/>
      <c r="AG979" s="135"/>
      <c r="AH979" s="136"/>
      <c r="AI979" s="137"/>
      <c r="AJ979" s="138"/>
      <c r="AK979" s="46"/>
      <c r="AL979" s="46"/>
      <c r="AM979" s="46"/>
      <c r="AN979" s="46"/>
      <c r="AO979" s="46"/>
    </row>
    <row r="980">
      <c r="A980" s="17"/>
      <c r="B980" s="46"/>
      <c r="C980" s="46"/>
      <c r="D980" s="46"/>
      <c r="E980" s="17"/>
      <c r="F980" s="46"/>
      <c r="G980" s="46"/>
      <c r="H980" s="46"/>
      <c r="I980" s="17"/>
      <c r="J980" s="46"/>
      <c r="K980" s="46"/>
      <c r="L980" s="46"/>
      <c r="M980" s="17"/>
      <c r="N980" s="46"/>
      <c r="O980" s="46"/>
      <c r="P980" s="46"/>
      <c r="Q980" s="46"/>
      <c r="R980" s="46"/>
      <c r="S980" s="46"/>
      <c r="T980" s="46"/>
      <c r="U980" s="46"/>
      <c r="V980" s="46"/>
      <c r="W980" s="46"/>
      <c r="X980" s="46"/>
      <c r="Y980" s="46"/>
      <c r="Z980" s="46"/>
      <c r="AA980" s="46"/>
      <c r="AB980" s="46"/>
      <c r="AC980" s="46"/>
      <c r="AD980" s="46"/>
      <c r="AE980" s="46"/>
      <c r="AF980" s="46"/>
      <c r="AG980" s="135"/>
      <c r="AH980" s="136"/>
      <c r="AI980" s="137"/>
      <c r="AJ980" s="138"/>
      <c r="AK980" s="46"/>
      <c r="AL980" s="46"/>
      <c r="AM980" s="46"/>
      <c r="AN980" s="46"/>
      <c r="AO980" s="46"/>
    </row>
    <row r="981">
      <c r="A981" s="17"/>
      <c r="B981" s="46"/>
      <c r="C981" s="46"/>
      <c r="D981" s="46"/>
      <c r="E981" s="17"/>
      <c r="F981" s="46"/>
      <c r="G981" s="46"/>
      <c r="H981" s="46"/>
      <c r="I981" s="17"/>
      <c r="J981" s="46"/>
      <c r="K981" s="46"/>
      <c r="L981" s="46"/>
      <c r="M981" s="17"/>
      <c r="N981" s="46"/>
      <c r="O981" s="46"/>
      <c r="P981" s="46"/>
      <c r="Q981" s="46"/>
      <c r="R981" s="46"/>
      <c r="S981" s="46"/>
      <c r="T981" s="46"/>
      <c r="U981" s="46"/>
      <c r="V981" s="46"/>
      <c r="W981" s="46"/>
      <c r="X981" s="46"/>
      <c r="Y981" s="46"/>
      <c r="Z981" s="46"/>
      <c r="AA981" s="46"/>
      <c r="AB981" s="46"/>
      <c r="AC981" s="46"/>
      <c r="AD981" s="46"/>
      <c r="AE981" s="46"/>
      <c r="AF981" s="46"/>
      <c r="AG981" s="135"/>
      <c r="AH981" s="136"/>
      <c r="AI981" s="137"/>
      <c r="AJ981" s="138"/>
      <c r="AK981" s="46"/>
      <c r="AL981" s="46"/>
      <c r="AM981" s="46"/>
      <c r="AN981" s="46"/>
      <c r="AO981" s="46"/>
    </row>
    <row r="982">
      <c r="A982" s="17"/>
      <c r="B982" s="46"/>
      <c r="C982" s="46"/>
      <c r="D982" s="46"/>
      <c r="E982" s="17"/>
      <c r="F982" s="46"/>
      <c r="G982" s="46"/>
      <c r="H982" s="46"/>
      <c r="I982" s="17"/>
      <c r="J982" s="46"/>
      <c r="K982" s="46"/>
      <c r="L982" s="46"/>
      <c r="M982" s="17"/>
      <c r="N982" s="46"/>
      <c r="O982" s="46"/>
      <c r="P982" s="46"/>
      <c r="Q982" s="46"/>
      <c r="R982" s="46"/>
      <c r="S982" s="46"/>
      <c r="T982" s="46"/>
      <c r="U982" s="46"/>
      <c r="V982" s="46"/>
      <c r="W982" s="46"/>
      <c r="X982" s="46"/>
      <c r="Y982" s="46"/>
      <c r="Z982" s="46"/>
      <c r="AA982" s="46"/>
      <c r="AB982" s="46"/>
      <c r="AC982" s="46"/>
      <c r="AD982" s="46"/>
      <c r="AE982" s="46"/>
      <c r="AF982" s="46"/>
      <c r="AG982" s="135"/>
      <c r="AH982" s="136"/>
      <c r="AI982" s="137"/>
      <c r="AJ982" s="138"/>
      <c r="AK982" s="46"/>
      <c r="AL982" s="46"/>
      <c r="AM982" s="46"/>
      <c r="AN982" s="46"/>
      <c r="AO982" s="46"/>
    </row>
    <row r="983">
      <c r="A983" s="17"/>
      <c r="B983" s="46"/>
      <c r="C983" s="46"/>
      <c r="D983" s="46"/>
      <c r="E983" s="17"/>
      <c r="F983" s="46"/>
      <c r="G983" s="46"/>
      <c r="H983" s="46"/>
      <c r="I983" s="17"/>
      <c r="J983" s="46"/>
      <c r="K983" s="46"/>
      <c r="L983" s="46"/>
      <c r="M983" s="17"/>
      <c r="N983" s="46"/>
      <c r="O983" s="46"/>
      <c r="P983" s="46"/>
      <c r="Q983" s="46"/>
      <c r="R983" s="46"/>
      <c r="S983" s="46"/>
      <c r="T983" s="46"/>
      <c r="U983" s="46"/>
      <c r="V983" s="46"/>
      <c r="W983" s="46"/>
      <c r="X983" s="46"/>
      <c r="Y983" s="46"/>
      <c r="Z983" s="46"/>
      <c r="AA983" s="46"/>
      <c r="AB983" s="46"/>
      <c r="AC983" s="46"/>
      <c r="AD983" s="46"/>
      <c r="AE983" s="46"/>
      <c r="AF983" s="46"/>
      <c r="AG983" s="135"/>
      <c r="AH983" s="136"/>
      <c r="AI983" s="137"/>
      <c r="AJ983" s="138"/>
      <c r="AK983" s="46"/>
      <c r="AL983" s="46"/>
      <c r="AM983" s="46"/>
      <c r="AN983" s="46"/>
      <c r="AO983" s="46"/>
    </row>
    <row r="984">
      <c r="A984" s="17"/>
      <c r="B984" s="46"/>
      <c r="C984" s="46"/>
      <c r="D984" s="46"/>
      <c r="E984" s="17"/>
      <c r="F984" s="46"/>
      <c r="G984" s="46"/>
      <c r="H984" s="46"/>
      <c r="I984" s="17"/>
      <c r="J984" s="46"/>
      <c r="K984" s="46"/>
      <c r="L984" s="46"/>
      <c r="M984" s="17"/>
      <c r="N984" s="46"/>
      <c r="O984" s="46"/>
      <c r="P984" s="46"/>
      <c r="Q984" s="46"/>
      <c r="R984" s="46"/>
      <c r="S984" s="46"/>
      <c r="T984" s="46"/>
      <c r="U984" s="46"/>
      <c r="V984" s="46"/>
      <c r="W984" s="46"/>
      <c r="X984" s="46"/>
      <c r="Y984" s="46"/>
      <c r="Z984" s="46"/>
      <c r="AA984" s="46"/>
      <c r="AB984" s="46"/>
      <c r="AC984" s="46"/>
      <c r="AD984" s="46"/>
      <c r="AE984" s="46"/>
      <c r="AF984" s="46"/>
      <c r="AG984" s="135"/>
      <c r="AH984" s="136"/>
      <c r="AI984" s="137"/>
      <c r="AJ984" s="138"/>
      <c r="AK984" s="46"/>
      <c r="AL984" s="46"/>
      <c r="AM984" s="46"/>
      <c r="AN984" s="46"/>
      <c r="AO984" s="46"/>
    </row>
    <row r="985">
      <c r="A985" s="17"/>
      <c r="B985" s="46"/>
      <c r="C985" s="46"/>
      <c r="D985" s="46"/>
      <c r="E985" s="17"/>
      <c r="F985" s="46"/>
      <c r="G985" s="46"/>
      <c r="H985" s="46"/>
      <c r="I985" s="17"/>
      <c r="J985" s="46"/>
      <c r="K985" s="46"/>
      <c r="L985" s="46"/>
      <c r="M985" s="17"/>
      <c r="N985" s="46"/>
      <c r="O985" s="46"/>
      <c r="P985" s="46"/>
      <c r="Q985" s="46"/>
      <c r="R985" s="46"/>
      <c r="S985" s="46"/>
      <c r="T985" s="46"/>
      <c r="U985" s="46"/>
      <c r="V985" s="46"/>
      <c r="W985" s="46"/>
      <c r="X985" s="46"/>
      <c r="Y985" s="46"/>
      <c r="Z985" s="46"/>
      <c r="AA985" s="46"/>
      <c r="AB985" s="46"/>
      <c r="AC985" s="46"/>
      <c r="AD985" s="46"/>
      <c r="AE985" s="46"/>
      <c r="AF985" s="46"/>
      <c r="AG985" s="135"/>
      <c r="AH985" s="136"/>
      <c r="AI985" s="137"/>
      <c r="AJ985" s="138"/>
      <c r="AK985" s="46"/>
      <c r="AL985" s="46"/>
      <c r="AM985" s="46"/>
      <c r="AN985" s="46"/>
      <c r="AO985" s="46"/>
    </row>
    <row r="986">
      <c r="A986" s="17"/>
      <c r="B986" s="46"/>
      <c r="C986" s="46"/>
      <c r="D986" s="46"/>
      <c r="E986" s="17"/>
      <c r="F986" s="46"/>
      <c r="G986" s="46"/>
      <c r="H986" s="46"/>
      <c r="I986" s="17"/>
      <c r="J986" s="46"/>
      <c r="K986" s="46"/>
      <c r="L986" s="46"/>
      <c r="M986" s="17"/>
      <c r="N986" s="46"/>
      <c r="O986" s="46"/>
      <c r="P986" s="46"/>
      <c r="Q986" s="46"/>
      <c r="R986" s="46"/>
      <c r="S986" s="46"/>
      <c r="T986" s="46"/>
      <c r="U986" s="46"/>
      <c r="V986" s="46"/>
      <c r="W986" s="46"/>
      <c r="X986" s="46"/>
      <c r="Y986" s="46"/>
      <c r="Z986" s="46"/>
      <c r="AA986" s="46"/>
      <c r="AB986" s="46"/>
      <c r="AC986" s="46"/>
      <c r="AD986" s="46"/>
      <c r="AE986" s="46"/>
      <c r="AF986" s="46"/>
      <c r="AG986" s="135"/>
      <c r="AH986" s="136"/>
      <c r="AI986" s="137"/>
      <c r="AJ986" s="138"/>
      <c r="AK986" s="46"/>
      <c r="AL986" s="46"/>
      <c r="AM986" s="46"/>
      <c r="AN986" s="46"/>
      <c r="AO986" s="46"/>
    </row>
    <row r="987">
      <c r="A987" s="17"/>
      <c r="B987" s="46"/>
      <c r="C987" s="46"/>
      <c r="D987" s="46"/>
      <c r="E987" s="17"/>
      <c r="F987" s="46"/>
      <c r="G987" s="46"/>
      <c r="H987" s="46"/>
      <c r="I987" s="17"/>
      <c r="J987" s="46"/>
      <c r="K987" s="46"/>
      <c r="L987" s="46"/>
      <c r="M987" s="17"/>
      <c r="N987" s="46"/>
      <c r="O987" s="46"/>
      <c r="P987" s="46"/>
      <c r="Q987" s="46"/>
      <c r="R987" s="46"/>
      <c r="S987" s="46"/>
      <c r="T987" s="46"/>
      <c r="U987" s="46"/>
      <c r="V987" s="46"/>
      <c r="W987" s="46"/>
      <c r="X987" s="46"/>
      <c r="Y987" s="46"/>
      <c r="Z987" s="46"/>
      <c r="AA987" s="46"/>
      <c r="AB987" s="46"/>
      <c r="AC987" s="46"/>
      <c r="AD987" s="46"/>
      <c r="AE987" s="46"/>
      <c r="AF987" s="46"/>
      <c r="AG987" s="135"/>
      <c r="AH987" s="136"/>
      <c r="AI987" s="137"/>
      <c r="AJ987" s="138"/>
      <c r="AK987" s="46"/>
      <c r="AL987" s="46"/>
      <c r="AM987" s="46"/>
      <c r="AN987" s="46"/>
      <c r="AO987" s="46"/>
    </row>
    <row r="988">
      <c r="A988" s="17"/>
      <c r="B988" s="46"/>
      <c r="C988" s="46"/>
      <c r="D988" s="46"/>
      <c r="E988" s="17"/>
      <c r="F988" s="46"/>
      <c r="G988" s="46"/>
      <c r="H988" s="46"/>
      <c r="I988" s="17"/>
      <c r="J988" s="46"/>
      <c r="K988" s="46"/>
      <c r="L988" s="46"/>
      <c r="M988" s="17"/>
      <c r="N988" s="46"/>
      <c r="O988" s="46"/>
      <c r="P988" s="46"/>
      <c r="Q988" s="46"/>
      <c r="R988" s="46"/>
      <c r="S988" s="46"/>
      <c r="T988" s="46"/>
      <c r="U988" s="46"/>
      <c r="V988" s="46"/>
      <c r="W988" s="46"/>
      <c r="X988" s="46"/>
      <c r="Y988" s="46"/>
      <c r="Z988" s="46"/>
      <c r="AA988" s="46"/>
      <c r="AB988" s="46"/>
      <c r="AC988" s="46"/>
      <c r="AD988" s="46"/>
      <c r="AE988" s="46"/>
      <c r="AF988" s="46"/>
      <c r="AG988" s="135"/>
      <c r="AH988" s="136"/>
      <c r="AI988" s="137"/>
      <c r="AJ988" s="138"/>
      <c r="AK988" s="46"/>
      <c r="AL988" s="46"/>
      <c r="AM988" s="46"/>
      <c r="AN988" s="46"/>
      <c r="AO988" s="46"/>
    </row>
    <row r="989">
      <c r="A989" s="17"/>
      <c r="B989" s="46"/>
      <c r="C989" s="46"/>
      <c r="D989" s="46"/>
      <c r="E989" s="17"/>
      <c r="F989" s="46"/>
      <c r="G989" s="46"/>
      <c r="H989" s="46"/>
      <c r="I989" s="17"/>
      <c r="J989" s="46"/>
      <c r="K989" s="46"/>
      <c r="L989" s="46"/>
      <c r="M989" s="17"/>
      <c r="N989" s="46"/>
      <c r="O989" s="46"/>
      <c r="P989" s="46"/>
      <c r="Q989" s="46"/>
      <c r="R989" s="46"/>
      <c r="S989" s="46"/>
      <c r="T989" s="46"/>
      <c r="U989" s="46"/>
      <c r="V989" s="46"/>
      <c r="W989" s="46"/>
      <c r="X989" s="46"/>
      <c r="Y989" s="46"/>
      <c r="Z989" s="46"/>
      <c r="AA989" s="46"/>
      <c r="AB989" s="46"/>
      <c r="AC989" s="46"/>
      <c r="AD989" s="46"/>
      <c r="AE989" s="46"/>
      <c r="AF989" s="46"/>
      <c r="AG989" s="135"/>
      <c r="AH989" s="136"/>
      <c r="AI989" s="137"/>
      <c r="AJ989" s="138"/>
      <c r="AK989" s="46"/>
      <c r="AL989" s="46"/>
      <c r="AM989" s="46"/>
      <c r="AN989" s="46"/>
      <c r="AO989" s="46"/>
    </row>
    <row r="990">
      <c r="A990" s="119"/>
      <c r="B990" s="88"/>
      <c r="C990" s="89"/>
      <c r="D990" s="55"/>
      <c r="E990" s="119"/>
      <c r="F990" s="88"/>
      <c r="G990" s="89"/>
      <c r="H990" s="55"/>
      <c r="I990" s="119"/>
      <c r="J990" s="88"/>
      <c r="K990" s="89"/>
      <c r="L990" s="55"/>
      <c r="M990" s="119"/>
      <c r="N990" s="88"/>
      <c r="O990" s="89"/>
      <c r="P990" s="55"/>
      <c r="Q990" s="46"/>
      <c r="R990" s="46"/>
      <c r="S990" s="46"/>
      <c r="T990" s="46"/>
      <c r="U990" s="46"/>
      <c r="V990" s="46"/>
      <c r="W990" s="46"/>
      <c r="X990" s="46"/>
      <c r="Y990" s="120"/>
      <c r="Z990" s="139"/>
      <c r="AA990" s="139"/>
      <c r="AB990" s="139"/>
      <c r="AC990" s="120"/>
      <c r="AD990" s="46"/>
      <c r="AE990" s="140"/>
      <c r="AF990" s="140"/>
      <c r="AG990" s="135"/>
      <c r="AH990" s="136"/>
      <c r="AI990" s="137"/>
      <c r="AJ990" s="138"/>
      <c r="AK990" s="55"/>
      <c r="AL990" s="55"/>
      <c r="AM990" s="55"/>
      <c r="AN990" s="55"/>
      <c r="AO990" s="55"/>
    </row>
    <row r="991">
      <c r="A991" s="119"/>
      <c r="B991" s="88"/>
      <c r="C991" s="89"/>
      <c r="D991" s="55"/>
      <c r="E991" s="119"/>
      <c r="F991" s="88"/>
      <c r="G991" s="89"/>
      <c r="H991" s="55"/>
      <c r="I991" s="119"/>
      <c r="J991" s="88"/>
      <c r="K991" s="89"/>
      <c r="L991" s="55"/>
      <c r="M991" s="119"/>
      <c r="N991" s="88"/>
      <c r="O991" s="89"/>
      <c r="P991" s="55"/>
      <c r="Q991" s="46"/>
      <c r="R991" s="46"/>
      <c r="S991" s="46"/>
      <c r="T991" s="46"/>
      <c r="U991" s="46"/>
      <c r="V991" s="46"/>
      <c r="W991" s="46"/>
      <c r="X991" s="46"/>
      <c r="Y991" s="120"/>
      <c r="Z991" s="139"/>
      <c r="AA991" s="139"/>
      <c r="AB991" s="139"/>
      <c r="AC991" s="120"/>
      <c r="AD991" s="46"/>
      <c r="AE991" s="140"/>
      <c r="AF991" s="140"/>
      <c r="AG991" s="135"/>
      <c r="AH991" s="136"/>
      <c r="AI991" s="137"/>
      <c r="AJ991" s="138"/>
      <c r="AK991" s="55"/>
      <c r="AL991" s="55"/>
      <c r="AM991" s="55"/>
      <c r="AN991" s="55"/>
      <c r="AO991" s="55"/>
    </row>
    <row r="992">
      <c r="A992" s="119"/>
      <c r="B992" s="88"/>
      <c r="C992" s="89"/>
      <c r="D992" s="55"/>
      <c r="E992" s="119"/>
      <c r="F992" s="88"/>
      <c r="G992" s="89"/>
      <c r="H992" s="55"/>
      <c r="I992" s="119"/>
      <c r="J992" s="88"/>
      <c r="K992" s="89"/>
      <c r="L992" s="55"/>
      <c r="M992" s="119"/>
      <c r="N992" s="88"/>
      <c r="O992" s="89"/>
      <c r="P992" s="55"/>
      <c r="Q992" s="46"/>
      <c r="R992" s="46"/>
      <c r="S992" s="46"/>
      <c r="T992" s="46"/>
      <c r="U992" s="46"/>
      <c r="V992" s="46"/>
      <c r="W992" s="46"/>
      <c r="X992" s="46"/>
      <c r="Y992" s="120"/>
      <c r="Z992" s="139"/>
      <c r="AA992" s="139"/>
      <c r="AB992" s="139"/>
      <c r="AC992" s="120"/>
      <c r="AD992" s="46"/>
      <c r="AE992" s="140"/>
      <c r="AF992" s="140"/>
      <c r="AG992" s="135"/>
      <c r="AH992" s="136"/>
      <c r="AI992" s="137"/>
      <c r="AJ992" s="138"/>
      <c r="AK992" s="55"/>
      <c r="AL992" s="55"/>
      <c r="AM992" s="55"/>
      <c r="AN992" s="55"/>
      <c r="AO992" s="55"/>
    </row>
    <row r="993">
      <c r="A993" s="119"/>
      <c r="B993" s="88"/>
      <c r="C993" s="89"/>
      <c r="D993" s="55"/>
      <c r="E993" s="119"/>
      <c r="F993" s="88"/>
      <c r="G993" s="89"/>
      <c r="H993" s="55"/>
      <c r="I993" s="119"/>
      <c r="J993" s="88"/>
      <c r="K993" s="89"/>
      <c r="L993" s="55"/>
      <c r="M993" s="119"/>
      <c r="N993" s="88"/>
      <c r="O993" s="89"/>
      <c r="P993" s="55"/>
      <c r="Q993" s="46"/>
      <c r="R993" s="46"/>
      <c r="S993" s="46"/>
      <c r="T993" s="46"/>
      <c r="U993" s="46"/>
      <c r="V993" s="46"/>
      <c r="W993" s="46"/>
      <c r="X993" s="46"/>
      <c r="Y993" s="120"/>
      <c r="Z993" s="139"/>
      <c r="AA993" s="139"/>
      <c r="AB993" s="139"/>
      <c r="AC993" s="120"/>
      <c r="AD993" s="46"/>
      <c r="AE993" s="140"/>
      <c r="AF993" s="140"/>
      <c r="AG993" s="135"/>
      <c r="AH993" s="136"/>
      <c r="AI993" s="137"/>
      <c r="AJ993" s="138"/>
      <c r="AK993" s="55"/>
      <c r="AL993" s="55"/>
      <c r="AM993" s="55"/>
      <c r="AN993" s="55"/>
      <c r="AO993" s="55"/>
    </row>
    <row r="994">
      <c r="A994" s="119"/>
      <c r="B994" s="88"/>
      <c r="C994" s="89"/>
      <c r="D994" s="55"/>
      <c r="E994" s="119"/>
      <c r="F994" s="88"/>
      <c r="G994" s="89"/>
      <c r="H994" s="55"/>
      <c r="I994" s="119"/>
      <c r="J994" s="88"/>
      <c r="K994" s="89"/>
      <c r="L994" s="55"/>
      <c r="M994" s="119"/>
      <c r="N994" s="88"/>
      <c r="O994" s="89"/>
      <c r="P994" s="55"/>
      <c r="Q994" s="46"/>
      <c r="R994" s="46"/>
      <c r="S994" s="46"/>
      <c r="T994" s="46"/>
      <c r="U994" s="46"/>
      <c r="V994" s="46"/>
      <c r="W994" s="46"/>
      <c r="X994" s="46"/>
      <c r="Y994" s="120"/>
      <c r="Z994" s="139"/>
      <c r="AA994" s="139"/>
      <c r="AB994" s="139"/>
      <c r="AC994" s="120"/>
      <c r="AD994" s="46"/>
      <c r="AE994" s="140"/>
      <c r="AF994" s="140"/>
      <c r="AG994" s="135"/>
      <c r="AH994" s="136"/>
      <c r="AI994" s="137"/>
      <c r="AJ994" s="138"/>
      <c r="AK994" s="55"/>
      <c r="AL994" s="55"/>
      <c r="AM994" s="55"/>
      <c r="AN994" s="55"/>
      <c r="AO994" s="55"/>
    </row>
    <row r="995">
      <c r="A995" s="119"/>
      <c r="B995" s="88"/>
      <c r="C995" s="89"/>
      <c r="D995" s="55"/>
      <c r="E995" s="119"/>
      <c r="F995" s="88"/>
      <c r="G995" s="89"/>
      <c r="H995" s="55"/>
      <c r="I995" s="119"/>
      <c r="J995" s="88"/>
      <c r="K995" s="89"/>
      <c r="L995" s="55"/>
      <c r="M995" s="119"/>
      <c r="N995" s="88"/>
      <c r="O995" s="89"/>
      <c r="P995" s="55"/>
      <c r="Q995" s="46"/>
      <c r="R995" s="46"/>
      <c r="S995" s="46"/>
      <c r="T995" s="46"/>
      <c r="U995" s="46"/>
      <c r="V995" s="46"/>
      <c r="W995" s="46"/>
      <c r="X995" s="46"/>
      <c r="Y995" s="120"/>
      <c r="Z995" s="139"/>
      <c r="AA995" s="139"/>
      <c r="AB995" s="139"/>
      <c r="AC995" s="120"/>
      <c r="AD995" s="46"/>
      <c r="AE995" s="140"/>
      <c r="AF995" s="140"/>
      <c r="AG995" s="135"/>
      <c r="AH995" s="136"/>
      <c r="AI995" s="137"/>
      <c r="AJ995" s="138"/>
      <c r="AK995" s="55"/>
      <c r="AL995" s="55"/>
      <c r="AM995" s="55"/>
      <c r="AN995" s="55"/>
      <c r="AO995" s="55"/>
    </row>
    <row r="996">
      <c r="A996" s="119"/>
      <c r="B996" s="88"/>
      <c r="C996" s="89"/>
      <c r="D996" s="55"/>
      <c r="E996" s="119"/>
      <c r="F996" s="88"/>
      <c r="G996" s="89"/>
      <c r="H996" s="55"/>
      <c r="I996" s="119"/>
      <c r="J996" s="88"/>
      <c r="K996" s="89"/>
      <c r="L996" s="55"/>
      <c r="M996" s="119"/>
      <c r="N996" s="88"/>
      <c r="O996" s="89"/>
      <c r="P996" s="55"/>
      <c r="Q996" s="46"/>
      <c r="R996" s="46"/>
      <c r="S996" s="46"/>
      <c r="T996" s="46"/>
      <c r="U996" s="46"/>
      <c r="V996" s="46"/>
      <c r="W996" s="46"/>
      <c r="X996" s="46"/>
      <c r="Y996" s="120"/>
      <c r="Z996" s="139"/>
      <c r="AA996" s="139"/>
      <c r="AB996" s="139"/>
      <c r="AC996" s="120"/>
      <c r="AD996" s="46"/>
      <c r="AE996" s="140"/>
      <c r="AF996" s="140"/>
      <c r="AG996" s="135"/>
      <c r="AH996" s="136"/>
      <c r="AI996" s="137"/>
      <c r="AJ996" s="138"/>
      <c r="AK996" s="55"/>
      <c r="AL996" s="55"/>
      <c r="AM996" s="55"/>
      <c r="AN996" s="55"/>
      <c r="AO996" s="55"/>
    </row>
    <row r="997">
      <c r="A997" s="119"/>
      <c r="B997" s="88"/>
      <c r="C997" s="89"/>
      <c r="D997" s="55"/>
      <c r="E997" s="119"/>
      <c r="F997" s="88"/>
      <c r="G997" s="89"/>
      <c r="H997" s="55"/>
      <c r="I997" s="119"/>
      <c r="J997" s="88"/>
      <c r="K997" s="89"/>
      <c r="L997" s="55"/>
      <c r="M997" s="119"/>
      <c r="N997" s="88"/>
      <c r="O997" s="89"/>
      <c r="P997" s="55"/>
      <c r="Q997" s="46"/>
      <c r="R997" s="46"/>
      <c r="S997" s="46"/>
      <c r="T997" s="46"/>
      <c r="U997" s="46"/>
      <c r="V997" s="46"/>
      <c r="W997" s="46"/>
      <c r="X997" s="46"/>
      <c r="Y997" s="120"/>
      <c r="Z997" s="139"/>
      <c r="AA997" s="139"/>
      <c r="AB997" s="139"/>
      <c r="AC997" s="120"/>
      <c r="AD997" s="46"/>
      <c r="AE997" s="140"/>
      <c r="AF997" s="140"/>
      <c r="AG997" s="135"/>
      <c r="AH997" s="136"/>
      <c r="AI997" s="137"/>
      <c r="AJ997" s="138"/>
      <c r="AK997" s="55"/>
      <c r="AL997" s="55"/>
      <c r="AM997" s="55"/>
      <c r="AN997" s="55"/>
      <c r="AO997" s="55"/>
    </row>
    <row r="998">
      <c r="A998" s="119"/>
      <c r="B998" s="88"/>
      <c r="C998" s="89"/>
      <c r="D998" s="55"/>
      <c r="E998" s="119"/>
      <c r="F998" s="88"/>
      <c r="G998" s="89"/>
      <c r="H998" s="55"/>
      <c r="I998" s="119"/>
      <c r="J998" s="88"/>
      <c r="K998" s="89"/>
      <c r="L998" s="55"/>
      <c r="M998" s="119"/>
      <c r="N998" s="88"/>
      <c r="O998" s="89"/>
      <c r="P998" s="55"/>
      <c r="Q998" s="46"/>
      <c r="R998" s="46"/>
      <c r="S998" s="46"/>
      <c r="T998" s="46"/>
      <c r="U998" s="46"/>
      <c r="V998" s="46"/>
      <c r="W998" s="46"/>
      <c r="X998" s="46"/>
      <c r="Y998" s="120"/>
      <c r="Z998" s="139"/>
      <c r="AA998" s="139"/>
      <c r="AB998" s="139"/>
      <c r="AC998" s="120"/>
      <c r="AD998" s="46"/>
      <c r="AE998" s="140"/>
      <c r="AF998" s="140"/>
      <c r="AG998" s="135"/>
      <c r="AH998" s="136"/>
      <c r="AI998" s="137"/>
      <c r="AJ998" s="138"/>
      <c r="AK998" s="55"/>
      <c r="AL998" s="55"/>
      <c r="AM998" s="55"/>
      <c r="AN998" s="55"/>
      <c r="AO998" s="55"/>
    </row>
    <row r="999">
      <c r="A999" s="119"/>
      <c r="B999" s="88"/>
      <c r="C999" s="89"/>
      <c r="D999" s="55"/>
      <c r="E999" s="119"/>
      <c r="F999" s="88"/>
      <c r="G999" s="89"/>
      <c r="H999" s="55"/>
      <c r="I999" s="119"/>
      <c r="J999" s="88"/>
      <c r="K999" s="89"/>
      <c r="L999" s="55"/>
      <c r="M999" s="119"/>
      <c r="N999" s="88"/>
      <c r="O999" s="89"/>
      <c r="P999" s="55"/>
      <c r="Q999" s="46"/>
      <c r="R999" s="46"/>
      <c r="S999" s="46"/>
      <c r="T999" s="46"/>
      <c r="U999" s="46"/>
      <c r="V999" s="46"/>
      <c r="W999" s="46"/>
      <c r="X999" s="46"/>
      <c r="Y999" s="120"/>
      <c r="Z999" s="139"/>
      <c r="AA999" s="139"/>
      <c r="AB999" s="139"/>
      <c r="AC999" s="120"/>
      <c r="AD999" s="46"/>
      <c r="AE999" s="140"/>
      <c r="AF999" s="140"/>
      <c r="AG999" s="135"/>
      <c r="AH999" s="136"/>
      <c r="AI999" s="137"/>
      <c r="AJ999" s="138"/>
      <c r="AK999" s="55"/>
      <c r="AL999" s="55"/>
      <c r="AM999" s="55"/>
      <c r="AN999" s="55"/>
      <c r="AO999" s="55"/>
    </row>
    <row r="1000">
      <c r="A1000" s="119"/>
      <c r="B1000" s="88"/>
      <c r="C1000" s="89"/>
      <c r="D1000" s="55"/>
      <c r="E1000" s="119"/>
      <c r="F1000" s="88"/>
      <c r="G1000" s="89"/>
      <c r="H1000" s="55"/>
      <c r="I1000" s="119"/>
      <c r="J1000" s="88"/>
      <c r="K1000" s="89"/>
      <c r="L1000" s="55"/>
      <c r="M1000" s="119"/>
      <c r="N1000" s="88"/>
      <c r="O1000" s="89"/>
      <c r="P1000" s="55"/>
      <c r="Q1000" s="46"/>
      <c r="R1000" s="46"/>
      <c r="S1000" s="46"/>
      <c r="T1000" s="46"/>
      <c r="U1000" s="46"/>
      <c r="V1000" s="46"/>
      <c r="W1000" s="46"/>
      <c r="X1000" s="46"/>
      <c r="Y1000" s="120"/>
      <c r="Z1000" s="139"/>
      <c r="AA1000" s="139"/>
      <c r="AB1000" s="139"/>
      <c r="AC1000" s="120"/>
      <c r="AD1000" s="46"/>
      <c r="AE1000" s="140"/>
      <c r="AF1000" s="140"/>
      <c r="AG1000" s="135"/>
      <c r="AH1000" s="136"/>
      <c r="AI1000" s="137"/>
      <c r="AJ1000" s="138"/>
      <c r="AK1000" s="55"/>
      <c r="AL1000" s="55"/>
      <c r="AM1000" s="55"/>
      <c r="AN1000" s="55"/>
      <c r="AO1000" s="55"/>
    </row>
    <row r="1001">
      <c r="A1001" s="119"/>
      <c r="B1001" s="88"/>
      <c r="C1001" s="89"/>
      <c r="D1001" s="55"/>
      <c r="E1001" s="119"/>
      <c r="F1001" s="88"/>
      <c r="G1001" s="89"/>
      <c r="H1001" s="55"/>
      <c r="I1001" s="119"/>
      <c r="J1001" s="88"/>
      <c r="K1001" s="89"/>
      <c r="L1001" s="55"/>
      <c r="M1001" s="119"/>
      <c r="N1001" s="88"/>
      <c r="O1001" s="89"/>
      <c r="P1001" s="55"/>
      <c r="Q1001" s="46"/>
      <c r="R1001" s="46"/>
      <c r="S1001" s="46"/>
      <c r="T1001" s="46"/>
      <c r="U1001" s="46"/>
      <c r="V1001" s="46"/>
      <c r="W1001" s="46"/>
      <c r="X1001" s="46"/>
      <c r="Y1001" s="120"/>
      <c r="Z1001" s="139"/>
      <c r="AA1001" s="139"/>
      <c r="AB1001" s="139"/>
      <c r="AC1001" s="120"/>
      <c r="AD1001" s="46"/>
      <c r="AE1001" s="140"/>
      <c r="AF1001" s="140"/>
      <c r="AG1001" s="135"/>
      <c r="AH1001" s="136"/>
      <c r="AI1001" s="137"/>
      <c r="AJ1001" s="138"/>
      <c r="AK1001" s="55"/>
      <c r="AL1001" s="55"/>
      <c r="AM1001" s="55"/>
      <c r="AN1001" s="55"/>
      <c r="AO1001" s="55"/>
    </row>
    <row r="1002">
      <c r="A1002" s="119"/>
      <c r="B1002" s="88"/>
      <c r="C1002" s="89"/>
      <c r="D1002" s="55"/>
      <c r="E1002" s="119"/>
      <c r="F1002" s="88"/>
      <c r="G1002" s="89"/>
      <c r="H1002" s="55"/>
      <c r="I1002" s="119"/>
      <c r="J1002" s="88"/>
      <c r="K1002" s="89"/>
      <c r="L1002" s="55"/>
      <c r="M1002" s="119"/>
      <c r="N1002" s="88"/>
      <c r="O1002" s="89"/>
      <c r="P1002" s="55"/>
      <c r="Q1002" s="46"/>
      <c r="R1002" s="46"/>
      <c r="S1002" s="46"/>
      <c r="T1002" s="46"/>
      <c r="U1002" s="46"/>
      <c r="V1002" s="46"/>
      <c r="W1002" s="46"/>
      <c r="X1002" s="46"/>
      <c r="Y1002" s="120"/>
      <c r="Z1002" s="139"/>
      <c r="AA1002" s="139"/>
      <c r="AB1002" s="139"/>
      <c r="AC1002" s="120"/>
      <c r="AD1002" s="46"/>
      <c r="AE1002" s="140"/>
      <c r="AF1002" s="140"/>
      <c r="AG1002" s="135"/>
      <c r="AH1002" s="136"/>
      <c r="AI1002" s="137"/>
      <c r="AJ1002" s="138"/>
      <c r="AK1002" s="55"/>
      <c r="AL1002" s="55"/>
      <c r="AM1002" s="55"/>
      <c r="AN1002" s="55"/>
      <c r="AO1002" s="55"/>
    </row>
    <row r="1003">
      <c r="A1003" s="119"/>
      <c r="B1003" s="88"/>
      <c r="C1003" s="89"/>
      <c r="D1003" s="55"/>
      <c r="E1003" s="119"/>
      <c r="F1003" s="88"/>
      <c r="G1003" s="89"/>
      <c r="H1003" s="55"/>
      <c r="I1003" s="119"/>
      <c r="J1003" s="88"/>
      <c r="K1003" s="89"/>
      <c r="L1003" s="55"/>
      <c r="M1003" s="119"/>
      <c r="N1003" s="88"/>
      <c r="O1003" s="89"/>
      <c r="P1003" s="55"/>
      <c r="Q1003" s="46"/>
      <c r="R1003" s="46"/>
      <c r="S1003" s="46"/>
      <c r="T1003" s="46"/>
      <c r="U1003" s="46"/>
      <c r="V1003" s="46"/>
      <c r="W1003" s="46"/>
      <c r="X1003" s="46"/>
      <c r="Y1003" s="120"/>
      <c r="Z1003" s="139"/>
      <c r="AA1003" s="139"/>
      <c r="AB1003" s="139"/>
      <c r="AC1003" s="120"/>
      <c r="AD1003" s="46"/>
      <c r="AE1003" s="140"/>
      <c r="AF1003" s="140"/>
      <c r="AG1003" s="135"/>
      <c r="AH1003" s="136"/>
      <c r="AI1003" s="137"/>
      <c r="AJ1003" s="138"/>
      <c r="AK1003" s="55"/>
      <c r="AL1003" s="55"/>
      <c r="AM1003" s="55"/>
      <c r="AN1003" s="55"/>
      <c r="AO1003" s="55"/>
    </row>
    <row r="1004">
      <c r="A1004" s="119"/>
      <c r="B1004" s="88"/>
      <c r="C1004" s="89"/>
      <c r="D1004" s="55"/>
      <c r="E1004" s="119"/>
      <c r="F1004" s="88"/>
      <c r="G1004" s="89"/>
      <c r="H1004" s="55"/>
      <c r="I1004" s="119"/>
      <c r="J1004" s="88"/>
      <c r="K1004" s="89"/>
      <c r="L1004" s="55"/>
      <c r="M1004" s="119"/>
      <c r="N1004" s="88"/>
      <c r="O1004" s="89"/>
      <c r="P1004" s="55"/>
      <c r="Q1004" s="46"/>
      <c r="R1004" s="46"/>
      <c r="S1004" s="46"/>
      <c r="T1004" s="46"/>
      <c r="U1004" s="46"/>
      <c r="V1004" s="46"/>
      <c r="W1004" s="46"/>
      <c r="X1004" s="46"/>
      <c r="Y1004" s="120"/>
      <c r="Z1004" s="139"/>
      <c r="AA1004" s="139"/>
      <c r="AB1004" s="139"/>
      <c r="AC1004" s="120"/>
      <c r="AD1004" s="46"/>
      <c r="AE1004" s="140"/>
      <c r="AF1004" s="140"/>
      <c r="AG1004" s="135"/>
      <c r="AH1004" s="136"/>
      <c r="AI1004" s="137"/>
      <c r="AJ1004" s="138"/>
      <c r="AK1004" s="55"/>
      <c r="AL1004" s="55"/>
      <c r="AM1004" s="55"/>
      <c r="AN1004" s="55"/>
      <c r="AO1004" s="55"/>
    </row>
    <row r="1005">
      <c r="A1005" s="119"/>
      <c r="B1005" s="88"/>
      <c r="C1005" s="89"/>
      <c r="D1005" s="55"/>
      <c r="E1005" s="119"/>
      <c r="F1005" s="88"/>
      <c r="G1005" s="89"/>
      <c r="H1005" s="55"/>
      <c r="I1005" s="119"/>
      <c r="J1005" s="88"/>
      <c r="K1005" s="89"/>
      <c r="L1005" s="55"/>
      <c r="M1005" s="119"/>
      <c r="N1005" s="88"/>
      <c r="O1005" s="89"/>
      <c r="P1005" s="55"/>
      <c r="Q1005" s="46"/>
      <c r="R1005" s="46"/>
      <c r="S1005" s="46"/>
      <c r="T1005" s="46"/>
      <c r="U1005" s="46"/>
      <c r="V1005" s="46"/>
      <c r="W1005" s="46"/>
      <c r="X1005" s="46"/>
      <c r="Y1005" s="120"/>
      <c r="Z1005" s="139"/>
      <c r="AA1005" s="139"/>
      <c r="AB1005" s="139"/>
      <c r="AC1005" s="120"/>
      <c r="AD1005" s="46"/>
      <c r="AE1005" s="140"/>
      <c r="AF1005" s="140"/>
      <c r="AG1005" s="135"/>
      <c r="AH1005" s="136"/>
      <c r="AI1005" s="137"/>
      <c r="AJ1005" s="138"/>
      <c r="AK1005" s="55"/>
      <c r="AL1005" s="55"/>
      <c r="AM1005" s="55"/>
      <c r="AN1005" s="55"/>
      <c r="AO1005" s="55"/>
    </row>
    <row r="1006">
      <c r="A1006" s="119"/>
      <c r="B1006" s="88"/>
      <c r="C1006" s="89"/>
      <c r="D1006" s="55"/>
      <c r="E1006" s="119"/>
      <c r="F1006" s="88"/>
      <c r="G1006" s="89"/>
      <c r="H1006" s="55"/>
      <c r="I1006" s="119"/>
      <c r="J1006" s="88"/>
      <c r="K1006" s="89"/>
      <c r="L1006" s="55"/>
      <c r="M1006" s="119"/>
      <c r="N1006" s="88"/>
      <c r="O1006" s="89"/>
      <c r="P1006" s="55"/>
      <c r="Q1006" s="46"/>
      <c r="R1006" s="46"/>
      <c r="S1006" s="46"/>
      <c r="T1006" s="46"/>
      <c r="U1006" s="46"/>
      <c r="V1006" s="46"/>
      <c r="W1006" s="46"/>
      <c r="X1006" s="46"/>
      <c r="Y1006" s="120"/>
      <c r="Z1006" s="139"/>
      <c r="AA1006" s="139"/>
      <c r="AB1006" s="139"/>
      <c r="AC1006" s="120"/>
      <c r="AD1006" s="46"/>
      <c r="AE1006" s="140"/>
      <c r="AF1006" s="140"/>
      <c r="AG1006" s="135"/>
      <c r="AH1006" s="136"/>
      <c r="AI1006" s="137"/>
      <c r="AJ1006" s="138"/>
      <c r="AK1006" s="55"/>
      <c r="AL1006" s="55"/>
      <c r="AM1006" s="55"/>
      <c r="AN1006" s="55"/>
      <c r="AO1006" s="55"/>
    </row>
    <row r="1007">
      <c r="A1007" s="119"/>
      <c r="B1007" s="88"/>
      <c r="C1007" s="89"/>
      <c r="D1007" s="55"/>
      <c r="E1007" s="119"/>
      <c r="F1007" s="88"/>
      <c r="G1007" s="89"/>
      <c r="H1007" s="55"/>
      <c r="I1007" s="119"/>
      <c r="J1007" s="88"/>
      <c r="K1007" s="89"/>
      <c r="L1007" s="55"/>
      <c r="M1007" s="119"/>
      <c r="N1007" s="88"/>
      <c r="O1007" s="89"/>
      <c r="P1007" s="55"/>
      <c r="Q1007" s="46"/>
      <c r="R1007" s="46"/>
      <c r="S1007" s="46"/>
      <c r="T1007" s="46"/>
      <c r="U1007" s="46"/>
      <c r="V1007" s="46"/>
      <c r="W1007" s="46"/>
      <c r="X1007" s="46"/>
      <c r="Y1007" s="120"/>
      <c r="Z1007" s="139"/>
      <c r="AA1007" s="139"/>
      <c r="AB1007" s="139"/>
      <c r="AC1007" s="120"/>
      <c r="AD1007" s="46"/>
      <c r="AE1007" s="140"/>
      <c r="AF1007" s="140"/>
      <c r="AG1007" s="135"/>
      <c r="AH1007" s="136"/>
      <c r="AI1007" s="137"/>
      <c r="AJ1007" s="138"/>
      <c r="AK1007" s="55"/>
      <c r="AL1007" s="55"/>
      <c r="AM1007" s="55"/>
      <c r="AN1007" s="55"/>
      <c r="AO1007" s="55"/>
    </row>
    <row r="1008">
      <c r="A1008" s="119"/>
      <c r="B1008" s="88"/>
      <c r="C1008" s="89"/>
      <c r="D1008" s="55"/>
      <c r="E1008" s="119"/>
      <c r="F1008" s="88"/>
      <c r="G1008" s="89"/>
      <c r="H1008" s="55"/>
      <c r="I1008" s="119"/>
      <c r="J1008" s="88"/>
      <c r="K1008" s="89"/>
      <c r="L1008" s="55"/>
      <c r="M1008" s="119"/>
      <c r="N1008" s="88"/>
      <c r="O1008" s="89"/>
      <c r="P1008" s="55"/>
      <c r="Q1008" s="46"/>
      <c r="R1008" s="46"/>
      <c r="S1008" s="46"/>
      <c r="T1008" s="46"/>
      <c r="U1008" s="46"/>
      <c r="V1008" s="46"/>
      <c r="W1008" s="46"/>
      <c r="X1008" s="46"/>
      <c r="Y1008" s="120"/>
      <c r="Z1008" s="139"/>
      <c r="AA1008" s="139"/>
      <c r="AB1008" s="139"/>
      <c r="AC1008" s="120"/>
      <c r="AD1008" s="46"/>
      <c r="AE1008" s="140"/>
      <c r="AF1008" s="140"/>
      <c r="AG1008" s="135"/>
      <c r="AH1008" s="136"/>
      <c r="AI1008" s="137"/>
      <c r="AJ1008" s="138"/>
      <c r="AK1008" s="55"/>
      <c r="AL1008" s="55"/>
      <c r="AM1008" s="55"/>
      <c r="AN1008" s="55"/>
      <c r="AO1008" s="55"/>
    </row>
    <row r="1009">
      <c r="A1009" s="119"/>
      <c r="B1009" s="88"/>
      <c r="C1009" s="89"/>
      <c r="D1009" s="55"/>
      <c r="E1009" s="119"/>
      <c r="F1009" s="88"/>
      <c r="G1009" s="89"/>
      <c r="H1009" s="55"/>
      <c r="I1009" s="119"/>
      <c r="J1009" s="88"/>
      <c r="K1009" s="89"/>
      <c r="L1009" s="55"/>
      <c r="M1009" s="119"/>
      <c r="N1009" s="88"/>
      <c r="O1009" s="89"/>
      <c r="P1009" s="55"/>
      <c r="Q1009" s="46"/>
      <c r="R1009" s="46"/>
      <c r="S1009" s="46"/>
      <c r="T1009" s="46"/>
      <c r="U1009" s="46"/>
      <c r="V1009" s="46"/>
      <c r="W1009" s="46"/>
      <c r="X1009" s="46"/>
      <c r="Y1009" s="120"/>
      <c r="Z1009" s="139"/>
      <c r="AA1009" s="139"/>
      <c r="AB1009" s="139"/>
      <c r="AC1009" s="120"/>
      <c r="AD1009" s="46"/>
      <c r="AE1009" s="140"/>
      <c r="AF1009" s="140"/>
      <c r="AG1009" s="135"/>
      <c r="AH1009" s="136"/>
      <c r="AI1009" s="137"/>
      <c r="AJ1009" s="138"/>
      <c r="AK1009" s="55"/>
      <c r="AL1009" s="55"/>
      <c r="AM1009" s="55"/>
      <c r="AN1009" s="55"/>
      <c r="AO1009" s="55"/>
    </row>
    <row r="1010">
      <c r="A1010" s="119"/>
      <c r="B1010" s="88"/>
      <c r="C1010" s="89"/>
      <c r="D1010" s="55"/>
      <c r="E1010" s="119"/>
      <c r="F1010" s="88"/>
      <c r="G1010" s="89"/>
      <c r="H1010" s="55"/>
      <c r="I1010" s="119"/>
      <c r="J1010" s="88"/>
      <c r="K1010" s="89"/>
      <c r="L1010" s="55"/>
      <c r="M1010" s="119"/>
      <c r="N1010" s="88"/>
      <c r="O1010" s="89"/>
      <c r="P1010" s="55"/>
      <c r="Q1010" s="46"/>
      <c r="R1010" s="46"/>
      <c r="S1010" s="46"/>
      <c r="T1010" s="46"/>
      <c r="U1010" s="46"/>
      <c r="V1010" s="46"/>
      <c r="W1010" s="46"/>
      <c r="X1010" s="46"/>
      <c r="Y1010" s="120"/>
      <c r="Z1010" s="139"/>
      <c r="AA1010" s="139"/>
      <c r="AB1010" s="139"/>
      <c r="AC1010" s="120"/>
      <c r="AD1010" s="46"/>
      <c r="AE1010" s="140"/>
      <c r="AF1010" s="140"/>
      <c r="AG1010" s="135"/>
      <c r="AH1010" s="136"/>
      <c r="AI1010" s="137"/>
      <c r="AJ1010" s="138"/>
      <c r="AK1010" s="55"/>
      <c r="AL1010" s="55"/>
      <c r="AM1010" s="55"/>
      <c r="AN1010" s="55"/>
      <c r="AO1010" s="55"/>
    </row>
    <row r="1011">
      <c r="A1011" s="119"/>
      <c r="B1011" s="88"/>
      <c r="C1011" s="89"/>
      <c r="D1011" s="55"/>
      <c r="E1011" s="119"/>
      <c r="F1011" s="88"/>
      <c r="G1011" s="89"/>
      <c r="H1011" s="55"/>
      <c r="I1011" s="119"/>
      <c r="J1011" s="88"/>
      <c r="K1011" s="89"/>
      <c r="L1011" s="55"/>
      <c r="M1011" s="119"/>
      <c r="N1011" s="88"/>
      <c r="O1011" s="89"/>
      <c r="P1011" s="55"/>
      <c r="Q1011" s="46"/>
      <c r="R1011" s="46"/>
      <c r="S1011" s="46"/>
      <c r="T1011" s="46"/>
      <c r="U1011" s="46"/>
      <c r="V1011" s="46"/>
      <c r="W1011" s="46"/>
      <c r="X1011" s="46"/>
      <c r="Y1011" s="120"/>
      <c r="Z1011" s="139"/>
      <c r="AA1011" s="139"/>
      <c r="AB1011" s="139"/>
      <c r="AC1011" s="120"/>
      <c r="AD1011" s="46"/>
      <c r="AE1011" s="140"/>
      <c r="AF1011" s="140"/>
      <c r="AG1011" s="135"/>
      <c r="AH1011" s="136"/>
      <c r="AI1011" s="137"/>
      <c r="AJ1011" s="138"/>
      <c r="AK1011" s="55"/>
      <c r="AL1011" s="55"/>
      <c r="AM1011" s="55"/>
      <c r="AN1011" s="55"/>
      <c r="AO1011" s="55"/>
    </row>
    <row r="1012">
      <c r="A1012" s="119"/>
      <c r="B1012" s="88"/>
      <c r="C1012" s="89"/>
      <c r="D1012" s="55"/>
      <c r="E1012" s="119"/>
      <c r="F1012" s="88"/>
      <c r="G1012" s="89"/>
      <c r="H1012" s="55"/>
      <c r="I1012" s="119"/>
      <c r="J1012" s="88"/>
      <c r="K1012" s="89"/>
      <c r="L1012" s="55"/>
      <c r="M1012" s="119"/>
      <c r="N1012" s="88"/>
      <c r="O1012" s="89"/>
      <c r="P1012" s="55"/>
      <c r="Q1012" s="46"/>
      <c r="R1012" s="46"/>
      <c r="S1012" s="46"/>
      <c r="T1012" s="46"/>
      <c r="U1012" s="46"/>
      <c r="V1012" s="46"/>
      <c r="W1012" s="46"/>
      <c r="X1012" s="46"/>
      <c r="Y1012" s="120"/>
      <c r="Z1012" s="139"/>
      <c r="AA1012" s="139"/>
      <c r="AB1012" s="139"/>
      <c r="AC1012" s="120"/>
      <c r="AD1012" s="46"/>
      <c r="AE1012" s="140"/>
      <c r="AF1012" s="140"/>
      <c r="AG1012" s="135"/>
      <c r="AH1012" s="136"/>
      <c r="AI1012" s="137"/>
      <c r="AJ1012" s="138"/>
      <c r="AK1012" s="55"/>
      <c r="AL1012" s="55"/>
      <c r="AM1012" s="55"/>
      <c r="AN1012" s="55"/>
      <c r="AO1012" s="55"/>
    </row>
    <row r="1013">
      <c r="A1013" s="119"/>
      <c r="B1013" s="88"/>
      <c r="C1013" s="89"/>
      <c r="D1013" s="55"/>
      <c r="E1013" s="119"/>
      <c r="F1013" s="88"/>
      <c r="G1013" s="89"/>
      <c r="H1013" s="55"/>
      <c r="I1013" s="119"/>
      <c r="J1013" s="88"/>
      <c r="K1013" s="89"/>
      <c r="L1013" s="55"/>
      <c r="M1013" s="119"/>
      <c r="N1013" s="88"/>
      <c r="O1013" s="89"/>
      <c r="P1013" s="55"/>
      <c r="Q1013" s="46"/>
      <c r="R1013" s="46"/>
      <c r="S1013" s="46"/>
      <c r="T1013" s="46"/>
      <c r="U1013" s="46"/>
      <c r="V1013" s="46"/>
      <c r="W1013" s="46"/>
      <c r="X1013" s="46"/>
      <c r="Y1013" s="120"/>
      <c r="Z1013" s="139"/>
      <c r="AA1013" s="139"/>
      <c r="AB1013" s="139"/>
      <c r="AC1013" s="120"/>
      <c r="AD1013" s="46"/>
      <c r="AE1013" s="140"/>
      <c r="AF1013" s="140"/>
      <c r="AG1013" s="135"/>
      <c r="AH1013" s="136"/>
      <c r="AI1013" s="137"/>
      <c r="AJ1013" s="138"/>
      <c r="AK1013" s="55"/>
      <c r="AL1013" s="55"/>
      <c r="AM1013" s="55"/>
      <c r="AN1013" s="55"/>
      <c r="AO1013" s="55"/>
    </row>
    <row r="1014">
      <c r="A1014" s="119"/>
      <c r="B1014" s="88"/>
      <c r="C1014" s="89"/>
      <c r="D1014" s="55"/>
      <c r="E1014" s="119"/>
      <c r="F1014" s="88"/>
      <c r="G1014" s="89"/>
      <c r="H1014" s="55"/>
      <c r="I1014" s="119"/>
      <c r="J1014" s="88"/>
      <c r="K1014" s="89"/>
      <c r="L1014" s="55"/>
      <c r="M1014" s="119"/>
      <c r="N1014" s="88"/>
      <c r="O1014" s="89"/>
      <c r="P1014" s="55"/>
      <c r="Q1014" s="46"/>
      <c r="R1014" s="46"/>
      <c r="S1014" s="46"/>
      <c r="T1014" s="46"/>
      <c r="U1014" s="46"/>
      <c r="V1014" s="46"/>
      <c r="W1014" s="46"/>
      <c r="X1014" s="46"/>
      <c r="Y1014" s="120"/>
      <c r="Z1014" s="139"/>
      <c r="AA1014" s="139"/>
      <c r="AB1014" s="139"/>
      <c r="AC1014" s="120"/>
      <c r="AD1014" s="46"/>
      <c r="AE1014" s="140"/>
      <c r="AF1014" s="140"/>
      <c r="AG1014" s="135"/>
      <c r="AH1014" s="136"/>
      <c r="AI1014" s="137"/>
      <c r="AJ1014" s="138"/>
      <c r="AK1014" s="55"/>
      <c r="AL1014" s="55"/>
      <c r="AM1014" s="55"/>
      <c r="AN1014" s="55"/>
      <c r="AO1014" s="55"/>
    </row>
    <row r="1015">
      <c r="A1015" s="119"/>
      <c r="B1015" s="88"/>
      <c r="C1015" s="89"/>
      <c r="D1015" s="55"/>
      <c r="E1015" s="119"/>
      <c r="F1015" s="88"/>
      <c r="G1015" s="89"/>
      <c r="H1015" s="55"/>
      <c r="I1015" s="119"/>
      <c r="J1015" s="88"/>
      <c r="K1015" s="89"/>
      <c r="L1015" s="55"/>
      <c r="M1015" s="119"/>
      <c r="N1015" s="88"/>
      <c r="O1015" s="89"/>
      <c r="P1015" s="55"/>
      <c r="Q1015" s="46"/>
      <c r="R1015" s="46"/>
      <c r="S1015" s="46"/>
      <c r="T1015" s="46"/>
      <c r="U1015" s="46"/>
      <c r="V1015" s="46"/>
      <c r="W1015" s="46"/>
      <c r="X1015" s="46"/>
      <c r="Y1015" s="120"/>
      <c r="Z1015" s="139"/>
      <c r="AA1015" s="139"/>
      <c r="AB1015" s="139"/>
      <c r="AC1015" s="120"/>
      <c r="AD1015" s="46"/>
      <c r="AE1015" s="140"/>
      <c r="AF1015" s="140"/>
      <c r="AG1015" s="135"/>
      <c r="AH1015" s="136"/>
      <c r="AI1015" s="137"/>
      <c r="AJ1015" s="138"/>
      <c r="AK1015" s="55"/>
      <c r="AL1015" s="55"/>
      <c r="AM1015" s="55"/>
      <c r="AN1015" s="55"/>
      <c r="AO1015" s="55"/>
    </row>
    <row r="1016">
      <c r="A1016" s="119"/>
      <c r="B1016" s="88"/>
      <c r="C1016" s="89"/>
      <c r="D1016" s="55"/>
      <c r="E1016" s="119"/>
      <c r="F1016" s="88"/>
      <c r="G1016" s="89"/>
      <c r="H1016" s="55"/>
      <c r="I1016" s="119"/>
      <c r="J1016" s="88"/>
      <c r="K1016" s="89"/>
      <c r="L1016" s="55"/>
      <c r="M1016" s="119"/>
      <c r="N1016" s="88"/>
      <c r="O1016" s="89"/>
      <c r="P1016" s="55"/>
      <c r="Q1016" s="46"/>
      <c r="R1016" s="46"/>
      <c r="S1016" s="46"/>
      <c r="T1016" s="46"/>
      <c r="U1016" s="46"/>
      <c r="V1016" s="46"/>
      <c r="W1016" s="46"/>
      <c r="X1016" s="46"/>
      <c r="Y1016" s="120"/>
      <c r="Z1016" s="139"/>
      <c r="AA1016" s="139"/>
      <c r="AB1016" s="139"/>
      <c r="AC1016" s="120"/>
      <c r="AD1016" s="46"/>
      <c r="AE1016" s="140"/>
      <c r="AF1016" s="140"/>
      <c r="AG1016" s="135"/>
      <c r="AH1016" s="136"/>
      <c r="AI1016" s="137"/>
      <c r="AJ1016" s="138"/>
      <c r="AK1016" s="55"/>
      <c r="AL1016" s="55"/>
      <c r="AM1016" s="55"/>
      <c r="AN1016" s="55"/>
      <c r="AO1016"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87:AF87"/>
    <mergeCell ref="AH87:AJ87"/>
    <mergeCell ref="B87:D87"/>
    <mergeCell ref="F87:H87"/>
    <mergeCell ref="J87:L87"/>
    <mergeCell ref="N87:P87"/>
    <mergeCell ref="R87:T87"/>
    <mergeCell ref="V87:X87"/>
    <mergeCell ref="Z87:AB87"/>
    <mergeCell ref="AD34:AF34"/>
    <mergeCell ref="AH34:AJ34"/>
    <mergeCell ref="B34:D34"/>
    <mergeCell ref="F34:H34"/>
    <mergeCell ref="J34:L34"/>
    <mergeCell ref="N34:P34"/>
    <mergeCell ref="R34:T34"/>
    <mergeCell ref="V34:X34"/>
    <mergeCell ref="Z34:AB34"/>
    <mergeCell ref="AD49:AF49"/>
    <mergeCell ref="AH49:AJ49"/>
    <mergeCell ref="B49:D49"/>
    <mergeCell ref="F49:H49"/>
    <mergeCell ref="J49:L49"/>
    <mergeCell ref="N49:P49"/>
    <mergeCell ref="R49:T49"/>
    <mergeCell ref="V49:X49"/>
    <mergeCell ref="Z49:AB49"/>
    <mergeCell ref="AD80:AF80"/>
    <mergeCell ref="AH80:AJ80"/>
    <mergeCell ref="B80:D80"/>
    <mergeCell ref="F80:H80"/>
    <mergeCell ref="J80:L80"/>
    <mergeCell ref="N80:P80"/>
    <mergeCell ref="R80:T80"/>
    <mergeCell ref="V80:X80"/>
    <mergeCell ref="Z80:AB80"/>
    <mergeCell ref="AD97:AF97"/>
    <mergeCell ref="AH97:AJ97"/>
    <mergeCell ref="B97:D97"/>
    <mergeCell ref="F97:H97"/>
    <mergeCell ref="J97:L97"/>
    <mergeCell ref="N97:P97"/>
    <mergeCell ref="R97:T97"/>
    <mergeCell ref="V97:X97"/>
    <mergeCell ref="Z97:AB9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213</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59"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61" t="s">
        <v>216</v>
      </c>
      <c r="AK1" s="59"/>
      <c r="AL1" s="59"/>
    </row>
    <row r="2" ht="42.75" customHeight="1">
      <c r="AK2" s="59"/>
      <c r="AL2" s="59"/>
    </row>
    <row r="3">
      <c r="A3" s="141" t="s">
        <v>1856</v>
      </c>
      <c r="E3" s="141" t="str">
        <f>IFERROR(__xludf.DUMMYFUNCTION("GOOGLETRANSLATE(A3,""zh-tw"",""ja"")"),"地面に光るテキストの多くは、プレイヤーからの誤解を招くメッセージです。
この誤った情報に基づいて質問しないでください。")</f>
        <v>地面に光るテキストの多くは、プレイヤーからの誤解を招くメッセージです。
この誤った情報に基づいて質問しないでください。</v>
      </c>
      <c r="I3" s="141" t="s">
        <v>1857</v>
      </c>
      <c r="M3" s="142" t="str">
        <f>IFERROR(__xludf.DUMMYFUNCTION("GOOGLETRANSLATE(A3,""zh-tw"",""zh"")"),"地面上的发光文字，有许多是玩家们的骗人留言。
请不要用那些假情报进行提问。")</f>
        <v>地面上的发光文字，有许多是玩家们的骗人留言。
请不要用那些假情报进行提问。</v>
      </c>
      <c r="Q3" s="142" t="str">
        <f>IFERROR(__xludf.DUMMYFUNCTION("GOOGLETRANSLATE(A3,""zh-tw"",""es-MX"")"),"Muchos de los textos brillantes en el suelo son mensajes engañosos de los jugadores.
Por favor, no hagan preguntas basándose en esta información falsa.")</f>
        <v>Muchos de los textos brillantes en el suelo son mensajes engañosos de los jugadores.
Por favor, no hagan preguntas basándose en esta información falsa.</v>
      </c>
      <c r="U3" s="142" t="str">
        <f>IFERROR(__xludf.DUMMYFUNCTION("GOOGLETRANSLATE(A3,""zh-tw"",""KO"")"),"바닥에 빛나는 텍스트 중 상당수는 플레이어가 작성한 오해의 소지가 있는 메시지입니다.
이러한 허위 정보를 사용하여 질문하지 마십시오.")</f>
        <v>바닥에 빛나는 텍스트 중 상당수는 플레이어가 작성한 오해의 소지가 있는 메시지입니다.
이러한 허위 정보를 사용하여 질문하지 마십시오.</v>
      </c>
      <c r="Y3" s="142" t="str">
        <f>IFERROR(__xludf.DUMMYFUNCTION("GOOGLETRANSLATE(A3,""zh-tw"",""ru"")"),"Многие светящиеся тексты на земле — это вводящие в заблуждение сообщения игроков.
Пожалуйста, не задавайте вопросы, используя эту ложную информацию.")</f>
        <v>Многие светящиеся тексты на земле — это вводящие в заблуждение сообщения игроков.
Пожалуйста, не задавайте вопросы, используя эту ложную информацию.</v>
      </c>
      <c r="AC3" s="141" t="s">
        <v>1858</v>
      </c>
      <c r="AG3" s="143" t="s">
        <v>1859</v>
      </c>
      <c r="AK3" s="144"/>
      <c r="AL3" s="144"/>
    </row>
    <row r="4">
      <c r="A4" s="145" t="s">
        <v>217</v>
      </c>
      <c r="B4" s="70" t="s">
        <v>1860</v>
      </c>
      <c r="C4" s="71" t="s">
        <v>219</v>
      </c>
      <c r="D4" s="72" t="s">
        <v>220</v>
      </c>
      <c r="E4" s="145" t="s">
        <v>217</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45" t="s">
        <v>217</v>
      </c>
      <c r="J4" s="70" t="s">
        <v>1861</v>
      </c>
      <c r="K4" s="71" t="s">
        <v>222</v>
      </c>
      <c r="L4" s="72" t="s">
        <v>223</v>
      </c>
      <c r="M4" s="66" t="str">
        <f>IFERROR(__xludf.DUMMYFUNCTION("GOOGLETRANSLATE(E4,""zh-tw"",""en"")"),"NO.")</f>
        <v>NO.</v>
      </c>
      <c r="N4" s="67" t="str">
        <f>IFERROR(__xludf.DUMMYFUNCTION("GOOGLETRANSLATE(B4,""zh-tw"",""zh"")"),"RPG事件")</f>
        <v>RPG事件</v>
      </c>
      <c r="O4" s="68" t="str">
        <f>IFERROR(__xludf.DUMMYFUNCTION("GOOGLETRANSLATE(C4,""zh-tw"",""zh"")"),"说明")</f>
        <v>说明</v>
      </c>
      <c r="P4" s="146" t="str">
        <f>IFERROR(__xludf.DUMMYFUNCTION("GOOGLETRANSLATE(D4,""zh-tw"",""zh"")"),"结果")</f>
        <v>结果</v>
      </c>
      <c r="Q4" s="66" t="s">
        <v>217</v>
      </c>
      <c r="R4" s="67" t="str">
        <f>IFERROR(__xludf.DUMMYFUNCTION("GOOGLETRANSLATE(B4,""zh-tw"",""es-MX"")"),"evento de rol")</f>
        <v>evento de rol</v>
      </c>
      <c r="S4" s="68" t="str">
        <f>IFERROR(__xludf.DUMMYFUNCTION("GOOGLETRANSLATE(C4,""zh-tw"",""es-MX"")"),"ilustrar")</f>
        <v>ilustrar</v>
      </c>
      <c r="T4" s="69" t="str">
        <f>IFERROR(__xludf.DUMMYFUNCTION("GOOGLETRANSLATE(D4,""zh-tw"",""es-MX"")"),"resultado")</f>
        <v>resultado</v>
      </c>
      <c r="U4" s="66" t="s">
        <v>217</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45" t="s">
        <v>217</v>
      </c>
      <c r="Z4" s="67" t="str">
        <f>IFERROR(__xludf.DUMMYFUNCTION("GOOGLETRANSLATE(B4,""zh-tw"",""ru"")"),"РПГ-событие")</f>
        <v>РПГ-событие</v>
      </c>
      <c r="AA4" s="147" t="str">
        <f>IFERROR(__xludf.DUMMYFUNCTION("GOOGLETRANSLATE(C4,""zh-tw"",""RU"")"),"проиллюстрировать")</f>
        <v>проиллюстрировать</v>
      </c>
      <c r="AB4" s="69" t="str">
        <f>IFERROR(__xludf.DUMMYFUNCTION("GOOGLETRANSLATE(D4,""zh-tw"",""RU"")"),"результат")</f>
        <v>результат</v>
      </c>
      <c r="AC4" s="145" t="s">
        <v>217</v>
      </c>
      <c r="AD4" s="70" t="s">
        <v>1862</v>
      </c>
      <c r="AE4" s="148" t="s">
        <v>1863</v>
      </c>
      <c r="AF4" s="72" t="s">
        <v>1864</v>
      </c>
      <c r="AG4" s="149" t="s">
        <v>1865</v>
      </c>
      <c r="AH4" s="150" t="s">
        <v>1866</v>
      </c>
      <c r="AI4" s="151" t="s">
        <v>1867</v>
      </c>
      <c r="AJ4" s="152" t="s">
        <v>236</v>
      </c>
      <c r="AK4" s="30"/>
      <c r="AL4" s="30"/>
    </row>
    <row r="5">
      <c r="A5" s="107" t="s">
        <v>1868</v>
      </c>
      <c r="B5" s="153" t="s">
        <v>1869</v>
      </c>
      <c r="C5" s="95" t="s">
        <v>1870</v>
      </c>
      <c r="D5" s="52" t="s">
        <v>1871</v>
      </c>
      <c r="E5" s="107" t="str">
        <f>IFERROR(__xludf.DUMMYFUNCTION("GOOGLETRANSLATE(A5,""zh-tw"",""ja"")"),"R1")</f>
        <v>R1</v>
      </c>
      <c r="F5" s="153" t="s">
        <v>1872</v>
      </c>
      <c r="G5" s="95" t="s">
        <v>1873</v>
      </c>
      <c r="H5" s="52" t="s">
        <v>1874</v>
      </c>
      <c r="I5" s="107" t="str">
        <f>IFERROR(__xludf.DUMMYFUNCTION("GOOGLETRANSLATE(A5,""zh-tw"",""en"")"),"R1")</f>
        <v>R1</v>
      </c>
      <c r="J5" s="153" t="s">
        <v>1875</v>
      </c>
      <c r="K5" s="95" t="s">
        <v>1876</v>
      </c>
      <c r="L5" s="52" t="s">
        <v>1877</v>
      </c>
      <c r="M5" s="119" t="str">
        <f>IFERROR(__xludf.DUMMYFUNCTION("GOOGLETRANSLATE(A5,""zh-tw"",""en"")"),"R1")</f>
        <v>R1</v>
      </c>
      <c r="N5" s="153"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19" t="str">
        <f>IFERROR(__xludf.DUMMYFUNCTION("GOOGLETRANSLATE(A5,""zh-tw"",""ja"")"),"R1")</f>
        <v>R1</v>
      </c>
      <c r="R5" s="154" t="str">
        <f>IFERROR(__xludf.DUMMYFUNCTION("GOOGLETRANSLATE(B5,""zh-tw"",""es-MX"")"),"Vete a casa temprano")</f>
        <v>Vete a casa temprano</v>
      </c>
      <c r="S5" s="89" t="str">
        <f>IFERROR(__xludf.DUMMYFUNCTION("GOOGLETRANSLATE(C5,""zh-tw"",""es-MX"")"),"En la calle de los aventureros, bajar desde el punto de partida es la mejor manera de volver temprano a casa.")</f>
        <v>En la calle de los aventureros, bajar desde el punto de partida es la mejor manera de volver temprano a casa.</v>
      </c>
      <c r="T5" s="55" t="str">
        <f>IFERROR(__xludf.DUMMYFUNCTION("GOOGLETRANSLATE(D5,""zh-tw"",""es-MX"")"),"La primera vez desencadenará un evento especial.
Los siguientes eventos también pueden desencadenar:
* Jugué con mi hermana todo el día.
* Pasé un rato relajante con mi hermana.
* Tomé una siesta con mi hermana.
* Mi hermana me dio un masaje.")</f>
        <v>La primera vez desencadenará un evento especial.
Los siguientes eventos también pueden desencadenar:
* Jugué con mi hermana todo el día.
* Pasé un rato relajante con mi hermana.
* Tomé una siesta con mi hermana.
* Mi hermana me dio un masaje.</v>
      </c>
      <c r="U5" s="155" t="str">
        <f>IFERROR(__xludf.DUMMYFUNCTION("GOOGLETRANSLATE(A5,""zh-tw"",""en"")"),"R1")</f>
        <v>R1</v>
      </c>
      <c r="V5" s="153" t="s">
        <v>1878</v>
      </c>
      <c r="W5" s="89" t="str">
        <f>IFERROR(__xludf.DUMMYFUNCTION("GOOGLETRANSLATE(C5,""zh-tw"",""KO"")"),"모험가의 거리에서는 시작지점에서 내려가는 것이 일찍 집에 가는 길입니다.")</f>
        <v>모험가의 거리에서는 시작지점에서 내려가는 것이 일찍 집에 가는 길입니다.</v>
      </c>
      <c r="X5" s="52" t="s">
        <v>1879</v>
      </c>
      <c r="Y5" s="155" t="str">
        <f>IFERROR(__xludf.DUMMYFUNCTION("GOOGLETRANSLATE(E5,""zh-tw"",""en"")"),"R1")</f>
        <v>R1</v>
      </c>
      <c r="Z5" s="153" t="str">
        <f>IFERROR(__xludf.DUMMYFUNCTION("GOOGLETRANSLATE(B5,""zh-tw"",""ru"")"),"Иди домой пораньше")</f>
        <v>Иди домой пораньше</v>
      </c>
      <c r="AA5" s="156" t="str">
        <f>IFERROR(__xludf.DUMMYFUNCTION("GOOGLETRANSLATE(C5,""zh-tw"",""RU"")"),"На улице искателей приключений спуск с начальной точки — это способ пораньше вернуться домой.")</f>
        <v>На улице искателей приключений спуск с начальной точки — это способ пораньше вернуться домой.</v>
      </c>
      <c r="AB5" s="44" t="str">
        <f>IFERROR(__xludf.DUMMYFUNCTION("GOOGLETRANSLATE(D5,""zh-tw"",""RU"")"),"Первый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f>
        <v>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v>
      </c>
      <c r="AC5" s="157" t="str">
        <f>IFERROR(__xludf.DUMMYFUNCTION("GOOGLETRANSLATE(I5,""zh-tw"",""en"")"),"R1")</f>
        <v>R1</v>
      </c>
      <c r="AD5" s="153" t="s">
        <v>1880</v>
      </c>
      <c r="AE5" s="158" t="s">
        <v>1881</v>
      </c>
      <c r="AF5" s="105" t="s">
        <v>1882</v>
      </c>
      <c r="AG5" s="159" t="s">
        <v>1868</v>
      </c>
      <c r="AH5" s="160" t="s">
        <v>1883</v>
      </c>
      <c r="AI5" s="161" t="s">
        <v>1884</v>
      </c>
      <c r="AJ5" s="162" t="s">
        <v>1885</v>
      </c>
      <c r="AK5" s="30"/>
      <c r="AL5" s="30"/>
    </row>
    <row r="6">
      <c r="A6" s="107" t="s">
        <v>1886</v>
      </c>
      <c r="B6" s="153" t="s">
        <v>1887</v>
      </c>
      <c r="C6" s="95" t="s">
        <v>1888</v>
      </c>
      <c r="D6" s="52" t="s">
        <v>1889</v>
      </c>
      <c r="E6" s="107" t="str">
        <f>IFERROR(__xludf.DUMMYFUNCTION("GOOGLETRANSLATE(A6,""zh-tw"",""ja"")"),"R2")</f>
        <v>R2</v>
      </c>
      <c r="F6" s="153" t="s">
        <v>1887</v>
      </c>
      <c r="G6" s="95" t="s">
        <v>1890</v>
      </c>
      <c r="H6" s="52" t="s">
        <v>1891</v>
      </c>
      <c r="I6" s="107" t="str">
        <f>IFERROR(__xludf.DUMMYFUNCTION("GOOGLETRANSLATE(A6,""zh-tw"",""en"")"),"R2")</f>
        <v>R2</v>
      </c>
      <c r="J6" s="153" t="s">
        <v>1892</v>
      </c>
      <c r="K6" s="95" t="s">
        <v>1893</v>
      </c>
      <c r="L6" s="52" t="s">
        <v>1894</v>
      </c>
      <c r="M6" s="119" t="str">
        <f>IFERROR(__xludf.DUMMYFUNCTION("GOOGLETRANSLATE(A6,""zh-tw"",""en"")"),"R2")</f>
        <v>R2</v>
      </c>
      <c r="N6" s="153" t="str">
        <f>IFERROR(__xludf.DUMMYFUNCTION("GOOGLETRANSLATE(B6,""zh-tw"",""zh"")"),"闪步太刀")</f>
        <v>闪步太刀</v>
      </c>
      <c r="O6" s="95" t="s">
        <v>1895</v>
      </c>
      <c r="P6" s="55" t="str">
        <f>IFERROR(__xludf.DUMMYFUNCTION("GOOGLETRANSLATE(D6,""zh-tw"",""zh"")"),"习得技能:闪步太刀")</f>
        <v>习得技能:闪步太刀</v>
      </c>
      <c r="Q6" s="119" t="str">
        <f>IFERROR(__xludf.DUMMYFUNCTION("GOOGLETRANSLATE(A6,""zh-tw"",""ja"")"),"R2")</f>
        <v>R2</v>
      </c>
      <c r="R6" s="154" t="str">
        <f>IFERROR(__xludf.DUMMYFUNCTION("GOOGLETRANSLATE(B6,""zh-tw"",""es-MX"")"),"espada de paso relámpago")</f>
        <v>espada de paso relámpago</v>
      </c>
      <c r="S6" s="89" t="str">
        <f>IFERROR(__xludf.DUMMYFUNCTION("GOOGLETRANSLATE(C6,""zh-tw"",""es-MX"")"),"Equípate con una ""Espada de Madera Dura"" y habla con el espadachín orejudo en el Punto de Encuentro de la Senda del Aventurero. Tras derrotarlo, podrás cambiar de arma durante el proceso.")</f>
        <v>Equípate con una "Espada de Madera Dura" y habla con el espadachín orejudo en el Punto de Encuentro de la Senda del Aventurero. Tras derrotarlo, podrás cambiar de arma durante el proceso.</v>
      </c>
      <c r="T6" s="55" t="str">
        <f>IFERROR(__xludf.DUMMYFUNCTION("GOOGLETRANSLATE(D6,""zh-tw"",""es-MX"")"),"Habilidad aprendida: Katana de paso relámpago")</f>
        <v>Habilidad aprendida: Katana de paso relámpago</v>
      </c>
      <c r="U6" s="155" t="str">
        <f>IFERROR(__xludf.DUMMYFUNCTION("GOOGLETRANSLATE(A6,""zh-tw"",""en"")"),"R2")</f>
        <v>R2</v>
      </c>
      <c r="V6" s="154" t="str">
        <f>IFERROR(__xludf.DUMMYFUNCTION("GOOGLETRANSLATE(B6,""zh-tw"",""KO"")"),"플래시 스텝 소드")</f>
        <v>플래시 스텝 소드</v>
      </c>
      <c r="W6" s="89" t="str">
        <f>IFERROR(__xludf.DUMMYFUNCTION("GOOGLETRANSLATE(C6,""zh-tw"",""KO"")"),"""단단한 나무 검""을 장착하거나 소지하고 모험가의 길: 모임 장소에 있는 고양이귀 검사 NPC와 대화하여 처치하세요.
(무기는 진행 중에 교체할 ​​수 있습니다.)")</f>
        <v>"단단한 나무 검"을 장착하거나 소지하고 모험가의 길: 모임 장소에 있는 고양이귀 검사 NPC와 대화하여 처치하세요.
(무기는 진행 중에 교체할 ​​수 있습니다.)</v>
      </c>
      <c r="X6" s="55" t="str">
        <f>IFERROR(__xludf.DUMMYFUNCTION("GOOGLETRANSLATE(D6,""zh-tw"",""KO"")"),"습득 기술: 플래시 스텝 카타나")</f>
        <v>습득 기술: 플래시 스텝 카타나</v>
      </c>
      <c r="Y6" s="155" t="str">
        <f>IFERROR(__xludf.DUMMYFUNCTION("GOOGLETRANSLATE(E6,""zh-tw"",""en"")"),"R2")</f>
        <v>R2</v>
      </c>
      <c r="Z6" s="153" t="str">
        <f>IFERROR(__xludf.DUMMYFUNCTION("GOOGLETRANSLATE(B6,""zh-tw"",""ru"")"),"Меч-шаг Флэш")</f>
        <v>Меч-шаг Флэш</v>
      </c>
      <c r="AA6" s="156" t="str">
        <f>IFERROR(__xludf.DUMMYFUNCTION("GOOGLETRANSLATE(C6,""zh-tw"",""RU"")"),"Вооружитесь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f>
        <v>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v>
      </c>
      <c r="AB6" s="44" t="str">
        <f>IFERROR(__xludf.DUMMYFUNCTION("GOOGLETRANSLATE(D6,""zh-tw"",""RU"")"),"Изученный навык: Молниеносный шаг катаны")</f>
        <v>Изученный навык: Молниеносный шаг катаны</v>
      </c>
      <c r="AC6" s="155" t="str">
        <f>IFERROR(__xludf.DUMMYFUNCTION("GOOGLETRANSLATE(I6,""zh-tw"",""en"")"),"R2")</f>
        <v>R2</v>
      </c>
      <c r="AD6" s="153" t="s">
        <v>1896</v>
      </c>
      <c r="AE6" s="158" t="s">
        <v>1897</v>
      </c>
      <c r="AF6" s="105" t="s">
        <v>1898</v>
      </c>
      <c r="AG6" s="159" t="s">
        <v>1886</v>
      </c>
      <c r="AH6" s="160" t="s">
        <v>1892</v>
      </c>
      <c r="AI6" s="161" t="s">
        <v>1899</v>
      </c>
      <c r="AJ6" s="162" t="s">
        <v>1900</v>
      </c>
      <c r="AK6" s="30"/>
      <c r="AL6" s="30"/>
    </row>
    <row r="7" ht="167.25" customHeight="1">
      <c r="A7" s="107" t="s">
        <v>1901</v>
      </c>
      <c r="B7" s="153" t="s">
        <v>1902</v>
      </c>
      <c r="C7" s="95" t="s">
        <v>1903</v>
      </c>
      <c r="D7" s="52" t="s">
        <v>1904</v>
      </c>
      <c r="E7" s="107" t="str">
        <f>IFERROR(__xludf.DUMMYFUNCTION("GOOGLETRANSLATE(A7,""zh-tw"",""ja"")"),"R3")</f>
        <v>R3</v>
      </c>
      <c r="F7" s="153" t="s">
        <v>1905</v>
      </c>
      <c r="G7" s="95" t="s">
        <v>1906</v>
      </c>
      <c r="H7" s="52" t="s">
        <v>1907</v>
      </c>
      <c r="I7" s="107" t="str">
        <f>IFERROR(__xludf.DUMMYFUNCTION("GOOGLETRANSLATE(A7,""zh-tw"",""en"")"),"R3")</f>
        <v>R3</v>
      </c>
      <c r="J7" s="153" t="s">
        <v>1908</v>
      </c>
      <c r="K7" s="95" t="s">
        <v>1909</v>
      </c>
      <c r="L7" s="52" t="s">
        <v>1910</v>
      </c>
      <c r="M7" s="119" t="str">
        <f>IFERROR(__xludf.DUMMYFUNCTION("GOOGLETRANSLATE(A7,""zh-tw"",""en"")"),"R3")</f>
        <v>R3</v>
      </c>
      <c r="N7" s="153"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19" t="str">
        <f>IFERROR(__xludf.DUMMYFUNCTION("GOOGLETRANSLATE(A7,""zh-tw"",""ja"")"),"R3")</f>
        <v>R3</v>
      </c>
      <c r="R7" s="154" t="str">
        <f>IFERROR(__xludf.DUMMYFUNCTION("GOOGLETRANSLATE(B7,""zh-tw"",""es-MX"")"),"entrenamiento en esgrima")</f>
        <v>entrenamiento en esgrima</v>
      </c>
      <c r="S7" s="95" t="s">
        <v>1911</v>
      </c>
      <c r="T7" s="55" t="str">
        <f>IFERROR(__xludf.DUMMYFUNCTION("GOOGLETRANSLATE(D7,""zh-tw"",""es-MX"")"),"Durante el entrenamiento, las estadísticas ocultas se irán acumulando gradualmente hasta un máximo de 36 000 golpes aéreos.
A medida que se acumulan los golpes aéreos, el poder de ataque de los ataques básicos aumentará gradualmente, junto con un ligero "&amp;"incremento en la velocidad de ataque.")</f>
        <v>Durante el entrenamiento, las estadísticas ocultas se irán acumulando gradualmente hasta un máximo de 36 000 golpes aéreos.
A medida que se acumulan los golpes aéreos, el poder de ataque de los ataques básicos aumentará gradualmente, junto con un ligero incremento en la velocidad de ataque.</v>
      </c>
      <c r="U7" s="155" t="str">
        <f>IFERROR(__xludf.DUMMYFUNCTION("GOOGLETRANSLATE(A7,""zh-tw"",""en"")"),"R3")</f>
        <v>R3</v>
      </c>
      <c r="V7" s="154" t="str">
        <f>IFERROR(__xludf.DUMMYFUNCTION("GOOGLETRANSLATE(B7,""zh-tw"",""KO"")"),"검술 훈련")</f>
        <v>검술 훈련</v>
      </c>
      <c r="W7" s="89" t="str">
        <f>IFERROR(__xludf.DUMMYFUNCTION("GOOGLETRANSLATE(C7,""zh-tw"",""KO"")"),"""플래시 스텝 카타나""를 습득한 후, ""근접 무기""를 장착하고 4번째 공중 공격을 시전하면 자동으로 숨겨진 검술 수련 상태로 전환됩니다.
확대된 무기를 사용하면 수련 효율을 높일 수 있습니다(예: 타로 카드 사용 또는 무기 고유 기술 사용).")</f>
        <v>"플래시 스텝 카타나"를 습득한 후, "근접 무기"를 장착하고 4번째 공중 공격을 시전하면 자동으로 숨겨진 검술 수련 상태로 전환됩니다.
확대된 무기를 사용하면 수련 효율을 높일 수 있습니다(예: 타로 카드 사용 또는 무기 고유 기술 사용).</v>
      </c>
      <c r="X7" s="55" t="str">
        <f>IFERROR(__xludf.DUMMYFUNCTION("GOOGLETRANSLATE(D7,""zh-tw"",""KO"")"),"훈련 중에는 숨겨진 능력치가 점차 누적되어 최대 36,000회의 공중 휘두르기까지 사용할 수 있습니다.
공중 휘두르기 횟수가 누적될수록 기본 공격의 공격력이 점차 증가하고, 공격 속도도 소폭 증가합니다.")</f>
        <v>훈련 중에는 숨겨진 능력치가 점차 누적되어 최대 36,000회의 공중 휘두르기까지 사용할 수 있습니다.
공중 휘두르기 횟수가 누적될수록 기본 공격의 공격력이 점차 증가하고, 공격 속도도 소폭 증가합니다.</v>
      </c>
      <c r="Y7" s="155" t="str">
        <f>IFERROR(__xludf.DUMMYFUNCTION("GOOGLETRANSLATE(E7,""zh-tw"",""en"")"),"R3")</f>
        <v>R3</v>
      </c>
      <c r="Z7" s="153" t="str">
        <f>IFERROR(__xludf.DUMMYFUNCTION("GOOGLETRANSLATE(B7,""zh-tw"",""ru"")"),"Обучение фехтованию")</f>
        <v>Обучение фехтованию</v>
      </c>
      <c r="AA7" s="156" t="str">
        <f>IFERROR(__xludf.DUMMYFUNCTION("GOOGLETRANSLATE(C7,""zh-tw"",""RU"")"),"После изучения «Быстрого шага катаны» использование «оружия ближнего боя» и выполнение 4-й воздушной атаки автоматически перейдет в скрытое состояние обучения фехтованию.
Использование увеличенного оружия может повысить эффективность тренировок (например"&amp;", использование карт Таро или навыков, присущих самому оружию).")</f>
        <v>После изучения «Быстрого шага катаны» использование «оружия ближнего боя» и выполнение 4-й воздушной атаки автоматически перейдет в скрытое состояние обучения фехтованию.
Использование увеличенного оружия может повысить эффективность тренировок (например, использование карт Таро или навыков, присущих самому оружию).</v>
      </c>
      <c r="AB7" s="44" t="str">
        <f>IFERROR(__xludf.DUMMYFUNCTION("GOOGLETRANSLATE(D7,""zh-tw"",""RU"")"),"Во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скорост"&amp;"ь атаки.")</f>
        <v>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скорость атаки.</v>
      </c>
      <c r="AC7" s="155" t="str">
        <f>IFERROR(__xludf.DUMMYFUNCTION("GOOGLETRANSLATE(I7,""zh-tw"",""en"")"),"R3")</f>
        <v>R3</v>
      </c>
      <c r="AD7" s="153" t="s">
        <v>1912</v>
      </c>
      <c r="AE7" s="158" t="s">
        <v>1913</v>
      </c>
      <c r="AF7" s="105" t="s">
        <v>1914</v>
      </c>
      <c r="AG7" s="159" t="s">
        <v>1901</v>
      </c>
      <c r="AH7" s="160" t="s">
        <v>1915</v>
      </c>
      <c r="AI7" s="161" t="s">
        <v>1916</v>
      </c>
      <c r="AJ7" s="162" t="s">
        <v>1917</v>
      </c>
      <c r="AK7" s="30"/>
      <c r="AL7" s="30"/>
    </row>
    <row r="8">
      <c r="A8" s="107" t="s">
        <v>1918</v>
      </c>
      <c r="B8" s="153" t="s">
        <v>1919</v>
      </c>
      <c r="C8" s="95" t="s">
        <v>1920</v>
      </c>
      <c r="D8" s="52" t="s">
        <v>1921</v>
      </c>
      <c r="E8" s="107" t="str">
        <f>IFERROR(__xludf.DUMMYFUNCTION("GOOGLETRANSLATE(A8,""zh-tw"",""ja"")"),"R4")</f>
        <v>R4</v>
      </c>
      <c r="F8" s="153" t="s">
        <v>1922</v>
      </c>
      <c r="G8" s="163" t="s">
        <v>1923</v>
      </c>
      <c r="H8" s="52" t="s">
        <v>1924</v>
      </c>
      <c r="I8" s="107" t="str">
        <f>IFERROR(__xludf.DUMMYFUNCTION("GOOGLETRANSLATE(A8,""zh-tw"",""en"")"),"R4")</f>
        <v>R4</v>
      </c>
      <c r="J8" s="153" t="s">
        <v>1925</v>
      </c>
      <c r="K8" s="163" t="s">
        <v>1926</v>
      </c>
      <c r="L8" s="52" t="s">
        <v>1927</v>
      </c>
      <c r="M8" s="119" t="str">
        <f>IFERROR(__xludf.DUMMYFUNCTION("GOOGLETRANSLATE(A8,""zh-tw"",""en"")"),"R4")</f>
        <v>R4</v>
      </c>
      <c r="N8" s="153"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19" t="str">
        <f>IFERROR(__xludf.DUMMYFUNCTION("GOOGLETRANSLATE(A8,""zh-tw"",""ja"")"),"R4")</f>
        <v>R4</v>
      </c>
      <c r="R8" s="154" t="str">
        <f>IFERROR(__xludf.DUMMYFUNCTION("GOOGLETRANSLATE(B8,""zh-tw"",""es-MX"")"),"¿Dónde puedo encontrar la guía estratégica?")</f>
        <v>¿Dónde puedo encontrar la guía estratégica?</v>
      </c>
      <c r="S8" s="95" t="s">
        <v>1928</v>
      </c>
      <c r="T8" s="55" t="str">
        <f>IFERROR(__xludf.DUMMYFUNCTION("GOOGLETRANSLATE(D8,""zh-tw"",""es-MX"")"),"Objeto obtenido: Perspectivas del aventurero
*La historia continuará.")</f>
        <v>Objeto obtenido: Perspectivas del aventurero
*La historia continuará.</v>
      </c>
      <c r="U8" s="155" t="str">
        <f>IFERROR(__xludf.DUMMYFUNCTION("GOOGLETRANSLATE(A8,""zh-tw"",""en"")"),"R4")</f>
        <v>R4</v>
      </c>
      <c r="V8" s="154" t="str">
        <f>IFERROR(__xludf.DUMMYFUNCTION("GOOGLETRANSLATE(B8,""zh-tw"",""KO"")"),"전략 가이드는 어디서 찾을 수 있나요?")</f>
        <v>전략 가이드는 어디서 찾을 수 있나요?</v>
      </c>
      <c r="W8" s="89" t="str">
        <f>IFERROR(__xludf.DUMMYFUNCTION("GOOGLETRANSLATE(C8,""zh-tw"",""KO"")"),"모험가의 길: 모임 장소, 모닥불 앞. ""드레스 입은 유령 소녀""는 햇볕이 잘 드는 날(덥지 않은 날) 정오 전에만 나타납니다. 그녀와 대화하고 다음 날 다시 대화하면 아이템을 보상으로 받을 수 있습니다.")</f>
        <v>모험가의 길: 모임 장소, 모닥불 앞. "드레스 입은 유령 소녀"는 햇볕이 잘 드는 날(덥지 않은 날) 정오 전에만 나타납니다. 그녀와 대화하고 다음 날 다시 대화하면 아이템을 보상으로 받을 수 있습니다.</v>
      </c>
      <c r="X8" s="55" t="str">
        <f>IFERROR(__xludf.DUMMYFUNCTION("GOOGLETRANSLATE(D8,""zh-tw"",""KO"")"),"획득 아이템: 모험가의 통찰력
*추가 스토리는 추후 업데이트됩니다.")</f>
        <v>획득 아이템: 모험가의 통찰력
*추가 스토리는 추후 업데이트됩니다.</v>
      </c>
      <c r="Y8" s="155" t="str">
        <f>IFERROR(__xludf.DUMMYFUNCTION("GOOGLETRANSLATE(E8,""zh-tw"",""en"")"),"R4")</f>
        <v>R4</v>
      </c>
      <c r="Z8" s="153" t="str">
        <f>IFERROR(__xludf.DUMMYFUNCTION("GOOGLETRANSLATE(B8,""zh-tw"",""ru"")"),"Где я могу найти руководство по стратегии?")</f>
        <v>Где я могу найти руководство по стратегии?</v>
      </c>
      <c r="AA8" s="156" t="str">
        <f>IFERROR(__xludf.DUMMYFUNCTION("GOOGLETRANSLATE(C8,""zh-tw"",""RU"")"),"Путь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f>
        <v>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v>
      </c>
      <c r="AB8" s="44" t="str">
        <f>IFERROR(__xludf.DUMMYFUNCTION("GOOGLETRANSLATE(D8,""zh-tw"",""RU"")"),"Полученный предмет: «Прозрения искателя приключений»
*Дальнейшая история будет обновлена.")</f>
        <v>Полученный предмет: «Прозрения искателя приключений»
*Дальнейшая история будет обновлена.</v>
      </c>
      <c r="AC8" s="155" t="str">
        <f>IFERROR(__xludf.DUMMYFUNCTION("GOOGLETRANSLATE(I8,""zh-tw"",""en"")"),"R4")</f>
        <v>R4</v>
      </c>
      <c r="AD8" s="153" t="s">
        <v>1929</v>
      </c>
      <c r="AE8" s="158" t="s">
        <v>1930</v>
      </c>
      <c r="AF8" s="105" t="s">
        <v>1931</v>
      </c>
      <c r="AG8" s="159" t="s">
        <v>1918</v>
      </c>
      <c r="AH8" s="164" t="s">
        <v>1932</v>
      </c>
      <c r="AI8" s="165" t="s">
        <v>1933</v>
      </c>
      <c r="AJ8" s="166" t="s">
        <v>1934</v>
      </c>
      <c r="AK8" s="30"/>
      <c r="AL8" s="30"/>
    </row>
    <row r="9">
      <c r="A9" s="107" t="s">
        <v>1935</v>
      </c>
      <c r="B9" s="153" t="s">
        <v>1936</v>
      </c>
      <c r="C9" s="95" t="s">
        <v>1937</v>
      </c>
      <c r="D9" s="167" t="s">
        <v>724</v>
      </c>
      <c r="E9" s="107" t="str">
        <f>IFERROR(__xludf.DUMMYFUNCTION("GOOGLETRANSLATE(A9,""zh-tw"",""ja"")"),"R5")</f>
        <v>R5</v>
      </c>
      <c r="F9" s="153" t="s">
        <v>1938</v>
      </c>
      <c r="G9" s="95" t="s">
        <v>1939</v>
      </c>
      <c r="H9" s="167" t="str">
        <f>IFERROR(__xludf.DUMMYFUNCTION("GOOGLETRANSLATE(D9,""zh-tw"",""ja"")"),"-")</f>
        <v>-</v>
      </c>
      <c r="I9" s="107" t="str">
        <f>IFERROR(__xludf.DUMMYFUNCTION("GOOGLETRANSLATE(A9,""zh-tw"",""en"")"),"R5")</f>
        <v>R5</v>
      </c>
      <c r="J9" s="153" t="s">
        <v>1940</v>
      </c>
      <c r="K9" s="95" t="s">
        <v>1941</v>
      </c>
      <c r="L9" s="55" t="str">
        <f>IFERROR(__xludf.DUMMYFUNCTION("GOOGLETRANSLATE(D9,""zh-tw"",""en"")"),"-")</f>
        <v>-</v>
      </c>
      <c r="M9" s="119" t="str">
        <f>IFERROR(__xludf.DUMMYFUNCTION("GOOGLETRANSLATE(A9,""zh-tw"",""en"")"),"R5")</f>
        <v>R5</v>
      </c>
      <c r="N9" s="153" t="str">
        <f>IFERROR(__xludf.DUMMYFUNCTION("GOOGLETRANSLATE(B9,""zh-tw"",""zh"")"),"饮料贩售机重生")</f>
        <v>饮料贩售机重生</v>
      </c>
      <c r="O9" s="95" t="s">
        <v>1942</v>
      </c>
      <c r="P9" s="168" t="str">
        <f>IFERROR(__xludf.DUMMYFUNCTION("GOOGLETRANSLATE(D9,""zh-tw"",""zh"")"),"-")</f>
        <v>-</v>
      </c>
      <c r="Q9" s="119" t="str">
        <f>IFERROR(__xludf.DUMMYFUNCTION("GOOGLETRANSLATE(A9,""zh-tw"",""ja"")"),"R5")</f>
        <v>R5</v>
      </c>
      <c r="R9" s="154" t="str">
        <f>IFERROR(__xludf.DUMMYFUNCTION("GOOGLETRANSLATE(B9,""zh-tw"",""es-MX"")"),"La máquina expendedora de bebidas renace")</f>
        <v>La máquina expendedora de bebidas renace</v>
      </c>
      <c r="S9" s="89" t="str">
        <f>IFERROR(__xludf.DUMMYFUNCTION("GOOGLETRANSLATE(C9,""zh-tw"",""es-MX"")"),"Sendero del aventurero: Punto de encuentro. Si destruyes una máquina expendedora de bebidas, reaparecerá durante la temporada de lluvias y aumentará su precio.")</f>
        <v>Sendero del aventurero: Punto de encuentro. Si destruyes una máquina expendedora de bebidas, reaparecerá durante la temporada de lluvias y aumentará su precio.</v>
      </c>
      <c r="T9" s="168" t="str">
        <f>IFERROR(__xludf.DUMMYFUNCTION("GOOGLETRANSLATE(D9,""zh-tw"",""es-MX"")"),"-")</f>
        <v>-</v>
      </c>
      <c r="U9" s="155" t="str">
        <f>IFERROR(__xludf.DUMMYFUNCTION("GOOGLETRANSLATE(A9,""zh-tw"",""en"")"),"R5")</f>
        <v>R5</v>
      </c>
      <c r="V9" s="154" t="str">
        <f>IFERROR(__xludf.DUMMYFUNCTION("GOOGLETRANSLATE(B9,""zh-tw"",""KO"")"),"음료 자판기 부활")</f>
        <v>음료 자판기 부활</v>
      </c>
      <c r="W9" s="89" t="str">
        <f>IFERROR(__xludf.DUMMYFUNCTION("GOOGLETRANSLATE(C9,""zh-tw"",""KO"")"),"모험가의 길: 모임 장소 음료 자판기를 파괴하면 비가 오는 날씨에 다시 생성되어 가격이 상승합니다.")</f>
        <v>모험가의 길: 모임 장소 음료 자판기를 파괴하면 비가 오는 날씨에 다시 생성되어 가격이 상승합니다.</v>
      </c>
      <c r="X9" s="168" t="str">
        <f>IFERROR(__xludf.DUMMYFUNCTION("GOOGLETRANSLATE(D9,""zh-tw"",""KO"")"),"-")</f>
        <v>-</v>
      </c>
      <c r="Y9" s="155" t="str">
        <f>IFERROR(__xludf.DUMMYFUNCTION("GOOGLETRANSLATE(E9,""zh-tw"",""en"")"),"R5")</f>
        <v>R5</v>
      </c>
      <c r="Z9" s="153" t="str">
        <f>IFERROR(__xludf.DUMMYFUNCTION("GOOGLETRANSLATE(B9,""zh-tw"",""ru"")"),"Возрождение автомата по продаже напитков")</f>
        <v>Возрождение автомата по продаже напитков</v>
      </c>
      <c r="AA9" s="156" t="str">
        <f>IFERROR(__xludf.DUMMYFUNCTION("GOOGLETRANSLATE(C9,""zh-tw"",""RU"")"),"Путь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f>
        <v>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v>
      </c>
      <c r="AB9" s="169" t="str">
        <f>IFERROR(__xludf.DUMMYFUNCTION("GOOGLETRANSLATE(D9,""zh-tw"",""RU"")"),"-")</f>
        <v>-</v>
      </c>
      <c r="AC9" s="155" t="str">
        <f>IFERROR(__xludf.DUMMYFUNCTION("GOOGLETRANSLATE(I9,""zh-tw"",""en"")"),"R5")</f>
        <v>R5</v>
      </c>
      <c r="AD9" s="153" t="s">
        <v>1943</v>
      </c>
      <c r="AE9" s="158" t="s">
        <v>1944</v>
      </c>
      <c r="AF9" s="105" t="s">
        <v>1945</v>
      </c>
      <c r="AG9" s="159" t="s">
        <v>1935</v>
      </c>
      <c r="AH9" s="160" t="s">
        <v>1946</v>
      </c>
      <c r="AI9" s="161" t="s">
        <v>1947</v>
      </c>
      <c r="AJ9" s="170" t="s">
        <v>724</v>
      </c>
      <c r="AK9" s="30"/>
      <c r="AL9" s="30"/>
    </row>
    <row r="10" ht="122.25" customHeight="1">
      <c r="A10" s="107" t="s">
        <v>1948</v>
      </c>
      <c r="B10" s="171" t="s">
        <v>1949</v>
      </c>
      <c r="C10" s="172" t="s">
        <v>1950</v>
      </c>
      <c r="D10" s="87" t="s">
        <v>1951</v>
      </c>
      <c r="E10" s="107" t="str">
        <f>IFERROR(__xludf.DUMMYFUNCTION("GOOGLETRANSLATE(A10,""zh-tw"",""ja"")"),"R6")</f>
        <v>R6</v>
      </c>
      <c r="F10" s="153" t="s">
        <v>1952</v>
      </c>
      <c r="G10" s="163" t="s">
        <v>1953</v>
      </c>
      <c r="H10" s="52" t="s">
        <v>1954</v>
      </c>
      <c r="I10" s="107" t="str">
        <f>IFERROR(__xludf.DUMMYFUNCTION("GOOGLETRANSLATE(A10,""zh-tw"",""en"")"),"R6")</f>
        <v>R6</v>
      </c>
      <c r="J10" s="153" t="s">
        <v>1955</v>
      </c>
      <c r="K10" s="95" t="s">
        <v>1956</v>
      </c>
      <c r="L10" s="52" t="s">
        <v>1957</v>
      </c>
      <c r="M10" s="119" t="str">
        <f>IFERROR(__xludf.DUMMYFUNCTION("GOOGLETRANSLATE(A10,""zh-tw"",""en"")"),"R6")</f>
        <v>R6</v>
      </c>
      <c r="N10" s="153"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19" t="str">
        <f>IFERROR(__xludf.DUMMYFUNCTION("GOOGLETRANSLATE(A10,""zh-tw"",""ja"")"),"R6")</f>
        <v>R6</v>
      </c>
      <c r="R10" s="154" t="str">
        <f>IFERROR(__xludf.DUMMYFUNCTION("GOOGLETRANSLATE(B10,""zh-tw"",""es-MX"")"),"cubo de la basura")</f>
        <v>cubo de la basura</v>
      </c>
      <c r="S10" s="89" t="str">
        <f>IFERROR(__xludf.DUMMYFUNCTION("GOOGLETRANSLATE(C10,""zh-tw"",""es-MX"")"),"Sendero del Aventurero: Punto de Encuentro
Desecha tu equipo en un cubo de basura. Al explotar el cubo, obtendrás objetos.
Esto solo se aplica al día en que deseches el objeto; el día siguiente no contará.")</f>
        <v>Sendero del Aventurero: Punto de Encuentro
Desecha tu equipo en un cubo de basura. Al explotar el cubo, obtendrás objetos.
Esto solo se aplica al día en que deseches el objeto; el día siguiente no contará.</v>
      </c>
      <c r="T10" s="55" t="str">
        <f>IFERROR(__xludf.DUMMYFUNCTION("GOOGLETRANSLATE(D10,""zh-tw"",""es-MX"")"),"Objeto obtenido: Gel mágico
Se usa para ampliar las ranuras de la mochila.")</f>
        <v>Objeto obtenido: Gel mágico
Se usa para ampliar las ranuras de la mochila.</v>
      </c>
      <c r="U10" s="155" t="str">
        <f>IFERROR(__xludf.DUMMYFUNCTION("GOOGLETRANSLATE(A10,""zh-tw"",""en"")"),"R6")</f>
        <v>R6</v>
      </c>
      <c r="V10" s="154"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55" t="str">
        <f>IFERROR(__xludf.DUMMYFUNCTION("GOOGLETRANSLATE(E10,""zh-tw"",""en"")"),"R6")</f>
        <v>R6</v>
      </c>
      <c r="Z10" s="153" t="str">
        <f>IFERROR(__xludf.DUMMYFUNCTION("GOOGLETRANSLATE(B10,""zh-tw"",""ru"")"),"мусорный бак")</f>
        <v>мусорный бак</v>
      </c>
      <c r="AA10" s="156"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IFERROR(__xludf.DUMMYFUNCTION("GOOGLETRANSLATE(D10,""zh-tw"",""RU"")"),"Получить предмет: Волшебный гель
Используется для расширения слотов рюкзака.")</f>
        <v>Получить предмет: Волшебный гель
Используется для расширения слотов рюкзака.</v>
      </c>
      <c r="AC10" s="155" t="str">
        <f>IFERROR(__xludf.DUMMYFUNCTION("GOOGLETRANSLATE(I10,""zh-tw"",""en"")"),"R6")</f>
        <v>R6</v>
      </c>
      <c r="AD10" s="153" t="s">
        <v>1958</v>
      </c>
      <c r="AE10" s="158" t="s">
        <v>1959</v>
      </c>
      <c r="AF10" s="105" t="s">
        <v>1960</v>
      </c>
      <c r="AG10" s="159" t="s">
        <v>1948</v>
      </c>
      <c r="AH10" s="160" t="s">
        <v>1961</v>
      </c>
      <c r="AI10" s="161" t="s">
        <v>1962</v>
      </c>
      <c r="AJ10" s="162" t="s">
        <v>1963</v>
      </c>
      <c r="AK10" s="30"/>
      <c r="AL10" s="30"/>
    </row>
    <row r="11">
      <c r="A11" s="107" t="s">
        <v>1964</v>
      </c>
      <c r="B11" s="153" t="s">
        <v>1965</v>
      </c>
      <c r="C11" s="95" t="s">
        <v>1966</v>
      </c>
      <c r="D11" s="52" t="s">
        <v>1967</v>
      </c>
      <c r="E11" s="107" t="str">
        <f>IFERROR(__xludf.DUMMYFUNCTION("GOOGLETRANSLATE(A11,""zh-tw"",""ja"")"),"R7")</f>
        <v>R7</v>
      </c>
      <c r="F11" s="153" t="s">
        <v>1968</v>
      </c>
      <c r="G11" s="95" t="s">
        <v>1969</v>
      </c>
      <c r="H11" s="52" t="s">
        <v>1970</v>
      </c>
      <c r="I11" s="107" t="str">
        <f>IFERROR(__xludf.DUMMYFUNCTION("GOOGLETRANSLATE(A11,""zh-tw"",""en"")"),"R7")</f>
        <v>R7</v>
      </c>
      <c r="J11" s="153" t="s">
        <v>1971</v>
      </c>
      <c r="K11" s="95" t="s">
        <v>1972</v>
      </c>
      <c r="L11" s="52" t="s">
        <v>1973</v>
      </c>
      <c r="M11" s="119" t="str">
        <f>IFERROR(__xludf.DUMMYFUNCTION("GOOGLETRANSLATE(A11,""zh-tw"",""en"")"),"R7")</f>
        <v>R7</v>
      </c>
      <c r="N11" s="153"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1974</v>
      </c>
      <c r="Q11" s="119" t="str">
        <f>IFERROR(__xludf.DUMMYFUNCTION("GOOGLETRANSLATE(A11,""zh-tw"",""ja"")"),"R7")</f>
        <v>R7</v>
      </c>
      <c r="R11" s="154" t="str">
        <f>IFERROR(__xludf.DUMMYFUNCTION("GOOGLETRANSLATE(B11,""zh-tw"",""es-MX"")"),"5000$")</f>
        <v>5000$</v>
      </c>
      <c r="S11" s="89" t="str">
        <f>IFERROR(__xludf.DUMMYFUNCTION("GOOGLETRANSLATE(C11,""zh-tw"",""es-MX"")"),"Sendero del Aventurero: Bosque
Recoge el hacha que está detrás de la chimenea de la cabaña.
(El hacha se encuentra a la izquierda de la cabaña).")</f>
        <v>Sendero del Aventurero: Bosque
Recoge el hacha que está detrás de la chimenea de la cabaña.
(El hacha se encuentra a la izquierda de la cabaña).</v>
      </c>
      <c r="T11" s="55" t="str">
        <f>IFERROR(__xludf.DUMMYFUNCTION("GOOGLETRANSLATE(D11,""zh-tw"",""es-MX"")"),"$5000
Después de la lluvia, se repondrá, pero la cantidad se reducirá.")</f>
        <v>$5000
Después de la lluvia, se repondrá, pero la cantidad se reducirá.</v>
      </c>
      <c r="U11" s="155" t="str">
        <f>IFERROR(__xludf.DUMMYFUNCTION("GOOGLETRANSLATE(A11,""zh-tw"",""en"")"),"R7")</f>
        <v>R7</v>
      </c>
      <c r="V11" s="153" t="s">
        <v>1975</v>
      </c>
      <c r="W11" s="95" t="s">
        <v>1976</v>
      </c>
      <c r="X11" s="52" t="s">
        <v>1977</v>
      </c>
      <c r="Y11" s="155" t="str">
        <f>IFERROR(__xludf.DUMMYFUNCTION("GOOGLETRANSLATE(E11,""zh-tw"",""en"")"),"R7")</f>
        <v>R7</v>
      </c>
      <c r="Z11" s="153" t="str">
        <f>IFERROR(__xludf.DUMMYFUNCTION("GOOGLETRANSLATE(B11,""zh-tw"",""ru"")"),"5000$")</f>
        <v>5000$</v>
      </c>
      <c r="AA11" s="156" t="str">
        <f>IFERROR(__xludf.DUMMYFUNCTION("GOOGLETRANSLATE(C11,""zh-tw"",""RU"")"),"Тропа искателя приключений: Лес
Подберите топор за дымоходом хижины.
(Топор находится слева от хижины).")</f>
        <v>Тропа искателя приключений: Лес
Подберите топор за дымоходом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55" t="str">
        <f>IFERROR(__xludf.DUMMYFUNCTION("GOOGLETRANSLATE(I11,""zh-tw"",""en"")"),"R7")</f>
        <v>R7</v>
      </c>
      <c r="AD11" s="153" t="s">
        <v>1978</v>
      </c>
      <c r="AE11" s="158" t="s">
        <v>1979</v>
      </c>
      <c r="AF11" s="105" t="s">
        <v>1980</v>
      </c>
      <c r="AG11" s="159" t="s">
        <v>1964</v>
      </c>
      <c r="AH11" s="160" t="s">
        <v>1981</v>
      </c>
      <c r="AI11" s="161" t="s">
        <v>1982</v>
      </c>
      <c r="AJ11" s="162" t="s">
        <v>1983</v>
      </c>
      <c r="AK11" s="30"/>
      <c r="AL11" s="30"/>
    </row>
    <row r="12">
      <c r="A12" s="107" t="s">
        <v>1984</v>
      </c>
      <c r="B12" s="153" t="s">
        <v>1985</v>
      </c>
      <c r="C12" s="95" t="s">
        <v>1986</v>
      </c>
      <c r="D12" s="52" t="s">
        <v>1987</v>
      </c>
      <c r="E12" s="107" t="str">
        <f>IFERROR(__xludf.DUMMYFUNCTION("GOOGLETRANSLATE(A12,""zh-tw"",""ja"")"),"R8")</f>
        <v>R8</v>
      </c>
      <c r="F12" s="153" t="s">
        <v>1988</v>
      </c>
      <c r="G12" s="95" t="s">
        <v>1989</v>
      </c>
      <c r="H12" s="52" t="s">
        <v>1990</v>
      </c>
      <c r="I12" s="107" t="str">
        <f>IFERROR(__xludf.DUMMYFUNCTION("GOOGLETRANSLATE(A12,""zh-tw"",""en"")"),"R8")</f>
        <v>R8</v>
      </c>
      <c r="J12" s="153" t="s">
        <v>1991</v>
      </c>
      <c r="K12" s="95" t="s">
        <v>1992</v>
      </c>
      <c r="L12" s="52" t="s">
        <v>1993</v>
      </c>
      <c r="M12" s="119" t="str">
        <f>IFERROR(__xludf.DUMMYFUNCTION("GOOGLETRANSLATE(A12,""zh-tw"",""en"")"),"R8")</f>
        <v>R8</v>
      </c>
      <c r="N12" s="153" t="str">
        <f>IFERROR(__xludf.DUMMYFUNCTION("GOOGLETRANSLATE(B12,""zh-tw"",""zh"")"),"游戏机")</f>
        <v>游戏机</v>
      </c>
      <c r="O12" s="95" t="s">
        <v>1994</v>
      </c>
      <c r="P12" s="55" t="str">
        <f>IFERROR(__xludf.DUMMYFUNCTION("GOOGLETRANSLATE(D12,""zh-tw"",""zh"")"),"获得""JoyStation V""
回家后触发和开启与妹妹游戏的功能")</f>
        <v>获得"JoyStation V"
回家后触发和开启与妹妹游戏的功能</v>
      </c>
      <c r="Q12" s="119" t="str">
        <f>IFERROR(__xludf.DUMMYFUNCTION("GOOGLETRANSLATE(A12,""zh-tw"",""ja"")"),"R8")</f>
        <v>R8</v>
      </c>
      <c r="R12" s="154" t="str">
        <f>IFERROR(__xludf.DUMMYFUNCTION("GOOGLETRANSLATE(B12,""zh-tw"",""es-MX"")"),"consolas de videojuegos")</f>
        <v>consolas de videojuegos</v>
      </c>
      <c r="S12" s="89" t="str">
        <f>IFERROR(__xludf.DUMMYFUNCTION("GOOGLETRANSLATE(C12,""zh-tw"",""es-MX"")"),"Sendero del Aventurero: Punto de Encuentro
Ubicado en la Calle del Aventurero, se puede comprar al caballero por 5000 $.")</f>
        <v>Sendero del Aventurero: Punto de Encuentro
Ubicado en la Calle del Aventurero, se puede comprar al caballero por 5000 $.</v>
      </c>
      <c r="T12" s="55" t="str">
        <f>IFERROR(__xludf.DUMMYFUNCTION("GOOGLETRANSLATE(D12,""zh-tw"",""es-MX"")"),"Tras obtener ""JoyStation V"", podrás iniciar y activar el juego con tu hermana al regresar a casa.")</f>
        <v>Tras obtener "JoyStation V", podrás iniciar y activar el juego con tu hermana al regresar a casa.</v>
      </c>
      <c r="U12" s="155" t="str">
        <f>IFERROR(__xludf.DUMMYFUNCTION("GOOGLETRANSLATE(A12,""zh-tw"",""en"")"),"R8")</f>
        <v>R8</v>
      </c>
      <c r="V12" s="154" t="str">
        <f>IFERROR(__xludf.DUMMYFUNCTION("GOOGLETRANSLATE(B12,""zh-tw"",""KO"")"),"게임 콘솔")</f>
        <v>게임 콘솔</v>
      </c>
      <c r="W12" s="89" t="str">
        <f>IFERROR(__xludf.DUMMYFUNCTION("GOOGLETRANSLATE(C12,""zh-tw"",""KO"")"),"모험가의 길: 모임 장소
모험가의 거리에 위치하며, 기사에게서 5,000달러에 구매하세요.")</f>
        <v>모험가의 길: 모임 장소
모험가의 거리에 위치하며, 기사에게서 5,000달러에 구매하세요.</v>
      </c>
      <c r="X12" s="55" t="str">
        <f>IFERROR(__xludf.DUMMYFUNCTION("GOOGLETRANSLATE(D12,""zh-tw"",""KO"")"),"""조이스테이션 V""를 획득한 후, 집으로 돌아와 여동생과 함께 게임을 시작하고 활성화할 수 있습니다.")</f>
        <v>"조이스테이션 V"를 획득한 후, 집으로 돌아와 여동생과 함께 게임을 시작하고 활성화할 수 있습니다.</v>
      </c>
      <c r="Y12" s="155" t="str">
        <f>IFERROR(__xludf.DUMMYFUNCTION("GOOGLETRANSLATE(E12,""zh-tw"",""en"")"),"R8")</f>
        <v>R8</v>
      </c>
      <c r="Z12" s="153" t="str">
        <f>IFERROR(__xludf.DUMMYFUNCTION("GOOGLETRANSLATE(B12,""zh-tw"",""ru"")"),"Игровые консоли")</f>
        <v>Игровые консоли</v>
      </c>
      <c r="AA12" s="156" t="str">
        <f>IFERROR(__xludf.DUMMYFUNCTION("GOOGLETRANSLATE(C12,""zh-tw"",""RU"")"),"Путь Авантюриста: Место сбора
Находится на улице Авантюриста, можно приобрести у рыцаря за 5000 долларов.")</f>
        <v>Путь Авантюриста: Место сбора
Находится на улице Авантюриста, можно приобрести у рыцаря за 5000 долларов.</v>
      </c>
      <c r="AB12" s="44" t="str">
        <f>IFERROR(__xludf.DUMMYFUNCTION("GOOGLETRANSLATE(D12,""zh-tw"",""RU"")"),"Получив «JoyStation V», вы сможете запустить и активировать игру вместе с сестрой по возвращении домой.")</f>
        <v>Получив «JoyStation V», вы сможете запустить и активировать игру вместе с сестрой по возвращении домой.</v>
      </c>
      <c r="AC12" s="155" t="str">
        <f>IFERROR(__xludf.DUMMYFUNCTION("GOOGLETRANSLATE(I12,""zh-tw"",""en"")"),"R8")</f>
        <v>R8</v>
      </c>
      <c r="AD12" s="153" t="s">
        <v>1995</v>
      </c>
      <c r="AE12" s="158" t="s">
        <v>1996</v>
      </c>
      <c r="AF12" s="105" t="s">
        <v>1997</v>
      </c>
      <c r="AG12" s="159" t="s">
        <v>1984</v>
      </c>
      <c r="AH12" s="160" t="s">
        <v>1998</v>
      </c>
      <c r="AI12" s="161" t="s">
        <v>1999</v>
      </c>
      <c r="AJ12" s="162" t="s">
        <v>2000</v>
      </c>
      <c r="AK12" s="30"/>
      <c r="AL12" s="30"/>
    </row>
    <row r="13">
      <c r="A13" s="107" t="s">
        <v>2001</v>
      </c>
      <c r="B13" s="153" t="s">
        <v>2002</v>
      </c>
      <c r="C13" s="95" t="s">
        <v>2003</v>
      </c>
      <c r="D13" s="52" t="s">
        <v>2004</v>
      </c>
      <c r="E13" s="107" t="str">
        <f>IFERROR(__xludf.DUMMYFUNCTION("GOOGLETRANSLATE(A13,""zh-tw"",""ja"")"),"R9")</f>
        <v>R9</v>
      </c>
      <c r="F13" s="153" t="s">
        <v>2005</v>
      </c>
      <c r="G13" s="95" t="s">
        <v>2006</v>
      </c>
      <c r="H13" s="52" t="s">
        <v>2007</v>
      </c>
      <c r="I13" s="107" t="str">
        <f>IFERROR(__xludf.DUMMYFUNCTION("GOOGLETRANSLATE(A13,""zh-tw"",""en"")"),"R9")</f>
        <v>R9</v>
      </c>
      <c r="J13" s="153" t="s">
        <v>2008</v>
      </c>
      <c r="K13" s="95" t="s">
        <v>2009</v>
      </c>
      <c r="L13" s="52" t="s">
        <v>2010</v>
      </c>
      <c r="M13" s="119" t="str">
        <f>IFERROR(__xludf.DUMMYFUNCTION("GOOGLETRANSLATE(A13,""zh-tw"",""en"")"),"R9")</f>
        <v>R9</v>
      </c>
      <c r="N13" s="153"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19" t="str">
        <f>IFERROR(__xludf.DUMMYFUNCTION("GOOGLETRANSLATE(A13,""zh-tw"",""ja"")"),"R9")</f>
        <v>R9</v>
      </c>
      <c r="R13" s="153" t="s">
        <v>2011</v>
      </c>
      <c r="S13" s="95" t="s">
        <v>2012</v>
      </c>
      <c r="T13" s="55" t="str">
        <f>IFERROR(__xludf.DUMMYFUNCTION("GOOGLETRANSLATE(D13,""zh-tw"",""es-MX"")"),"Consigue un juguete de goma para usar en el baño.")</f>
        <v>Consigue un juguete de goma para usar en el baño.</v>
      </c>
      <c r="U13" s="155" t="str">
        <f>IFERROR(__xludf.DUMMYFUNCTION("GOOGLETRANSLATE(A13,""zh-tw"",""en"")"),"R9")</f>
        <v>R9</v>
      </c>
      <c r="V13" s="154" t="str">
        <f>IFERROR(__xludf.DUMMYFUNCTION("GOOGLETRANSLATE(B13,""zh-tw"",""KO"")"),"오리")</f>
        <v>오리</v>
      </c>
      <c r="W13" s="89" t="str">
        <f>IFERROR(__xludf.DUMMYFUNCTION("GOOGLETRANSLATE(C13,""zh-tw"",""KO"")"),"모험가의 길: 기념물
오른쪽 강둑에 있습니다.
*폐허의 숲-4에 있는 폭포에서 이곳으로 휩쓸려 왔다면, 또 다른 대화가 시작됩니다.")</f>
        <v>모험가의 길: 기념물
오른쪽 강둑에 있습니다.
*폐허의 숲-4에 있는 폭포에서 이곳으로 휩쓸려 왔다면, 또 다른 대화가 시작됩니다.</v>
      </c>
      <c r="X13" s="55" t="str">
        <f>IFERROR(__xludf.DUMMYFUNCTION("GOOGLETRANSLATE(D13,""zh-tw"",""KO"")"),"욕조에서 사용할 수 있는 '러버덕' 아이템을 구매하세요")</f>
        <v>욕조에서 사용할 수 있는 '러버덕' 아이템을 구매하세요</v>
      </c>
      <c r="Y13" s="155" t="str">
        <f>IFERROR(__xludf.DUMMYFUNCTION("GOOGLETRANSLATE(E13,""zh-tw"",""en"")"),"R9")</f>
        <v>R9</v>
      </c>
      <c r="Z13" s="153" t="str">
        <f>IFERROR(__xludf.DUMMYFUNCTION("GOOGLETRANSLATE(B13,""zh-tw"",""ru"")"),"утка")</f>
        <v>утка</v>
      </c>
      <c r="AA13" s="156" t="str">
        <f>IFERROR(__xludf.DUMMYFUNCTION("GOOGLETRANSLATE(C13,""zh-tw"",""RU"")"),"Тропа искателя приключений: Монумент
Находится на правом берегу.
*Если вас занесло сюда водопадом в Лесу руин-4, активируется ещё один диалог.")</f>
        <v>Тропа искателя приключений: Монумент
Находится на правом берегу.
*Если вас занесло сюда водопадом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55" t="str">
        <f>IFERROR(__xludf.DUMMYFUNCTION("GOOGLETRANSLATE(I13,""zh-tw"",""en"")"),"R9")</f>
        <v>R9</v>
      </c>
      <c r="AD13" s="153" t="s">
        <v>2013</v>
      </c>
      <c r="AE13" s="158" t="s">
        <v>2014</v>
      </c>
      <c r="AF13" s="105" t="s">
        <v>2015</v>
      </c>
      <c r="AG13" s="159" t="s">
        <v>2001</v>
      </c>
      <c r="AH13" s="160" t="s">
        <v>2016</v>
      </c>
      <c r="AI13" s="161" t="s">
        <v>2017</v>
      </c>
      <c r="AJ13" s="162" t="s">
        <v>2018</v>
      </c>
      <c r="AK13" s="30"/>
      <c r="AL13" s="30"/>
    </row>
    <row r="14">
      <c r="A14" s="107" t="s">
        <v>2019</v>
      </c>
      <c r="B14" s="153" t="s">
        <v>2020</v>
      </c>
      <c r="C14" s="95" t="s">
        <v>2021</v>
      </c>
      <c r="D14" s="52" t="s">
        <v>2022</v>
      </c>
      <c r="E14" s="107" t="str">
        <f>IFERROR(__xludf.DUMMYFUNCTION("GOOGLETRANSLATE(A14,""zh-tw"",""ja"")"),"R10")</f>
        <v>R10</v>
      </c>
      <c r="F14" s="153" t="s">
        <v>2023</v>
      </c>
      <c r="G14" s="95" t="s">
        <v>2024</v>
      </c>
      <c r="H14" s="52" t="s">
        <v>2025</v>
      </c>
      <c r="I14" s="107" t="str">
        <f>IFERROR(__xludf.DUMMYFUNCTION("GOOGLETRANSLATE(A14,""zh-tw"",""en"")"),"R10")</f>
        <v>R10</v>
      </c>
      <c r="J14" s="153" t="s">
        <v>2026</v>
      </c>
      <c r="K14" s="95" t="s">
        <v>2027</v>
      </c>
      <c r="L14" s="52" t="s">
        <v>2028</v>
      </c>
      <c r="M14" s="119" t="str">
        <f>IFERROR(__xludf.DUMMYFUNCTION("GOOGLETRANSLATE(A14,""zh-tw"",""en"")"),"R10")</f>
        <v>R10</v>
      </c>
      <c r="N14" s="153"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19" t="str">
        <f>IFERROR(__xludf.DUMMYFUNCTION("GOOGLETRANSLATE(A14,""zh-tw"",""ja"")"),"R10")</f>
        <v>R10</v>
      </c>
      <c r="R14" s="153" t="s">
        <v>2029</v>
      </c>
      <c r="S14" s="95" t="s">
        <v>2030</v>
      </c>
      <c r="T14" s="55" t="str">
        <f>IFERROR(__xludf.DUMMYFUNCTION("GOOGLETRANSLATE(D14,""zh-tw"",""es-MX"")"),"Enlace al mapa de las ruinas
")</f>
        <v>Enlace al mapa de las ruinas
</v>
      </c>
      <c r="U14" s="155" t="str">
        <f>IFERROR(__xludf.DUMMYFUNCTION("GOOGLETRANSLATE(A14,""zh-tw"",""en"")"),"R10")</f>
        <v>R10</v>
      </c>
      <c r="V14" s="154" t="str">
        <f>IFERROR(__xludf.DUMMYFUNCTION("GOOGLETRANSLATE(B14,""zh-tw"",""KO"")"),"유적지 입구 연결")</f>
        <v>유적지 입구 연결</v>
      </c>
      <c r="W14" s="89" t="str">
        <f>IFERROR(__xludf.DUMMYFUNCTION("GOOGLETRANSLATE(C14,""zh-tw"",""KO"")"),"폐허 숲 - 4 맵 중앙의 바위가 제거되었습니다.")</f>
        <v>폐허 숲 - 4 맵 중앙의 바위가 제거되었습니다.</v>
      </c>
      <c r="X14" s="55" t="str">
        <f>IFERROR(__xludf.DUMMYFUNCTION("GOOGLETRANSLATE(D14,""zh-tw"",""KO"")"),"유적지 지도 링크
")</f>
        <v>유적지 지도 링크
</v>
      </c>
      <c r="Y14" s="155" t="str">
        <f>IFERROR(__xludf.DUMMYFUNCTION("GOOGLETRANSLATE(E14,""zh-tw"",""en"")"),"R10")</f>
        <v>R10</v>
      </c>
      <c r="Z14" s="153" t="str">
        <f>IFERROR(__xludf.DUMMYFUNCTION("GOOGLETRANSLATE(B14,""zh-tw"",""ru"")"),"Соединение входов в руины")</f>
        <v>Соединение входов в руины</v>
      </c>
      <c r="AA14" s="156" t="str">
        <f>IFERROR(__xludf.DUMMYFUNCTION("GOOGLETRANSLATE(C14,""zh-tw"",""RU"")"),"Камни в центре карты «Лес руин - 4» были расчищены.")</f>
        <v>Камни в центре карты «Лес руин - 4» были расчищены.</v>
      </c>
      <c r="AB14" s="44" t="str">
        <f>IFERROR(__xludf.DUMMYFUNCTION("GOOGLETRANSLATE(D14,""zh-tw"",""RU"")"),"Ссылка на карту руин
")</f>
        <v>Ссылка на карту руин
</v>
      </c>
      <c r="AC14" s="155" t="str">
        <f>IFERROR(__xludf.DUMMYFUNCTION("GOOGLETRANSLATE(I14,""zh-tw"",""en"")"),"R10")</f>
        <v>R10</v>
      </c>
      <c r="AD14" s="153" t="s">
        <v>2031</v>
      </c>
      <c r="AE14" s="158" t="s">
        <v>2032</v>
      </c>
      <c r="AF14" s="105" t="s">
        <v>2033</v>
      </c>
      <c r="AG14" s="159" t="s">
        <v>2019</v>
      </c>
      <c r="AH14" s="160" t="s">
        <v>2034</v>
      </c>
      <c r="AI14" s="161" t="s">
        <v>2035</v>
      </c>
      <c r="AJ14" s="162" t="s">
        <v>2036</v>
      </c>
      <c r="AK14" s="30"/>
      <c r="AL14" s="30"/>
    </row>
    <row r="15">
      <c r="A15" s="107" t="s">
        <v>2037</v>
      </c>
      <c r="B15" s="171" t="s">
        <v>2038</v>
      </c>
      <c r="C15" s="172" t="s">
        <v>2039</v>
      </c>
      <c r="D15" s="87" t="s">
        <v>2040</v>
      </c>
      <c r="E15" s="107" t="str">
        <f>IFERROR(__xludf.DUMMYFUNCTION("GOOGLETRANSLATE(A15,""zh-tw"",""ja"")"),"R11")</f>
        <v>R11</v>
      </c>
      <c r="F15" s="153" t="str">
        <f>IFERROR(__xludf.DUMMYFUNCTION("GOOGLETRANSLATE(B15,""zh-tw"",""ja"")"),"未知の洞窟")</f>
        <v>未知の洞窟</v>
      </c>
      <c r="G15" s="95" t="s">
        <v>2041</v>
      </c>
      <c r="H15" s="52" t="s">
        <v>2042</v>
      </c>
      <c r="I15" s="107" t="str">
        <f>IFERROR(__xludf.DUMMYFUNCTION("GOOGLETRANSLATE(A15,""zh-tw"",""en"")"),"R11")</f>
        <v>R11</v>
      </c>
      <c r="J15" s="153" t="s">
        <v>2043</v>
      </c>
      <c r="K15" s="95" t="s">
        <v>2044</v>
      </c>
      <c r="L15" s="52"/>
      <c r="M15" s="119" t="str">
        <f>IFERROR(__xludf.DUMMYFUNCTION("GOOGLETRANSLATE(A15,""zh-tw"",""en"")"),"R11")</f>
        <v>R11</v>
      </c>
      <c r="N15" s="153"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19" t="str">
        <f>IFERROR(__xludf.DUMMYFUNCTION("GOOGLETRANSLATE(A15,""zh-tw"",""ja"")"),"R11")</f>
        <v>R11</v>
      </c>
      <c r="R15" s="154"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55" t="str">
        <f>IFERROR(__xludf.DUMMYFUNCTION("GOOGLETRANSLATE(A15,""zh-tw"",""en"")"),"R11")</f>
        <v>R11</v>
      </c>
      <c r="V15" s="154"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IFERROR(__xludf.DUMMYFUNCTION("GOOGLETRANSLATE(D15,""zh-tw"",""KO"")"),"이후 구현되지 않음")</f>
        <v>이후 구현되지 않음</v>
      </c>
      <c r="Y15" s="155" t="str">
        <f>IFERROR(__xludf.DUMMYFUNCTION("GOOGLETRANSLATE(E15,""zh-tw"",""en"")"),"R11")</f>
        <v>R11</v>
      </c>
      <c r="Z15" s="153" t="str">
        <f>IFERROR(__xludf.DUMMYFUNCTION("GOOGLETRANSLATE(B15,""zh-tw"",""ru"")"),"Неизвестная пещера")</f>
        <v>Неизвестная пещера</v>
      </c>
      <c r="AA15" s="156"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впоследствии")</f>
        <v>Не реализовано впоследствии</v>
      </c>
      <c r="AC15" s="155" t="str">
        <f>IFERROR(__xludf.DUMMYFUNCTION("GOOGLETRANSLATE(I15,""zh-tw"",""en"")"),"R11")</f>
        <v>R11</v>
      </c>
      <c r="AD15" s="153" t="s">
        <v>2045</v>
      </c>
      <c r="AE15" s="158" t="s">
        <v>2046</v>
      </c>
      <c r="AF15" s="105" t="s">
        <v>2047</v>
      </c>
      <c r="AG15" s="159" t="s">
        <v>2037</v>
      </c>
      <c r="AH15" s="160" t="s">
        <v>2048</v>
      </c>
      <c r="AI15" s="161" t="s">
        <v>2049</v>
      </c>
      <c r="AJ15" s="162" t="s">
        <v>2050</v>
      </c>
      <c r="AK15" s="30"/>
      <c r="AL15" s="30"/>
    </row>
    <row r="16">
      <c r="A16" s="107" t="s">
        <v>2051</v>
      </c>
      <c r="B16" s="153" t="s">
        <v>2052</v>
      </c>
      <c r="C16" s="95" t="s">
        <v>2053</v>
      </c>
      <c r="D16" s="52" t="s">
        <v>2054</v>
      </c>
      <c r="E16" s="107" t="str">
        <f>IFERROR(__xludf.DUMMYFUNCTION("GOOGLETRANSLATE(A16,""zh-tw"",""ja"")"),"R12")</f>
        <v>R12</v>
      </c>
      <c r="F16" s="153" t="s">
        <v>2055</v>
      </c>
      <c r="G16" s="95" t="str">
        <f>IFERROR(__xludf.DUMMYFUNCTION("GOOGLETRANSLATE(C16,""zh-tw"",""ja"")"),"冒険者の道：森の右下隅に隠されたアイテム。")</f>
        <v>冒険者の道：森の右下隅に隠されたアイテム。</v>
      </c>
      <c r="H16" s="52" t="s">
        <v>2056</v>
      </c>
      <c r="I16" s="107" t="str">
        <f>IFERROR(__xludf.DUMMYFUNCTION("GOOGLETRANSLATE(A16,""zh-tw"",""en"")"),"R12")</f>
        <v>R12</v>
      </c>
      <c r="J16" s="153" t="s">
        <v>2057</v>
      </c>
      <c r="K16" s="95" t="s">
        <v>2058</v>
      </c>
      <c r="L16" s="52" t="s">
        <v>2059</v>
      </c>
      <c r="M16" s="119" t="str">
        <f>IFERROR(__xludf.DUMMYFUNCTION("GOOGLETRANSLATE(A16,""zh-tw"",""en"")"),"R12")</f>
        <v>R12</v>
      </c>
      <c r="N16" s="153"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19" t="str">
        <f>IFERROR(__xludf.DUMMYFUNCTION("GOOGLETRANSLATE(A16,""zh-tw"",""ja"")"),"R12")</f>
        <v>R12</v>
      </c>
      <c r="R16" s="153" t="s">
        <v>2060</v>
      </c>
      <c r="S16" s="89" t="str">
        <f>IFERROR(__xludf.DUMMYFUNCTION("GOOGLETRANSLATE(C16,""zh-tw"",""es-MX"")"),"Sendero del aventurero: Objeto oculto en la esquina inferior derecha del bosque.")</f>
        <v>Sendero del aventurero: Objeto oculto en la esquina inferior derecha del bosque.</v>
      </c>
      <c r="T16" s="55" t="str">
        <f>IFERROR(__xludf.DUMMYFUNCTION("GOOGLETRANSLATE(D16,""zh-tw"",""es-MX"")"),"Obtener artículos")</f>
        <v>Obtener artículos</v>
      </c>
      <c r="U16" s="155" t="str">
        <f>IFERROR(__xludf.DUMMYFUNCTION("GOOGLETRANSLATE(A16,""zh-tw"",""en"")"),"R12")</f>
        <v>R12</v>
      </c>
      <c r="V16" s="154" t="str">
        <f>IFERROR(__xludf.DUMMYFUNCTION("GOOGLETRANSLATE(B16,""zh-tw"",""KO"")"),"숨겨진 통로 1")</f>
        <v>숨겨진 통로 1</v>
      </c>
      <c r="W16" s="89" t="str">
        <f>IFERROR(__xludf.DUMMYFUNCTION("GOOGLETRANSLATE(C16,""zh-tw"",""KO"")"),"모험가의 길: 숲의 오른쪽 하단에 숨겨진 아이템입니다.")</f>
        <v>모험가의 길: 숲의 오른쪽 하단에 숨겨진 아이템입니다.</v>
      </c>
      <c r="X16" s="55" t="str">
        <f>IFERROR(__xludf.DUMMYFUNCTION("GOOGLETRANSLATE(D16,""zh-tw"",""KO"")"),"아이템 획득")</f>
        <v>아이템 획득</v>
      </c>
      <c r="Y16" s="155" t="str">
        <f>IFERROR(__xludf.DUMMYFUNCTION("GOOGLETRANSLATE(E16,""zh-tw"",""en"")"),"R12")</f>
        <v>R12</v>
      </c>
      <c r="Z16" s="153" t="str">
        <f>IFERROR(__xludf.DUMMYFUNCTION("GOOGLETRANSLATE(B16,""zh-tw"",""ru"")"),"Скрытый проход 1")</f>
        <v>Скрытый проход 1</v>
      </c>
      <c r="AA16" s="156" t="str">
        <f>IFERROR(__xludf.DUMMYFUNCTION("GOOGLETRANSLATE(C16,""zh-tw"",""RU"")"),"Путь искателя приключений: скрытый предмет в правом нижнем углу леса.")</f>
        <v>Путь искателя приключений: скрытый предмет в правом нижнем углу леса.</v>
      </c>
      <c r="AB16" s="44" t="str">
        <f>IFERROR(__xludf.DUMMYFUNCTION("GOOGLETRANSLATE(D16,""zh-tw"",""RU"")"),"Получить предметы")</f>
        <v>Получить предметы</v>
      </c>
      <c r="AC16" s="155" t="str">
        <f>IFERROR(__xludf.DUMMYFUNCTION("GOOGLETRANSLATE(I16,""zh-tw"",""en"")"),"R12")</f>
        <v>R12</v>
      </c>
      <c r="AD16" s="153" t="s">
        <v>2061</v>
      </c>
      <c r="AE16" s="158" t="s">
        <v>2062</v>
      </c>
      <c r="AF16" s="105" t="s">
        <v>2063</v>
      </c>
      <c r="AG16" s="159" t="s">
        <v>2051</v>
      </c>
      <c r="AH16" s="160" t="s">
        <v>2064</v>
      </c>
      <c r="AI16" s="161" t="s">
        <v>2065</v>
      </c>
      <c r="AJ16" s="162" t="s">
        <v>2066</v>
      </c>
      <c r="AK16" s="30"/>
      <c r="AL16" s="30"/>
    </row>
    <row r="17">
      <c r="A17" s="107" t="s">
        <v>2067</v>
      </c>
      <c r="B17" s="153" t="s">
        <v>2068</v>
      </c>
      <c r="C17" s="95" t="s">
        <v>2069</v>
      </c>
      <c r="D17" s="52" t="s">
        <v>2070</v>
      </c>
      <c r="E17" s="107" t="str">
        <f>IFERROR(__xludf.DUMMYFUNCTION("GOOGLETRANSLATE(A17,""zh-tw"",""ja"")"),"R13")</f>
        <v>R13</v>
      </c>
      <c r="F17" s="153" t="s">
        <v>2071</v>
      </c>
      <c r="G17" s="163" t="str">
        <f>IFERROR(__xludf.DUMMYFUNCTION("GOOGLETRANSLATE(C17,""zh-tw"",""ja"")"),"冒険者の道：集合場所、左上に宝箱があります。")</f>
        <v>冒険者の道：集合場所、左上に宝箱があります。</v>
      </c>
      <c r="H17" s="52" t="s">
        <v>2072</v>
      </c>
      <c r="I17" s="107" t="str">
        <f>IFERROR(__xludf.DUMMYFUNCTION("GOOGLETRANSLATE(A17,""zh-tw"",""en"")"),"R13")</f>
        <v>R13</v>
      </c>
      <c r="J17" s="153" t="s">
        <v>2073</v>
      </c>
      <c r="K17" s="95" t="s">
        <v>2074</v>
      </c>
      <c r="L17" s="52" t="s">
        <v>2075</v>
      </c>
      <c r="M17" s="119" t="str">
        <f>IFERROR(__xludf.DUMMYFUNCTION("GOOGLETRANSLATE(A17,""zh-tw"",""en"")"),"R13")</f>
        <v>R13</v>
      </c>
      <c r="N17" s="153"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19" t="str">
        <f>IFERROR(__xludf.DUMMYFUNCTION("GOOGLETRANSLATE(A17,""zh-tw"",""ja"")"),"R13")</f>
        <v>R13</v>
      </c>
      <c r="R17" s="153" t="s">
        <v>2076</v>
      </c>
      <c r="S17" s="89" t="str">
        <f>IFERROR(__xludf.DUMMYFUNCTION("GOOGLETRANSLATE(C17,""zh-tw"",""es-MX"")"),"Sendero del Aventurero: Punto de Encuentro, hay un cofre del tesoro en la esquina superior izquierda.")</f>
        <v>Sendero del Aventurero: Punto de Encuentro, hay un cofre del tesoro en la esquina superior izquierda.</v>
      </c>
      <c r="T17" s="55" t="str">
        <f>IFERROR(__xludf.DUMMYFUNCTION("GOOGLETRANSLATE(D17,""zh-tw"",""es-MX"")"),"Obtén el arma Chidori (nota especial de la historia).")</f>
        <v>Obtén el arma Chidori (nota especial de la historia).</v>
      </c>
      <c r="U17" s="155" t="str">
        <f>IFERROR(__xludf.DUMMYFUNCTION("GOOGLETRANSLATE(A17,""zh-tw"",""en"")"),"R13")</f>
        <v>R13</v>
      </c>
      <c r="V17" s="154" t="str">
        <f>IFERROR(__xludf.DUMMYFUNCTION("GOOGLETRANSLATE(B17,""zh-tw"",""KO"")"),"숨겨진 통로 2")</f>
        <v>숨겨진 통로 2</v>
      </c>
      <c r="W17" s="89" t="str">
        <f>IFERROR(__xludf.DUMMYFUNCTION("GOOGLETRANSLATE(C17,""zh-tw"",""KO"")"),"모험가의 길: 모임 장소, 왼쪽 상단 모서리에 보물 상자가 있습니다.")</f>
        <v>모험가의 길: 모임 장소, 왼쪽 상단 모서리에 보물 상자가 있습니다.</v>
      </c>
      <c r="X17" s="55" t="str">
        <f>IFERROR(__xludf.DUMMYFUNCTION("GOOGLETRANSLATE(D17,""zh-tw"",""KO"")"),"무기 획득 - 치도리, 스페셜 노트 스토리라인")</f>
        <v>무기 획득 - 치도리, 스페셜 노트 스토리라인</v>
      </c>
      <c r="Y17" s="155" t="str">
        <f>IFERROR(__xludf.DUMMYFUNCTION("GOOGLETRANSLATE(E17,""zh-tw"",""en"")"),"R13")</f>
        <v>R13</v>
      </c>
      <c r="Z17" s="153" t="str">
        <f>IFERROR(__xludf.DUMMYFUNCTION("GOOGLETRANSLATE(B17,""zh-tw"",""ru"")"),"Скрытый проход 2")</f>
        <v>Скрытый проход 2</v>
      </c>
      <c r="AA17" s="156" t="str">
        <f>IFERROR(__xludf.DUMMYFUNCTION("GOOGLETRANSLATE(C17,""zh-tw"",""RU"")"),"Путь искателя приключений: Место сбора, в левом верхнем углу находится сундук с сокровищами.")</f>
        <v>Путь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особое примечание к сюжетной линии")</f>
        <v>Получить оружие — Чидори, особое примечание к сюжетной линии</v>
      </c>
      <c r="AC17" s="155" t="str">
        <f>IFERROR(__xludf.DUMMYFUNCTION("GOOGLETRANSLATE(I17,""zh-tw"",""en"")"),"R13")</f>
        <v>R13</v>
      </c>
      <c r="AD17" s="153" t="s">
        <v>2077</v>
      </c>
      <c r="AE17" s="158" t="s">
        <v>2078</v>
      </c>
      <c r="AF17" s="105" t="s">
        <v>2079</v>
      </c>
      <c r="AG17" s="159" t="s">
        <v>2067</v>
      </c>
      <c r="AH17" s="160" t="s">
        <v>2080</v>
      </c>
      <c r="AI17" s="161" t="s">
        <v>2081</v>
      </c>
      <c r="AJ17" s="162" t="s">
        <v>2082</v>
      </c>
      <c r="AK17" s="30"/>
      <c r="AL17" s="30"/>
    </row>
    <row r="18">
      <c r="A18" s="107" t="s">
        <v>2083</v>
      </c>
      <c r="B18" s="153" t="s">
        <v>2084</v>
      </c>
      <c r="C18" s="95" t="s">
        <v>2085</v>
      </c>
      <c r="D18" s="52" t="s">
        <v>2086</v>
      </c>
      <c r="E18" s="107" t="str">
        <f>IFERROR(__xludf.DUMMYFUNCTION("GOOGLETRANSLATE(A18,""zh-tw"",""ja"")"),"R14")</f>
        <v>R14</v>
      </c>
      <c r="F18" s="153" t="s">
        <v>2087</v>
      </c>
      <c r="G18" s="163" t="s">
        <v>2088</v>
      </c>
      <c r="H18" s="52" t="s">
        <v>2089</v>
      </c>
      <c r="I18" s="107" t="str">
        <f>IFERROR(__xludf.DUMMYFUNCTION("GOOGLETRANSLATE(A18,""zh-tw"",""en"")"),"R14")</f>
        <v>R14</v>
      </c>
      <c r="J18" s="153" t="s">
        <v>2090</v>
      </c>
      <c r="K18" s="95" t="s">
        <v>2091</v>
      </c>
      <c r="L18" s="52" t="s">
        <v>2092</v>
      </c>
      <c r="M18" s="119" t="str">
        <f>IFERROR(__xludf.DUMMYFUNCTION("GOOGLETRANSLATE(A18,""zh-tw"",""en"")"),"R14")</f>
        <v>R14</v>
      </c>
      <c r="N18" s="153"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19" t="str">
        <f>IFERROR(__xludf.DUMMYFUNCTION("GOOGLETRANSLATE(A18,""zh-tw"",""ja"")"),"R14")</f>
        <v>R14</v>
      </c>
      <c r="R18" s="153" t="s">
        <v>2093</v>
      </c>
      <c r="S18" s="89" t="str">
        <f>IFERROR(__xludf.DUMMYFUNCTION("GOOGLETRANSLATE(C18,""zh-tw"",""es-MX"")"),"Sendero del aventurero: Detrás del monumento que aparece a continuación, hay un objeto oculto.")</f>
        <v>Sendero del aventurero: Detrás del monumento que aparece a continuación, hay un objeto oculto.</v>
      </c>
      <c r="T18" s="55" t="str">
        <f>IFERROR(__xludf.DUMMYFUNCTION("GOOGLETRANSLATE(D18,""zh-tw"",""es-MX"")"),"Consigue accesorios y armas: Bastón de lava")</f>
        <v>Consigue accesorios y armas: Bastón de lava</v>
      </c>
      <c r="U18" s="155" t="str">
        <f>IFERROR(__xludf.DUMMYFUNCTION("GOOGLETRANSLATE(A18,""zh-tw"",""en"")"),"R14")</f>
        <v>R14</v>
      </c>
      <c r="V18" s="154" t="str">
        <f>IFERROR(__xludf.DUMMYFUNCTION("GOOGLETRANSLATE(B18,""zh-tw"",""KO"")"),"숨겨진 통로 3")</f>
        <v>숨겨진 통로 3</v>
      </c>
      <c r="W18" s="89" t="str">
        <f>IFERROR(__xludf.DUMMYFUNCTION("GOOGLETRANSLATE(C18,""zh-tw"",""KO"")"),"모험가의 길: 아래 기념물 뒤에는 숨겨진 아이템이 있습니다.")</f>
        <v>모험가의 길: 아래 기념물 뒤에는 숨겨진 아이템이 있습니다.</v>
      </c>
      <c r="X18" s="55" t="str">
        <f>IFERROR(__xludf.DUMMYFUNCTION("GOOGLETRANSLATE(D18,""zh-tw"",""KO"")"),"소품과 무기를 얻으세요 - 라바 스태프")</f>
        <v>소품과 무기를 얻으세요 - 라바 스태프</v>
      </c>
      <c r="Y18" s="155" t="str">
        <f>IFERROR(__xludf.DUMMYFUNCTION("GOOGLETRANSLATE(E18,""zh-tw"",""en"")"),"R14")</f>
        <v>R14</v>
      </c>
      <c r="Z18" s="153" t="str">
        <f>IFERROR(__xludf.DUMMYFUNCTION("GOOGLETRANSLATE(B18,""zh-tw"",""ru"")"),"Скрытый проход 3")</f>
        <v>Скрытый проход 3</v>
      </c>
      <c r="AA18" s="156" t="str">
        <f>IFERROR(__xludf.DUMMYFUNCTION("GOOGLETRANSLATE(C18,""zh-tw"",""RU"")"),"Путь искателя приключений: за памятником внизу спрятан предмет.")</f>
        <v>Путь искателя приключений: за памятником внизу спрятан предмет.</v>
      </c>
      <c r="AB18" s="44" t="str">
        <f>IFERROR(__xludf.DUMMYFUNCTION("GOOGLETRANSLATE(D18,""zh-tw"",""RU"")"),"Получить реквизит и оружие — Lava Staff")</f>
        <v>Получить реквизит и оружие — Lava Staff</v>
      </c>
      <c r="AC18" s="155" t="str">
        <f>IFERROR(__xludf.DUMMYFUNCTION("GOOGLETRANSLATE(I18,""zh-tw"",""en"")"),"R14")</f>
        <v>R14</v>
      </c>
      <c r="AD18" s="153" t="s">
        <v>2094</v>
      </c>
      <c r="AE18" s="158" t="s">
        <v>2095</v>
      </c>
      <c r="AF18" s="105" t="s">
        <v>2096</v>
      </c>
      <c r="AG18" s="159" t="s">
        <v>2083</v>
      </c>
      <c r="AH18" s="160" t="s">
        <v>2097</v>
      </c>
      <c r="AI18" s="161" t="s">
        <v>2098</v>
      </c>
      <c r="AJ18" s="162" t="s">
        <v>2099</v>
      </c>
      <c r="AK18" s="30"/>
      <c r="AL18" s="30"/>
    </row>
    <row r="19">
      <c r="A19" s="107" t="s">
        <v>2100</v>
      </c>
      <c r="B19" s="153" t="s">
        <v>2101</v>
      </c>
      <c r="C19" s="95" t="s">
        <v>2102</v>
      </c>
      <c r="D19" s="52" t="s">
        <v>2054</v>
      </c>
      <c r="E19" s="107" t="str">
        <f>IFERROR(__xludf.DUMMYFUNCTION("GOOGLETRANSLATE(A19,""zh-tw"",""ja"")"),"R15")</f>
        <v>R15</v>
      </c>
      <c r="F19" s="153" t="s">
        <v>2103</v>
      </c>
      <c r="G19" s="95" t="s">
        <v>2104</v>
      </c>
      <c r="H19" s="52" t="s">
        <v>2056</v>
      </c>
      <c r="I19" s="107" t="str">
        <f>IFERROR(__xludf.DUMMYFUNCTION("GOOGLETRANSLATE(A19,""zh-tw"",""en"")"),"R15")</f>
        <v>R15</v>
      </c>
      <c r="J19" s="153" t="s">
        <v>2105</v>
      </c>
      <c r="K19" s="95" t="s">
        <v>2106</v>
      </c>
      <c r="L19" s="52" t="s">
        <v>2059</v>
      </c>
      <c r="M19" s="119" t="str">
        <f>IFERROR(__xludf.DUMMYFUNCTION("GOOGLETRANSLATE(A19,""zh-tw"",""en"")"),"R15")</f>
        <v>R15</v>
      </c>
      <c r="N19" s="153"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19" t="str">
        <f>IFERROR(__xludf.DUMMYFUNCTION("GOOGLETRANSLATE(A19,""zh-tw"",""ja"")"),"R15")</f>
        <v>R15</v>
      </c>
      <c r="R19" s="153" t="s">
        <v>2107</v>
      </c>
      <c r="S19" s="89" t="str">
        <f>IFERROR(__xludf.DUMMYFUNCTION("GOOGLETRANSLATE(C19,""zh-tw"",""es-MX"")"),"Hay un objeto oculto en el bosque, en la esquina inferior derecha de ""Ruinas del Bosque-4"".")</f>
        <v>Hay un objeto oculto en el bosque, en la esquina inferior derecha de "Ruinas del Bosque-4".</v>
      </c>
      <c r="T19" s="52" t="s">
        <v>2108</v>
      </c>
      <c r="U19" s="155" t="str">
        <f>IFERROR(__xludf.DUMMYFUNCTION("GOOGLETRANSLATE(A19,""zh-tw"",""en"")"),"R15")</f>
        <v>R15</v>
      </c>
      <c r="V19" s="154" t="str">
        <f>IFERROR(__xludf.DUMMYFUNCTION("GOOGLETRANSLATE(B19,""zh-tw"",""KO"")"),"숨겨진 통로 4")</f>
        <v>숨겨진 통로 4</v>
      </c>
      <c r="W19" s="89" t="str">
        <f>IFERROR(__xludf.DUMMYFUNCTION("GOOGLETRANSLATE(C19,""zh-tw"",""KO"")"),"""유적의 숲-4""의 오른쪽 하단에 있는 숲에 숨겨진 아이템이 있습니다.")</f>
        <v>"유적의 숲-4"의 오른쪽 하단에 있는 숲에 숨겨진 아이템이 있습니다.</v>
      </c>
      <c r="X19" s="55" t="str">
        <f>IFERROR(__xludf.DUMMYFUNCTION("GOOGLETRANSLATE(D19,""zh-tw"",""KO"")"),"아이템 획득")</f>
        <v>아이템 획득</v>
      </c>
      <c r="Y19" s="155" t="str">
        <f>IFERROR(__xludf.DUMMYFUNCTION("GOOGLETRANSLATE(E19,""zh-tw"",""en"")"),"R15")</f>
        <v>R15</v>
      </c>
      <c r="Z19" s="153" t="str">
        <f>IFERROR(__xludf.DUMMYFUNCTION("GOOGLETRANSLATE(B19,""zh-tw"",""ru"")"),"Скрытый проход 4")</f>
        <v>Скрытый проход 4</v>
      </c>
      <c r="AA19" s="156" t="str">
        <f>IFERROR(__xludf.DUMMYFUNCTION("GOOGLETRANSLATE(C19,""zh-tw"",""RU"")"),"В правом нижнем углу леса «Руины леса-4» спрятан предмет.")</f>
        <v>В правом нижнем углу леса «Руины леса-4» спрятан предмет.</v>
      </c>
      <c r="AB19" s="44" t="str">
        <f>IFERROR(__xludf.DUMMYFUNCTION("GOOGLETRANSLATE(D19,""zh-tw"",""RU"")"),"Получить предметы")</f>
        <v>Получить предметы</v>
      </c>
      <c r="AC19" s="155" t="str">
        <f>IFERROR(__xludf.DUMMYFUNCTION("GOOGLETRANSLATE(I19,""zh-tw"",""en"")"),"R15")</f>
        <v>R15</v>
      </c>
      <c r="AD19" s="153" t="s">
        <v>2109</v>
      </c>
      <c r="AE19" s="158" t="s">
        <v>2110</v>
      </c>
      <c r="AF19" s="105" t="s">
        <v>2111</v>
      </c>
      <c r="AG19" s="159" t="s">
        <v>2100</v>
      </c>
      <c r="AH19" s="160" t="s">
        <v>2112</v>
      </c>
      <c r="AI19" s="161" t="s">
        <v>2113</v>
      </c>
      <c r="AJ19" s="162" t="s">
        <v>2066</v>
      </c>
      <c r="AK19" s="30"/>
      <c r="AL19" s="30"/>
    </row>
    <row r="20">
      <c r="A20" s="107" t="s">
        <v>2114</v>
      </c>
      <c r="B20" s="153" t="s">
        <v>2115</v>
      </c>
      <c r="C20" s="95" t="s">
        <v>2116</v>
      </c>
      <c r="D20" s="52" t="s">
        <v>2117</v>
      </c>
      <c r="E20" s="107" t="str">
        <f>IFERROR(__xludf.DUMMYFUNCTION("GOOGLETRANSLATE(A20,""zh-tw"",""ja"")"),"R16")</f>
        <v>R16</v>
      </c>
      <c r="F20" s="153" t="s">
        <v>2118</v>
      </c>
      <c r="G20" s="95" t="s">
        <v>2119</v>
      </c>
      <c r="H20" s="52" t="s">
        <v>2120</v>
      </c>
      <c r="I20" s="107" t="str">
        <f>IFERROR(__xludf.DUMMYFUNCTION("GOOGLETRANSLATE(A20,""zh-tw"",""en"")"),"R16")</f>
        <v>R16</v>
      </c>
      <c r="J20" s="153" t="s">
        <v>2121</v>
      </c>
      <c r="K20" s="95" t="s">
        <v>2122</v>
      </c>
      <c r="L20" s="52" t="s">
        <v>2123</v>
      </c>
      <c r="M20" s="119" t="str">
        <f>IFERROR(__xludf.DUMMYFUNCTION("GOOGLETRANSLATE(A20,""zh-tw"",""en"")"),"R16")</f>
        <v>R16</v>
      </c>
      <c r="N20" s="153"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19" t="str">
        <f>IFERROR(__xludf.DUMMYFUNCTION("GOOGLETRANSLATE(A20,""zh-tw"",""ja"")"),"R16")</f>
        <v>R16</v>
      </c>
      <c r="R20" s="153" t="s">
        <v>2124</v>
      </c>
      <c r="S20" s="89" t="str">
        <f>IFERROR(__xludf.DUMMYFUNCTION("GOOGLETRANSLATE(C20,""zh-tw"",""es-MX"")"),"En el bosque abandonado, sigue las setas brillantes para llegar al cofre del tesoro que se encuentra en la esquina inferior derecha del mapa.")</f>
        <v>En el bosque abandonado, sigue las setas brillantes para llegar al cofre del tesoro que se encuentra en la esquina inferior derecha del mapa.</v>
      </c>
      <c r="T20" s="55" t="str">
        <f>IFERROR(__xludf.DUMMYFUNCTION("GOOGLETRANSLATE(D20,""zh-tw"",""es-MX"")"),"Obtén el arma ""Bastón de Lava""")</f>
        <v>Obtén el arma "Bastón de Lava"</v>
      </c>
      <c r="U20" s="155" t="str">
        <f>IFERROR(__xludf.DUMMYFUNCTION("GOOGLETRANSLATE(A20,""zh-tw"",""en"")"),"R16")</f>
        <v>R16</v>
      </c>
      <c r="V20" s="154" t="str">
        <f>IFERROR(__xludf.DUMMYFUNCTION("GOOGLETRANSLATE(B20,""zh-tw"",""KO"")"),"숨겨진 통로 5")</f>
        <v>숨겨진 통로 5</v>
      </c>
      <c r="W20" s="89" t="str">
        <f>IFERROR(__xludf.DUMMYFUNCTION("GOOGLETRANSLATE(C20,""zh-tw"",""KO"")"),"버려진 숲에서 빛나는 버섯을 따라가면 지도 오른쪽 하단에 있는 보물 상자에 도착합니다.")</f>
        <v>버려진 숲에서 빛나는 버섯을 따라가면 지도 오른쪽 하단에 있는 보물 상자에 도착합니다.</v>
      </c>
      <c r="X20" s="55" t="str">
        <f>IFERROR(__xludf.DUMMYFUNCTION("GOOGLETRANSLATE(D20,""zh-tw"",""KO"")"),"""용암 지팡이"" 무기를 획득하세요")</f>
        <v>"용암 지팡이" 무기를 획득하세요</v>
      </c>
      <c r="Y20" s="155" t="str">
        <f>IFERROR(__xludf.DUMMYFUNCTION("GOOGLETRANSLATE(E20,""zh-tw"",""en"")"),"R16")</f>
        <v>R16</v>
      </c>
      <c r="Z20" s="153" t="str">
        <f>IFERROR(__xludf.DUMMYFUNCTION("GOOGLETRANSLATE(B20,""zh-tw"",""ru"")"),"Скрытый проход 5")</f>
        <v>Скрытый проход 5</v>
      </c>
      <c r="AA20" s="156" t="str">
        <f>IFERROR(__xludf.DUMMYFUNCTION("GOOGLETRANSLATE(C20,""zh-tw"",""RU"")"),"В заброшенном лесу следуйте за светящимися грибами, чтобы добраться до сундука с сокровищами в правом нижнем углу карты.")</f>
        <v>В заброшенном лесу следуйте за светящимися грибами, чтобы добраться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55" t="str">
        <f>IFERROR(__xludf.DUMMYFUNCTION("GOOGLETRANSLATE(I20,""zh-tw"",""en"")"),"R16")</f>
        <v>R16</v>
      </c>
      <c r="AD20" s="153" t="s">
        <v>2125</v>
      </c>
      <c r="AE20" s="158" t="s">
        <v>2126</v>
      </c>
      <c r="AF20" s="105" t="s">
        <v>2127</v>
      </c>
      <c r="AG20" s="159" t="s">
        <v>2114</v>
      </c>
      <c r="AH20" s="160" t="s">
        <v>2128</v>
      </c>
      <c r="AI20" s="161" t="s">
        <v>2129</v>
      </c>
      <c r="AJ20" s="162" t="s">
        <v>2130</v>
      </c>
      <c r="AK20" s="30"/>
      <c r="AL20" s="30"/>
    </row>
    <row r="21">
      <c r="A21" s="107" t="s">
        <v>2131</v>
      </c>
      <c r="B21" s="153" t="s">
        <v>2132</v>
      </c>
      <c r="C21" s="95" t="s">
        <v>2133</v>
      </c>
      <c r="D21" s="52" t="s">
        <v>2134</v>
      </c>
      <c r="E21" s="107" t="str">
        <f>IFERROR(__xludf.DUMMYFUNCTION("GOOGLETRANSLATE(A21,""zh-tw"",""ja"")"),"R17")</f>
        <v>R17</v>
      </c>
      <c r="F21" s="153" t="s">
        <v>2135</v>
      </c>
      <c r="G21" s="163" t="str">
        <f>IFERROR(__xludf.DUMMYFUNCTION("GOOGLETRANSLATE(C21,""zh-tw"",""ja"")"),"開発地域（鉱山）-1ではトロッコで最遠地点まで到達することで装備を入手できます。")</f>
        <v>開発地域（鉱山）-1ではトロッコで最遠地点まで到達することで装備を入手できます。</v>
      </c>
      <c r="H21" s="52" t="s">
        <v>2136</v>
      </c>
      <c r="I21" s="107" t="str">
        <f>IFERROR(__xludf.DUMMYFUNCTION("GOOGLETRANSLATE(A21,""zh-tw"",""en"")"),"R17")</f>
        <v>R17</v>
      </c>
      <c r="J21" s="153" t="s">
        <v>2137</v>
      </c>
      <c r="K21" s="95" t="s">
        <v>2138</v>
      </c>
      <c r="L21" s="52" t="s">
        <v>2139</v>
      </c>
      <c r="M21" s="119" t="str">
        <f>IFERROR(__xludf.DUMMYFUNCTION("GOOGLETRANSLATE(A21,""zh-tw"",""en"")"),"R17")</f>
        <v>R17</v>
      </c>
      <c r="N21" s="153"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19" t="str">
        <f>IFERROR(__xludf.DUMMYFUNCTION("GOOGLETRANSLATE(A21,""zh-tw"",""ja"")"),"R17")</f>
        <v>R17</v>
      </c>
      <c r="R21" s="153" t="s">
        <v>2140</v>
      </c>
      <c r="S21" s="95" t="s">
        <v>2141</v>
      </c>
      <c r="T21" s="55" t="str">
        <f>IFERROR(__xludf.DUMMYFUNCTION("GOOGLETRANSLATE(D21,""zh-tw"",""es-MX"")"),"Obtén el equipo: Anillo de hueso del ahorcado")</f>
        <v>Obtén el equipo: Anillo de hueso del ahorcado</v>
      </c>
      <c r="U21" s="155" t="str">
        <f>IFERROR(__xludf.DUMMYFUNCTION("GOOGLETRANSLATE(A21,""zh-tw"",""en"")"),"R17")</f>
        <v>R17</v>
      </c>
      <c r="V21" s="154" t="str">
        <f>IFERROR(__xludf.DUMMYFUNCTION("GOOGLETRANSLATE(B21,""zh-tw"",""KO"")"),"숨겨진 통로 6")</f>
        <v>숨겨진 통로 6</v>
      </c>
      <c r="W21" s="89" t="str">
        <f>IFERROR(__xludf.DUMMYFUNCTION("GOOGLETRANSLATE(C21,""zh-tw"",""KO"")"),"개발 지역(광산)-1에서는 광산 수레를 타고 가장 먼 지점까지 이동하면 장비를 얻을 수 있습니다.")</f>
        <v>개발 지역(광산)-1에서는 광산 수레를 타고 가장 먼 지점까지 이동하면 장비를 얻을 수 있습니다.</v>
      </c>
      <c r="X21" s="55" t="str">
        <f>IFERROR(__xludf.DUMMYFUNCTION("GOOGLETRANSLATE(D21,""zh-tw"",""KO"")"),"장비 획득 - 교수형 남자 뼈 반지")</f>
        <v>장비 획득 - 교수형 남자 뼈 반지</v>
      </c>
      <c r="Y21" s="155" t="str">
        <f>IFERROR(__xludf.DUMMYFUNCTION("GOOGLETRANSLATE(E21,""zh-tw"",""en"")"),"R17")</f>
        <v>R17</v>
      </c>
      <c r="Z21" s="153" t="str">
        <f>IFERROR(__xludf.DUMMYFUNCTION("GOOGLETRANSLATE(B21,""zh-tw"",""ru"")"),"Скрытый проход 6")</f>
        <v>Скрытый проход 6</v>
      </c>
      <c r="AA21" s="156" t="str">
        <f>IFERROR(__xludf.DUMMYFUNCTION("GOOGLETRANSLATE(C21,""zh-tw"",""RU"")"),"В зоне разработки (шахте)-1 вы можете получить оборудование, доехав до самой дальней точки на вагонетке.")</f>
        <v>В зоне разработки (шахте)-1 вы можете получить оборудование, доехав до самой дальней точки на вагонетке.</v>
      </c>
      <c r="AB21" s="44" t="str">
        <f>IFERROR(__xludf.DUMMYFUNCTION("GOOGLETRANSLATE(D21,""zh-tw"",""RU"")"),"Получить снаряжение – Кольцо из костей повешенного")</f>
        <v>Получить снаряжение – Кольцо из костей повешенного</v>
      </c>
      <c r="AC21" s="155" t="str">
        <f>IFERROR(__xludf.DUMMYFUNCTION("GOOGLETRANSLATE(I21,""zh-tw"",""en"")"),"R17")</f>
        <v>R17</v>
      </c>
      <c r="AD21" s="153" t="s">
        <v>2142</v>
      </c>
      <c r="AE21" s="158" t="s">
        <v>2143</v>
      </c>
      <c r="AF21" s="105" t="s">
        <v>2144</v>
      </c>
      <c r="AG21" s="159" t="s">
        <v>2131</v>
      </c>
      <c r="AH21" s="160" t="s">
        <v>2145</v>
      </c>
      <c r="AI21" s="161" t="s">
        <v>2146</v>
      </c>
      <c r="AJ21" s="162" t="s">
        <v>2147</v>
      </c>
      <c r="AK21" s="30"/>
      <c r="AL21" s="30"/>
    </row>
    <row r="22">
      <c r="A22" s="107" t="s">
        <v>2148</v>
      </c>
      <c r="B22" s="153" t="s">
        <v>2149</v>
      </c>
      <c r="C22" s="95" t="s">
        <v>2150</v>
      </c>
      <c r="D22" s="52" t="s">
        <v>2151</v>
      </c>
      <c r="E22" s="107" t="str">
        <f>IFERROR(__xludf.DUMMYFUNCTION("GOOGLETRANSLATE(A22,""zh-tw"",""ja"")"),"R18")</f>
        <v>R18</v>
      </c>
      <c r="F22" s="153" t="s">
        <v>2152</v>
      </c>
      <c r="G22" s="163" t="s">
        <v>2153</v>
      </c>
      <c r="H22" s="52" t="s">
        <v>2154</v>
      </c>
      <c r="I22" s="107" t="str">
        <f>IFERROR(__xludf.DUMMYFUNCTION("GOOGLETRANSLATE(A22,""zh-tw"",""en"")"),"R18")</f>
        <v>R18</v>
      </c>
      <c r="J22" s="153" t="s">
        <v>2155</v>
      </c>
      <c r="K22" s="95" t="s">
        <v>2156</v>
      </c>
      <c r="L22" s="52" t="s">
        <v>2157</v>
      </c>
      <c r="M22" s="119" t="str">
        <f>IFERROR(__xludf.DUMMYFUNCTION("GOOGLETRANSLATE(A22,""zh-tw"",""en"")"),"R18")</f>
        <v>R18</v>
      </c>
      <c r="N22" s="153"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19" t="str">
        <f>IFERROR(__xludf.DUMMYFUNCTION("GOOGLETRANSLATE(A22,""zh-tw"",""ja"")"),"R18")</f>
        <v>R18</v>
      </c>
      <c r="R22" s="153" t="s">
        <v>2158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guantes de absorción de maná y la ubicación de las fogatas se encuentran en el mapa oculto.
* Implementado en la versión 0.75: PNJ Ninja")</f>
        <v>Los guantes de absorción de maná y la ubicación de las fogatas se encuentran en el mapa oculto.
* Implementado en la versión 0.75: PNJ Ninja</v>
      </c>
      <c r="U22" s="155" t="str">
        <f>IFERROR(__xludf.DUMMYFUNCTION("GOOGLETRANSLATE(A22,""zh-tw"",""en"")"),"R18")</f>
        <v>R18</v>
      </c>
      <c r="V22" s="154"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IFERROR(__xludf.DUMMYFUNCTION("GOOGLETRANSLATE(D22,""zh-tw"",""KO"")"),"""마나 흡수 장갑""과 캠프파이어 위치는 숨겨진 지도에서 획득할 수 있습니다.
* 버전 0.75에 구현: 닌자 NPC")</f>
        <v>"마나 흡수 장갑"과 캠프파이어 위치는 숨겨진 지도에서 획득할 수 있습니다.
* 버전 0.75에 구현: 닌자 NPC</v>
      </c>
      <c r="Y22" s="155" t="str">
        <f>IFERROR(__xludf.DUMMYFUNCTION("GOOGLETRANSLATE(E22,""zh-tw"",""en"")"),"R18")</f>
        <v>R18</v>
      </c>
      <c r="Z22" s="153" t="str">
        <f>IFERROR(__xludf.DUMMYFUNCTION("GOOGLETRANSLATE(B22,""zh-tw"",""ru"")"),"Скрытый проход 7")</f>
        <v>Скрытый проход 7</v>
      </c>
      <c r="AA22" s="156"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IFERROR(__xludf.DUMMYFUNCTION("GOOGLETRANSLATE(D22,""zh-tw"",""RU"")"),"Перчатки для поглощения маны и места для костра можно найти на скрытой карте.
* Реализовано в версии 0.75: NPC-ниндзя")</f>
        <v>Перчатки для поглощения маны и места для костра можно найти на скрытой карте.
* Реализовано в версии 0.75: NPC-ниндзя</v>
      </c>
      <c r="AC22" s="155" t="str">
        <f>IFERROR(__xludf.DUMMYFUNCTION("GOOGLETRANSLATE(I22,""zh-tw"",""en"")"),"R18")</f>
        <v>R18</v>
      </c>
      <c r="AD22" s="153" t="s">
        <v>2159</v>
      </c>
      <c r="AE22" s="158" t="s">
        <v>2160</v>
      </c>
      <c r="AF22" s="105" t="s">
        <v>2161</v>
      </c>
      <c r="AG22" s="159" t="s">
        <v>2148</v>
      </c>
      <c r="AH22" s="160" t="s">
        <v>2162</v>
      </c>
      <c r="AI22" s="161" t="s">
        <v>2163</v>
      </c>
      <c r="AJ22" s="162" t="s">
        <v>2164</v>
      </c>
      <c r="AK22" s="30"/>
      <c r="AL22" s="30"/>
    </row>
    <row r="23">
      <c r="A23" s="107" t="s">
        <v>2165</v>
      </c>
      <c r="B23" s="153" t="s">
        <v>2166</v>
      </c>
      <c r="C23" s="95" t="s">
        <v>2167</v>
      </c>
      <c r="D23" s="52" t="s">
        <v>2168</v>
      </c>
      <c r="E23" s="107" t="str">
        <f>IFERROR(__xludf.DUMMYFUNCTION("GOOGLETRANSLATE(A23,""zh-tw"",""ja"")"),"R19")</f>
        <v>R19</v>
      </c>
      <c r="F23" s="153" t="s">
        <v>2169</v>
      </c>
      <c r="G23" s="163" t="s">
        <v>2170</v>
      </c>
      <c r="H23" s="52" t="s">
        <v>2171</v>
      </c>
      <c r="I23" s="107" t="str">
        <f>IFERROR(__xludf.DUMMYFUNCTION("GOOGLETRANSLATE(A23,""zh-tw"",""en"")"),"R19")</f>
        <v>R19</v>
      </c>
      <c r="J23" s="153" t="s">
        <v>2172</v>
      </c>
      <c r="K23" s="95" t="s">
        <v>2173</v>
      </c>
      <c r="L23" s="52" t="s">
        <v>2174</v>
      </c>
      <c r="M23" s="119" t="str">
        <f>IFERROR(__xludf.DUMMYFUNCTION("GOOGLETRANSLATE(A23,""zh-tw"",""en"")"),"R19")</f>
        <v>R19</v>
      </c>
      <c r="N23" s="153"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19" t="str">
        <f>IFERROR(__xludf.DUMMYFUNCTION("GOOGLETRANSLATE(A23,""zh-tw"",""ja"")"),"R19")</f>
        <v>R19</v>
      </c>
      <c r="R23" s="153" t="s">
        <v>2175</v>
      </c>
      <c r="S23" s="89" t="str">
        <f>IFERROR(__xludf.DUMMYFUNCTION("GOOGLETRANSLATE(C23,""zh-tw"",""es-MX"")"),"En la tumba olvidada, derriba la losa de piedra de la derecha y encontrarás un pasadizo secreto.")</f>
        <v>En la tumba olvidada, derriba la losa de piedra de la derecha y encontrarás un pasadizo secreto.</v>
      </c>
      <c r="T23" s="55" t="str">
        <f>IFERROR(__xludf.DUMMYFUNCTION("GOOGLETRANSLATE(D23,""zh-tw"",""es-MX"")"),"En los mapas ocultos se pueden encontrar cofres del tesoro y puntos de luz ocultos.")</f>
        <v>En los mapas ocultos se pueden encontrar cofres del tesoro y puntos de luz ocultos.</v>
      </c>
      <c r="U23" s="155" t="str">
        <f>IFERROR(__xludf.DUMMYFUNCTION("GOOGLETRANSLATE(A23,""zh-tw"",""en"")"),"R19")</f>
        <v>R19</v>
      </c>
      <c r="V23" s="154" t="str">
        <f>IFERROR(__xludf.DUMMYFUNCTION("GOOGLETRANSLATE(B23,""zh-tw"",""KO"")"),"숨겨진 통로 8")</f>
        <v>숨겨진 통로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55" t="str">
        <f>IFERROR(__xludf.DUMMYFUNCTION("GOOGLETRANSLATE(E23,""zh-tw"",""en"")"),"R19")</f>
        <v>R19</v>
      </c>
      <c r="Z23" s="153" t="str">
        <f>IFERROR(__xludf.DUMMYFUNCTION("GOOGLETRANSLATE(B23,""zh-tw"",""ru"")"),"Скрытый проход 8")</f>
        <v>Скрытый проход 8</v>
      </c>
      <c r="AA23" s="156"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55" t="str">
        <f>IFERROR(__xludf.DUMMYFUNCTION("GOOGLETRANSLATE(I23,""zh-tw"",""en"")"),"R19")</f>
        <v>R19</v>
      </c>
      <c r="AD23" s="153" t="s">
        <v>2176</v>
      </c>
      <c r="AE23" s="158" t="s">
        <v>2177</v>
      </c>
      <c r="AF23" s="105" t="s">
        <v>2178</v>
      </c>
      <c r="AG23" s="159" t="s">
        <v>2165</v>
      </c>
      <c r="AH23" s="160" t="s">
        <v>2179</v>
      </c>
      <c r="AI23" s="161" t="s">
        <v>2180</v>
      </c>
      <c r="AJ23" s="162" t="s">
        <v>2181</v>
      </c>
      <c r="AK23" s="30"/>
      <c r="AL23" s="30"/>
    </row>
    <row r="24">
      <c r="A24" s="107" t="s">
        <v>2182</v>
      </c>
      <c r="B24" s="153" t="s">
        <v>2183</v>
      </c>
      <c r="C24" s="95" t="s">
        <v>2184</v>
      </c>
      <c r="D24" s="52" t="s">
        <v>2185</v>
      </c>
      <c r="E24" s="107" t="str">
        <f>IFERROR(__xludf.DUMMYFUNCTION("GOOGLETRANSLATE(A24,""zh-tw"",""ja"")"),"R20")</f>
        <v>R20</v>
      </c>
      <c r="F24" s="153" t="s">
        <v>2186</v>
      </c>
      <c r="G24" s="95" t="s">
        <v>2187</v>
      </c>
      <c r="H24" s="52" t="s">
        <v>2136</v>
      </c>
      <c r="I24" s="107" t="str">
        <f>IFERROR(__xludf.DUMMYFUNCTION("GOOGLETRANSLATE(A24,""zh-tw"",""en"")"),"R20")</f>
        <v>R20</v>
      </c>
      <c r="J24" s="153" t="s">
        <v>2188</v>
      </c>
      <c r="K24" s="95" t="s">
        <v>2189</v>
      </c>
      <c r="L24" s="52" t="s">
        <v>2139</v>
      </c>
      <c r="M24" s="119" t="str">
        <f>IFERROR(__xludf.DUMMYFUNCTION("GOOGLETRANSLATE(A24,""zh-tw"",""en"")"),"R20")</f>
        <v>R20</v>
      </c>
      <c r="N24" s="153"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19" t="str">
        <f>IFERROR(__xludf.DUMMYFUNCTION("GOOGLETRANSLATE(A24,""zh-tw"",""ja"")"),"R20")</f>
        <v>R20</v>
      </c>
      <c r="R24" s="153" t="s">
        <v>2190</v>
      </c>
      <c r="S24" s="95" t="s">
        <v>2191</v>
      </c>
      <c r="T24" s="55" t="str">
        <f>IFERROR(__xludf.DUMMYFUNCTION("GOOGLETRANSLATE(D24,""zh-tw"",""es-MX"")"),"Consigue el equipo ""Anillo de hueso del ahorcado""")</f>
        <v>Consigue el equipo "Anillo de hueso del ahorcado"</v>
      </c>
      <c r="U24" s="155" t="str">
        <f>IFERROR(__xludf.DUMMYFUNCTION("GOOGLETRANSLATE(A24,""zh-tw"",""en"")"),"R20")</f>
        <v>R20</v>
      </c>
      <c r="V24" s="154" t="str">
        <f>IFERROR(__xludf.DUMMYFUNCTION("GOOGLETRANSLATE(B24,""zh-tw"",""KO"")"),"숨겨진 통로 9")</f>
        <v>숨겨진 통로 9</v>
      </c>
      <c r="W24" s="89" t="str">
        <f>IFERROR(__xludf.DUMMYFUNCTION("GOOGLETRANSLATE(C24,""zh-tw"",""KO"")"),"잊혀진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f>
        <v>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v>
      </c>
      <c r="X24" s="55" t="str">
        <f>IFERROR(__xludf.DUMMYFUNCTION("GOOGLETRANSLATE(D24,""zh-tw"",""KO"")"),"""교수형 남자의 뼈 반지"" 장비를 획득하세요")</f>
        <v>"교수형 남자의 뼈 반지" 장비를 획득하세요</v>
      </c>
      <c r="Y24" s="155" t="str">
        <f>IFERROR(__xludf.DUMMYFUNCTION("GOOGLETRANSLATE(E24,""zh-tw"",""en"")"),"R20")</f>
        <v>R20</v>
      </c>
      <c r="Z24" s="153" t="str">
        <f>IFERROR(__xludf.DUMMYFUNCTION("GOOGLETRANSLATE(B24,""zh-tw"",""ru"")"),"Скрытый проход 9")</f>
        <v>Скрытый проход 9</v>
      </c>
      <c r="AA24" s="156" t="str">
        <f>IFERROR(__xludf.DUMMYFUNCTION("GOOGLETRANSLATE(C24,""zh-tw"",""RU"")"),"Забытая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и"&amp;" попав в эту зону.")</f>
        <v>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 попав в эту зону.</v>
      </c>
      <c r="AB24" s="44" t="str">
        <f>IFERROR(__xludf.DUMMYFUNCTION("GOOGLETRANSLATE(D24,""zh-tw"",""RU"")"),"Получите снаряжение «Кольцо из костей повешенного».")</f>
        <v>Получите снаряжение «Кольцо из костей повешенного».</v>
      </c>
      <c r="AC24" s="155" t="str">
        <f>IFERROR(__xludf.DUMMYFUNCTION("GOOGLETRANSLATE(I24,""zh-tw"",""en"")"),"R20")</f>
        <v>R20</v>
      </c>
      <c r="AD24" s="153" t="s">
        <v>2192</v>
      </c>
      <c r="AE24" s="158" t="s">
        <v>2193</v>
      </c>
      <c r="AF24" s="105" t="s">
        <v>2194</v>
      </c>
      <c r="AG24" s="159" t="s">
        <v>2182</v>
      </c>
      <c r="AH24" s="160" t="s">
        <v>2195</v>
      </c>
      <c r="AI24" s="161" t="s">
        <v>2196</v>
      </c>
      <c r="AJ24" s="162" t="s">
        <v>2147</v>
      </c>
      <c r="AK24" s="30"/>
      <c r="AL24" s="30"/>
    </row>
    <row r="25">
      <c r="A25" s="107" t="s">
        <v>2197</v>
      </c>
      <c r="B25" s="153" t="s">
        <v>2198</v>
      </c>
      <c r="C25" s="95" t="s">
        <v>2199</v>
      </c>
      <c r="D25" s="52" t="s">
        <v>2200</v>
      </c>
      <c r="E25" s="107" t="str">
        <f>IFERROR(__xludf.DUMMYFUNCTION("GOOGLETRANSLATE(A25,""zh-tw"",""ja"")"),"R21")</f>
        <v>R21</v>
      </c>
      <c r="F25" s="153" t="s">
        <v>2201</v>
      </c>
      <c r="G25" s="95" t="s">
        <v>2202</v>
      </c>
      <c r="H25" s="52" t="s">
        <v>2203</v>
      </c>
      <c r="I25" s="107" t="str">
        <f>IFERROR(__xludf.DUMMYFUNCTION("GOOGLETRANSLATE(A25,""zh-tw"",""en"")"),"R21")</f>
        <v>R21</v>
      </c>
      <c r="J25" s="153" t="s">
        <v>2204</v>
      </c>
      <c r="K25" s="95" t="s">
        <v>2205</v>
      </c>
      <c r="L25" s="52" t="s">
        <v>2206</v>
      </c>
      <c r="M25" s="119" t="str">
        <f>IFERROR(__xludf.DUMMYFUNCTION("GOOGLETRANSLATE(A25,""zh-tw"",""en"")"),"R21")</f>
        <v>R21</v>
      </c>
      <c r="N25" s="153" t="str">
        <f>IFERROR(__xludf.DUMMYFUNCTION("GOOGLETRANSLATE(B25,""zh-tw"",""zh"")"),"隐藏通道10
机甲")</f>
        <v>隐藏通道10
机甲</v>
      </c>
      <c r="O25" s="95" t="s">
        <v>2207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19" t="str">
        <f>IFERROR(__xludf.DUMMYFUNCTION("GOOGLETRANSLATE(A25,""zh-tw"",""ja"")"),"R21")</f>
        <v>R21</v>
      </c>
      <c r="R25" s="153" t="s">
        <v>2208</v>
      </c>
      <c r="S25" s="89" t="str">
        <f>IFERROR(__xludf.DUMMYFUNCTION("GOOGLETRANSLATE(C25,""zh-tw"",""es-MX"")"),"Tras subir por la cuerda situada a la derecha de la máquina expendedora en ""Sendero del Aventurero: Punto de Encuentro"", un pasaje oculto conduce al gran bosque que se extiende debajo.")</f>
        <v>Tras subir por la cuerda situada a la derecha de la máquina expendedora en "Sendero del Aventurero: Punto de Encuentro", un pasaje oculto conduce al gran bosque que se extiende debajo.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55" t="str">
        <f>IFERROR(__xludf.DUMMYFUNCTION("GOOGLETRANSLATE(A25,""zh-tw"",""en"")"),"R21")</f>
        <v>R21</v>
      </c>
      <c r="V25" s="154" t="str">
        <f>IFERROR(__xludf.DUMMYFUNCTION("GOOGLETRANSLATE(B25,""zh-tw"",""KO"")"),"숨겨진 통로 10 메크")</f>
        <v>숨겨진 통로 10 메크</v>
      </c>
      <c r="W25" s="89" t="str">
        <f>IFERROR(__xludf.DUMMYFUNCTION("GOOGLETRANSLATE(C25,""zh-tw"",""KO"")"),"""모험가의 길: 모임 장소""의 자판기 오른쪽에 있는 로프를 올라가면 숨겨진 통로가 아래에 있는 큰 숲으로 이어집니다.")</f>
        <v>"모험가의 길: 모임 장소"의 자판기 오른쪽에 있는 로프를 올라가면 숨겨진 통로가 아래에 있는 큰 숲으로 이어집니다.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55" t="str">
        <f>IFERROR(__xludf.DUMMYFUNCTION("GOOGLETRANSLATE(E25,""zh-tw"",""en"")"),"R21")</f>
        <v>R21</v>
      </c>
      <c r="Z25" s="153" t="str">
        <f>IFERROR(__xludf.DUMMYFUNCTION("GOOGLETRANSLATE(B25,""zh-tw"",""ru"")"),"Скрытый проход 10 Мех")</f>
        <v>Скрытый проход 10 Мех</v>
      </c>
      <c r="AA25" s="156" t="str">
        <f>IFERROR(__xludf.DUMMYFUNCTION("GOOGLETRANSLATE(C25,""zh-tw"",""RU"")"),"Поднявшись по веревке справа от торгового автомата на «Пути искателя приключений: Место сбора», вы увидите скрытый проход, ведущий в большой лес внизу.")</f>
        <v>Поднявшись по веревке справа от торгового автомата на «Пути искателя приключений: Место сбора», вы увидите скрытый проход, ведущий в большой лес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55" t="str">
        <f>IFERROR(__xludf.DUMMYFUNCTION("GOOGLETRANSLATE(I25,""zh-tw"",""en"")"),"R21")</f>
        <v>R21</v>
      </c>
      <c r="AD25" s="153" t="s">
        <v>2209</v>
      </c>
      <c r="AE25" s="158" t="s">
        <v>2210</v>
      </c>
      <c r="AF25" s="105" t="s">
        <v>2211</v>
      </c>
      <c r="AG25" s="159" t="s">
        <v>2197</v>
      </c>
      <c r="AH25" s="160" t="s">
        <v>2212</v>
      </c>
      <c r="AI25" s="161" t="s">
        <v>2213</v>
      </c>
      <c r="AJ25" s="162" t="s">
        <v>2214</v>
      </c>
      <c r="AK25" s="30"/>
      <c r="AL25" s="30"/>
    </row>
    <row r="26">
      <c r="A26" s="107" t="s">
        <v>2215</v>
      </c>
      <c r="B26" s="153" t="s">
        <v>2216</v>
      </c>
      <c r="C26" s="95" t="s">
        <v>2217</v>
      </c>
      <c r="D26" s="52" t="s">
        <v>2218</v>
      </c>
      <c r="E26" s="107" t="str">
        <f>IFERROR(__xludf.DUMMYFUNCTION("GOOGLETRANSLATE(A26,""zh-tw"",""ja"")"),"R22")</f>
        <v>R22</v>
      </c>
      <c r="F26" s="153" t="s">
        <v>2219</v>
      </c>
      <c r="G26" s="163" t="str">
        <f>IFERROR(__xludf.DUMMYFUNCTION("GOOGLETRANSLATE(C26,""zh-tw"",""ja"")"),"「大コーク溶岩帯」の左側にある柱の後ろには、隠しアイテムと収集ポイントがあります。")</f>
        <v>「大コーク溶岩帯」の左側にある柱の後ろには、隠しアイテムと収集ポイントがあります。</v>
      </c>
      <c r="H26" s="167" t="s">
        <v>2220</v>
      </c>
      <c r="I26" s="107" t="str">
        <f>IFERROR(__xludf.DUMMYFUNCTION("GOOGLETRANSLATE(A26,""zh-tw"",""en"")"),"R22")</f>
        <v>R22</v>
      </c>
      <c r="J26" s="153" t="s">
        <v>2221</v>
      </c>
      <c r="K26" s="95" t="s">
        <v>2222</v>
      </c>
      <c r="L26" s="52" t="s">
        <v>2223</v>
      </c>
      <c r="M26" s="119" t="str">
        <f>IFERROR(__xludf.DUMMYFUNCTION("GOOGLETRANSLATE(A26,""zh-tw"",""en"")"),"R22")</f>
        <v>R22</v>
      </c>
      <c r="N26" s="153"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19" t="str">
        <f>IFERROR(__xludf.DUMMYFUNCTION("GOOGLETRANSLATE(A26,""zh-tw"",""ja"")"),"R22")</f>
        <v>R22</v>
      </c>
      <c r="R26" s="153" t="s">
        <v>2224</v>
      </c>
      <c r="S26" s="89" t="str">
        <f>IFERROR(__xludf.DUMMYFUNCTION("GOOGLETRANSLATE(C26,""zh-tw"",""es-MX"")"),"Detrás del pilar situado en el lado izquierdo del ""Gran Cinturón de Lava de Coca-Cola"", hay un objeto oculto y un punto de recogida.")</f>
        <v>Detrás del pilar situado en el lado izquierdo del "Gran Cinturón de Lava de Coca-Cola", hay un objeto oculto y un punto de recogida.</v>
      </c>
      <c r="T26" s="55" t="str">
        <f>IFERROR(__xludf.DUMMYFUNCTION("GOOGLETRANSLATE(D26,""zh-tw"",""es-MX"")"),"Equipo: Anillo de lava
*Este objeto se puede obtener repetidamente tras la actualización del mapa.")</f>
        <v>Equipo: Anillo de lava
*Este objeto se puede obtener repetidamente tras la actualización del mapa.</v>
      </c>
      <c r="U26" s="155" t="str">
        <f>IFERROR(__xludf.DUMMYFUNCTION("GOOGLETRANSLATE(A26,""zh-tw"",""en"")"),"R22")</f>
        <v>R22</v>
      </c>
      <c r="V26" s="154" t="str">
        <f>IFERROR(__xludf.DUMMYFUNCTION("GOOGLETRANSLATE(B26,""zh-tw"",""KO"")"),"숨겨진 통로 11")</f>
        <v>숨겨진 통로 11</v>
      </c>
      <c r="W26" s="89" t="str">
        <f>IFERROR(__xludf.DUMMYFUNCTION("GOOGLETRANSLATE(C26,""zh-tw"",""KO"")"),"""그레이트 코크 용암 벨트"" 왼쪽 기둥 뒤에는 숨겨진 아이템과 수집 지점이 있습니다.")</f>
        <v>"그레이트 코크 용암 벨트" 왼쪽 기둥 뒤에는 숨겨진 아이템과 수집 지점이 있습니다.</v>
      </c>
      <c r="X26" s="55" t="str">
        <f>IFERROR(__xludf.DUMMYFUNCTION("GOOGLETRANSLATE(D26,""zh-tw"",""KO"")"),"장비: 용암 반지
*이 아이템은 맵이 새로고침된 후에도 반복해서 획득할 수 있습니다.")</f>
        <v>장비: 용암 반지
*이 아이템은 맵이 새로고침된 후에도 반복해서 획득할 수 있습니다.</v>
      </c>
      <c r="Y26" s="155" t="str">
        <f>IFERROR(__xludf.DUMMYFUNCTION("GOOGLETRANSLATE(E26,""zh-tw"",""en"")"),"R22")</f>
        <v>R22</v>
      </c>
      <c r="Z26" s="153" t="str">
        <f>IFERROR(__xludf.DUMMYFUNCTION("GOOGLETRANSLATE(B26,""zh-tw"",""ru"")"),"Скрытый проход 11")</f>
        <v>Скрытый проход 11</v>
      </c>
      <c r="AA26" s="156" t="str">
        <f>IFERROR(__xludf.DUMMYFUNCTION("GOOGLETRANSLATE(C26,""zh-tw"",""RU"")"),"За колонной на левой стороне «Великого пояса коксовой лавы» находится скрытый предмет и точка сбора.")</f>
        <v>За колонной на левой стороне «Великого пояса коксовой лавы» находится скрытый предмет и точка сбора.</v>
      </c>
      <c r="AB26" s="44" t="str">
        <f>IFERROR(__xludf.DUMMYFUNCTION("GOOGLETRANSLATE(D26,""zh-tw"",""RU"")"),"Снаряжение: Кольцо Лавы
*Этот предмет можно получить повторно после обновления карты.")</f>
        <v>Снаряжение: Кольцо Лавы
*Этот предмет можно получить повторно после обновления карты.</v>
      </c>
      <c r="AC26" s="155" t="str">
        <f>IFERROR(__xludf.DUMMYFUNCTION("GOOGLETRANSLATE(I26,""zh-tw"",""en"")"),"R22")</f>
        <v>R22</v>
      </c>
      <c r="AD26" s="153" t="s">
        <v>2225</v>
      </c>
      <c r="AE26" s="158" t="s">
        <v>2226</v>
      </c>
      <c r="AF26" s="105" t="s">
        <v>2227</v>
      </c>
      <c r="AG26" s="159" t="s">
        <v>2215</v>
      </c>
      <c r="AH26" s="160" t="s">
        <v>2228</v>
      </c>
      <c r="AI26" s="161" t="s">
        <v>2229</v>
      </c>
      <c r="AJ26" s="162" t="s">
        <v>2230</v>
      </c>
      <c r="AK26" s="30"/>
      <c r="AL26" s="30"/>
    </row>
    <row r="27">
      <c r="A27" s="107" t="s">
        <v>2231</v>
      </c>
      <c r="B27" s="153" t="s">
        <v>2232</v>
      </c>
      <c r="C27" s="95" t="s">
        <v>2233</v>
      </c>
      <c r="D27" s="52" t="s">
        <v>2234</v>
      </c>
      <c r="E27" s="107" t="str">
        <f>IFERROR(__xludf.DUMMYFUNCTION("GOOGLETRANSLATE(A27,""zh-tw"",""ja"")"),"R23")</f>
        <v>R23</v>
      </c>
      <c r="F27" s="153" t="str">
        <f>IFERROR(__xludf.DUMMYFUNCTION("GOOGLETRANSLATE(B27,""zh-tw"",""ja"")"),"穴に落ちる")</f>
        <v>穴に落ちる</v>
      </c>
      <c r="G27" s="95" t="s">
        <v>2235</v>
      </c>
      <c r="H27" s="52" t="s">
        <v>2236</v>
      </c>
      <c r="I27" s="107" t="str">
        <f>IFERROR(__xludf.DUMMYFUNCTION("GOOGLETRANSLATE(A27,""zh-tw"",""en"")"),"R23")</f>
        <v>R23</v>
      </c>
      <c r="J27" s="153" t="s">
        <v>2237</v>
      </c>
      <c r="K27" s="95" t="s">
        <v>2238</v>
      </c>
      <c r="L27" s="52" t="s">
        <v>2239</v>
      </c>
      <c r="M27" s="119" t="str">
        <f>IFERROR(__xludf.DUMMYFUNCTION("GOOGLETRANSLATE(A27,""zh-tw"",""en"")"),"R23")</f>
        <v>R23</v>
      </c>
      <c r="N27" s="153"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19" t="str">
        <f>IFERROR(__xludf.DUMMYFUNCTION("GOOGLETRANSLATE(A27,""zh-tw"",""ja"")"),"R23")</f>
        <v>R23</v>
      </c>
      <c r="R27" s="154" t="str">
        <f>IFERROR(__xludf.DUMMYFUNCTION("GOOGLETRANSLATE(B27,""zh-tw"",""es-MX"")"),"Caer en el agujero")</f>
        <v>Caer en el agujero</v>
      </c>
      <c r="S27" s="95" t="s">
        <v>2240</v>
      </c>
      <c r="T27" s="55" t="str">
        <f>IFERROR(__xludf.DUMMYFUNCTION("GOOGLETRANSLATE(D27,""zh-tw"",""es-MX"")"),"Lo que vi: Caí en una cueva")</f>
        <v>Lo que vi: Caí en una cueva</v>
      </c>
      <c r="U27" s="155" t="str">
        <f>IFERROR(__xludf.DUMMYFUNCTION("GOOGLETRANSLATE(A27,""zh-tw"",""en"")"),"R23")</f>
        <v>R23</v>
      </c>
      <c r="V27" s="154" t="str">
        <f>IFERROR(__xludf.DUMMYFUNCTION("GOOGLETRANSLATE(B27,""zh-tw"",""KO"")"),"구멍에 빠지다")</f>
        <v>구멍에 빠지다</v>
      </c>
      <c r="W27" s="89" t="str">
        <f>IFERROR(__xludf.DUMMYFUNCTION("GOOGLETRANSLATE(C27,""zh-tw"",""KO"")"),"개발 지역(광산) - 광산 지도에 들어가게 됩니다.")</f>
        <v>개발 지역(광산) - 광산 지도에 들어가게 됩니다.</v>
      </c>
      <c r="X27" s="55" t="str">
        <f>IFERROR(__xludf.DUMMYFUNCTION("GOOGLETRANSLATE(D27,""zh-tw"",""KO"")"),"내가 본 것: 나는 동굴에 빠졌다")</f>
        <v>내가 본 것: 나는 동굴에 빠졌다</v>
      </c>
      <c r="Y27" s="155" t="str">
        <f>IFERROR(__xludf.DUMMYFUNCTION("GOOGLETRANSLATE(E27,""zh-tw"",""en"")"),"R23")</f>
        <v>R23</v>
      </c>
      <c r="Z27" s="153" t="str">
        <f>IFERROR(__xludf.DUMMYFUNCTION("GOOGLETRANSLATE(B27,""zh-tw"",""ru"")"),"Упасть в яму")</f>
        <v>Упасть в яму</v>
      </c>
      <c r="AA27" s="156" t="str">
        <f>IFERROR(__xludf.DUMMYFUNCTION("GOOGLETRANSLATE(C27,""zh-tw"",""RU"")"),"Разрабатываемая территория (шахта) - Вы попадете на карту шахты.")</f>
        <v>Разрабатываемая территория (шахта) - Вы попадете на карту шахты.</v>
      </c>
      <c r="AB27" s="44" t="str">
        <f>IFERROR(__xludf.DUMMYFUNCTION("GOOGLETRANSLATE(D27,""zh-tw"",""RU"")"),"Что я увидел: Я упал в пещеру.")</f>
        <v>Что я увидел: Я упал в пещеру.</v>
      </c>
      <c r="AC27" s="155" t="str">
        <f>IFERROR(__xludf.DUMMYFUNCTION("GOOGLETRANSLATE(I27,""zh-tw"",""en"")"),"R23")</f>
        <v>R23</v>
      </c>
      <c r="AD27" s="153" t="s">
        <v>2241</v>
      </c>
      <c r="AE27" s="158" t="s">
        <v>2242</v>
      </c>
      <c r="AF27" s="105" t="s">
        <v>2243</v>
      </c>
      <c r="AG27" s="159" t="s">
        <v>2231</v>
      </c>
      <c r="AH27" s="160" t="s">
        <v>2244</v>
      </c>
      <c r="AI27" s="161" t="s">
        <v>2245</v>
      </c>
      <c r="AJ27" s="162" t="s">
        <v>2246</v>
      </c>
      <c r="AK27" s="30"/>
      <c r="AL27" s="30"/>
    </row>
    <row r="28">
      <c r="A28" s="107" t="s">
        <v>2247</v>
      </c>
      <c r="B28" s="153" t="s">
        <v>2248</v>
      </c>
      <c r="C28" s="95" t="s">
        <v>2249</v>
      </c>
      <c r="D28" s="52" t="s">
        <v>2250</v>
      </c>
      <c r="E28" s="107" t="str">
        <f>IFERROR(__xludf.DUMMYFUNCTION("GOOGLETRANSLATE(A28,""zh-tw"",""ja"")"),"R24")</f>
        <v>R24</v>
      </c>
      <c r="F28" s="153" t="s">
        <v>2251</v>
      </c>
      <c r="G28" s="95" t="s">
        <v>2252</v>
      </c>
      <c r="H28" s="52" t="s">
        <v>2253</v>
      </c>
      <c r="I28" s="107" t="str">
        <f>IFERROR(__xludf.DUMMYFUNCTION("GOOGLETRANSLATE(A28,""zh-tw"",""en"")"),"R24")</f>
        <v>R24</v>
      </c>
      <c r="J28" s="153" t="s">
        <v>2254</v>
      </c>
      <c r="K28" s="95" t="s">
        <v>2255</v>
      </c>
      <c r="L28" s="52" t="s">
        <v>2256</v>
      </c>
      <c r="M28" s="119" t="str">
        <f>IFERROR(__xludf.DUMMYFUNCTION("GOOGLETRANSLATE(A28,""zh-tw"",""en"")"),"R24")</f>
        <v>R24</v>
      </c>
      <c r="N28" s="153"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19" t="str">
        <f>IFERROR(__xludf.DUMMYFUNCTION("GOOGLETRANSLATE(A28,""zh-tw"",""ja"")"),"R24")</f>
        <v>R24</v>
      </c>
      <c r="R28" s="154" t="str">
        <f>IFERROR(__xludf.DUMMYFUNCTION("GOOGLETRANSLATE(B28,""zh-tw"",""es-MX"")"),"Cofre del tesoro de la mina")</f>
        <v>Cofre del tesoro de la mina</v>
      </c>
      <c r="S28" s="95" t="s">
        <v>2257</v>
      </c>
      <c r="T28" s="55" t="str">
        <f>IFERROR(__xludf.DUMMYFUNCTION("GOOGLETRANSLATE(D28,""zh-tw"",""es-MX"")"),"Objeto obtenido: Gel mágico x10 (Se recarga en días lluviosos)")</f>
        <v>Objeto obtenido: Gel mágico x10 (Se recarga en días lluviosos)</v>
      </c>
      <c r="U28" s="155" t="str">
        <f>IFERROR(__xludf.DUMMYFUNCTION("GOOGLETRANSLATE(A28,""zh-tw"",""en"")"),"R24")</f>
        <v>R24</v>
      </c>
      <c r="V28" s="154" t="str">
        <f>IFERROR(__xludf.DUMMYFUNCTION("GOOGLETRANSLATE(B28,""zh-tw"",""KO"")"),"광산 보물 상자")</f>
        <v>광산 보물 상자</v>
      </c>
      <c r="W28" s="89" t="str">
        <f>IFERROR(__xludf.DUMMYFUNCTION("GOOGLETRANSLATE(C28,""zh-tw"",""KO"")"),"개발구역(광산) - 1, 계단을 따라 중앙에 보물상자가 있습니다.")</f>
        <v>개발구역(광산) - 1, 계단을 따라 중앙에 보물상자가 있습니다.</v>
      </c>
      <c r="X28" s="55" t="str">
        <f>IFERROR(__xludf.DUMMYFUNCTION("GOOGLETRANSLATE(D28,""zh-tw"",""KO"")"),"획득 아이템 : 마법 젤 x10 (비오는 날 상쾌하게)")</f>
        <v>획득 아이템 : 마법 젤 x10 (비오는 날 상쾌하게)</v>
      </c>
      <c r="Y28" s="155" t="str">
        <f>IFERROR(__xludf.DUMMYFUNCTION("GOOGLETRANSLATE(E28,""zh-tw"",""en"")"),"R24")</f>
        <v>R24</v>
      </c>
      <c r="Z28" s="153" t="str">
        <f>IFERROR(__xludf.DUMMYFUNCTION("GOOGLETRANSLATE(B28,""zh-tw"",""ru"")"),"Мой сундук с сокровищами")</f>
        <v>Мой сундук с сокровищами</v>
      </c>
      <c r="AA28" s="156" t="str">
        <f>IFERROR(__xludf.DUMMYFUNCTION("GOOGLETRANSLATE(C28,""zh-tw"",""RU"")"),"Зона разработки (шахта) - 1, в центре вдоль лестницы находится сундук с сокровищами.")</f>
        <v>Зона разработки (шахта) - 1, в центре вдоль лестницы находится сундук с сокровищами.</v>
      </c>
      <c r="AB28" s="44" t="str">
        <f>IFERROR(__xludf.DUMMYFUNCTION("GOOGLETRANSLATE(D28,""zh-tw"",""RU"")"),"Полученный предмет: Волшебный гель x10 (Освежает в дождливые дни)")</f>
        <v>Полученный предмет: Волшебный гель x10 (Освежает в дождливые дни)</v>
      </c>
      <c r="AC28" s="155" t="str">
        <f>IFERROR(__xludf.DUMMYFUNCTION("GOOGLETRANSLATE(I28,""zh-tw"",""en"")"),"R24")</f>
        <v>R24</v>
      </c>
      <c r="AD28" s="153" t="s">
        <v>2258</v>
      </c>
      <c r="AE28" s="158" t="s">
        <v>2259</v>
      </c>
      <c r="AF28" s="105" t="s">
        <v>2260</v>
      </c>
      <c r="AG28" s="159" t="s">
        <v>2247</v>
      </c>
      <c r="AH28" s="160" t="s">
        <v>2261</v>
      </c>
      <c r="AI28" s="161" t="s">
        <v>2262</v>
      </c>
      <c r="AJ28" s="162" t="s">
        <v>2263</v>
      </c>
      <c r="AK28" s="30"/>
      <c r="AL28" s="30"/>
    </row>
    <row r="29">
      <c r="A29" s="107" t="s">
        <v>2264</v>
      </c>
      <c r="B29" s="153" t="s">
        <v>2265</v>
      </c>
      <c r="C29" s="95" t="s">
        <v>2266</v>
      </c>
      <c r="D29" s="173" t="s">
        <v>2267</v>
      </c>
      <c r="E29" s="84" t="str">
        <f>IFERROR(__xludf.DUMMYFUNCTION("GOOGLETRANSLATE(A29,""zh-tw"",""ja"")"),"R25")</f>
        <v>R25</v>
      </c>
      <c r="F29" s="171" t="s">
        <v>2268</v>
      </c>
      <c r="G29" s="174" t="s">
        <v>2269</v>
      </c>
      <c r="H29" s="175" t="s">
        <v>2270</v>
      </c>
      <c r="I29" s="84" t="str">
        <f>IFERROR(__xludf.DUMMYFUNCTION("GOOGLETRANSLATE(A29,""zh-tw"",""en"")"),"R25")</f>
        <v>R25</v>
      </c>
      <c r="J29" s="171" t="s">
        <v>2271</v>
      </c>
      <c r="K29" s="174" t="s">
        <v>2272</v>
      </c>
      <c r="L29" s="52" t="s">
        <v>2273</v>
      </c>
      <c r="M29" s="119" t="str">
        <f>IFERROR(__xludf.DUMMYFUNCTION("GOOGLETRANSLATE(A29,""zh-tw"",""en"")"),"R25")</f>
        <v>R25</v>
      </c>
      <c r="N29" s="171" t="str">
        <f>IFERROR(__xludf.DUMMYFUNCTION("GOOGLETRANSLATE(B29,""zh-tw"",""zh"")"),"遗迹宝箱1")</f>
        <v>遗迹宝箱1</v>
      </c>
      <c r="O29" s="176"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68" t="str">
        <f>IFERROR(__xludf.DUMMYFUNCTION("GOOGLETRANSLATE(D29,""zh-tw"",""zh"")"),"白宝箱获得：漏电的不良品、火烧云
红宝箱获得：霜月、战车塔罗牌 (红宝箱可以刷新)")</f>
        <v>白宝箱获得：漏电的不良品、火烧云
红宝箱获得：霜月、战车塔罗牌 (红宝箱可以刷新)</v>
      </c>
      <c r="Q29" s="119" t="str">
        <f>IFERROR(__xludf.DUMMYFUNCTION("GOOGLETRANSLATE(A29,""zh-tw"",""ja"")"),"R25")</f>
        <v>R25</v>
      </c>
      <c r="R29" s="154" t="str">
        <f>IFERROR(__xludf.DUMMYFUNCTION("GOOGLETRANSLATE(B29,""zh-tw"",""es-MX"")"),"Cofre de reliquias 1")</f>
        <v>Cofre de reliquias 1</v>
      </c>
      <c r="S29" s="174" t="s">
        <v>2274</v>
      </c>
      <c r="T29" s="55" t="str">
        <f>IFERROR(__xludf.DUMMYFUNCTION("GOOGLETRANSLATE(D29,""zh-tw"",""es-MX"")"),"Cofre del Tesoro Blanco: Producto Defectuoso con Fugas, Nubes de Fuego
Cofre del Tesoro Rojo: Luna Helada, Cartas del Tarot del Carro (Los Cofres del Tesoro Rojos se pueden recargar)")</f>
        <v>Cofre del Tesoro Blanco: Producto Defectuoso con Fugas, Nubes de Fuego
Cofre del Tesoro Rojo: Luna Helada, Cartas del Tarot del Carro (Los Cofres del Tesoro Rojos se pueden recargar)</v>
      </c>
      <c r="U29" s="155" t="str">
        <f>IFERROR(__xludf.DUMMYFUNCTION("GOOGLETRANSLATE(A29,""zh-tw"",""en"")"),"R25")</f>
        <v>R25</v>
      </c>
      <c r="V29" s="154" t="str">
        <f>IFERROR(__xludf.DUMMYFUNCTION("GOOGLETRANSLATE(B29,""zh-tw"",""KO"")"),"유물 상자 1")</f>
        <v>유물 상자 1</v>
      </c>
      <c r="W29" s="176" t="str">
        <f>IFERROR(__xludf.DUMMYFUNCTION("GOOGLETRANSLATE(C29,""zh-tw"",""KO"")"),"얕은 유적 미로
유적의 첫 번째 층
오른쪽 장치와 왼쪽 외부 연결 지점에 흰색 보물상자가 있습니다.
왼쪽에는 빨간색 보물상자가 있습니다. 덩굴 가장자리를 따라 걸어가면 보물상자에 도착할 수 있습니다.")</f>
        <v>얕은 유적 미로
유적의 첫 번째 층
오른쪽 장치와 왼쪽 외부 연결 지점에 흰색 보물상자가 있습니다.
왼쪽에는 빨간색 보물상자가 있습니다. 덩굴 가장자리를 따라 걸어가면 보물상자에 도착할 수 있습니다.</v>
      </c>
      <c r="X29" s="55" t="str">
        <f>IFERROR(__xludf.DUMMYFUNCTION("GOOGLETRANSLATE(D29,""zh-tw"",""KO"")"),"하얀 보물상자: 새는 불량품, 불타는 구름
빨간 보물상자: 서리 내린 달, 전차 타로 카드 (빨간 보물상자는 새로 고침 가능)")</f>
        <v>하얀 보물상자: 새는 불량품, 불타는 구름
빨간 보물상자: 서리 내린 달, 전차 타로 카드 (빨간 보물상자는 새로 고침 가능)</v>
      </c>
      <c r="Y29" s="155" t="str">
        <f>IFERROR(__xludf.DUMMYFUNCTION("GOOGLETRANSLATE(E29,""zh-tw"",""en"")"),"R25")</f>
        <v>R25</v>
      </c>
      <c r="Z29" s="171" t="str">
        <f>IFERROR(__xludf.DUMMYFUNCTION("GOOGLETRANSLATE(B29,""zh-tw"",""ru"")"),"Сундук с реликвиями 1")</f>
        <v>Сундук с реликвиями 1</v>
      </c>
      <c r="AA29" s="176" t="str">
        <f>IFERROR(__xludf.DUMMYFUNCTION("GOOGLETRANSLATE(C29,""zh-tw"",""RU"")"),"Лабиринт «Неглубокие руины»
Первый уровень руин
Справа у механизма и слева у выхода наружу находится белый сундук с сокровищами.
Слева находится красный сундук с сокровищами; добраться до него можно, пройдя по краю лиан.")</f>
        <v>Лабиринт «Неглубокие руины»
Первый уровень руин
Справа у механизма и слева у выхода наружу находится белый сундук с сокровищами.
Слева находится красный сундук с сокровищами; добраться до него можно, пройдя по краю лиан.</v>
      </c>
      <c r="AB29" s="44" t="str">
        <f>IFERROR(__xludf.DUMMYFUNCTION("GOOGLETRANSLATE(D29,""zh-tw"",""RU"")"),"Белый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f>
        <v>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v>
      </c>
      <c r="AC29" s="155" t="str">
        <f>IFERROR(__xludf.DUMMYFUNCTION("GOOGLETRANSLATE(I29,""zh-tw"",""en"")"),"R25")</f>
        <v>R25</v>
      </c>
      <c r="AD29" s="171" t="s">
        <v>2275</v>
      </c>
      <c r="AE29" s="174" t="s">
        <v>2276</v>
      </c>
      <c r="AF29" s="175" t="s">
        <v>2277</v>
      </c>
      <c r="AG29" s="159" t="s">
        <v>2264</v>
      </c>
      <c r="AH29" s="160" t="s">
        <v>2278</v>
      </c>
      <c r="AI29" s="161" t="s">
        <v>2279</v>
      </c>
      <c r="AJ29" s="162" t="s">
        <v>2280</v>
      </c>
      <c r="AK29" s="30"/>
      <c r="AL29" s="30"/>
    </row>
    <row r="30">
      <c r="A30" s="107" t="s">
        <v>2281</v>
      </c>
      <c r="B30" s="153" t="s">
        <v>2282</v>
      </c>
      <c r="C30" s="95" t="s">
        <v>2283</v>
      </c>
      <c r="D30" s="52" t="s">
        <v>2284</v>
      </c>
      <c r="E30" s="107" t="str">
        <f>IFERROR(__xludf.DUMMYFUNCTION("GOOGLETRANSLATE(A30,""zh-tw"",""ja"")"),"R26")</f>
        <v>R26</v>
      </c>
      <c r="F30" s="153" t="s">
        <v>2285</v>
      </c>
      <c r="G30" s="163" t="s">
        <v>2286</v>
      </c>
      <c r="H30" s="52" t="s">
        <v>2120</v>
      </c>
      <c r="I30" s="107" t="str">
        <f>IFERROR(__xludf.DUMMYFUNCTION("GOOGLETRANSLATE(A30,""zh-tw"",""en"")"),"R26")</f>
        <v>R26</v>
      </c>
      <c r="J30" s="153" t="s">
        <v>2287</v>
      </c>
      <c r="K30" s="95" t="s">
        <v>2288</v>
      </c>
      <c r="L30" s="52" t="s">
        <v>2289</v>
      </c>
      <c r="M30" s="119" t="str">
        <f>IFERROR(__xludf.DUMMYFUNCTION("GOOGLETRANSLATE(A30,""zh-tw"",""en"")"),"R26")</f>
        <v>R26</v>
      </c>
      <c r="N30" s="153"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19" t="str">
        <f>IFERROR(__xludf.DUMMYFUNCTION("GOOGLETRANSLATE(A30,""zh-tw"",""ja"")"),"R26")</f>
        <v>R26</v>
      </c>
      <c r="R30" s="154" t="str">
        <f>IFERROR(__xludf.DUMMYFUNCTION("GOOGLETRANSLATE(B30,""zh-tw"",""es-MX"")"),"Cofre de reliquias 2")</f>
        <v>Cofre de reliquias 2</v>
      </c>
      <c r="S30" s="95" t="s">
        <v>2290</v>
      </c>
      <c r="T30" s="55" t="str">
        <f>IFERROR(__xludf.DUMMYFUNCTION("GOOGLETRANSLATE(D30,""zh-tw"",""es-MX"")"),"Obtener arma - Espina de pescado apestosa")</f>
        <v>Obtener arma - Espina de pescado apestosa</v>
      </c>
      <c r="U30" s="155" t="str">
        <f>IFERROR(__xludf.DUMMYFUNCTION("GOOGLETRANSLATE(A30,""zh-tw"",""en"")"),"R26")</f>
        <v>R26</v>
      </c>
      <c r="V30" s="154" t="str">
        <f>IFERROR(__xludf.DUMMYFUNCTION("GOOGLETRANSLATE(B30,""zh-tw"",""KO"")"),"유물 상자 2")</f>
        <v>유물 상자 2</v>
      </c>
      <c r="W30" s="89" t="str">
        <f>IFERROR(__xludf.DUMMYFUNCTION("GOOGLETRANSLATE(C30,""zh-tw"",""KO"")"),"잊혀진 무덤 1층의 오른쪽 동굴 입구 옆, 계란 줄 왼쪽에 보물 상자가 있습니다.")</f>
        <v>잊혀진 무덤 1층의 오른쪽 동굴 입구 옆, 계란 줄 왼쪽에 보물 상자가 있습니다.</v>
      </c>
      <c r="X30" s="55" t="str">
        <f>IFERROR(__xludf.DUMMYFUNCTION("GOOGLETRANSLATE(D30,""zh-tw"",""KO"")"),"무기 획득 - 냄새나는 생선뼈")</f>
        <v>무기 획득 - 냄새나는 생선뼈</v>
      </c>
      <c r="Y30" s="155" t="str">
        <f>IFERROR(__xludf.DUMMYFUNCTION("GOOGLETRANSLATE(E30,""zh-tw"",""en"")"),"R26")</f>
        <v>R26</v>
      </c>
      <c r="Z30" s="153" t="str">
        <f>IFERROR(__xludf.DUMMYFUNCTION("GOOGLETRANSLATE(B30,""zh-tw"",""ru"")"),"Сундук с реликвиями 2")</f>
        <v>Сундук с реликвиями 2</v>
      </c>
      <c r="AA30" s="156" t="str">
        <f>IFERROR(__xludf.DUMMYFUNCTION("GOOGLETRANSLATE(C30,""zh-tw"",""RU"")"),"Слева от ряда яиц, рядом с правым входом в пещеру на первом уровне Забытой гробницы, находится сундук с сокровищами.")</f>
        <v>Слева от ряда яиц, рядом с правым входом в пещеру на первом уровне Забытой гробницы,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55" t="str">
        <f>IFERROR(__xludf.DUMMYFUNCTION("GOOGLETRANSLATE(I30,""zh-tw"",""en"")"),"R26")</f>
        <v>R26</v>
      </c>
      <c r="AD30" s="153" t="s">
        <v>2291</v>
      </c>
      <c r="AE30" s="156" t="str">
        <f>IFERROR(__xludf.DUMMYFUNCTION("GOOGLETRANSLATE(C30,""zh-tw"",""DE"")"),"Links neben einer Reihe von Eiern, neben dem rechten Höhleneingang auf der ersten Ebene des Vergessenen Grabes, befindet sich eine Schatztruhe.")</f>
        <v>Links neben einer Reihe von Eiern, neben dem rechten Höhleneingang auf der ersten Ebene des Vergessenen Grabes, befindet sich eine Schatztruhe.</v>
      </c>
      <c r="AF30" s="105" t="s">
        <v>2292</v>
      </c>
      <c r="AG30" s="159" t="s">
        <v>2281</v>
      </c>
      <c r="AH30" s="160" t="s">
        <v>2293</v>
      </c>
      <c r="AI30" s="161" t="s">
        <v>2294</v>
      </c>
      <c r="AJ30" s="162" t="s">
        <v>2295</v>
      </c>
      <c r="AK30" s="30"/>
      <c r="AL30" s="30"/>
    </row>
    <row r="31">
      <c r="A31" s="107" t="s">
        <v>2296</v>
      </c>
      <c r="B31" s="153" t="s">
        <v>2297</v>
      </c>
      <c r="C31" s="95" t="s">
        <v>2298</v>
      </c>
      <c r="D31" s="52" t="s">
        <v>2299</v>
      </c>
      <c r="E31" s="107" t="str">
        <f>IFERROR(__xludf.DUMMYFUNCTION("GOOGLETRANSLATE(A31,""zh-tw"",""ja"")"),"R27")</f>
        <v>R27</v>
      </c>
      <c r="F31" s="153" t="s">
        <v>2300</v>
      </c>
      <c r="G31" s="163" t="s">
        <v>2301</v>
      </c>
      <c r="H31" s="52" t="s">
        <v>2120</v>
      </c>
      <c r="I31" s="107" t="str">
        <f>IFERROR(__xludf.DUMMYFUNCTION("GOOGLETRANSLATE(A31,""zh-tw"",""en"")"),"R27")</f>
        <v>R27</v>
      </c>
      <c r="J31" s="153" t="s">
        <v>2302</v>
      </c>
      <c r="K31" s="95" t="s">
        <v>2303</v>
      </c>
      <c r="L31" s="52" t="s">
        <v>2304</v>
      </c>
      <c r="M31" s="119" t="str">
        <f>IFERROR(__xludf.DUMMYFUNCTION("GOOGLETRANSLATE(A31,""zh-tw"",""en"")"),"R27")</f>
        <v>R27</v>
      </c>
      <c r="N31" s="153"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19" t="str">
        <f>IFERROR(__xludf.DUMMYFUNCTION("GOOGLETRANSLATE(A31,""zh-tw"",""ja"")"),"R27")</f>
        <v>R27</v>
      </c>
      <c r="R31" s="154" t="str">
        <f>IFERROR(__xludf.DUMMYFUNCTION("GOOGLETRANSLATE(B31,""zh-tw"",""es-MX"")"),"Cofre de reliquias 3")</f>
        <v>Cofre de reliquias 3</v>
      </c>
      <c r="S31" s="95" t="s">
        <v>2305</v>
      </c>
      <c r="T31" s="55" t="str">
        <f>IFERROR(__xludf.DUMMYFUNCTION("GOOGLETRANSLATE(D31,""zh-tw"",""es-MX"")"),"Obtener arma-Xuejian")</f>
        <v>Obtener arma-Xuejian</v>
      </c>
      <c r="U31" s="155" t="str">
        <f>IFERROR(__xludf.DUMMYFUNCTION("GOOGLETRANSLATE(A31,""zh-tw"",""en"")"),"R27")</f>
        <v>R27</v>
      </c>
      <c r="V31" s="154" t="str">
        <f>IFERROR(__xludf.DUMMYFUNCTION("GOOGLETRANSLATE(B31,""zh-tw"",""KO"")"),"유물 상자 3")</f>
        <v>유물 상자 3</v>
      </c>
      <c r="W31" s="89" t="str">
        <f>IFERROR(__xludf.DUMMYFUNCTION("GOOGLETRANSLATE(C31,""zh-tw"",""KO"")"),"잊혀진 무덤-1, 가운데에 있는 달걀 근처의 보물 상자.")</f>
        <v>잊혀진 무덤-1, 가운데에 있는 달걀 근처의 보물 상자.</v>
      </c>
      <c r="X31" s="55" t="str">
        <f>IFERROR(__xludf.DUMMYFUNCTION("GOOGLETRANSLATE(D31,""zh-tw"",""KO"")"),"무기-Xuejian을 얻으십시오")</f>
        <v>무기-Xuejian을 얻으십시오</v>
      </c>
      <c r="Y31" s="155" t="str">
        <f>IFERROR(__xludf.DUMMYFUNCTION("GOOGLETRANSLATE(E31,""zh-tw"",""en"")"),"R27")</f>
        <v>R27</v>
      </c>
      <c r="Z31" s="153" t="str">
        <f>IFERROR(__xludf.DUMMYFUNCTION("GOOGLETRANSLATE(B31,""zh-tw"",""ru"")"),"Сундук с реликвиями 3")</f>
        <v>Сундук с реликвиями 3</v>
      </c>
      <c r="AA31" s="156" t="str">
        <f>IFERROR(__xludf.DUMMYFUNCTION("GOOGLETRANSLATE(C31,""zh-tw"",""RU"")"),"Забытая Гробница-1, сундук с сокровищами возле яйца посередине.")</f>
        <v>Забытая Гробница-1, сундук с сокровищами возле яйца посередине.</v>
      </c>
      <c r="AB31" s="44" t="str">
        <f>IFERROR(__xludf.DUMMYFUNCTION("GOOGLETRANSLATE(D31,""zh-tw"",""RU"")"),"Получить оружие-Сюэцзянь")</f>
        <v>Получить оружие-Сюэцзянь</v>
      </c>
      <c r="AC31" s="155" t="str">
        <f>IFERROR(__xludf.DUMMYFUNCTION("GOOGLETRANSLATE(I31,""zh-tw"",""en"")"),"R27")</f>
        <v>R27</v>
      </c>
      <c r="AD31" s="153" t="s">
        <v>2306</v>
      </c>
      <c r="AE31" s="156" t="str">
        <f>IFERROR(__xludf.DUMMYFUNCTION("GOOGLETRANSLATE(C31,""zh-tw"",""DE"")"),"Vergessenes Grab-1, eine Schatztruhe in der Nähe des Eis in der Mitte.")</f>
        <v>Vergessenes Grab-1, eine Schatztruhe in der Nähe des Eis in der Mitte.</v>
      </c>
      <c r="AF31" s="105" t="s">
        <v>2307</v>
      </c>
      <c r="AG31" s="159" t="s">
        <v>2296</v>
      </c>
      <c r="AH31" s="160" t="s">
        <v>2308</v>
      </c>
      <c r="AI31" s="161" t="s">
        <v>2309</v>
      </c>
      <c r="AJ31" s="162" t="s">
        <v>2310</v>
      </c>
      <c r="AK31" s="30"/>
      <c r="AL31" s="30"/>
    </row>
    <row r="32">
      <c r="A32" s="107" t="s">
        <v>2311</v>
      </c>
      <c r="B32" s="153" t="s">
        <v>2312</v>
      </c>
      <c r="C32" s="95" t="s">
        <v>2313</v>
      </c>
      <c r="D32" s="52" t="s">
        <v>2314</v>
      </c>
      <c r="E32" s="107" t="str">
        <f>IFERROR(__xludf.DUMMYFUNCTION("GOOGLETRANSLATE(A32,""zh-tw"",""ja"")"),"R28")</f>
        <v>R28</v>
      </c>
      <c r="F32" s="153" t="str">
        <f>IFERROR(__xludf.DUMMYFUNCTION("GOOGLETRANSLATE(B32,""zh-tw"",""ja"")"),"ダウンロードコンテンツ")</f>
        <v>ダウンロードコンテンツ</v>
      </c>
      <c r="G32" s="95" t="s">
        <v>2315</v>
      </c>
      <c r="H32" s="52" t="s">
        <v>2316</v>
      </c>
      <c r="I32" s="107" t="str">
        <f>IFERROR(__xludf.DUMMYFUNCTION("GOOGLETRANSLATE(A32,""zh-tw"",""en"")"),"R28")</f>
        <v>R28</v>
      </c>
      <c r="J32" s="153" t="s">
        <v>2312</v>
      </c>
      <c r="K32" s="95" t="s">
        <v>2317</v>
      </c>
      <c r="L32" s="52" t="s">
        <v>2318</v>
      </c>
      <c r="M32" s="119" t="str">
        <f>IFERROR(__xludf.DUMMYFUNCTION("GOOGLETRANSLATE(A32,""zh-tw"",""en"")"),"R28")</f>
        <v>R28</v>
      </c>
      <c r="N32" s="153"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19" t="str">
        <f>IFERROR(__xludf.DUMMYFUNCTION("GOOGLETRANSLATE(A32,""zh-tw"",""ja"")"),"R28")</f>
        <v>R28</v>
      </c>
      <c r="R32" s="154" t="str">
        <f>IFERROR(__xludf.DUMMYFUNCTION("GOOGLETRANSLATE(B32,""zh-tw"",""es-MX"")"),"Contenido descargable")</f>
        <v>Contenido descargable</v>
      </c>
      <c r="S32" s="95" t="s">
        <v>2319</v>
      </c>
      <c r="T32" s="55" t="str">
        <f>IFERROR(__xludf.DUMMYFUNCTION("GOOGLETRANSLATE(D32,""zh-tw"",""es-MX"")"),"Alma de las Sombras - DLC")</f>
        <v>Alma de las Sombras - DLC</v>
      </c>
      <c r="U32" s="155" t="str">
        <f>IFERROR(__xludf.DUMMYFUNCTION("GOOGLETRANSLATE(A32,""zh-tw"",""en"")"),"R28")</f>
        <v>R28</v>
      </c>
      <c r="V32" s="154" t="str">
        <f>IFERROR(__xludf.DUMMYFUNCTION("GOOGLETRANSLATE(B32,""zh-tw"",""KO"")"),"다운로드")</f>
        <v>다운로드</v>
      </c>
      <c r="W32" s="89" t="str">
        <f>IFERROR(__xludf.DUMMYFUNCTION("GOOGLETRANSLATE(C32,""zh-tw"",""KO"")"),"모험가의 길: 모임 장소 기사와 일정 횟수 이상의 만남을 공유하면 [무언가]를 획득할 수 있습니다.")</f>
        <v>모험가의 길: 모임 장소 기사와 일정 횟수 이상의 만남을 공유하면 [무언가]를 획득할 수 있습니다.</v>
      </c>
      <c r="X32" s="55" t="str">
        <f>IFERROR(__xludf.DUMMYFUNCTION("GOOGLETRANSLATE(D32,""zh-tw"",""KO"")"),"섀도우 소울-DLC")</f>
        <v>섀도우 소울-DLC</v>
      </c>
      <c r="Y32" s="155" t="str">
        <f>IFERROR(__xludf.DUMMYFUNCTION("GOOGLETRANSLATE(E32,""zh-tw"",""en"")"),"R28")</f>
        <v>R28</v>
      </c>
      <c r="Z32" s="153" t="str">
        <f>IFERROR(__xludf.DUMMYFUNCTION("GOOGLETRANSLATE(B32,""zh-tw"",""ru"")"),"DLC")</f>
        <v>DLC</v>
      </c>
      <c r="AA32" s="156" t="str">
        <f>IFERROR(__xludf.DUMMYFUNCTION("GOOGLETRANSLATE(C32,""zh-tw"",""RU"")"),"Путь искателя приключений: Место сбора Вы можете получить [что-то], разделив определенное количество встреч с рыцарем.")</f>
        <v>Путь искателя приключений: Место сбора Вы можете получить [что-то], разделив определенное количество встреч с рыцарем.</v>
      </c>
      <c r="AB32" s="44" t="str">
        <f>IFERROR(__xludf.DUMMYFUNCTION("GOOGLETRANSLATE(D32,""zh-tw"",""RU"")"),"Shadow Soul-DLC")</f>
        <v>Shadow Soul-DLC</v>
      </c>
      <c r="AC32" s="155" t="str">
        <f>IFERROR(__xludf.DUMMYFUNCTION("GOOGLETRANSLATE(I32,""zh-tw"",""en"")"),"R28")</f>
        <v>R28</v>
      </c>
      <c r="AD32" s="153" t="s">
        <v>2312</v>
      </c>
      <c r="AE32" s="156" t="str">
        <f>IFERROR(__xludf.DUMMYFUNCTION("GOOGLETRANSLATE(C32,""zh-tw"",""DE"")"),"Pfad des Abenteurers: Treffpunkt Du kannst [etwas] erhalten, indem du eine bestimmte Anzahl von Begegnungen mit dem Ritter absolvierst.")</f>
        <v>Pfad des Abenteurers: Treffpunkt Du kannst [etwas] erhalten, indem du eine bestimmte Anzahl von Begegnungen mit dem Ritter absolvierst.</v>
      </c>
      <c r="AF32" s="105" t="s">
        <v>2320</v>
      </c>
      <c r="AG32" s="159" t="s">
        <v>2311</v>
      </c>
      <c r="AH32" s="160" t="s">
        <v>2312</v>
      </c>
      <c r="AI32" s="161" t="s">
        <v>2321</v>
      </c>
      <c r="AJ32" s="162" t="s">
        <v>2322</v>
      </c>
      <c r="AK32" s="30"/>
      <c r="AL32" s="30"/>
    </row>
    <row r="33">
      <c r="A33" s="107" t="s">
        <v>2323</v>
      </c>
      <c r="B33" s="153" t="s">
        <v>2324</v>
      </c>
      <c r="C33" s="95" t="s">
        <v>2325</v>
      </c>
      <c r="D33" s="52" t="s">
        <v>2326</v>
      </c>
      <c r="E33" s="107" t="str">
        <f>IFERROR(__xludf.DUMMYFUNCTION("GOOGLETRANSLATE(A33,""zh-tw"",""ja"")"),"R29")</f>
        <v>R29</v>
      </c>
      <c r="F33" s="153" t="s">
        <v>2327</v>
      </c>
      <c r="G33" s="95" t="s">
        <v>2328</v>
      </c>
      <c r="H33" s="52" t="s">
        <v>2329</v>
      </c>
      <c r="I33" s="107" t="str">
        <f>IFERROR(__xludf.DUMMYFUNCTION("GOOGLETRANSLATE(A33,""zh-tw"",""en"")"),"R29")</f>
        <v>R29</v>
      </c>
      <c r="J33" s="153" t="s">
        <v>2330</v>
      </c>
      <c r="K33" s="95" t="s">
        <v>2331</v>
      </c>
      <c r="L33" s="52" t="s">
        <v>2332</v>
      </c>
      <c r="M33" s="119" t="str">
        <f>IFERROR(__xludf.DUMMYFUNCTION("GOOGLETRANSLATE(A33,""zh-tw"",""en"")"),"R29")</f>
        <v>R29</v>
      </c>
      <c r="N33" s="153"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19" t="str">
        <f>IFERROR(__xludf.DUMMYFUNCTION("GOOGLETRANSLATE(A33,""zh-tw"",""ja"")"),"R29")</f>
        <v>R29</v>
      </c>
      <c r="R33" s="153" t="s">
        <v>2333</v>
      </c>
      <c r="S33" s="95" t="s">
        <v>2334</v>
      </c>
      <c r="T33" s="55" t="str">
        <f>IFERROR(__xludf.DUMMYFUNCTION("GOOGLETRANSLATE(D33,""zh-tw"",""es-MX"")"),"Tras compartir varias de tus experiencias, recibirás una camiseta extra, que verás en una escena donde tu hermana la lleva puesta al llegar a casa.
(La función de cambio de ropa posterior aún no está implementada).")</f>
        <v>Tras compartir varias de tus experiencias, recibirás una camiseta extra, que verás en una escena donde tu hermana la lleva puesta al llegar a casa.
(La función de cambio de ropa posterior aún no está implementada).</v>
      </c>
      <c r="U33" s="155" t="str">
        <f>IFERROR(__xludf.DUMMYFUNCTION("GOOGLETRANSLATE(A33,""zh-tw"",""en"")"),"R29")</f>
        <v>R29</v>
      </c>
      <c r="V33" s="154" t="str">
        <f>IFERROR(__xludf.DUMMYFUNCTION("GOOGLETRANSLATE(B33,""zh-tw"",""KO"")"),"모든 관찰")</f>
        <v>모든 관찰</v>
      </c>
      <c r="W33" s="89" t="str">
        <f>IFERROR(__xludf.DUMMYFUNCTION("GOOGLETRANSLATE(C33,""zh-tw"",""KO"")"),"모험의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f>
        <v>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v>
      </c>
      <c r="X33" s="55" t="str">
        <f>IFERROR(__xludf.DUMMYFUNCTION("GOOGLETRANSLATE(D33,""zh-tw"",""KO"")"),"일정 횟수의 경험을 공유하면 ""보너스 티셔츠""를 받게 되는데, 집에 돌아왔을 때 언니가 입고 있는 장면에서 볼 수 있습니다.
(이후의 옷 갈아입기 기능은 아직 구현되지 않았습니다.)")</f>
        <v>일정 횟수의 경험을 공유하면 "보너스 티셔츠"를 받게 되는데, 집에 돌아왔을 때 언니가 입고 있는 장면에서 볼 수 있습니다.
(이후의 옷 갈아입기 기능은 아직 구현되지 않았습니다.)</v>
      </c>
      <c r="Y33" s="155" t="str">
        <f>IFERROR(__xludf.DUMMYFUNCTION("GOOGLETRANSLATE(E33,""zh-tw"",""en"")"),"R29")</f>
        <v>R29</v>
      </c>
      <c r="Z33" s="153" t="str">
        <f>IFERROR(__xludf.DUMMYFUNCTION("GOOGLETRANSLATE(B33,""zh-tw"",""ru"")"),"Все наблюдения")</f>
        <v>Все наблюдения</v>
      </c>
      <c r="AA33" s="156" t="str">
        <f>IFERROR(__xludf.DUMMYFUNCTION("GOOGLETRANSLATE(C33,""zh-tw"",""RU"")"),"Рыцари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поглаживани"&amp;"е её большого белого кролика.
Числа обозначают: Номера событий")</f>
        <v>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поглаживание её большого белого кролика.
Числа обозначают: Номера событий</v>
      </c>
      <c r="AB33" s="44" t="str">
        <f>IFERROR(__xludf.DUMMYFUNCTION("GOOGLETRANSLATE(D33,""zh-tw"",""RU"")"),"Поделившись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f>
        <v>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v>
      </c>
      <c r="AC33" s="155" t="str">
        <f>IFERROR(__xludf.DUMMYFUNCTION("GOOGLETRANSLATE(I33,""zh-tw"",""en"")"),"R29")</f>
        <v>R29</v>
      </c>
      <c r="AD33" s="153" t="s">
        <v>2335</v>
      </c>
      <c r="AE33" s="158" t="s">
        <v>2336</v>
      </c>
      <c r="AF33" s="105" t="s">
        <v>2337</v>
      </c>
      <c r="AG33" s="159" t="s">
        <v>2323</v>
      </c>
      <c r="AH33" s="160" t="s">
        <v>2338</v>
      </c>
      <c r="AI33" s="161" t="s">
        <v>2339</v>
      </c>
      <c r="AJ33" s="162" t="s">
        <v>2340</v>
      </c>
      <c r="AK33" s="30"/>
      <c r="AL33" s="30"/>
    </row>
    <row r="34">
      <c r="A34" s="107" t="s">
        <v>2341</v>
      </c>
      <c r="B34" s="153" t="s">
        <v>2342</v>
      </c>
      <c r="C34" s="95" t="s">
        <v>2343</v>
      </c>
      <c r="D34" s="52" t="s">
        <v>2344</v>
      </c>
      <c r="E34" s="107" t="str">
        <f>IFERROR(__xludf.DUMMYFUNCTION("GOOGLETRANSLATE(A34,""zh-tw"",""ja"")"),"R30")</f>
        <v>R30</v>
      </c>
      <c r="F34" s="153" t="s">
        <v>2345</v>
      </c>
      <c r="G34" s="95" t="s">
        <v>2346</v>
      </c>
      <c r="H34" s="52" t="s">
        <v>2347</v>
      </c>
      <c r="I34" s="107" t="str">
        <f>IFERROR(__xludf.DUMMYFUNCTION("GOOGLETRANSLATE(A34,""zh-tw"",""en"")"),"R30")</f>
        <v>R30</v>
      </c>
      <c r="J34" s="153" t="s">
        <v>2348</v>
      </c>
      <c r="K34" s="95" t="s">
        <v>2349</v>
      </c>
      <c r="L34" s="52" t="s">
        <v>2350</v>
      </c>
      <c r="M34" s="119" t="str">
        <f>IFERROR(__xludf.DUMMYFUNCTION("GOOGLETRANSLATE(A34,""zh-tw"",""en"")"),"R30")</f>
        <v>R30</v>
      </c>
      <c r="N34" s="153"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19" t="str">
        <f>IFERROR(__xludf.DUMMYFUNCTION("GOOGLETRANSLATE(A34,""zh-tw"",""ja"")"),"R30")</f>
        <v>R30</v>
      </c>
      <c r="R34" s="154" t="str">
        <f>IFERROR(__xludf.DUMMYFUNCTION("GOOGLETRANSLATE(B34,""zh-tw"",""es-MX"")"),"Carta de legado")</f>
        <v>Carta de legado</v>
      </c>
      <c r="S34" s="89" t="str">
        <f>IFERROR(__xludf.DUMMYFUNCTION("GOOGLETRANSLATE(C34,""zh-tw"",""es-MX"")"),"Sendero del Aventurero: Punto de Encuentro
Tras completar todas las misiones relacionadas con los caballeros, encontrarás una carta. Sigue las instrucciones para continuar.")</f>
        <v>Sendero del Aventurero: Punto de Encuentro
Tras completar todas las misiones relacionadas con los caballeros, encontrarás una carta. Sigue las instrucciones para continuar.</v>
      </c>
      <c r="T34" s="55" t="str">
        <f>IFERROR(__xludf.DUMMYFUNCTION("GOOGLETRANSLATE(D34,""zh-tw"",""es-MX"")"),"Contenido de la carta que se conserva
(No se implementó posteriormente)")</f>
        <v>Contenido de la carta que se conserva
(No se implementó posteriormente)</v>
      </c>
      <c r="U34" s="155" t="str">
        <f>IFERROR(__xludf.DUMMYFUNCTION("GOOGLETRANSLATE(A34,""zh-tw"",""en"")"),"R30")</f>
        <v>R30</v>
      </c>
      <c r="V34" s="154"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IFERROR(__xludf.DUMMYFUNCTION("GOOGLETRANSLATE(D34,""zh-tw"",""KO"")"),"남아 있는 편지의 내용
(이후 시행되지 않음)")</f>
        <v>남아 있는 편지의 내용
(이후 시행되지 않음)</v>
      </c>
      <c r="Y34" s="155" t="str">
        <f>IFERROR(__xludf.DUMMYFUNCTION("GOOGLETRANSLATE(E34,""zh-tw"",""en"")"),"R30")</f>
        <v>R30</v>
      </c>
      <c r="Z34" s="153" t="str">
        <f>IFERROR(__xludf.DUMMYFUNCTION("GOOGLETRANSLATE(B34,""zh-tw"",""ru"")"),"Устаревшее письмо")</f>
        <v>Устаревшее письмо</v>
      </c>
      <c r="AA34" s="156" t="str">
        <f>IFERROR(__xludf.DUMMYFUNCTION("GOOGLETRANSLATE(C34,""zh-tw"",""RU"")"),"Путь искателя приключений: Место сбора
Выполнив все задания, связанные с рыцарями, вы найдёте письмо. Следуйте инструкциям в нём, чтобы продолжить.")</f>
        <v>Путь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сохранившегося письма
(Впоследствии не реализовано)")</f>
        <v>Содержание сохранившегося письма
(Впоследствии не реализовано)</v>
      </c>
      <c r="AC34" s="155" t="str">
        <f>IFERROR(__xludf.DUMMYFUNCTION("GOOGLETRANSLATE(I34,""zh-tw"",""en"")"),"R30")</f>
        <v>R30</v>
      </c>
      <c r="AD34" s="153" t="s">
        <v>2351</v>
      </c>
      <c r="AE34" s="158" t="s">
        <v>2352</v>
      </c>
      <c r="AF34" s="105" t="s">
        <v>2353</v>
      </c>
      <c r="AG34" s="159" t="s">
        <v>2341</v>
      </c>
      <c r="AH34" s="160" t="s">
        <v>2354</v>
      </c>
      <c r="AI34" s="161" t="s">
        <v>2355</v>
      </c>
      <c r="AJ34" s="162" t="s">
        <v>2356</v>
      </c>
      <c r="AK34" s="30"/>
      <c r="AL34" s="30"/>
    </row>
    <row r="35">
      <c r="A35" s="107" t="s">
        <v>2357</v>
      </c>
      <c r="B35" s="153" t="s">
        <v>2358</v>
      </c>
      <c r="C35" s="95" t="s">
        <v>2359</v>
      </c>
      <c r="D35" s="52" t="s">
        <v>2360</v>
      </c>
      <c r="E35" s="107" t="str">
        <f>IFERROR(__xludf.DUMMYFUNCTION("GOOGLETRANSLATE(A35,""zh-tw"",""ja"")"),"R31")</f>
        <v>R31</v>
      </c>
      <c r="F35" s="153" t="s">
        <v>2361</v>
      </c>
      <c r="G35" s="95" t="s">
        <v>2362</v>
      </c>
      <c r="H35" s="52" t="s">
        <v>2363</v>
      </c>
      <c r="I35" s="107" t="str">
        <f>IFERROR(__xludf.DUMMYFUNCTION("GOOGLETRANSLATE(A35,""zh-tw"",""en"")"),"R31")</f>
        <v>R31</v>
      </c>
      <c r="J35" s="153" t="s">
        <v>2364</v>
      </c>
      <c r="K35" s="95" t="s">
        <v>2365</v>
      </c>
      <c r="L35" s="52" t="s">
        <v>2366</v>
      </c>
      <c r="M35" s="119" t="str">
        <f>IFERROR(__xludf.DUMMYFUNCTION("GOOGLETRANSLATE(A35,""zh-tw"",""en"")"),"R31")</f>
        <v>R31</v>
      </c>
      <c r="N35" s="153"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19" t="str">
        <f>IFERROR(__xludf.DUMMYFUNCTION("GOOGLETRANSLATE(A35,""zh-tw"",""ja"")"),"R31")</f>
        <v>R31</v>
      </c>
      <c r="R35" s="153" t="s">
        <v>2367</v>
      </c>
      <c r="S35" s="89" t="str">
        <f>IFERROR(__xludf.DUMMYFUNCTION("GOOGLETRANSLATE(C35,""zh-tw"",""es-MX"")"),"En días soleados, es probable que haga calor.
(Si tu hermana ya tiene una camiseta, la probabilidad de que haga calor aumenta).")</f>
        <v>En días soleados, es probable que haga calor.
(Si tu hermana ya tiene una camiseta, la probabilidad de que haga calor aumenta).</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55" t="str">
        <f>IFERROR(__xludf.DUMMYFUNCTION("GOOGLETRANSLATE(A35,""zh-tw"",""en"")"),"R31")</f>
        <v>R31</v>
      </c>
      <c r="V35" s="154"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55" t="str">
        <f>IFERROR(__xludf.DUMMYFUNCTION("GOOGLETRANSLATE(E35,""zh-tw"",""en"")"),"R31")</f>
        <v>R31</v>
      </c>
      <c r="Z35" s="153" t="str">
        <f>IFERROR(__xludf.DUMMYFUNCTION("GOOGLETRANSLATE(B35,""zh-tw"",""ru"")"),"Жаркая погода 1")</f>
        <v>Жаркая погода 1</v>
      </c>
      <c r="AA35" s="156"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55" t="str">
        <f>IFERROR(__xludf.DUMMYFUNCTION("GOOGLETRANSLATE(I35,""zh-tw"",""en"")"),"R31")</f>
        <v>R31</v>
      </c>
      <c r="AD35" s="153" t="s">
        <v>2368</v>
      </c>
      <c r="AE35" s="158" t="s">
        <v>2369</v>
      </c>
      <c r="AF35" s="105" t="s">
        <v>2370</v>
      </c>
      <c r="AG35" s="159" t="s">
        <v>2357</v>
      </c>
      <c r="AH35" s="160" t="s">
        <v>2371</v>
      </c>
      <c r="AI35" s="161" t="s">
        <v>2372</v>
      </c>
      <c r="AJ35" s="162" t="s">
        <v>2373</v>
      </c>
      <c r="AK35" s="30"/>
      <c r="AL35" s="30"/>
    </row>
    <row r="36">
      <c r="A36" s="107" t="s">
        <v>2374</v>
      </c>
      <c r="B36" s="153" t="s">
        <v>2375</v>
      </c>
      <c r="C36" s="95" t="s">
        <v>2376</v>
      </c>
      <c r="D36" s="52" t="s">
        <v>2377</v>
      </c>
      <c r="E36" s="107" t="str">
        <f>IFERROR(__xludf.DUMMYFUNCTION("GOOGLETRANSLATE(A36,""zh-tw"",""ja"")"),"R32")</f>
        <v>R32</v>
      </c>
      <c r="F36" s="153" t="s">
        <v>2378</v>
      </c>
      <c r="G36" s="95" t="s">
        <v>2379</v>
      </c>
      <c r="H36" s="52" t="s">
        <v>2380</v>
      </c>
      <c r="I36" s="107" t="str">
        <f>IFERROR(__xludf.DUMMYFUNCTION("GOOGLETRANSLATE(A36,""zh-tw"",""en"")"),"R32")</f>
        <v>R32</v>
      </c>
      <c r="J36" s="153" t="s">
        <v>2381</v>
      </c>
      <c r="K36" s="95" t="s">
        <v>2382</v>
      </c>
      <c r="L36" s="52" t="s">
        <v>2383</v>
      </c>
      <c r="M36" s="119" t="str">
        <f>IFERROR(__xludf.DUMMYFUNCTION("GOOGLETRANSLATE(A36,""zh-tw"",""en"")"),"R32")</f>
        <v>R32</v>
      </c>
      <c r="N36" s="153"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19" t="str">
        <f>IFERROR(__xludf.DUMMYFUNCTION("GOOGLETRANSLATE(A36,""zh-tw"",""ja"")"),"R32")</f>
        <v>R32</v>
      </c>
      <c r="R36" s="153" t="s">
        <v>2384</v>
      </c>
      <c r="S36" s="95" t="s">
        <v>2385</v>
      </c>
      <c r="T36" s="55" t="str">
        <f>IFERROR(__xludf.DUMMYFUNCTION("GOOGLETRANSLATE(D36,""zh-tw"",""es-MX"")"),"Igual que lo anterior. Historia paralela para climas cálidos.
(En la versión actual, este atuendo se usará automáticamente, independientemente de si has obtenido la camiseta o no).")</f>
        <v>Igual que lo anterior. Historia paralela para climas cálidos.
(En la versión actual, este atuendo se usará automáticamente, independientemente de si has obtenido la camiseta o no).</v>
      </c>
      <c r="U36" s="155" t="str">
        <f>IFERROR(__xludf.DUMMYFUNCTION("GOOGLETRANSLATE(A36,""zh-tw"",""en"")"),"R32")</f>
        <v>R32</v>
      </c>
      <c r="V36" s="154" t="str">
        <f>IFERROR(__xludf.DUMMYFUNCTION("GOOGLETRANSLATE(B36,""zh-tw"",""KO"")"),"더운 날씨 2 보너스 티셔츠")</f>
        <v>더운 날씨 2 보너스 티셔츠</v>
      </c>
      <c r="W36" s="89" t="str">
        <f>IFERROR(__xludf.DUMMYFUNCTION("GOOGLETRANSLATE(C36,""zh-tw"",""KO"")"),"위와 같이 티셔츠가 있으면 스토리라인이 분기화됩니다.")</f>
        <v>위와 같이 티셔츠가 있으면 스토리라인이 분기화됩니다.</v>
      </c>
      <c r="X36" s="55" t="str">
        <f>IFERROR(__xludf.DUMMYFUNCTION("GOOGLETRANSLATE(D36,""zh-tw"",""KO"")"),"위와 동일합니다. 더운 날씨 관련 추가 스토리
(현재 버전에서는 티셔츠 획득 여부와 관계없이 이 의상을 자동으로 착용하게 됩니다.)")</f>
        <v>위와 동일합니다. 더운 날씨 관련 추가 스토리
(현재 버전에서는 티셔츠 획득 여부와 관계없이 이 의상을 자동으로 착용하게 됩니다.)</v>
      </c>
      <c r="Y36" s="155" t="str">
        <f>IFERROR(__xludf.DUMMYFUNCTION("GOOGLETRANSLATE(E36,""zh-tw"",""en"")"),"R32")</f>
        <v>R32</v>
      </c>
      <c r="Z36" s="153" t="str">
        <f>IFERROR(__xludf.DUMMYFUNCTION("GOOGLETRANSLATE(B36,""zh-tw"",""ru"")"),"Бонусная футболка «Жаркая погода 2»")</f>
        <v>Бонусная футболка «Жаркая погода 2»</v>
      </c>
      <c r="AA36" s="156" t="str">
        <f>IFERROR(__xludf.DUMMYFUNCTION("GOOGLETRANSLATE(C36,""zh-tw"",""RU"")"),"Как и в предыдущем случае, если присутствует футболка, то сюжетная линия будет разветвленной.")</f>
        <v>Как и в предыдущем случае, если присутствует футболка, то сюжетная линия будет разветвленной.</v>
      </c>
      <c r="AB36" s="44" t="str">
        <f>IFERROR(__xludf.DUMMYFUNCTION("GOOGLETRANSLATE(D36,""zh-tw"",""RU"")"),"То же, что и выше. История про жаркую погоду.
(В текущей версии вы будете носить этот наряд автоматически, независимо от того, получили ли вы футболку или нет.)")</f>
        <v>То же, что и выше. История про жаркую погоду.
(В текущей версии вы будете носить этот наряд автоматически, независимо от того, получили ли вы футболку или нет.)</v>
      </c>
      <c r="AC36" s="155" t="str">
        <f>IFERROR(__xludf.DUMMYFUNCTION("GOOGLETRANSLATE(I36,""zh-tw"",""en"")"),"R32")</f>
        <v>R32</v>
      </c>
      <c r="AD36" s="153" t="s">
        <v>2386</v>
      </c>
      <c r="AE36" s="158" t="s">
        <v>2387</v>
      </c>
      <c r="AF36" s="105" t="s">
        <v>2388</v>
      </c>
      <c r="AG36" s="159" t="s">
        <v>2374</v>
      </c>
      <c r="AH36" s="160" t="s">
        <v>2389</v>
      </c>
      <c r="AI36" s="161" t="s">
        <v>2390</v>
      </c>
      <c r="AJ36" s="162" t="s">
        <v>2391</v>
      </c>
      <c r="AK36" s="30"/>
      <c r="AL36" s="30"/>
    </row>
    <row r="37">
      <c r="A37" s="107" t="s">
        <v>2392</v>
      </c>
      <c r="B37" s="153" t="s">
        <v>2393</v>
      </c>
      <c r="C37" s="95" t="s">
        <v>2394</v>
      </c>
      <c r="D37" s="52" t="s">
        <v>2395</v>
      </c>
      <c r="E37" s="107" t="str">
        <f>IFERROR(__xludf.DUMMYFUNCTION("GOOGLETRANSLATE(A37,""zh-tw"",""ja"")"),"R33")</f>
        <v>R33</v>
      </c>
      <c r="F37" s="153" t="s">
        <v>2396</v>
      </c>
      <c r="G37" s="163" t="str">
        <f>IFERROR(__xludf.DUMMYFUNCTION("GOOGLETRANSLATE(C37,""zh-tw"",""ja"")"),"同様に、「戦車」のタロットカードで召喚されたショップカートから扇風機を購入することができます。")</f>
        <v>同様に、「戦車」のタロットカードで召喚されたショップカートから扇風機を購入することができます。</v>
      </c>
      <c r="H37" s="52" t="s">
        <v>2397</v>
      </c>
      <c r="I37" s="107" t="str">
        <f>IFERROR(__xludf.DUMMYFUNCTION("GOOGLETRANSLATE(A37,""zh-tw"",""en"")"),"R33")</f>
        <v>R33</v>
      </c>
      <c r="J37" s="153" t="s">
        <v>2398</v>
      </c>
      <c r="K37" s="163" t="s">
        <v>2399</v>
      </c>
      <c r="L37" s="52" t="s">
        <v>2400</v>
      </c>
      <c r="M37" s="119" t="str">
        <f>IFERROR(__xludf.DUMMYFUNCTION("GOOGLETRANSLATE(A37,""zh-tw"",""en"")"),"R33")</f>
        <v>R33</v>
      </c>
      <c r="N37" s="153"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19" t="str">
        <f>IFERROR(__xludf.DUMMYFUNCTION("GOOGLETRANSLATE(A37,""zh-tw"",""ja"")"),"R33")</f>
        <v>R33</v>
      </c>
      <c r="R37" s="153" t="s">
        <v>2401</v>
      </c>
      <c r="S37" s="95" t="s">
        <v>2402</v>
      </c>
      <c r="T37" s="55" t="str">
        <f>IFERROR(__xludf.DUMMYFUNCTION("GOOGLETRANSLATE(D37,""zh-tw"",""es-MX"")"),"Consigue un ventilador eléctrico. Historia paralela sobre el calor.")</f>
        <v>Consigue un ventilador eléctrico. Historia paralela sobre el calor.</v>
      </c>
      <c r="U37" s="155" t="str">
        <f>IFERROR(__xludf.DUMMYFUNCTION("GOOGLETRANSLATE(A37,""zh-tw"",""en"")"),"R33")</f>
        <v>R33</v>
      </c>
      <c r="V37" s="154" t="str">
        <f>IFERROR(__xludf.DUMMYFUNCTION("GOOGLETRANSLATE(B37,""zh-tw"",""KO"")"),"더운 날씨 3. 전기 선풍기")</f>
        <v>더운 날씨 3. 전기 선풍기</v>
      </c>
      <c r="W37" s="89" t="str">
        <f>IFERROR(__xludf.DUMMYFUNCTION("GOOGLETRANSLATE(C37,""zh-tw"",""KO"")"),"마찬가지로, 타로 카드 ""전차""가 소환한 상점 카트에서 전기 선풍기를 구매할 수 있습니다.")</f>
        <v>마찬가지로, 타로 카드 "전차"가 소환한 상점 카트에서 전기 선풍기를 구매할 수 있습니다.</v>
      </c>
      <c r="X37" s="55" t="str">
        <f>IFERROR(__xludf.DUMMYFUNCTION("GOOGLETRANSLATE(D37,""zh-tw"",""KO"")"),"선풍기를 구하세요. 더운 날씨에 대한 이야기입니다.")</f>
        <v>선풍기를 구하세요. 더운 날씨에 대한 이야기입니다.</v>
      </c>
      <c r="Y37" s="155" t="str">
        <f>IFERROR(__xludf.DUMMYFUNCTION("GOOGLETRANSLATE(E37,""zh-tw"",""en"")"),"R33")</f>
        <v>R33</v>
      </c>
      <c r="Z37" s="153" t="str">
        <f>IFERROR(__xludf.DUMMYFUNCTION("GOOGLETRANSLATE(B37,""zh-tw"",""ru"")"),"Жаркая погода 3. Электрический вентилятор")</f>
        <v>Жаркая погода 3. Электрический вентилятор</v>
      </c>
      <c r="AA37" s="156" t="str">
        <f>IFERROR(__xludf.DUMMYFUNCTION("GOOGLETRANSLATE(C37,""zh-tw"",""RU"")"),"Аналогичным образом вы можете приобрести электрический вентилятор в магазинной тележке, вызванной картой Таро «Колесница».")</f>
        <v>Аналогичным образом вы можете приобрести электрический вентилятор в магазинной тележке, вызванной картой Таро «Колесница».</v>
      </c>
      <c r="AB37" s="44" t="str">
        <f>IFERROR(__xludf.DUMMYFUNCTION("GOOGLETRANSLATE(D37,""zh-tw"",""RU"")"),"Купите электрический вентилятор. История о жаркой погоде.")</f>
        <v>Купите электрический вентилятор. История о жаркой погоде.</v>
      </c>
      <c r="AC37" s="155" t="str">
        <f>IFERROR(__xludf.DUMMYFUNCTION("GOOGLETRANSLATE(I37,""zh-tw"",""en"")"),"R33")</f>
        <v>R33</v>
      </c>
      <c r="AD37" s="153" t="s">
        <v>2403</v>
      </c>
      <c r="AE37" s="158" t="s">
        <v>2404</v>
      </c>
      <c r="AF37" s="105" t="s">
        <v>2405</v>
      </c>
      <c r="AG37" s="159" t="s">
        <v>2392</v>
      </c>
      <c r="AH37" s="160" t="s">
        <v>2406</v>
      </c>
      <c r="AI37" s="161" t="s">
        <v>2407</v>
      </c>
      <c r="AJ37" s="162" t="s">
        <v>2408</v>
      </c>
      <c r="AK37" s="30"/>
      <c r="AL37" s="30"/>
    </row>
    <row r="38">
      <c r="A38" s="107" t="s">
        <v>2409</v>
      </c>
      <c r="B38" s="153"/>
      <c r="C38" s="95"/>
      <c r="D38" s="52"/>
      <c r="E38" s="107" t="s">
        <v>2409</v>
      </c>
      <c r="F38" s="153"/>
      <c r="G38" s="95"/>
      <c r="H38" s="52"/>
      <c r="I38" s="107" t="s">
        <v>2409</v>
      </c>
      <c r="J38" s="153"/>
      <c r="K38" s="95"/>
      <c r="L38" s="52"/>
      <c r="M38" s="107" t="s">
        <v>2409</v>
      </c>
      <c r="N38" s="153"/>
      <c r="O38" s="89"/>
      <c r="P38" s="55"/>
      <c r="Q38" s="107" t="s">
        <v>2409</v>
      </c>
      <c r="R38" s="153"/>
      <c r="S38" s="95"/>
      <c r="T38" s="55"/>
      <c r="U38" s="107" t="s">
        <v>2409</v>
      </c>
      <c r="V38" s="154"/>
      <c r="W38" s="89"/>
      <c r="X38" s="55"/>
      <c r="Y38" s="107" t="s">
        <v>2409</v>
      </c>
      <c r="Z38" s="153"/>
      <c r="AA38" s="156"/>
      <c r="AB38" s="44"/>
      <c r="AC38" s="107" t="s">
        <v>2409</v>
      </c>
      <c r="AD38" s="153"/>
      <c r="AE38" s="158"/>
      <c r="AF38" s="105"/>
      <c r="AG38" s="107" t="s">
        <v>2409</v>
      </c>
      <c r="AH38" s="160"/>
      <c r="AI38" s="161"/>
      <c r="AJ38" s="162"/>
      <c r="AK38" s="30"/>
      <c r="AL38" s="30"/>
    </row>
    <row r="39">
      <c r="A39" s="107" t="s">
        <v>2410</v>
      </c>
      <c r="B39" s="153" t="s">
        <v>2411</v>
      </c>
      <c r="C39" s="95" t="s">
        <v>2412</v>
      </c>
      <c r="D39" s="52" t="s">
        <v>2413</v>
      </c>
      <c r="E39" s="107" t="str">
        <f>IFERROR(__xludf.DUMMYFUNCTION("GOOGLETRANSLATE(A39,""zh-tw"",""ja"")"),"R35")</f>
        <v>R35</v>
      </c>
      <c r="F39" s="153" t="s">
        <v>2414</v>
      </c>
      <c r="G39" s="163" t="s">
        <v>2415</v>
      </c>
      <c r="H39" s="52" t="s">
        <v>2416</v>
      </c>
      <c r="I39" s="107" t="str">
        <f>IFERROR(__xludf.DUMMYFUNCTION("GOOGLETRANSLATE(A39,""zh-tw"",""en"")"),"R35")</f>
        <v>R35</v>
      </c>
      <c r="J39" s="153" t="s">
        <v>2417</v>
      </c>
      <c r="K39" s="95" t="s">
        <v>2418</v>
      </c>
      <c r="L39" s="52" t="s">
        <v>2419</v>
      </c>
      <c r="M39" s="119" t="str">
        <f>IFERROR(__xludf.DUMMYFUNCTION("GOOGLETRANSLATE(A39,""zh-tw"",""en"")"),"R35")</f>
        <v>R35</v>
      </c>
      <c r="N39" s="153" t="str">
        <f>IFERROR(__xludf.DUMMYFUNCTION("GOOGLETRANSLATE(B39,""zh-tw"",""zh"")"),"神秘商店")</f>
        <v>神秘商店</v>
      </c>
      <c r="O39" s="95" t="s">
        <v>2420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19" t="str">
        <f>IFERROR(__xludf.DUMMYFUNCTION("GOOGLETRANSLATE(A39,""zh-tw"",""ja"")"),"R35")</f>
        <v>R35</v>
      </c>
      <c r="R39" s="153" t="s">
        <v>2421</v>
      </c>
      <c r="S39" s="95" t="s">
        <v>2422</v>
      </c>
      <c r="T39" s="55" t="str">
        <f>IFERROR(__xludf.DUMMYFUNCTION("GOOGLETRANSLATE(D39,""zh-tw"",""es-MX"")"),"La primera vez que te encuentres con esta tienda, verás dos opciones en el diálogo. «Recuerda completar ambas conversaciones». De lo contrario, no podrás acceder de nuevo y te perderás los objetos que aparezcan más adelante.
* Puedes usar este código (so"&amp;"lo para invocar tiendas; puede causar errores, úsalo con precaución).
En un día soleado, busca un espacio abierto en el Bosque de las Ruinas (F12 -&gt; Segunda columna, Consola).
Introduce el siguiente script:
QJ.SE.spawnRegionNum(1,94,[118],1,true)
Lueg"&amp;"o, pulsa Intro para invocarla.")</f>
        <v>La primera vez que te encuentres con esta tienda, verás dos opciones en el diálogo. «Recuerda completar ambas conversaciones». De lo contrario, no podrás acceder de nuevo y te perderás los objetos que aparezcan más adelante.
* Puedes usar este código (solo para invocar tiendas; puede causar errores, úsalo con precaución).
En un día soleado, busca un espacio abierto en el Bosque de las Ruinas (F12 -&gt; Segunda columna, Consola).
Introduce el siguiente script:
QJ.SE.spawnRegionNum(1,94,[118],1,true)
Luego, pulsa Intro para invocarla.</v>
      </c>
      <c r="U39" s="155" t="str">
        <f>IFERROR(__xludf.DUMMYFUNCTION("GOOGLETRANSLATE(A39,""zh-tw"",""en"")"),"R35")</f>
        <v>R35</v>
      </c>
      <c r="V39" s="154"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55" t="str">
        <f>IFERROR(__xludf.DUMMYFUNCTION("GOOGLETRANSLATE(E39,""zh-tw"",""en"")"),"R35")</f>
        <v>R35</v>
      </c>
      <c r="Z39" s="153" t="str">
        <f>IFERROR(__xludf.DUMMYFUNCTION("GOOGLETRANSLATE(B39,""zh-tw"",""ru"")"),"Тайный магазин")</f>
        <v>Тайный магазин</v>
      </c>
      <c r="AA39" s="156"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55" t="str">
        <f>IFERROR(__xludf.DUMMYFUNCTION("GOOGLETRANSLATE(I39,""zh-tw"",""en"")"),"R35")</f>
        <v>R35</v>
      </c>
      <c r="AD39" s="153" t="s">
        <v>2423</v>
      </c>
      <c r="AE39" s="158" t="s">
        <v>2424</v>
      </c>
      <c r="AF39" s="105" t="s">
        <v>2425</v>
      </c>
      <c r="AG39" s="159" t="s">
        <v>2410</v>
      </c>
      <c r="AH39" s="160" t="s">
        <v>2426</v>
      </c>
      <c r="AI39" s="161" t="s">
        <v>2427</v>
      </c>
      <c r="AJ39" s="162" t="s">
        <v>2428</v>
      </c>
      <c r="AK39" s="30"/>
      <c r="AL39" s="30"/>
    </row>
    <row r="40">
      <c r="A40" s="107" t="s">
        <v>2429</v>
      </c>
      <c r="B40" s="153" t="s">
        <v>2430</v>
      </c>
      <c r="C40" s="95" t="s">
        <v>2431</v>
      </c>
      <c r="D40" s="52" t="s">
        <v>2432</v>
      </c>
      <c r="E40" s="107" t="str">
        <f>IFERROR(__xludf.DUMMYFUNCTION("GOOGLETRANSLATE(A40,""zh-tw"",""ja"")"),"R36")</f>
        <v>R36</v>
      </c>
      <c r="F40" s="153" t="s">
        <v>2433</v>
      </c>
      <c r="G40" s="163" t="s">
        <v>2434</v>
      </c>
      <c r="H40" s="52" t="s">
        <v>2435</v>
      </c>
      <c r="I40" s="107" t="str">
        <f>IFERROR(__xludf.DUMMYFUNCTION("GOOGLETRANSLATE(A40,""zh-tw"",""en"")"),"R36")</f>
        <v>R36</v>
      </c>
      <c r="J40" s="153" t="s">
        <v>2436</v>
      </c>
      <c r="K40" s="95" t="s">
        <v>2437</v>
      </c>
      <c r="L40" s="52" t="s">
        <v>2438</v>
      </c>
      <c r="M40" s="119" t="str">
        <f>IFERROR(__xludf.DUMMYFUNCTION("GOOGLETRANSLATE(A40,""zh-tw"",""en"")"),"R36")</f>
        <v>R36</v>
      </c>
      <c r="N40" s="153"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19" t="str">
        <f>IFERROR(__xludf.DUMMYFUNCTION("GOOGLETRANSLATE(A40,""zh-tw"",""ja"")"),"R36")</f>
        <v>R36</v>
      </c>
      <c r="R40" s="153" t="s">
        <v>2439</v>
      </c>
      <c r="S40" s="95" t="s">
        <v>2440</v>
      </c>
      <c r="T40" s="55" t="str">
        <f>IFERROR(__xludf.DUMMYFUNCTION("GOOGLETRANSLATE(D40,""zh-tw"",""es-MX"")"),"Obtén aleatoriamente konpeito (caramelos japoneses) azules, verdes o rosas.
""Cuanto mayor sea tu relación con el tendero, menor será el precio.""")</f>
        <v>Obtén aleatoriamente konpeito (caramelos japoneses) azules, verdes o rosas.
"Cuanto mayor sea tu relación con el tendero, menor será el precio."</v>
      </c>
      <c r="U40" s="155" t="str">
        <f>IFERROR(__xludf.DUMMYFUNCTION("GOOGLETRANSLATE(A40,""zh-tw"",""en"")"),"R36")</f>
        <v>R36</v>
      </c>
      <c r="V40" s="154" t="str">
        <f>IFERROR(__xludf.DUMMYFUNCTION("GOOGLETRANSLATE(B40,""zh-tw"",""KO"")"),"미스터리 샵 - 1")</f>
        <v>미스터리 샵 - 1</v>
      </c>
      <c r="W40" s="89" t="str">
        <f>IFERROR(__xludf.DUMMYFUNCTION("GOOGLETRANSLATE(C40,""zh-tw"",""KO"")"),"미스터리 숍의 가챠 시스템에서는 5,000엔을 쓰거나 특정 아이템을 사용할 수 있습니다.")</f>
        <v>미스터리 숍의 가챠 시스템에서는 5,000엔을 쓰거나 특정 아이템을 사용할 수 있습니다.</v>
      </c>
      <c r="X40" s="55" t="str">
        <f>IFERROR(__xludf.DUMMYFUNCTION("GOOGLETRANSLATE(D40,""zh-tw"",""KO"")"),"파란색, 초록색, 분홍색 콘페이토(일본식 사탕) 중 하나를 무작위로 획득합니다.
""상인과의 관계가 좋을수록 비용이 낮아집니다.""")</f>
        <v>파란색, 초록색, 분홍색 콘페이토(일본식 사탕) 중 하나를 무작위로 획득합니다.
"상인과의 관계가 좋을수록 비용이 낮아집니다."</v>
      </c>
      <c r="Y40" s="155" t="str">
        <f>IFERROR(__xludf.DUMMYFUNCTION("GOOGLETRANSLATE(E40,""zh-tw"",""en"")"),"R36")</f>
        <v>R36</v>
      </c>
      <c r="Z40" s="153" t="str">
        <f>IFERROR(__xludf.DUMMYFUNCTION("GOOGLETRANSLATE(B40,""zh-tw"",""ru"")"),"Тайный магазин - 1")</f>
        <v>Тайный магазин - 1</v>
      </c>
      <c r="AA40" s="156" t="str">
        <f>IFERROR(__xludf.DUMMYFUNCTION("GOOGLETRANSLATE(C40,""zh-tw"",""RU"")"),"В системе гача в Mystery Shop вы можете потратить 5000 иен или использовать определенные предметы.")</f>
        <v>В системе гача в Mystery Shop вы можете потратить 5000 иен или использовать определенные предметы.</v>
      </c>
      <c r="AB40" s="44" t="str">
        <f>IFERROR(__xludf.DUMMYFUNCTION("GOOGLETRANSLATE(D40,""zh-tw"",""RU"")"),"Случайным образом приобретите синие, зелёные или розовые компэйто (японские сладости).
«Чем лучше ваши отношения с продавцом, тем ниже цена».")</f>
        <v>Случайным образом приобретите синие, зелёные или розовые компэйто (японские сладости).
«Чем лучше ваши отношения с продавцом, тем ниже цена».</v>
      </c>
      <c r="AC40" s="155" t="str">
        <f>IFERROR(__xludf.DUMMYFUNCTION("GOOGLETRANSLATE(I40,""zh-tw"",""en"")"),"R36")</f>
        <v>R36</v>
      </c>
      <c r="AD40" s="153" t="s">
        <v>2441</v>
      </c>
      <c r="AE40" s="158" t="s">
        <v>2442</v>
      </c>
      <c r="AF40" s="105" t="s">
        <v>2443</v>
      </c>
      <c r="AG40" s="159" t="s">
        <v>2429</v>
      </c>
      <c r="AH40" s="160" t="s">
        <v>2444</v>
      </c>
      <c r="AI40" s="161" t="s">
        <v>2445</v>
      </c>
      <c r="AJ40" s="162" t="s">
        <v>2446</v>
      </c>
      <c r="AK40" s="30"/>
      <c r="AL40" s="30"/>
    </row>
    <row r="41">
      <c r="A41" s="107" t="s">
        <v>2447</v>
      </c>
      <c r="B41" s="153" t="s">
        <v>2448</v>
      </c>
      <c r="C41" s="95" t="s">
        <v>2449</v>
      </c>
      <c r="D41" s="52" t="s">
        <v>2450</v>
      </c>
      <c r="E41" s="107" t="str">
        <f>IFERROR(__xludf.DUMMYFUNCTION("GOOGLETRANSLATE(A41,""zh-tw"",""ja"")"),"R37")</f>
        <v>R37</v>
      </c>
      <c r="F41" s="153" t="s">
        <v>2451</v>
      </c>
      <c r="G41" s="163" t="str">
        <f>IFERROR(__xludf.DUMMYFUNCTION("GOOGLETRANSLATE(C41,""zh-tw"",""ja"")"),"不思議なお店の店主と話して「鮭」をあげましょう。")</f>
        <v>不思議なお店の店主と話して「鮭」をあげましょう。</v>
      </c>
      <c r="H41" s="52" t="str">
        <f>IFERROR(__xludf.DUMMYFUNCTION("GOOGLETRANSLATE(D41,""zh-tw"",""ja"")"),"キャンディマシンの価格が50ドル値下げされました
*キャンディマシンの最低価格は500ドルです")</f>
        <v>キャンディマシンの価格が50ドル値下げされました
*キャンディマシンの最低価格は500ドルです</v>
      </c>
      <c r="I41" s="107" t="str">
        <f>IFERROR(__xludf.DUMMYFUNCTION("GOOGLETRANSLATE(A41,""zh-tw"",""en"")"),"R37")</f>
        <v>R37</v>
      </c>
      <c r="J41" s="153" t="s">
        <v>2452</v>
      </c>
      <c r="K41" s="95" t="s">
        <v>2453</v>
      </c>
      <c r="L41" s="52" t="s">
        <v>2454</v>
      </c>
      <c r="M41" s="119" t="str">
        <f>IFERROR(__xludf.DUMMYFUNCTION("GOOGLETRANSLATE(A41,""zh-tw"",""en"")"),"R37")</f>
        <v>R37</v>
      </c>
      <c r="N41" s="153"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IFERROR(__xludf.DUMMYFUNCTION("GOOGLETRANSLATE(D41,""zh-tw"",""zh"")"),"糖果机降价$50
*糖果机最低价格为$500")</f>
        <v>糖果机降价$50
*糖果机最低价格为$500</v>
      </c>
      <c r="Q41" s="119" t="str">
        <f>IFERROR(__xludf.DUMMYFUNCTION("GOOGLETRANSLATE(A41,""zh-tw"",""ja"")"),"R37")</f>
        <v>R37</v>
      </c>
      <c r="R41" s="153" t="s">
        <v>2455</v>
      </c>
      <c r="S41" s="89" t="str">
        <f>IFERROR(__xludf.DUMMYFUNCTION("GOOGLETRANSLATE(C41,""zh-tw"",""es-MX"")"),"Habla con el tendero de la Tienda Misteriosa y dale un ""Salmón"".")</f>
        <v>Habla con el tendero de la Tienda Misteriosa y dale un "Salmón".</v>
      </c>
      <c r="T41" s="55" t="str">
        <f>IFERROR(__xludf.DUMMYFUNCTION("GOOGLETRANSLATE(D41,""zh-tw"",""es-MX"")"),"Máquina expendedora de dulces: precio reducido en $50
*El precio mínimo de la máquina expendedora de dulces es de $500")</f>
        <v>Máquina expendedora de dulces: precio reducido en $50
*El precio mínimo de la máquina expendedora de dulces es de $500</v>
      </c>
      <c r="U41" s="155" t="str">
        <f>IFERROR(__xludf.DUMMYFUNCTION("GOOGLETRANSLATE(A41,""zh-tw"",""en"")"),"R37")</f>
        <v>R37</v>
      </c>
      <c r="V41" s="154" t="str">
        <f>IFERROR(__xludf.DUMMYFUNCTION("GOOGLETRANSLATE(B41,""zh-tw"",""KO"")"),"미스터리 샵 - 2")</f>
        <v>미스터리 샵 - 2</v>
      </c>
      <c r="W41" s="89" t="str">
        <f>IFERROR(__xludf.DUMMYFUNCTION("GOOGLETRANSLATE(C41,""zh-tw"",""KO"")"),"신비한 상점의 주인과 대화하여 ""연어""를 주세요.")</f>
        <v>신비한 상점의 주인과 대화하여 "연어"를 주세요.</v>
      </c>
      <c r="X41" s="55" t="str">
        <f>IFERROR(__xludf.DUMMYFUNCTION("GOOGLETRANSLATE(D41,""zh-tw"",""KO"")"),"사탕 기계 가격 $50 인하
*사탕 기계 최저가는 $500입니다.")</f>
        <v>사탕 기계 가격 $50 인하
*사탕 기계 최저가는 $500입니다.</v>
      </c>
      <c r="Y41" s="155" t="str">
        <f>IFERROR(__xludf.DUMMYFUNCTION("GOOGLETRANSLATE(E41,""zh-tw"",""en"")"),"R37")</f>
        <v>R37</v>
      </c>
      <c r="Z41" s="153" t="str">
        <f>IFERROR(__xludf.DUMMYFUNCTION("GOOGLETRANSLATE(B41,""zh-tw"",""ru"")"),"Тайный магазин - 2")</f>
        <v>Тайный магазин - 2</v>
      </c>
      <c r="AA41" s="156" t="str">
        <f>IFERROR(__xludf.DUMMYFUNCTION("GOOGLETRANSLATE(C41,""zh-tw"",""RU"")"),"Поговорите с продавцом Таинственной Лавки и отдайте ему «Лосось».")</f>
        <v>Поговорите с продавцом Таинственной Лавки и отдайте ему «Лосось».</v>
      </c>
      <c r="AB41" s="44" t="str">
        <f>IFERROR(__xludf.DUMMYFUNCTION("GOOGLETRANSLATE(D41,""zh-tw"",""RU"")"),"Цена в автомате по продаже сладостей снижена на 50 долларов.
*Минимальная цена в автомате по продаже сладостей — 500 долларов.")</f>
        <v>Цена в автомате по продаже сладостей снижена на 50 долларов.
*Минимальная цена в автомате по продаже сладостей — 500 долларов.</v>
      </c>
      <c r="AC41" s="155" t="str">
        <f>IFERROR(__xludf.DUMMYFUNCTION("GOOGLETRANSLATE(I41,""zh-tw"",""en"")"),"R37")</f>
        <v>R37</v>
      </c>
      <c r="AD41" s="153" t="s">
        <v>2456</v>
      </c>
      <c r="AE41" s="158" t="s">
        <v>2457</v>
      </c>
      <c r="AF41" s="105" t="s">
        <v>2458</v>
      </c>
      <c r="AG41" s="159" t="s">
        <v>2447</v>
      </c>
      <c r="AH41" s="160" t="s">
        <v>2459</v>
      </c>
      <c r="AI41" s="161" t="s">
        <v>2460</v>
      </c>
      <c r="AJ41" s="166" t="s">
        <v>2461</v>
      </c>
      <c r="AK41" s="30"/>
      <c r="AL41" s="30"/>
    </row>
    <row r="42">
      <c r="A42" s="107" t="s">
        <v>2462</v>
      </c>
      <c r="B42" s="153" t="s">
        <v>2463</v>
      </c>
      <c r="C42" s="95" t="s">
        <v>2464</v>
      </c>
      <c r="D42" s="52" t="s">
        <v>2465</v>
      </c>
      <c r="E42" s="107" t="str">
        <f>IFERROR(__xludf.DUMMYFUNCTION("GOOGLETRANSLATE(A42,""zh-tw"",""ja"")"),"R38")</f>
        <v>R38</v>
      </c>
      <c r="F42" s="153" t="s">
        <v>2466</v>
      </c>
      <c r="G42" s="163" t="str">
        <f>IFERROR(__xludf.DUMMYFUNCTION("GOOGLETRANSLATE(C42,""zh-tw"",""ja"")"),"謎の店の店長に話しかけて「キングサーモン」をもらう。")</f>
        <v>謎の店の店長に話しかけて「キングサーモン」をもらう。</v>
      </c>
      <c r="H42" s="52" t="str">
        <f>IFERROR(__xludf.DUMMYFUNCTION("GOOGLETRANSLATE(D42,""zh-tw"",""ja"")"),"キャンディマシンの価格が500ドル値下げされました
受け取るアイテム：寿司プリン
*キャンディマシンの価格は500ドルから")</f>
        <v>キャンディマシンの価格が500ドル値下げされました
受け取るアイテム：寿司プリン
*キャンディマシンの価格は500ドルから</v>
      </c>
      <c r="I42" s="107" t="str">
        <f>IFERROR(__xludf.DUMMYFUNCTION("GOOGLETRANSLATE(A42,""zh-tw"",""en"")"),"R38")</f>
        <v>R38</v>
      </c>
      <c r="J42" s="153" t="s">
        <v>2467</v>
      </c>
      <c r="K42" s="95" t="s">
        <v>2468</v>
      </c>
      <c r="L42" s="52" t="s">
        <v>2469</v>
      </c>
      <c r="M42" s="119" t="str">
        <f>IFERROR(__xludf.DUMMYFUNCTION("GOOGLETRANSLATE(A42,""zh-tw"",""en"")"),"R38")</f>
        <v>R38</v>
      </c>
      <c r="N42" s="153"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IFERROR(__xludf.DUMMYFUNCTION("GOOGLETRANSLATE(D42,""zh-tw"",""zh"")"),"糖果机降价$500
获得道具:寿司布丁
*糖果机最低价格为$500")</f>
        <v>糖果机降价$500
获得道具:寿司布丁
*糖果机最低价格为$500</v>
      </c>
      <c r="Q42" s="119" t="str">
        <f>IFERROR(__xludf.DUMMYFUNCTION("GOOGLETRANSLATE(A42,""zh-tw"",""ja"")"),"R38")</f>
        <v>R38</v>
      </c>
      <c r="R42" s="153" t="s">
        <v>2470</v>
      </c>
      <c r="S42" s="89" t="str">
        <f>IFERROR(__xludf.DUMMYFUNCTION("GOOGLETRANSLATE(C42,""zh-tw"",""es-MX"")"),"Habla con el gerente de la misteriosa tienda y recibe el ""Salmón Rey"".")</f>
        <v>Habla con el gerente de la misteriosa tienda y recibe el "Salmón Rey".</v>
      </c>
      <c r="T42" s="55" t="str">
        <f>IFERROR(__xludf.DUMMYFUNCTION("GOOGLETRANSLATE(D42,""zh-tw"",""es-MX"")"),"¡Precio de la máquina de dulces rebajado en $500!
Recibe: Pudín de sushi
*El precio de la máquina de dulces es de tan solo $500")</f>
        <v>¡Precio de la máquina de dulces rebajado en $500!
Recibe: Pudín de sushi
*El precio de la máquina de dulces es de tan solo $500</v>
      </c>
      <c r="U42" s="155" t="str">
        <f>IFERROR(__xludf.DUMMYFUNCTION("GOOGLETRANSLATE(A42,""zh-tw"",""en"")"),"R38")</f>
        <v>R38</v>
      </c>
      <c r="V42" s="154" t="str">
        <f>IFERROR(__xludf.DUMMYFUNCTION("GOOGLETRANSLATE(B42,""zh-tw"",""KO"")"),"미스터리 샵 - 3")</f>
        <v>미스터리 샵 - 3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IFERROR(__xludf.DUMMYFUNCTION("GOOGLETRANSLATE(D42,""zh-tw"",""KO"")"),"캔디 머신 가격 500달러 할인
수령 품목: 스시 푸딩
*캔디 머신 가격은 최저 500달러입니다.")</f>
        <v>캔디 머신 가격 500달러 할인
수령 품목: 스시 푸딩
*캔디 머신 가격은 최저 500달러입니다.</v>
      </c>
      <c r="Y42" s="155" t="str">
        <f>IFERROR(__xludf.DUMMYFUNCTION("GOOGLETRANSLATE(E42,""zh-tw"",""en"")"),"R38")</f>
        <v>R38</v>
      </c>
      <c r="Z42" s="153" t="str">
        <f>IFERROR(__xludf.DUMMYFUNCTION("GOOGLETRANSLATE(B42,""zh-tw"",""ru"")"),"Тайный магазин - 3")</f>
        <v>Тайный магазин - 3</v>
      </c>
      <c r="AA42" s="156"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IFERROR(__xludf.DUMMYFUNCTION("GOOGLETRANSLATE(D42,""zh-tw"",""RU"")"),"Цена на Cand Machine снижена на 500 долларов.
Получить товар: Суши-пудинг.
*Цена на Cand Machine всего 500 долларов.")</f>
        <v>Цена на Cand Machine снижена на 500 долларов.
Получить товар: Суши-пудинг.
*Цена на Cand Machine всего 500 долларов.</v>
      </c>
      <c r="AC42" s="155" t="str">
        <f>IFERROR(__xludf.DUMMYFUNCTION("GOOGLETRANSLATE(I42,""zh-tw"",""en"")"),"R38")</f>
        <v>R38</v>
      </c>
      <c r="AD42" s="153" t="s">
        <v>2471</v>
      </c>
      <c r="AE42" s="158" t="s">
        <v>2472</v>
      </c>
      <c r="AF42" s="105" t="s">
        <v>2473</v>
      </c>
      <c r="AG42" s="159" t="s">
        <v>2462</v>
      </c>
      <c r="AH42" s="160" t="s">
        <v>2474</v>
      </c>
      <c r="AI42" s="161" t="s">
        <v>2475</v>
      </c>
      <c r="AJ42" s="162" t="s">
        <v>2476</v>
      </c>
      <c r="AK42" s="30"/>
      <c r="AL42" s="30"/>
    </row>
    <row r="43">
      <c r="A43" s="107" t="s">
        <v>2477</v>
      </c>
      <c r="B43" s="153" t="s">
        <v>2478</v>
      </c>
      <c r="C43" s="95" t="s">
        <v>2479</v>
      </c>
      <c r="D43" s="52" t="s">
        <v>2480</v>
      </c>
      <c r="E43" s="107" t="str">
        <f>IFERROR(__xludf.DUMMYFUNCTION("GOOGLETRANSLATE(A43,""zh-tw"",""ja"")"),"R39")</f>
        <v>R39</v>
      </c>
      <c r="F43" s="153" t="s">
        <v>2481</v>
      </c>
      <c r="G43" s="163" t="s">
        <v>2482</v>
      </c>
      <c r="H43" s="52" t="s">
        <v>2483</v>
      </c>
      <c r="I43" s="107" t="str">
        <f>IFERROR(__xludf.DUMMYFUNCTION("GOOGLETRANSLATE(A43,""zh-tw"",""en"")"),"R39")</f>
        <v>R39</v>
      </c>
      <c r="J43" s="153" t="s">
        <v>2484</v>
      </c>
      <c r="K43" s="95" t="s">
        <v>2485</v>
      </c>
      <c r="L43" s="52" t="s">
        <v>2486</v>
      </c>
      <c r="M43" s="119" t="str">
        <f>IFERROR(__xludf.DUMMYFUNCTION("GOOGLETRANSLATE(A43,""zh-tw"",""en"")"),"R39")</f>
        <v>R39</v>
      </c>
      <c r="N43" s="153" t="str">
        <f>IFERROR(__xludf.DUMMYFUNCTION("GOOGLETRANSLATE(B43,""zh-tw"",""zh"")"),"神秘商店-4")</f>
        <v>神秘商店-4</v>
      </c>
      <c r="O43" s="89" t="str">
        <f>IFERROR(__xludf.DUMMYFUNCTION("GOOGLETRANSLATE(C43,""zh-tw"",""zh"")"),"于神秘商店店长对话，并""不给予""鲑鱼。")</f>
        <v>于神秘商店店长对话，并"不给予"鲑鱼。</v>
      </c>
      <c r="P43" s="52" t="s">
        <v>2487</v>
      </c>
      <c r="Q43" s="119" t="str">
        <f>IFERROR(__xludf.DUMMYFUNCTION("GOOGLETRANSLATE(A43,""zh-tw"",""ja"")"),"R39")</f>
        <v>R39</v>
      </c>
      <c r="R43" s="153" t="s">
        <v>2488</v>
      </c>
      <c r="S43" s="89" t="str">
        <f>IFERROR(__xludf.DUMMYFUNCTION("GOOGLETRANSLATE(C43,""zh-tw"",""es-MX"")"),"Habla con el misterioso encargado de la tienda y ""no le des"" salmón.")</f>
        <v>Habla con el misterioso encargado de la tienda y "no le des" salmón.</v>
      </c>
      <c r="T43" s="55" t="str">
        <f>IFERROR(__xludf.DUMMYFUNCTION("GOOGLETRANSLATE(D43,""zh-tw"",""es-MX"")"),"Estado: Maldito
Los genitales del hermano brillan.
Actualmente, un evento especial solo ocurre cuando él y su hermana se bañan juntos y están sentados uno al lado del otro.")</f>
        <v>Estado: Maldito
Los genitales del hermano brillan.
Actualmente, un evento especial solo ocurre cuando él y su hermana se bañan juntos y están sentados uno al lado del otro.</v>
      </c>
      <c r="U43" s="155" t="str">
        <f>IFERROR(__xludf.DUMMYFUNCTION("GOOGLETRANSLATE(A43,""zh-tw"",""en"")"),"R39")</f>
        <v>R39</v>
      </c>
      <c r="V43" s="154" t="str">
        <f>IFERROR(__xludf.DUMMYFUNCTION("GOOGLETRANSLATE(B43,""zh-tw"",""KO"")"),"미스터리 샵 - 4")</f>
        <v>미스터리 샵 - 4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저주받음
오빠의 생식기가 빛나고 있습니다.
현재, 그와 여동생이 함께 목욕하고 나란히 앉아 있을 때만 특별한 이벤트가 발생합니다.")</f>
        <v>상태: 저주받음
오빠의 생식기가 빛나고 있습니다.
현재, 그와 여동생이 함께 목욕하고 나란히 앉아 있을 때만 특별한 이벤트가 발생합니다.</v>
      </c>
      <c r="Y43" s="155" t="str">
        <f>IFERROR(__xludf.DUMMYFUNCTION("GOOGLETRANSLATE(E43,""zh-tw"",""en"")"),"R39")</f>
        <v>R39</v>
      </c>
      <c r="Z43" s="153" t="str">
        <f>IFERROR(__xludf.DUMMYFUNCTION("GOOGLETRANSLATE(B43,""zh-tw"",""ru"")"),"Тайный магазин - 4")</f>
        <v>Тайный магазин - 4</v>
      </c>
      <c r="AA43" s="156"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Гениталии брата светятся.
В настоящее время особое событие происходит только тогда, когда он и его сестра купаются вместе и сидят рядом.")</f>
        <v>Статус: Проклят
Гениталии брата светятся.
В настоящее время особое событие происходит только тогда, когда он и его сестра купаются вместе и сидят рядом.</v>
      </c>
      <c r="AC43" s="155" t="str">
        <f>IFERROR(__xludf.DUMMYFUNCTION("GOOGLETRANSLATE(I43,""zh-tw"",""en"")"),"R39")</f>
        <v>R39</v>
      </c>
      <c r="AD43" s="153" t="s">
        <v>2489</v>
      </c>
      <c r="AE43" s="158" t="s">
        <v>2490</v>
      </c>
      <c r="AF43" s="105" t="s">
        <v>2491</v>
      </c>
      <c r="AG43" s="159" t="s">
        <v>2477</v>
      </c>
      <c r="AH43" s="160" t="s">
        <v>2492</v>
      </c>
      <c r="AI43" s="161" t="s">
        <v>2493</v>
      </c>
      <c r="AJ43" s="162" t="s">
        <v>2494</v>
      </c>
      <c r="AK43" s="30"/>
      <c r="AL43" s="30"/>
    </row>
    <row r="44">
      <c r="A44" s="107" t="s">
        <v>2495</v>
      </c>
      <c r="B44" s="153" t="s">
        <v>2496</v>
      </c>
      <c r="C44" s="95" t="s">
        <v>2497</v>
      </c>
      <c r="D44" s="52" t="s">
        <v>2498</v>
      </c>
      <c r="E44" s="107" t="str">
        <f>IFERROR(__xludf.DUMMYFUNCTION("GOOGLETRANSLATE(A44,""zh-tw"",""ja"")"),"R40")</f>
        <v>R40</v>
      </c>
      <c r="F44" s="153" t="s">
        <v>2499</v>
      </c>
      <c r="G44" s="163" t="s">
        <v>2500</v>
      </c>
      <c r="H44" s="52" t="s">
        <v>2501</v>
      </c>
      <c r="I44" s="107" t="str">
        <f>IFERROR(__xludf.DUMMYFUNCTION("GOOGLETRANSLATE(A44,""zh-tw"",""en"")"),"R40")</f>
        <v>R40</v>
      </c>
      <c r="J44" s="153" t="s">
        <v>2502</v>
      </c>
      <c r="K44" s="95" t="s">
        <v>2503</v>
      </c>
      <c r="L44" s="52" t="s">
        <v>2504</v>
      </c>
      <c r="M44" s="119" t="str">
        <f>IFERROR(__xludf.DUMMYFUNCTION("GOOGLETRANSLATE(A44,""zh-tw"",""en"")"),"R40")</f>
        <v>R40</v>
      </c>
      <c r="N44" s="153"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19" t="str">
        <f>IFERROR(__xludf.DUMMYFUNCTION("GOOGLETRANSLATE(A44,""zh-tw"",""ja"")"),"R40")</f>
        <v>R40</v>
      </c>
      <c r="R44" s="153" t="s">
        <v>2505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IFERROR(__xludf.DUMMYFUNCTION("GOOGLETRANSLATE(D44,""zh-tw"",""es-MX"")"),"Elimina la maldición")</f>
        <v>Elimina la maldición</v>
      </c>
      <c r="U44" s="155" t="str">
        <f>IFERROR(__xludf.DUMMYFUNCTION("GOOGLETRANSLATE(A44,""zh-tw"",""en"")"),"R40")</f>
        <v>R40</v>
      </c>
      <c r="V44" s="154" t="str">
        <f>IFERROR(__xludf.DUMMYFUNCTION("GOOGLETRANSLATE(B44,""zh-tw"",""KO"")"),"미스터리 샵 - 5")</f>
        <v>미스터리 샵 - 5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55" t="str">
        <f>IFERROR(__xludf.DUMMYFUNCTION("GOOGLETRANSLATE(E44,""zh-tw"",""en"")"),"R40")</f>
        <v>R40</v>
      </c>
      <c r="Z44" s="153" t="str">
        <f>IFERROR(__xludf.DUMMYFUNCTION("GOOGLETRANSLATE(B44,""zh-tw"",""ru"")"),"Тайный магазин - 5")</f>
        <v>Тайный магазин - 5</v>
      </c>
      <c r="AA44" s="156"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55" t="str">
        <f>IFERROR(__xludf.DUMMYFUNCTION("GOOGLETRANSLATE(I44,""zh-tw"",""en"")"),"R40")</f>
        <v>R40</v>
      </c>
      <c r="AD44" s="153" t="s">
        <v>2506</v>
      </c>
      <c r="AE44" s="158" t="s">
        <v>2507</v>
      </c>
      <c r="AF44" s="105" t="s">
        <v>2508</v>
      </c>
      <c r="AG44" s="159" t="s">
        <v>2495</v>
      </c>
      <c r="AH44" s="160" t="s">
        <v>2509</v>
      </c>
      <c r="AI44" s="161" t="s">
        <v>2510</v>
      </c>
      <c r="AJ44" s="162" t="s">
        <v>2511</v>
      </c>
      <c r="AK44" s="30"/>
      <c r="AL44" s="30"/>
    </row>
    <row r="45">
      <c r="A45" s="107" t="s">
        <v>2512</v>
      </c>
      <c r="B45" s="153" t="s">
        <v>2513</v>
      </c>
      <c r="C45" s="95" t="s">
        <v>2514</v>
      </c>
      <c r="D45" s="52" t="s">
        <v>2515</v>
      </c>
      <c r="E45" s="107" t="s">
        <v>2512</v>
      </c>
      <c r="F45" s="153" t="s">
        <v>2516</v>
      </c>
      <c r="G45" s="163" t="s">
        <v>2517</v>
      </c>
      <c r="H45" s="52" t="s">
        <v>2518</v>
      </c>
      <c r="I45" s="107" t="s">
        <v>2512</v>
      </c>
      <c r="J45" s="153" t="s">
        <v>2519</v>
      </c>
      <c r="K45" s="95" t="s">
        <v>2520</v>
      </c>
      <c r="L45" s="52" t="s">
        <v>2521</v>
      </c>
      <c r="M45" s="107" t="s">
        <v>2512</v>
      </c>
      <c r="N45" s="153"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07" t="s">
        <v>2512</v>
      </c>
      <c r="R45" s="154" t="str">
        <f>IFERROR(__xludf.DUMMYFUNCTION("GOOGLETRANSLATE(B45,""zh-tw"",""es-MX"")"),"Cliente misterioso - 6")</f>
        <v>Cliente misterioso - 6</v>
      </c>
      <c r="S45" s="89" t="str">
        <f>IFERROR(__xludf.DUMMYFUNCTION("GOOGLETRANSLATE(C45,""zh-tw"",""es-MX"")"),"Tras completar el diálogo, y al visitar la tienda por segunda vez, es posible que encuentres bollos de agua como artículo.")</f>
        <v>Tras completar el diálogo, y al visitar la tienda por segunda vez, es posible que encuentres bollos de agua como artículo.</v>
      </c>
      <c r="T45" s="55" t="str">
        <f>IFERROR(__xludf.DUMMYFUNCTION("GOOGLETRANSLATE(D45,""zh-tw"",""es-MX"")"),"Compra este producto y recibe el artículo ""Pan de agua súper sensible, suave y masticable"".")</f>
        <v>Compra este producto y recibe el artículo "Pan de agua súper sensible, suave y masticable".</v>
      </c>
      <c r="U45" s="177" t="s">
        <v>2512</v>
      </c>
      <c r="V45" s="154" t="str">
        <f>IFERROR(__xludf.DUMMYFUNCTION("GOOGLETRANSLATE(B45,""zh-tw"",""KO"")"),"미스터리 샵 - 6")</f>
        <v>미스터리 샵 - 6</v>
      </c>
      <c r="W45" s="89" t="str">
        <f>IFERROR(__xludf.DUMMYFUNCTION("GOOGLETRANSLATE(C45,""zh-tw"",""KO"")"),"대화를 완료하고 두 번째로 가게를 방문하면 물만두를 아이템으로 발견할 수도 있습니다.")</f>
        <v>대화를 완료하고 두 번째로 가게를 방문하면 물만두를 아이템으로 발견할 수도 있습니다.</v>
      </c>
      <c r="X45" s="55" t="str">
        <f>IFERROR(__xludf.DUMMYFUNCTION("GOOGLETRANSLATE(D45,""zh-tw"",""KO"")"),"구매하시면 ""매우 민감하고 부드럽고 쫄깃한 워터번"" 상품을 받으실 수 있습니다.")</f>
        <v>구매하시면 "매우 민감하고 부드럽고 쫄깃한 워터번" 상품을 받으실 수 있습니다.</v>
      </c>
      <c r="Y45" s="177" t="s">
        <v>2512</v>
      </c>
      <c r="Z45" s="153" t="str">
        <f>IFERROR(__xludf.DUMMYFUNCTION("GOOGLETRANSLATE(B45,""zh-tw"",""ru"")"),"Тайный магазин - 6")</f>
        <v>Тайный магазин - 6</v>
      </c>
      <c r="AA45" s="156" t="str">
        <f>IFERROR(__xludf.DUMMYFUNCTION("GOOGLETRANSLATE(C45,""zh-tw"",""RU"")"),"После завершения диалога и повторного посещения магазина вы можете найти там предмет — водяные булочки.")</f>
        <v>После завершения диалога и повторного посещения магазина вы можете найти там предмет — водяные булочки.</v>
      </c>
      <c r="AB45" s="44" t="str">
        <f>IFERROR(__xludf.DUMMYFUNCTION("GOOGLETRANSLATE(D45,""zh-tw"",""RU"")"),"Совершите покупку, чтобы получить товар «Суперчувствительная мягкая и жевательная булочка с водой».")</f>
        <v>Совершите покупку, чтобы получить товар «Суперчувствительная мягкая и жевательная булочка с водой».</v>
      </c>
      <c r="AC45" s="177" t="s">
        <v>2512</v>
      </c>
      <c r="AD45" s="153" t="s">
        <v>2522</v>
      </c>
      <c r="AE45" s="158" t="s">
        <v>2523</v>
      </c>
      <c r="AF45" s="105" t="s">
        <v>2524</v>
      </c>
      <c r="AG45" s="159" t="s">
        <v>2512</v>
      </c>
      <c r="AH45" s="160" t="s">
        <v>2525</v>
      </c>
      <c r="AI45" s="161" t="s">
        <v>2526</v>
      </c>
      <c r="AJ45" s="162" t="s">
        <v>2527</v>
      </c>
      <c r="AK45" s="30"/>
      <c r="AL45" s="30"/>
    </row>
    <row r="46" ht="113.25" customHeight="1">
      <c r="A46" s="107" t="s">
        <v>2528</v>
      </c>
      <c r="B46" s="153" t="s">
        <v>2529</v>
      </c>
      <c r="C46" s="95" t="s">
        <v>2530</v>
      </c>
      <c r="D46" s="52" t="s">
        <v>2531</v>
      </c>
      <c r="E46" s="107" t="str">
        <f>IFERROR(__xludf.DUMMYFUNCTION("GOOGLETRANSLATE(A46,""zh-tw"",""ja"")"),"R42")</f>
        <v>R42</v>
      </c>
      <c r="F46" s="153" t="s">
        <v>2532</v>
      </c>
      <c r="G46" s="95" t="s">
        <v>2533</v>
      </c>
      <c r="H46" s="52" t="s">
        <v>2534</v>
      </c>
      <c r="I46" s="107" t="str">
        <f>IFERROR(__xludf.DUMMYFUNCTION("GOOGLETRANSLATE(A46,""zh-tw"",""en"")"),"R42")</f>
        <v>R42</v>
      </c>
      <c r="J46" s="153" t="s">
        <v>2535</v>
      </c>
      <c r="K46" s="95" t="s">
        <v>2536</v>
      </c>
      <c r="L46" s="52" t="s">
        <v>2537</v>
      </c>
      <c r="M46" s="119" t="str">
        <f>IFERROR(__xludf.DUMMYFUNCTION("GOOGLETRANSLATE(A46,""zh-tw"",""en"")"),"R42")</f>
        <v>R42</v>
      </c>
      <c r="N46" s="153"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19" t="str">
        <f>IFERROR(__xludf.DUMMYFUNCTION("GOOGLETRANSLATE(A46,""zh-tw"",""ja"")"),"R42")</f>
        <v>R42</v>
      </c>
      <c r="R46" s="154" t="str">
        <f>IFERROR(__xludf.DUMMYFUNCTION("GOOGLETRANSLATE(B46,""zh-tw"",""es-MX"")"),"Jefe del Abismo")</f>
        <v>Jefe del Abismo</v>
      </c>
      <c r="S46" s="95" t="s">
        <v>2538</v>
      </c>
      <c r="T46" s="55" t="str">
        <f>IFERROR(__xludf.DUMMYFUNCTION("GOOGLETRANSLATE(D46,""zh-tw"",""es-MX"")"),"Obtén objetos y equipo.
P. D.: Los jefes del Abismo reaparecen cada siete días, y cada vez son más fuertes. También puedes usar la carta del Tarot ""Mundo"".")</f>
        <v>Obtén objetos y equipo.
P. D.: Los jefes del Abismo reaparecen cada siete días, y cada vez son más fuertes. También puedes usar la carta del Tarot "Mundo".</v>
      </c>
      <c r="U46" s="155" t="str">
        <f>IFERROR(__xludf.DUMMYFUNCTION("GOOGLETRANSLATE(A46,""zh-tw"",""en"")"),"R42")</f>
        <v>R42</v>
      </c>
      <c r="V46" s="154" t="str">
        <f>IFERROR(__xludf.DUMMYFUNCTION("GOOGLETRANSLATE(B46,""zh-tw"",""KO"")"),"어비스 보스")</f>
        <v>어비스 보스</v>
      </c>
      <c r="W46" s="89" t="str">
        <f>IFERROR(__xludf.DUMMYFUNCTION("GOOGLETRANSLATE(C46,""zh-tw"",""KO"")"),"잊혀진 무덤-2
유적 보스 처치")</f>
        <v>잊혀진 무덤-2
유적 보스 처치</v>
      </c>
      <c r="X46" s="55" t="str">
        <f>IFERROR(__xludf.DUMMYFUNCTION("GOOGLETRANSLATE(D46,""zh-tw"",""KO"")"),"아이템과 장비를 획득하세요
추신: 심연 보스는 7일마다 부활하며, 부활할 때마다 더욱 강력해집니다. ""월드"" 타로 카드를 사용할 수도 있습니다.")</f>
        <v>아이템과 장비를 획득하세요
추신: 심연 보스는 7일마다 부활하며, 부활할 때마다 더욱 강력해집니다. "월드" 타로 카드를 사용할 수도 있습니다.</v>
      </c>
      <c r="Y46" s="155" t="str">
        <f>IFERROR(__xludf.DUMMYFUNCTION("GOOGLETRANSLATE(E46,""zh-tw"",""en"")"),"R42")</f>
        <v>R42</v>
      </c>
      <c r="Z46" s="153" t="str">
        <f>IFERROR(__xludf.DUMMYFUNCTION("GOOGLETRANSLATE(B46,""zh-tw"",""ru"")"),"БОСС Бездны")</f>
        <v>БОСС Бездны</v>
      </c>
      <c r="AA46" s="156"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f>
        <v>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v>
      </c>
      <c r="AC46" s="155" t="str">
        <f>IFERROR(__xludf.DUMMYFUNCTION("GOOGLETRANSLATE(I46,""zh-tw"",""en"")"),"R42")</f>
        <v>R42</v>
      </c>
      <c r="AD46" s="153" t="s">
        <v>2539</v>
      </c>
      <c r="AE46" s="158" t="s">
        <v>2540</v>
      </c>
      <c r="AF46" s="105" t="s">
        <v>2541</v>
      </c>
      <c r="AG46" s="159" t="s">
        <v>2528</v>
      </c>
      <c r="AH46" s="160" t="s">
        <v>2542</v>
      </c>
      <c r="AI46" s="161" t="s">
        <v>2543</v>
      </c>
      <c r="AJ46" s="162" t="s">
        <v>2544</v>
      </c>
      <c r="AK46" s="30"/>
      <c r="AL46" s="30"/>
    </row>
    <row r="47">
      <c r="A47" s="107" t="s">
        <v>2545</v>
      </c>
      <c r="B47" s="153" t="s">
        <v>2546</v>
      </c>
      <c r="C47" s="95" t="s">
        <v>2547</v>
      </c>
      <c r="D47" s="52" t="s">
        <v>2548</v>
      </c>
      <c r="E47" s="107" t="str">
        <f>IFERROR(__xludf.DUMMYFUNCTION("GOOGLETRANSLATE(A47,""zh-tw"",""ja"")"),"R43")</f>
        <v>R43</v>
      </c>
      <c r="F47" s="153" t="s">
        <v>2549</v>
      </c>
      <c r="G47" s="95" t="s">
        <v>2550</v>
      </c>
      <c r="H47" s="52" t="s">
        <v>2551</v>
      </c>
      <c r="I47" s="107" t="str">
        <f>IFERROR(__xludf.DUMMYFUNCTION("GOOGLETRANSLATE(A47,""zh-tw"",""en"")"),"R43")</f>
        <v>R43</v>
      </c>
      <c r="J47" s="153" t="s">
        <v>2552</v>
      </c>
      <c r="K47" s="95" t="s">
        <v>2553</v>
      </c>
      <c r="L47" s="52" t="s">
        <v>2554</v>
      </c>
      <c r="M47" s="119" t="str">
        <f>IFERROR(__xludf.DUMMYFUNCTION("GOOGLETRANSLATE(A47,""zh-tw"",""en"")"),"R43")</f>
        <v>R43</v>
      </c>
      <c r="N47" s="153"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19" t="str">
        <f>IFERROR(__xludf.DUMMYFUNCTION("GOOGLETRANSLATE(A47,""zh-tw"",""ja"")"),"R43")</f>
        <v>R43</v>
      </c>
      <c r="R47" s="154" t="str">
        <f>IFERROR(__xludf.DUMMYFUNCTION("GOOGLETRANSLATE(B47,""zh-tw"",""es-MX"")"),"Fragmento de la Piedra Celestial 1")</f>
        <v>Fragmento de la Piedra Celestial 1</v>
      </c>
      <c r="S47" s="89" t="str">
        <f>IFERROR(__xludf.DUMMYFUNCTION("GOOGLETRANSLATE(C47,""zh-tw"",""es-MX"")"),"Derrota al jefe del tercer piso de las ruinas. Tras obtener el objeto, usa el ""Portal Estelar"" para regresar a casa y activar la trama.")</f>
        <v>Derrota al jefe del tercer piso de las ruinas. Tras obtener el objeto, usa el "Portal Estelar" para regresar a casa y activar la trama.</v>
      </c>
      <c r="T47" s="55" t="str">
        <f>IFERROR(__xludf.DUMMYFUNCTION("GOOGLETRANSLATE(D47,""zh-tw"",""es-MX"")"),"Obtén el producto ""Líquido de médula roja""")</f>
        <v>Obtén el producto "Líquido de médula roja"</v>
      </c>
      <c r="U47" s="155" t="str">
        <f>IFERROR(__xludf.DUMMYFUNCTION("GOOGLETRANSLATE(A47,""zh-tw"",""en"")"),"R43")</f>
        <v>R43</v>
      </c>
      <c r="V47" s="154" t="str">
        <f>IFERROR(__xludf.DUMMYFUNCTION("GOOGLETRANSLATE(B47,""zh-tw"",""KO"")"),"천상의 돌 조각 1")</f>
        <v>천상의 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 획득")</f>
        <v>"붉은 골수액" 아이템 획득</v>
      </c>
      <c r="Y47" s="155" t="str">
        <f>IFERROR(__xludf.DUMMYFUNCTION("GOOGLETRANSLATE(E47,""zh-tw"",""en"")"),"R43")</f>
        <v>R43</v>
      </c>
      <c r="Z47" s="153" t="str">
        <f>IFERROR(__xludf.DUMMYFUNCTION("GOOGLETRANSLATE(B47,""zh-tw"",""ru"")"),"Фрагмент Небесного Камня 1")</f>
        <v>Фрагмент Небесного Камня 1</v>
      </c>
      <c r="AA47" s="156"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55" t="str">
        <f>IFERROR(__xludf.DUMMYFUNCTION("GOOGLETRANSLATE(I47,""zh-tw"",""en"")"),"R43")</f>
        <v>R43</v>
      </c>
      <c r="AD47" s="153" t="s">
        <v>2555</v>
      </c>
      <c r="AE47" s="158" t="s">
        <v>2556</v>
      </c>
      <c r="AF47" s="105" t="s">
        <v>2557</v>
      </c>
      <c r="AG47" s="159" t="s">
        <v>2545</v>
      </c>
      <c r="AH47" s="160" t="s">
        <v>2558</v>
      </c>
      <c r="AI47" s="161" t="s">
        <v>2559</v>
      </c>
      <c r="AJ47" s="162" t="s">
        <v>2560</v>
      </c>
      <c r="AK47" s="30"/>
      <c r="AL47" s="30"/>
    </row>
    <row r="48">
      <c r="A48" s="107" t="s">
        <v>2561</v>
      </c>
      <c r="B48" s="153" t="s">
        <v>2562</v>
      </c>
      <c r="C48" s="95" t="s">
        <v>2563</v>
      </c>
      <c r="D48" s="52" t="s">
        <v>2564</v>
      </c>
      <c r="E48" s="107" t="str">
        <f>IFERROR(__xludf.DUMMYFUNCTION("GOOGLETRANSLATE(A48,""zh-tw"",""ja"")"),"R44")</f>
        <v>R44</v>
      </c>
      <c r="F48" s="153" t="s">
        <v>2565</v>
      </c>
      <c r="G48" s="95" t="s">
        <v>2566</v>
      </c>
      <c r="H48" s="52" t="s">
        <v>2567</v>
      </c>
      <c r="I48" s="107" t="str">
        <f>IFERROR(__xludf.DUMMYFUNCTION("GOOGLETRANSLATE(A48,""zh-tw"",""en"")"),"R44")</f>
        <v>R44</v>
      </c>
      <c r="J48" s="153" t="s">
        <v>2568</v>
      </c>
      <c r="K48" s="95" t="s">
        <v>2569</v>
      </c>
      <c r="L48" s="52" t="s">
        <v>2570</v>
      </c>
      <c r="M48" s="119" t="str">
        <f>IFERROR(__xludf.DUMMYFUNCTION("GOOGLETRANSLATE(A48,""zh-tw"",""en"")"),"R44")</f>
        <v>R44</v>
      </c>
      <c r="N48" s="153"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19" t="str">
        <f>IFERROR(__xludf.DUMMYFUNCTION("GOOGLETRANSLATE(A48,""zh-tw"",""ja"")"),"R44")</f>
        <v>R44</v>
      </c>
      <c r="R48" s="154"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estatus
*La historia se desarrolla de forma diferente dependiendo de si la bebida se administra antes o después de curar a la hermana.")</f>
        <v>Ganar estatus
*La historia se desarrolla de forma diferente dependiendo de si la bebida se administra antes o después de curar a la hermana.</v>
      </c>
      <c r="U48" s="155" t="str">
        <f>IFERROR(__xludf.DUMMYFUNCTION("GOOGLETRANSLATE(A48,""zh-tw"",""en"")"),"R44")</f>
        <v>R44</v>
      </c>
      <c r="V48" s="154"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전에 음료를 주었는지, 치료한 후에 주었는지에 따라 스토리라인이 달라집니다.")</f>
        <v>상태 획득
*자매를 치료하기 전에 음료를 주었는지, 치료한 후에 주었는지에 따라 스토리라인이 달라집니다.</v>
      </c>
      <c r="Y48" s="155" t="str">
        <f>IFERROR(__xludf.DUMMYFUNCTION("GOOGLETRANSLATE(E48,""zh-tw"",""en"")"),"R44")</f>
        <v>R44</v>
      </c>
      <c r="Z48" s="153" t="str">
        <f>IFERROR(__xludf.DUMMYFUNCTION("GOOGLETRANSLATE(B48,""zh-tw"",""ru"")"),"Фрагменты Небесного Камня 2")</f>
        <v>Фрагменты Небесного Камня 2</v>
      </c>
      <c r="AA48" s="156"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IFERROR(__xludf.DUMMYFUNCTION("GOOGLETRANSLATE(D48,""zh-tw"",""RU"")"),"Получить статус
*Разные сюжетные линии развиваются в зависимости от того, был ли напиток дан до или после исцеления сестры.")</f>
        <v>Получить статус
*Разные сюжетные линии развиваются в зависимости от того, был ли напиток дан до или после исцеления сестры.</v>
      </c>
      <c r="AC48" s="155" t="str">
        <f>IFERROR(__xludf.DUMMYFUNCTION("GOOGLETRANSLATE(I48,""zh-tw"",""en"")"),"R44")</f>
        <v>R44</v>
      </c>
      <c r="AD48" s="153" t="s">
        <v>2571</v>
      </c>
      <c r="AE48" s="158" t="s">
        <v>2572</v>
      </c>
      <c r="AF48" s="105" t="s">
        <v>2573</v>
      </c>
      <c r="AG48" s="159" t="s">
        <v>2561</v>
      </c>
      <c r="AH48" s="160" t="s">
        <v>2574</v>
      </c>
      <c r="AI48" s="161" t="s">
        <v>2575</v>
      </c>
      <c r="AJ48" s="162" t="s">
        <v>2576</v>
      </c>
      <c r="AK48" s="30"/>
      <c r="AL48" s="30"/>
    </row>
    <row r="49">
      <c r="A49" s="107" t="s">
        <v>2577</v>
      </c>
      <c r="B49" s="153" t="s">
        <v>2578</v>
      </c>
      <c r="C49" s="95" t="s">
        <v>2579</v>
      </c>
      <c r="D49" s="52" t="s">
        <v>2580</v>
      </c>
      <c r="E49" s="107" t="str">
        <f>IFERROR(__xludf.DUMMYFUNCTION("GOOGLETRANSLATE(A49,""zh-tw"",""ja"")"),"R45")</f>
        <v>R45</v>
      </c>
      <c r="F49" s="153" t="s">
        <v>2581</v>
      </c>
      <c r="G49" s="163" t="s">
        <v>2582</v>
      </c>
      <c r="H49" s="52" t="s">
        <v>2583</v>
      </c>
      <c r="I49" s="107" t="str">
        <f>IFERROR(__xludf.DUMMYFUNCTION("GOOGLETRANSLATE(A49,""zh-tw"",""en"")"),"R45")</f>
        <v>R45</v>
      </c>
      <c r="J49" s="153" t="s">
        <v>2584</v>
      </c>
      <c r="K49" s="95" t="s">
        <v>2585</v>
      </c>
      <c r="L49" s="52" t="s">
        <v>2586</v>
      </c>
      <c r="M49" s="119" t="str">
        <f>IFERROR(__xludf.DUMMYFUNCTION("GOOGLETRANSLATE(A49,""zh-tw"",""en"")"),"R45")</f>
        <v>R45</v>
      </c>
      <c r="N49" s="153"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19" t="str">
        <f>IFERROR(__xludf.DUMMYFUNCTION("GOOGLETRANSLATE(A49,""zh-tw"",""ja"")"),"R45")</f>
        <v>R45</v>
      </c>
      <c r="R49" s="153" t="s">
        <v>2587</v>
      </c>
      <c r="S49" s="89" t="str">
        <f>IFERROR(__xludf.DUMMYFUNCTION("GOOGLETRANSLATE(C49,""zh-tw"",""es-MX"")"),"La Tumba Olvidada - 2: Derrota al jefe en las ruinas (debe completarse en 25 segundos) y aparecerá un portal de invocación.")</f>
        <v>La Tumba Olvidada - 2: Derrota al jefe en las ruinas (debe completarse en 25 segundos) y aparecerá un portal de invocación.</v>
      </c>
      <c r="T49" s="55" t="str">
        <f>IFERROR(__xludf.DUMMYFUNCTION("GOOGLETRANSLATE(D49,""zh-tw"",""es-MX"")"),"Nueva ubicación: La Iglesia en ruinas (con hoguera)
(Abreviatura en el mapa: ""Iglesia""; actualmente, los PNJ no tienen funciones, a la espera de futuras actualizaciones)")</f>
        <v>Nueva ubicación: La Iglesia en ruinas (con hoguera)
(Abreviatura en el mapa: "Iglesia"; actualmente, los PNJ no tienen funciones, a la espera de futuras actualizaciones)</v>
      </c>
      <c r="U49" s="155" t="str">
        <f>IFERROR(__xludf.DUMMYFUNCTION("GOOGLETRANSLATE(A49,""zh-tw"",""en"")"),"R45")</f>
        <v>R45</v>
      </c>
      <c r="V49" s="154" t="str">
        <f>IFERROR(__xludf.DUMMYFUNCTION("GOOGLETRANSLATE(B49,""zh-tw"",""KO"")"),"보상")</f>
        <v>보상</v>
      </c>
      <c r="W49" s="89" t="str">
        <f>IFERROR(__xludf.DUMMYFUNCTION("GOOGLETRANSLATE(C49,""zh-tw"",""KO"")"),"잊혀진 무덤 - 2: 폐허 속 보스를 물리치면(25초 이내에 완료해야 함), 소환 포털이 나타납니다.")</f>
        <v>잊혀진 무덤 - 2: 폐허 속 보스를 물리치면(25초 이내에 완료해야 함), 소환 포털이 나타납니다.</v>
      </c>
      <c r="X49" s="55" t="str">
        <f>IFERROR(__xludf.DUMMYFUNCTION("GOOGLETRANSLATE(D49,""zh-tw"",""KO"")"),"새로운 장소 - 몰락한 교회 (모닥불 있음)
(지도 약어: ""교회""; 현재 NPC는 기능이 없으며, 향후 업데이트를 기다리고 있습니다.)")</f>
        <v>새로운 장소 - 몰락한 교회 (모닥불 있음)
(지도 약어: "교회"; 현재 NPC는 기능이 없으며, 향후 업데이트를 기다리고 있습니다.)</v>
      </c>
      <c r="Y49" s="155" t="str">
        <f>IFERROR(__xludf.DUMMYFUNCTION("GOOGLETRANSLATE(E49,""zh-tw"",""en"")"),"R45")</f>
        <v>R45</v>
      </c>
      <c r="Z49" s="153" t="str">
        <f>IFERROR(__xludf.DUMMYFUNCTION("GOOGLETRANSLATE(B49,""zh-tw"",""ru"")"),"Искупление")</f>
        <v>Искупление</v>
      </c>
      <c r="AA49" s="156" t="str">
        <f>IFERROR(__xludf.DUMMYFUNCTION("GOOGLETRANSLATE(C49,""zh-tw"",""RU"")"),"Забытая гробница - 2: Победите босса в руинах (необходимо завершить в течение 25 секунд), и появится портал призыва.")</f>
        <v>Забытая гробница - 2: Победите босса в руинах (необходимо завершить в течение 25 секунд), и появится портал призыва.</v>
      </c>
      <c r="AB49" s="44" t="str">
        <f>IFERROR(__xludf.DUMMYFUNCTION("GOOGLETRANSLATE(D49,""zh-tw"",""RU"")"),"Новая локация — Павшая церковь (с костром)
(Сокращённое название карты: «Церковь»; в настоящее время у NPC нет функций, ожидается обновление в будущем)")</f>
        <v>Новая локация — Павшая церковь (с костром)
(Сокращённое название карты: «Церковь»; в настоящее время у NPC нет функций, ожидается обновление в будущем)</v>
      </c>
      <c r="AC49" s="155" t="str">
        <f>IFERROR(__xludf.DUMMYFUNCTION("GOOGLETRANSLATE(I49,""zh-tw"",""en"")"),"R45")</f>
        <v>R45</v>
      </c>
      <c r="AD49" s="153" t="s">
        <v>2588</v>
      </c>
      <c r="AE49" s="158" t="s">
        <v>2589</v>
      </c>
      <c r="AF49" s="105" t="s">
        <v>2590</v>
      </c>
      <c r="AG49" s="159" t="s">
        <v>2577</v>
      </c>
      <c r="AH49" s="160" t="s">
        <v>2591</v>
      </c>
      <c r="AI49" s="161" t="s">
        <v>2592</v>
      </c>
      <c r="AJ49" s="162" t="s">
        <v>2593</v>
      </c>
      <c r="AK49" s="30"/>
      <c r="AL49" s="30"/>
    </row>
    <row r="50">
      <c r="A50" s="107" t="s">
        <v>2594</v>
      </c>
      <c r="B50" s="153" t="s">
        <v>2595</v>
      </c>
      <c r="C50" s="95" t="s">
        <v>2596</v>
      </c>
      <c r="D50" s="52" t="s">
        <v>2597</v>
      </c>
      <c r="E50" s="107" t="str">
        <f>IFERROR(__xludf.DUMMYFUNCTION("GOOGLETRANSLATE(A50,""zh-tw"",""ja"")"),"R46")</f>
        <v>R46</v>
      </c>
      <c r="F50" s="153" t="s">
        <v>2598</v>
      </c>
      <c r="G50" s="163" t="s">
        <v>2599</v>
      </c>
      <c r="H50" s="52" t="s">
        <v>2600</v>
      </c>
      <c r="I50" s="107" t="str">
        <f>IFERROR(__xludf.DUMMYFUNCTION("GOOGLETRANSLATE(A50,""zh-tw"",""en"")"),"R46")</f>
        <v>R46</v>
      </c>
      <c r="J50" s="153" t="s">
        <v>2601</v>
      </c>
      <c r="K50" s="95" t="s">
        <v>2602</v>
      </c>
      <c r="L50" s="52" t="s">
        <v>2603</v>
      </c>
      <c r="M50" s="119" t="str">
        <f>IFERROR(__xludf.DUMMYFUNCTION("GOOGLETRANSLATE(A50,""zh-tw"",""en"")"),"R46")</f>
        <v>R46</v>
      </c>
      <c r="N50" s="153"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19" t="str">
        <f>IFERROR(__xludf.DUMMYFUNCTION("GOOGLETRANSLATE(A50,""zh-tw"",""ja"")"),"R46")</f>
        <v>R46</v>
      </c>
      <c r="R50" s="154" t="str">
        <f>IFERROR(__xludf.DUMMYFUNCTION("GOOGLETRANSLATE(B50,""zh-tw"",""es-MX"")"),"Objeto oculto de la iglesia - 1")</f>
        <v>Objeto oculto de la iglesia - 1</v>
      </c>
      <c r="S50" s="95" t="s">
        <v>2604</v>
      </c>
      <c r="T50" s="55" t="str">
        <f>IFERROR(__xludf.DUMMYFUNCTION("GOOGLETRANSLATE(D50,""zh-tw"",""es-MX"")"),"Equipamiento: Misericordia de Santa Doncella")</f>
        <v>Equipamiento: Misericordia de Santa Doncella</v>
      </c>
      <c r="U50" s="155" t="str">
        <f>IFERROR(__xludf.DUMMYFUNCTION("GOOGLETRANSLATE(A50,""zh-tw"",""en"")"),"R46")</f>
        <v>R46</v>
      </c>
      <c r="V50" s="154" t="str">
        <f>IFERROR(__xludf.DUMMYFUNCTION("GOOGLETRANSLATE(B50,""zh-tw"",""KO"")"),"교회 숨겨진 아이템 - 1")</f>
        <v>교회 숨겨진 아이템 - 1</v>
      </c>
      <c r="W50" s="89" t="str">
        <f>IFERROR(__xludf.DUMMYFUNCTION("GOOGLETRANSLATE(C50,""zh-tw"",""KO"")"),"교회 NPC 뒤, 석상 뒤")</f>
        <v>교회 NPC 뒤, 석상 뒤</v>
      </c>
      <c r="X50" s="55" t="str">
        <f>IFERROR(__xludf.DUMMYFUNCTION("GOOGLETRANSLATE(D50,""zh-tw"",""KO"")"),"장비: 성녀의 자비")</f>
        <v>장비: 성녀의 자비</v>
      </c>
      <c r="Y50" s="155" t="str">
        <f>IFERROR(__xludf.DUMMYFUNCTION("GOOGLETRANSLATE(E50,""zh-tw"",""en"")"),"R46")</f>
        <v>R46</v>
      </c>
      <c r="Z50" s="153" t="str">
        <f>IFERROR(__xludf.DUMMYFUNCTION("GOOGLETRANSLATE(B50,""zh-tw"",""ru"")"),"Скрытый предмет в церкви - 1")</f>
        <v>Скрытый предмет в церкви - 1</v>
      </c>
      <c r="AA50" s="156"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Святая Дева Милосердия")</f>
        <v>Снаряжение: Святая Дева Милосердия</v>
      </c>
      <c r="AC50" s="155" t="str">
        <f>IFERROR(__xludf.DUMMYFUNCTION("GOOGLETRANSLATE(I50,""zh-tw"",""en"")"),"R46")</f>
        <v>R46</v>
      </c>
      <c r="AD50" s="153" t="s">
        <v>2605</v>
      </c>
      <c r="AE50" s="158" t="s">
        <v>2606</v>
      </c>
      <c r="AF50" s="105" t="s">
        <v>2607</v>
      </c>
      <c r="AG50" s="159" t="s">
        <v>2594</v>
      </c>
      <c r="AH50" s="160" t="s">
        <v>2608</v>
      </c>
      <c r="AI50" s="161" t="s">
        <v>2609</v>
      </c>
      <c r="AJ50" s="162" t="s">
        <v>2610</v>
      </c>
      <c r="AK50" s="30"/>
      <c r="AL50" s="30"/>
    </row>
    <row r="51">
      <c r="A51" s="107" t="s">
        <v>2611</v>
      </c>
      <c r="B51" s="153" t="s">
        <v>2612</v>
      </c>
      <c r="C51" s="95" t="s">
        <v>2613</v>
      </c>
      <c r="D51" s="52" t="s">
        <v>2614</v>
      </c>
      <c r="E51" s="107" t="str">
        <f>IFERROR(__xludf.DUMMYFUNCTION("GOOGLETRANSLATE(A51,""zh-tw"",""ja"")"),"R47")</f>
        <v>R47</v>
      </c>
      <c r="F51" s="153" t="s">
        <v>2615</v>
      </c>
      <c r="G51" s="163" t="s">
        <v>2616</v>
      </c>
      <c r="H51" s="52" t="s">
        <v>2617</v>
      </c>
      <c r="I51" s="107" t="str">
        <f>IFERROR(__xludf.DUMMYFUNCTION("GOOGLETRANSLATE(A51,""zh-tw"",""en"")"),"R47")</f>
        <v>R47</v>
      </c>
      <c r="J51" s="153" t="s">
        <v>2618</v>
      </c>
      <c r="K51" s="95" t="s">
        <v>2619</v>
      </c>
      <c r="L51" s="52" t="s">
        <v>2620</v>
      </c>
      <c r="M51" s="119" t="str">
        <f>IFERROR(__xludf.DUMMYFUNCTION("GOOGLETRANSLATE(A51,""zh-tw"",""en"")"),"R47")</f>
        <v>R47</v>
      </c>
      <c r="N51" s="153"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19" t="str">
        <f>IFERROR(__xludf.DUMMYFUNCTION("GOOGLETRANSLATE(A51,""zh-tw"",""ja"")"),"R47")</f>
        <v>R47</v>
      </c>
      <c r="R51" s="154" t="str">
        <f>IFERROR(__xludf.DUMMYFUNCTION("GOOGLETRANSLATE(B51,""zh-tw"",""es-MX"")"),"Camión de taller-1")</f>
        <v>Camión de taller-1</v>
      </c>
      <c r="S51" s="95" t="s">
        <v>2621</v>
      </c>
      <c r="T51" s="55" t="str">
        <f>IFERROR(__xludf.DUMMYFUNCTION("GOOGLETRANSLATE(D51,""zh-tw"",""es-MX"")"),"Esto hará aparecer un carrito de tienda con una chica gato.
¡No recojas los artículos inmediatamente! De lo contrario, ¡se considerará robo!")</f>
        <v>Esto hará aparecer un carrito de tienda con una chica gato.
¡No recojas los artículos inmediatamente! De lo contrario, ¡se considerará robo!</v>
      </c>
      <c r="U51" s="155" t="str">
        <f>IFERROR(__xludf.DUMMYFUNCTION("GOOGLETRANSLATE(A51,""zh-tw"",""en"")"),"R47")</f>
        <v>R47</v>
      </c>
      <c r="V51" s="154" t="str">
        <f>IFERROR(__xludf.DUMMYFUNCTION("GOOGLETRANSLATE(B51,""zh-tw"",""KO"")"),"샵 트럭-1")</f>
        <v>샵 트럭-1</v>
      </c>
      <c r="W51" s="89" t="str">
        <f>IFERROR(__xludf.DUMMYFUNCTION("GOOGLETRANSLATE(C51,""zh-tw"",""KO"")"),"타로 카드 ""전차""를 사용하여 소환하세요.")</f>
        <v>타로 카드 "전차"를 사용하여 소환하세요.</v>
      </c>
      <c r="X51" s="55" t="str">
        <f>IFERROR(__xludf.DUMMYFUNCTION("GOOGLETRANSLATE(D51,""zh-tw"",""KO"")"),"고양이 소녀 쇼핑 카트가 소환됩니다.
물건을 바로 가져가지 마세요! 그렇지 않으면 절도로 간주됩니다!")</f>
        <v>고양이 소녀 쇼핑 카트가 소환됩니다.
물건을 바로 가져가지 마세요! 그렇지 않으면 절도로 간주됩니다!</v>
      </c>
      <c r="Y51" s="155" t="str">
        <f>IFERROR(__xludf.DUMMYFUNCTION("GOOGLETRANSLATE(E51,""zh-tw"",""en"")"),"R47")</f>
        <v>R47</v>
      </c>
      <c r="Z51" s="153" t="str">
        <f>IFERROR(__xludf.DUMMYFUNCTION("GOOGLETRANSLATE(B51,""zh-tw"",""ru"")"),"Магазин Грузовик-1")</f>
        <v>Магазин Грузовик-1</v>
      </c>
      <c r="AA51" s="156" t="str">
        <f>IFERROR(__xludf.DUMMYFUNCTION("GOOGLETRANSLATE(C51,""zh-tw"",""RU"")"),"Вызов с помощью карты Таро «Колесница».")</f>
        <v>Вызов с помощью карты Таро «Колесница».</v>
      </c>
      <c r="AB51" s="44" t="str">
        <f>IFERROR(__xludf.DUMMYFUNCTION("GOOGLETRANSLATE(D51,""zh-tw"",""RU"")"),"Это призовёт тележку с кошкодевочкой.
Не забирайте товары сразу! Иначе это будет считаться кражей!")</f>
        <v>Это призовёт тележку с кошкодевочкой.
Не забирайте товары сразу! Иначе это будет считаться кражей!</v>
      </c>
      <c r="AC51" s="155" t="str">
        <f>IFERROR(__xludf.DUMMYFUNCTION("GOOGLETRANSLATE(I51,""zh-tw"",""en"")"),"R47")</f>
        <v>R47</v>
      </c>
      <c r="AD51" s="153" t="s">
        <v>2622</v>
      </c>
      <c r="AE51" s="158" t="s">
        <v>2623</v>
      </c>
      <c r="AF51" s="105" t="s">
        <v>2624</v>
      </c>
      <c r="AG51" s="159" t="s">
        <v>2611</v>
      </c>
      <c r="AH51" s="160" t="s">
        <v>2625</v>
      </c>
      <c r="AI51" s="161" t="s">
        <v>2626</v>
      </c>
      <c r="AJ51" s="162" t="s">
        <v>2627</v>
      </c>
      <c r="AK51" s="30"/>
      <c r="AL51" s="30"/>
    </row>
    <row r="52">
      <c r="A52" s="107" t="s">
        <v>2628</v>
      </c>
      <c r="B52" s="153" t="s">
        <v>2629</v>
      </c>
      <c r="C52" s="95" t="s">
        <v>2630</v>
      </c>
      <c r="D52" s="52" t="s">
        <v>2631</v>
      </c>
      <c r="E52" s="107" t="str">
        <f>IFERROR(__xludf.DUMMYFUNCTION("GOOGLETRANSLATE(A52,""zh-tw"",""ja"")"),"R48")</f>
        <v>R48</v>
      </c>
      <c r="F52" s="153" t="s">
        <v>2632</v>
      </c>
      <c r="G52" s="163" t="s">
        <v>2633</v>
      </c>
      <c r="H52" s="52" t="s">
        <v>2634</v>
      </c>
      <c r="I52" s="107" t="str">
        <f>IFERROR(__xludf.DUMMYFUNCTION("GOOGLETRANSLATE(A52,""zh-tw"",""en"")"),"R48")</f>
        <v>R48</v>
      </c>
      <c r="J52" s="153" t="s">
        <v>2635</v>
      </c>
      <c r="K52" s="95" t="s">
        <v>2636</v>
      </c>
      <c r="L52" s="52" t="s">
        <v>2637</v>
      </c>
      <c r="M52" s="119" t="str">
        <f>IFERROR(__xludf.DUMMYFUNCTION("GOOGLETRANSLATE(A52,""zh-tw"",""en"")"),"R48")</f>
        <v>R48</v>
      </c>
      <c r="N52" s="153"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19" t="str">
        <f>IFERROR(__xludf.DUMMYFUNCTION("GOOGLETRANSLATE(A52,""zh-tw"",""ja"")"),"R48")</f>
        <v>R48</v>
      </c>
      <c r="R52" s="154"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normalmente invencible. Por lo tanto, no la desafíes a la ligera antes de guardar la partida.
P. D.: Seguirás siendo detectado incluso si usas el dispositivo para detener el "&amp;"tiempo.")</f>
        <v>Serás atacado.
Advertencia: Asaba, la chica gato, es extremadamente poderosa y normalmente invencible. Por lo tanto, no la desafíes a la ligera antes de guardar la partida.
P. D.: Seguirás siendo detectado incluso si usas el dispositivo para detener el tiempo.</v>
      </c>
      <c r="U52" s="155" t="str">
        <f>IFERROR(__xludf.DUMMYFUNCTION("GOOGLETRANSLATE(A52,""zh-tw"",""en"")"),"R48")</f>
        <v>R48</v>
      </c>
      <c r="V52" s="154"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IFERROR(__xludf.DUMMYFUNCTION("GOOGLETRANSLATE(D52,""zh-tw"",""KO"")"),"공격당할 것입니다.
경고: 캣걸 아사바는 매우 강력하며 일반적으로 무적입니다. 따라서 게임을 저장하기 전에 가볍게 도전하지 마십시오.
추신: 시간 정지 장치를 사용하더라도 여전히 감지될 수 있습니다.")</f>
        <v>공격당할 것입니다.
경고: 캣걸 아사바는 매우 강력하며 일반적으로 무적입니다. 따라서 게임을 저장하기 전에 가볍게 도전하지 마십시오.
추신: 시간 정지 장치를 사용하더라도 여전히 감지될 수 있습니다.</v>
      </c>
      <c r="Y52" s="155" t="str">
        <f>IFERROR(__xludf.DUMMYFUNCTION("GOOGLETRANSLATE(E52,""zh-tw"",""en"")"),"R48")</f>
        <v>R48</v>
      </c>
      <c r="Z52" s="153" t="str">
        <f>IFERROR(__xludf.DUMMYFUNCTION("GOOGLETRANSLATE(B52,""zh-tw"",""ru"")"),"Корзина-2")</f>
        <v>Корзина-2</v>
      </c>
      <c r="AA52" s="156" t="str">
        <f>IFERROR(__xludf.DUMMYFUNCTION("GOOGLETRANSLATE(C52,""zh-tw"",""RU"")"),"Кража товара из магазинной тележки")</f>
        <v>Кража товара из магазинной тележки</v>
      </c>
      <c r="AB52" s="44" t="str">
        <f>IFERROR(__xludf.DUMMYFUNCTION("GOOGLETRANSLATE(D52,""zh-tw"",""RU"")"),"Вас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f>
        <v>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v>
      </c>
      <c r="AC52" s="155" t="str">
        <f>IFERROR(__xludf.DUMMYFUNCTION("GOOGLETRANSLATE(I52,""zh-tw"",""en"")"),"R48")</f>
        <v>R48</v>
      </c>
      <c r="AD52" s="153" t="s">
        <v>2638</v>
      </c>
      <c r="AE52" s="158" t="s">
        <v>2639</v>
      </c>
      <c r="AF52" s="105" t="s">
        <v>2640</v>
      </c>
      <c r="AG52" s="159" t="s">
        <v>2628</v>
      </c>
      <c r="AH52" s="160" t="s">
        <v>2641</v>
      </c>
      <c r="AI52" s="161" t="s">
        <v>2642</v>
      </c>
      <c r="AJ52" s="162" t="s">
        <v>2643</v>
      </c>
      <c r="AK52" s="30"/>
      <c r="AL52" s="30"/>
    </row>
    <row r="53">
      <c r="A53" s="107" t="s">
        <v>2644</v>
      </c>
      <c r="B53" s="153" t="s">
        <v>2645</v>
      </c>
      <c r="C53" s="95" t="s">
        <v>2646</v>
      </c>
      <c r="D53" s="52" t="s">
        <v>2647</v>
      </c>
      <c r="E53" s="107" t="str">
        <f>IFERROR(__xludf.DUMMYFUNCTION("GOOGLETRANSLATE(A53,""zh-tw"",""ja"")"),"R49")</f>
        <v>R49</v>
      </c>
      <c r="F53" s="153" t="s">
        <v>2648</v>
      </c>
      <c r="G53" s="163" t="s">
        <v>2649</v>
      </c>
      <c r="H53" s="52" t="s">
        <v>2650</v>
      </c>
      <c r="I53" s="107" t="str">
        <f>IFERROR(__xludf.DUMMYFUNCTION("GOOGLETRANSLATE(A53,""zh-tw"",""en"")"),"R49")</f>
        <v>R49</v>
      </c>
      <c r="J53" s="153" t="s">
        <v>2651</v>
      </c>
      <c r="K53" s="95" t="s">
        <v>2652</v>
      </c>
      <c r="L53" s="52" t="s">
        <v>2653</v>
      </c>
      <c r="M53" s="119" t="str">
        <f>IFERROR(__xludf.DUMMYFUNCTION("GOOGLETRANSLATE(A53,""zh-tw"",""en"")"),"R49")</f>
        <v>R49</v>
      </c>
      <c r="N53" s="153"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19" t="str">
        <f>IFERROR(__xludf.DUMMYFUNCTION("GOOGLETRANSLATE(A53,""zh-tw"",""ja"")"),"R49")</f>
        <v>R49</v>
      </c>
      <c r="R53" s="154" t="str">
        <f>IFERROR(__xludf.DUMMYFUNCTION("GOOGLETRANSLATE(B53,""zh-tw"",""es-MX"")"),"Carrito de compras-3")</f>
        <v>Carrito de compras-3</v>
      </c>
      <c r="S53" s="95" t="s">
        <v>2654</v>
      </c>
      <c r="T53" s="55" t="str">
        <f>IFERROR(__xludf.DUMMYFUNCTION("GOOGLETRANSLATE(D53,""zh-tw"",""es-MX"")"),"Obtención del objeto: Fotógrafo Mágico (Cámara)
*Implementación: Al fotografiar a tu hermana menor, es posible que haga una mueca graciosa.
*Tomar fotos durante escenas subidas de tono también hará que tu hermana menor se sonroje.
*Cuando tu hermano ma"&amp;"yor está maldito, es más fácil tomar fotos inquietantes.
*Implementación: Al usarla en el Abismo, el sonido de las fotos atraerá la atención de los monstruos cercanos.
(Actualmente, esta función está en desarrollo y gran parte del contenido aún no está "&amp;"completamente implementado).")</f>
        <v>Obtención del objeto: Fotógrafo Mágico (Cámara)
*Implementación: Al fotografiar a tu hermana menor, es posible que haga una mueca graciosa.
*Tomar fotos durante escenas subidas de tono también hará que tu hermana menor se sonroje.
*Cuando tu hermano mayor está maldito, es más fácil tomar fotos inquietantes.
*Implementación: Al usarla en el Abismo, el sonido de las fotos atraerá la atención de los monstruos cercanos.
(Actualmente, esta función está en desarrollo y gran parte del contenido aún no está completamente implementado).</v>
      </c>
      <c r="U53" s="155" t="str">
        <f>IFERROR(__xludf.DUMMYFUNCTION("GOOGLETRANSLATE(A53,""zh-tw"",""en"")"),"R49")</f>
        <v>R49</v>
      </c>
      <c r="V53" s="154"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f>
        <v>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v>
      </c>
      <c r="Y53" s="155" t="str">
        <f>IFERROR(__xludf.DUMMYFUNCTION("GOOGLETRANSLATE(E53,""zh-tw"",""en"")"),"R49")</f>
        <v>R49</v>
      </c>
      <c r="Z53" s="153" t="str">
        <f>IFERROR(__xludf.DUMMYFUNCTION("GOOGLETRANSLATE(B53,""zh-tw"",""ru"")"),"Корзина-3")</f>
        <v>Корзина-3</v>
      </c>
      <c r="AA53" s="156"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нал"&amp;"ожено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часть"&amp;" контента ещё не полностью реализована.)")</f>
        <v>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 контента ещё не полностью реализована.)</v>
      </c>
      <c r="AC53" s="178" t="str">
        <f>IFERROR(__xludf.DUMMYFUNCTION("GOOGLETRANSLATE(I53,""zh-tw"",""en"")"),"R49")</f>
        <v>R49</v>
      </c>
      <c r="AD53" s="179" t="s">
        <v>2655</v>
      </c>
      <c r="AE53" s="158" t="s">
        <v>2656</v>
      </c>
      <c r="AF53" s="105" t="s">
        <v>2657</v>
      </c>
      <c r="AG53" s="159" t="s">
        <v>2644</v>
      </c>
      <c r="AH53" s="160" t="s">
        <v>2658</v>
      </c>
      <c r="AI53" s="161" t="s">
        <v>2659</v>
      </c>
      <c r="AJ53" s="162" t="s">
        <v>2660</v>
      </c>
      <c r="AK53" s="30"/>
      <c r="AL53" s="30"/>
    </row>
    <row r="54">
      <c r="A54" s="107" t="s">
        <v>2661</v>
      </c>
      <c r="B54" s="153" t="s">
        <v>2662</v>
      </c>
      <c r="C54" s="95" t="s">
        <v>2646</v>
      </c>
      <c r="D54" s="52" t="s">
        <v>2663</v>
      </c>
      <c r="E54" s="107" t="str">
        <f>IFERROR(__xludf.DUMMYFUNCTION("GOOGLETRANSLATE(A54,""zh-tw"",""ja"")"),"R50")</f>
        <v>R50</v>
      </c>
      <c r="F54" s="153" t="s">
        <v>2664</v>
      </c>
      <c r="G54" s="163" t="s">
        <v>2665</v>
      </c>
      <c r="H54" s="52" t="s">
        <v>2666</v>
      </c>
      <c r="I54" s="107" t="str">
        <f>IFERROR(__xludf.DUMMYFUNCTION("GOOGLETRANSLATE(A54,""zh-tw"",""en"")"),"R50")</f>
        <v>R50</v>
      </c>
      <c r="J54" s="153" t="s">
        <v>2667</v>
      </c>
      <c r="K54" s="95" t="s">
        <v>2652</v>
      </c>
      <c r="L54" s="52" t="s">
        <v>2668</v>
      </c>
      <c r="M54" s="119" t="str">
        <f>IFERROR(__xludf.DUMMYFUNCTION("GOOGLETRANSLATE(A54,""zh-tw"",""en"")"),"R50")</f>
        <v>R50</v>
      </c>
      <c r="N54" s="153"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19" t="str">
        <f>IFERROR(__xludf.DUMMYFUNCTION("GOOGLETRANSLATE(A54,""zh-tw"",""ja"")"),"R50")</f>
        <v>R50</v>
      </c>
      <c r="R54" s="154" t="str">
        <f>IFERROR(__xludf.DUMMYFUNCTION("GOOGLETRANSLATE(B54,""zh-tw"",""es-MX"")"),"Tienda de coches-4")</f>
        <v>Tienda de coches-4</v>
      </c>
      <c r="S54" s="95" t="s">
        <v>2654</v>
      </c>
      <c r="T54" s="55" t="str">
        <f>IFERROR(__xludf.DUMMYFUNCTION("GOOGLETRANSLATE(D54,""zh-tw"",""es-MX"")"),"Objeto obtenido: Hucha
Este objeto evoluciona tras acumular 1 millón (solo puede existir una a la vez).
Otorga intereses, la habilidad ""Aura de Mamón"", mayor velocidad de movimiento e indestructibilidad.
P. D.: No puedes ingresar tu propio dinero en "&amp;"la hucha.")</f>
        <v>Objeto obtenido: Hucha
Este objeto evoluciona tras acumular 1 millón (solo puede existir una a la vez).
Otorga intereses, la habilidad "Aura de Mamón", mayor velocidad de movimiento e indestructibilidad.
P. D.: No puedes ingresar tu propio dinero en la hucha.</v>
      </c>
      <c r="U54" s="155" t="str">
        <f>IFERROR(__xludf.DUMMYFUNCTION("GOOGLETRANSLATE(A54,""zh-tw"",""en"")"),"R50")</f>
        <v>R50</v>
      </c>
      <c r="V54" s="154" t="str">
        <f>IFERROR(__xludf.DUMMYFUNCTION("GOOGLETRANSLATE(B54,""zh-tw"",""KO"")"),"샵 카-4")</f>
        <v>샵 카-4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v>
      </c>
      <c r="Y54" s="155" t="str">
        <f>IFERROR(__xludf.DUMMYFUNCTION("GOOGLETRANSLATE(E54,""zh-tw"",""en"")"),"R50")</f>
        <v>R50</v>
      </c>
      <c r="Z54" s="153" t="str">
        <f>IFERROR(__xludf.DUMMYFUNCTION("GOOGLETRANSLATE(B54,""zh-tw"",""ru"")"),"Магазин Car-4")</f>
        <v>Магазин Car-4</v>
      </c>
      <c r="AA54" s="156"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скормить"&amp;" свои деньги копилке.")</f>
        <v>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 свои деньги копилке.</v>
      </c>
      <c r="AC54" s="155" t="str">
        <f>IFERROR(__xludf.DUMMYFUNCTION("GOOGLETRANSLATE(I54,""zh-tw"",""en"")"),"R50")</f>
        <v>R50</v>
      </c>
      <c r="AD54" s="179" t="s">
        <v>2669</v>
      </c>
      <c r="AE54" s="158" t="s">
        <v>2656</v>
      </c>
      <c r="AF54" s="105" t="s">
        <v>2670</v>
      </c>
      <c r="AG54" s="159" t="s">
        <v>2661</v>
      </c>
      <c r="AH54" s="160" t="s">
        <v>2671</v>
      </c>
      <c r="AI54" s="161" t="s">
        <v>2659</v>
      </c>
      <c r="AJ54" s="162" t="s">
        <v>2672</v>
      </c>
      <c r="AK54" s="126"/>
      <c r="AL54" s="126"/>
    </row>
    <row r="55">
      <c r="A55" s="107" t="s">
        <v>2673</v>
      </c>
      <c r="B55" s="153" t="s">
        <v>2674</v>
      </c>
      <c r="C55" s="95" t="s">
        <v>2675</v>
      </c>
      <c r="D55" s="52" t="s">
        <v>2676</v>
      </c>
      <c r="E55" s="107" t="str">
        <f>IFERROR(__xludf.DUMMYFUNCTION("GOOGLETRANSLATE(A55,""zh-tw"",""ja"")"),"R51")</f>
        <v>R51</v>
      </c>
      <c r="F55" s="153" t="s">
        <v>2677</v>
      </c>
      <c r="G55" s="163" t="s">
        <v>2678</v>
      </c>
      <c r="H55" s="52" t="s">
        <v>594</v>
      </c>
      <c r="I55" s="107" t="str">
        <f>IFERROR(__xludf.DUMMYFUNCTION("GOOGLETRANSLATE(A55,""zh-tw"",""en"")"),"R51")</f>
        <v>R51</v>
      </c>
      <c r="J55" s="153" t="s">
        <v>2679</v>
      </c>
      <c r="K55" s="95" t="s">
        <v>2680</v>
      </c>
      <c r="L55" s="52" t="s">
        <v>2681</v>
      </c>
      <c r="M55" s="119" t="str">
        <f>IFERROR(__xludf.DUMMYFUNCTION("GOOGLETRANSLATE(A55,""zh-tw"",""en"")"),"R51")</f>
        <v>R51</v>
      </c>
      <c r="N55" s="153"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19" t="str">
        <f>IFERROR(__xludf.DUMMYFUNCTION("GOOGLETRANSLATE(A55,""zh-tw"",""ja"")"),"R51")</f>
        <v>R51</v>
      </c>
      <c r="R55" s="154" t="str">
        <f>IFERROR(__xludf.DUMMYFUNCTION("GOOGLETRANSLATE(B55,""zh-tw"",""es-MX"")"),"Camión de taller-5")</f>
        <v>Camión de taller-5</v>
      </c>
      <c r="S55" s="95" t="s">
        <v>2682</v>
      </c>
      <c r="T55" s="55" t="str">
        <f>IFERROR(__xludf.DUMMYFUNCTION("GOOGLETRANSLATE(D55,""zh-tw"",""es-MX"")"),"No implementado")</f>
        <v>No implementado</v>
      </c>
      <c r="U55" s="155" t="str">
        <f>IFERROR(__xludf.DUMMYFUNCTION("GOOGLETRANSLATE(A55,""zh-tw"",""en"")"),"R51")</f>
        <v>R51</v>
      </c>
      <c r="V55" s="154" t="str">
        <f>IFERROR(__xludf.DUMMYFUNCTION("GOOGLETRANSLATE(B55,""zh-tw"",""KO"")"),"트럭 5호점")</f>
        <v>트럭 5호점</v>
      </c>
      <c r="W55" s="89" t="str">
        <f>IFERROR(__xludf.DUMMYFUNCTION("GOOGLETRANSLATE(C55,""zh-tw"",""KO"")"),"만약 당신의 형제가 상점차에 치여 차량이 나타났을 때 그의 HP가 0이 된다면, 그는 새로운 맵(아직 구현되지 않음)으로 이동하게 됩니다.")</f>
        <v>만약 당신의 형제가 상점차에 치여 차량이 나타났을 때 그의 HP가 0이 된다면, 그는 새로운 맵(아직 구현되지 않음)으로 이동하게 됩니다.</v>
      </c>
      <c r="X55" s="55" t="str">
        <f>IFERROR(__xludf.DUMMYFUNCTION("GOOGLETRANSLATE(D55,""zh-tw"",""KO"")"),"구현되지 않음")</f>
        <v>구현되지 않음</v>
      </c>
      <c r="Y55" s="155" t="str">
        <f>IFERROR(__xludf.DUMMYFUNCTION("GOOGLETRANSLATE(E55,""zh-tw"",""en"")"),"R51")</f>
        <v>R51</v>
      </c>
      <c r="Z55" s="153" t="str">
        <f>IFERROR(__xludf.DUMMYFUNCTION("GOOGLETRANSLATE(B55,""zh-tw"",""ru"")"),"Магазин Truck-5")</f>
        <v>Магазин Truck-5</v>
      </c>
      <c r="AA55" s="156"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55" t="str">
        <f>IFERROR(__xludf.DUMMYFUNCTION("GOOGLETRANSLATE(I55,""zh-tw"",""en"")"),"R51")</f>
        <v>R51</v>
      </c>
      <c r="AD55" s="179" t="s">
        <v>2683</v>
      </c>
      <c r="AE55" s="158" t="s">
        <v>2684</v>
      </c>
      <c r="AF55" s="105" t="s">
        <v>2473</v>
      </c>
      <c r="AG55" s="159" t="s">
        <v>2673</v>
      </c>
      <c r="AH55" s="160" t="s">
        <v>2685</v>
      </c>
      <c r="AI55" s="161" t="s">
        <v>2686</v>
      </c>
      <c r="AJ55" s="162" t="s">
        <v>2687</v>
      </c>
      <c r="AK55" s="126"/>
      <c r="AL55" s="126"/>
    </row>
    <row r="56">
      <c r="A56" s="107" t="s">
        <v>2688</v>
      </c>
      <c r="B56" s="171" t="s">
        <v>2689</v>
      </c>
      <c r="C56" s="174" t="s">
        <v>2690</v>
      </c>
      <c r="D56" s="175" t="s">
        <v>2691</v>
      </c>
      <c r="E56" s="84" t="str">
        <f>IFERROR(__xludf.DUMMYFUNCTION("GOOGLETRANSLATE(A56,""zh-tw"",""ja"")"),"R52")</f>
        <v>R52</v>
      </c>
      <c r="F56" s="171" t="s">
        <v>2692</v>
      </c>
      <c r="G56" s="174" t="s">
        <v>2693</v>
      </c>
      <c r="H56" s="175" t="s">
        <v>2694</v>
      </c>
      <c r="I56" s="84" t="str">
        <f>IFERROR(__xludf.DUMMYFUNCTION("GOOGLETRANSLATE(A56,""zh-tw"",""en"")"),"R52")</f>
        <v>R52</v>
      </c>
      <c r="J56" s="171" t="s">
        <v>2695</v>
      </c>
      <c r="K56" s="174" t="s">
        <v>2696</v>
      </c>
      <c r="L56" s="175" t="s">
        <v>2697</v>
      </c>
      <c r="M56" s="119" t="str">
        <f>IFERROR(__xludf.DUMMYFUNCTION("GOOGLETRANSLATE(A56,""zh-tw"",""en"")"),"R52")</f>
        <v>R52</v>
      </c>
      <c r="N56" s="171" t="str">
        <f>IFERROR(__xludf.DUMMYFUNCTION("GOOGLETRANSLATE(B56,""zh-tw"",""zh"")"),"稻草人")</f>
        <v>稻草人</v>
      </c>
      <c r="O56" s="180" t="str">
        <f>IFERROR(__xludf.DUMMYFUNCTION("GOOGLETRANSLATE(C56,""zh-tw"",""zh"")"),"主要用于测试玩家伤害数值用，有可能透过其他方式击杀。
(可以参考TIPS)")</f>
        <v>主要用于测试玩家伤害数值用，有可能透过其他方式击杀。
(可以参考TIPS)</v>
      </c>
      <c r="P56" s="168" t="str">
        <f>IFERROR(__xludf.DUMMYFUNCTION("GOOGLETRANSLATE(D56,""zh-tw"",""zh"")"),"获得道具：稻草人的心")</f>
        <v>获得道具：稻草人的心</v>
      </c>
      <c r="Q56" s="119" t="str">
        <f>IFERROR(__xludf.DUMMYFUNCTION("GOOGLETRANSLATE(A56,""zh-tw"",""ja"")"),"R52")</f>
        <v>R52</v>
      </c>
      <c r="R56" s="154" t="str">
        <f>IFERROR(__xludf.DUMMYFUNCTION("GOOGLETRANSLATE(B56,""zh-tw"",""es-MX"")"),"espantapájaros")</f>
        <v>espantapájaros</v>
      </c>
      <c r="S56" s="89" t="str">
        <f>IFERROR(__xludf.DUMMYFUNCTION("GOOGLETRANSLATE(C56,""zh-tw"",""es-MX"")"),"Se utilizan principalmente para probar los valores de daño de los jugadores; es posible eliminarlos por otros métodos.
(Consulta la sección de CONSEJOS para más detalles).")</f>
        <v>Se utilizan principalmente para probar los valores de daño de los jugadores; es posible eliminarlos por otros métodos.
(Consulta la sección de CONSEJOS para más detalles).</v>
      </c>
      <c r="T56" s="181" t="str">
        <f>IFERROR(__xludf.DUMMYFUNCTION("GOOGLETRANSLATE(D56,""zh-tw"",""es-MX"")"),"Objeto obtenido: Corazón del espantapájaros")</f>
        <v>Objeto obtenido: Corazón del espantapájaros</v>
      </c>
      <c r="U56" s="155" t="str">
        <f>IFERROR(__xludf.DUMMYFUNCTION("GOOGLETRANSLATE(A56,""zh-tw"",""en"")"),"R52")</f>
        <v>R52</v>
      </c>
      <c r="V56" s="154" t="str">
        <f>IFERROR(__xludf.DUMMYFUNCTION("GOOGLETRANSLATE(B56,""zh-tw"",""KO"")"),"허수아비")</f>
        <v>허수아비</v>
      </c>
      <c r="W56" s="89" t="str">
        <f>IFERROR(__xludf.DUMMYFUNCTION("GOOGLETRANSLATE(C56,""zh-tw"",""KO"")"),"주로 플레이어의 데미지 값을 테스트하는 데 사용됩니다. 다른 방법으로도 처치할 수 있습니다.
(자세한 내용은 팁 참조)")</f>
        <v>주로 플레이어의 데미지 값을 테스트하는 데 사용됩니다. 다른 방법으로도 처치할 수 있습니다.
(자세한 내용은 팁 참조)</v>
      </c>
      <c r="X56" s="181" t="str">
        <f>IFERROR(__xludf.DUMMYFUNCTION("GOOGLETRANSLATE(D56,""zh-tw"",""KO"")"),"획득 아이템: 허수아비의 심장")</f>
        <v>획득 아이템: 허수아비의 심장</v>
      </c>
      <c r="Y56" s="155" t="str">
        <f>IFERROR(__xludf.DUMMYFUNCTION("GOOGLETRANSLATE(E56,""zh-tw"",""en"")"),"R52")</f>
        <v>R52</v>
      </c>
      <c r="Z56" s="171" t="str">
        <f>IFERROR(__xludf.DUMMYFUNCTION("GOOGLETRANSLATE(B56,""zh-tw"",""ru"")"),"пугало")</f>
        <v>пугало</v>
      </c>
      <c r="AA56" s="156" t="str">
        <f>IFERROR(__xludf.DUMMYFUNCTION("GOOGLETRANSLATE(C56,""zh-tw"",""RU"")"),"В основном используется для проверки урона игрока; убить его можно и другими способами.
(Подробнее см. в разделе «СОВЕТЫ»).")</f>
        <v>В основном используется для проверки урона игрока; убить его можно и другими способами.
(Подробнее см. в разделе «СОВЕТЫ»).</v>
      </c>
      <c r="AB56" s="182" t="str">
        <f>IFERROR(__xludf.DUMMYFUNCTION("GOOGLETRANSLATE(D56,""zh-tw"",""RU"")"),"Полученный предмет: Сердце Пугала")</f>
        <v>Полученный предмет: Сердце Пугала</v>
      </c>
      <c r="AC56" s="155" t="str">
        <f>IFERROR(__xludf.DUMMYFUNCTION("GOOGLETRANSLATE(I56,""zh-tw"",""en"")"),"R52")</f>
        <v>R52</v>
      </c>
      <c r="AD56" s="171" t="s">
        <v>2698</v>
      </c>
      <c r="AE56" s="174" t="s">
        <v>2699</v>
      </c>
      <c r="AF56" s="175" t="s">
        <v>2700</v>
      </c>
      <c r="AG56" s="159" t="s">
        <v>2688</v>
      </c>
      <c r="AH56" s="160" t="s">
        <v>2701</v>
      </c>
      <c r="AI56" s="161" t="s">
        <v>2702</v>
      </c>
      <c r="AJ56" s="162" t="s">
        <v>2703</v>
      </c>
      <c r="AK56" s="126"/>
      <c r="AL56" s="126"/>
    </row>
    <row r="57">
      <c r="A57" s="107" t="s">
        <v>2704</v>
      </c>
      <c r="B57" s="153" t="s">
        <v>2705</v>
      </c>
      <c r="C57" s="95" t="s">
        <v>2706</v>
      </c>
      <c r="D57" s="52" t="s">
        <v>2707</v>
      </c>
      <c r="E57" s="107" t="str">
        <f>IFERROR(__xludf.DUMMYFUNCTION("GOOGLETRANSLATE(A57,""zh-tw"",""ja"")"),"R53")</f>
        <v>R53</v>
      </c>
      <c r="F57" s="153" t="s">
        <v>2705</v>
      </c>
      <c r="G57" s="95" t="s">
        <v>2708</v>
      </c>
      <c r="H57" s="52" t="s">
        <v>2709</v>
      </c>
      <c r="I57" s="107" t="str">
        <f>IFERROR(__xludf.DUMMYFUNCTION("GOOGLETRANSLATE(A57,""zh-tw"",""en"")"),"R53")</f>
        <v>R53</v>
      </c>
      <c r="J57" s="153" t="s">
        <v>2710</v>
      </c>
      <c r="K57" s="95" t="s">
        <v>2711</v>
      </c>
      <c r="L57" s="52" t="s">
        <v>2712</v>
      </c>
      <c r="M57" s="119" t="str">
        <f>IFERROR(__xludf.DUMMYFUNCTION("GOOGLETRANSLATE(A57,""zh-tw"",""en"")"),"R53")</f>
        <v>R53</v>
      </c>
      <c r="N57" s="153"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19" t="str">
        <f>IFERROR(__xludf.DUMMYFUNCTION("GOOGLETRANSLATE(A57,""zh-tw"",""ja"")"),"R53")</f>
        <v>R53</v>
      </c>
      <c r="R57" s="153" t="s">
        <v>2713</v>
      </c>
      <c r="S57" s="89" t="str">
        <f>IFERROR(__xludf.DUMMYFUNCTION("GOOGLETRANSLATE(C57,""zh-tw"",""es-MX"")"),"En la ubicación del objeto R18, después de alimentar al ninja, puedes aprender habilidades del NPC ninja.")</f>
        <v>En la ubicación del objeto R18, después de alimentar al ninja, puedes aprender habilidades del NPC ninja.</v>
      </c>
      <c r="T57" s="55" t="str">
        <f>IFERROR(__xludf.DUMMYFUNCTION("GOOGLETRANSLATE(D57,""zh-tw"",""es-MX"")"),"Habilidad aprendida: Eliminación de aura
Reduce el rango de alerta de los enemigos en un área, hasta un máximo de ?? casillas.
Reduce la velocidad a la que se acumula el nivel de alerta de tu hermana, hasta un máximo de ??%.
Requiere pulsar la tecla Ma"&amp;"yús para cambiar al modo de caminar.")</f>
        <v>Habilidad aprendida: Eliminación de aura
Reduce el rango de alerta de los enemigos en un área, hasta un máximo de ?? casillas.
Reduce la velocidad a la que se acumula el nivel de alerta de tu hermana, hasta un máximo de ??%.
Requiere pulsar la tecla Mayús para cambiar al modo de caminar.</v>
      </c>
      <c r="U57" s="155" t="str">
        <f>IFERROR(__xludf.DUMMYFUNCTION("GOOGLETRANSLATE(A57,""zh-tw"",""en"")"),"R53")</f>
        <v>R53</v>
      </c>
      <c r="V57" s="154" t="str">
        <f>IFERROR(__xludf.DUMMYFUNCTION("GOOGLETRANSLATE(B57,""zh-tw"",""KO"")"),"인술-1")</f>
        <v>인술-1</v>
      </c>
      <c r="W57" s="89" t="str">
        <f>IFERROR(__xludf.DUMMYFUNCTION("GOOGLETRANSLATE(C57,""zh-tw"",""KO"")"),"R18 아이템이 있는 곳에서 닌자에게 먹이를 준 후, 닌자 NPC로부터 기술을 배울 수 있습니다.")</f>
        <v>R18 아이템이 있는 곳에서 닌자에게 먹이를 준 후, 닌자 NPC로부터 기술을 배울 수 있습니다.</v>
      </c>
      <c r="X57" s="55" t="str">
        <f>IFERROR(__xludf.DUMMYFUNCTION("GOOGLETRANSLATE(D57,""zh-tw"",""KO"")"),"습득 스킬: 오라 제거
특정 지역 내 적의 경계 범위를 최대 ?? 타일까지 감소시킵니다.
자매의 경계 수치가 누적되는 속도를 최대 ??%까지 감소시킵니다.
Shift 키를 눌러서 걷기 모드로 전환해야 합니다.")</f>
        <v>습득 스킬: 오라 제거
특정 지역 내 적의 경계 범위를 최대 ?? 타일까지 감소시킵니다.
자매의 경계 수치가 누적되는 속도를 최대 ??%까지 감소시킵니다.
Shift 키를 눌러서 걷기 모드로 전환해야 합니다.</v>
      </c>
      <c r="Y57" s="155" t="str">
        <f>IFERROR(__xludf.DUMMYFUNCTION("GOOGLETRANSLATE(E57,""zh-tw"",""en"")"),"R53")</f>
        <v>R53</v>
      </c>
      <c r="Z57" s="153" t="str">
        <f>IFERROR(__xludf.DUMMYFUNCTION("GOOGLETRANSLATE(B57,""zh-tw"",""ru"")"),"Ниндзюцу-1")</f>
        <v>Ниндзюцу-1</v>
      </c>
      <c r="AA57" s="156" t="str">
        <f>IFERROR(__xludf.DUMMYFUNCTION("GOOGLETRANSLATE(C57,""zh-tw"",""RU"")"),"В локации с предметом R18, после кормления ниндзя, вы можете изучить навыки у NPC-ниндзя.")</f>
        <v>В локации с предметом R18, после кормления ниндзя, вы можете изучить навыки у NPC-ниндзя.</v>
      </c>
      <c r="AB57" s="44" t="str">
        <f>IFERROR(__xludf.DUMMYFUNCTION("GOOGLETRANSLATE(D57,""zh-tw"",""RU"")"),"Изученный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переключения в режим ходьбы требуется нажать клавишу Shift.")</f>
        <v>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переключения в режим ходьбы требуется нажать клавишу Shift.</v>
      </c>
      <c r="AC57" s="155" t="str">
        <f>IFERROR(__xludf.DUMMYFUNCTION("GOOGLETRANSLATE(I57,""zh-tw"",""en"")"),"R53")</f>
        <v>R53</v>
      </c>
      <c r="AD57" s="179" t="s">
        <v>2714</v>
      </c>
      <c r="AE57" s="158" t="s">
        <v>2715</v>
      </c>
      <c r="AF57" s="105" t="s">
        <v>2716</v>
      </c>
      <c r="AG57" s="159" t="s">
        <v>2704</v>
      </c>
      <c r="AH57" s="160" t="s">
        <v>2717</v>
      </c>
      <c r="AI57" s="161" t="s">
        <v>2718</v>
      </c>
      <c r="AJ57" s="162" t="s">
        <v>2719</v>
      </c>
      <c r="AK57" s="126"/>
      <c r="AL57" s="126"/>
    </row>
    <row r="58">
      <c r="A58" s="107" t="s">
        <v>2720</v>
      </c>
      <c r="B58" s="153" t="s">
        <v>2721</v>
      </c>
      <c r="C58" s="95" t="s">
        <v>2722</v>
      </c>
      <c r="D58" s="52" t="s">
        <v>2723</v>
      </c>
      <c r="E58" s="107" t="str">
        <f>IFERROR(__xludf.DUMMYFUNCTION("GOOGLETRANSLATE(A58,""zh-tw"",""ja"")"),"R54")</f>
        <v>R54</v>
      </c>
      <c r="F58" s="153" t="s">
        <v>2721</v>
      </c>
      <c r="G58" s="95" t="s">
        <v>2724</v>
      </c>
      <c r="H58" s="52" t="s">
        <v>2725</v>
      </c>
      <c r="I58" s="107" t="str">
        <f>IFERROR(__xludf.DUMMYFUNCTION("GOOGLETRANSLATE(A58,""zh-tw"",""en"")"),"R54")</f>
        <v>R54</v>
      </c>
      <c r="J58" s="153" t="s">
        <v>2726</v>
      </c>
      <c r="K58" s="95" t="s">
        <v>2727</v>
      </c>
      <c r="L58" s="52" t="s">
        <v>2728</v>
      </c>
      <c r="M58" s="119" t="str">
        <f>IFERROR(__xludf.DUMMYFUNCTION("GOOGLETRANSLATE(A58,""zh-tw"",""en"")"),"R54")</f>
        <v>R54</v>
      </c>
      <c r="N58" s="153"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19" t="str">
        <f>IFERROR(__xludf.DUMMYFUNCTION("GOOGLETRANSLATE(A58,""zh-tw"",""ja"")"),"R54")</f>
        <v>R54</v>
      </c>
      <c r="R58" s="153" t="s">
        <v>2729</v>
      </c>
      <c r="S58" s="89" t="str">
        <f>IFERROR(__xludf.DUMMYFUNCTION("GOOGLETRANSLATE(C58,""zh-tw"",""es-MX"")"),"Como se mencionó anteriormente, alimentar al niño le permitirá aprender otra habilidad.
PD: Encontrará más detalles en la sección de CONSEJOS.")</f>
        <v>Como se mencionó anteriormente, alimentar al niño le permitirá aprender otra habilidad.
PD: Encontrará más detalles en la sección de CONSEJOS.</v>
      </c>
      <c r="T58" s="55" t="str">
        <f>IFERROR(__xludf.DUMMYFUNCTION("GOOGLETRANSLATE(D58,""zh-tw"",""es-MX"")"),"Habilidad aprendida: Puñalada por la espalda
Ataca al enemigo por la espalda, aumentando el daño. El multiplicador aumenta con la maestría, alcanzando un máximo del 300%.")</f>
        <v>Habilidad aprendida: Puñalada por la espalda
Ataca al enemigo por la espalda, aumentando el daño. El multiplicador aumenta con la maestría, alcanzando un máximo del 300%.</v>
      </c>
      <c r="U58" s="155" t="str">
        <f>IFERROR(__xludf.DUMMYFUNCTION("GOOGLETRANSLATE(A58,""zh-tw"",""en"")"),"R54")</f>
        <v>R54</v>
      </c>
      <c r="V58" s="154" t="str">
        <f>IFERROR(__xludf.DUMMYFUNCTION("GOOGLETRANSLATE(B58,""zh-tw"",""KO"")"),"인술-2")</f>
        <v>인술-2</v>
      </c>
      <c r="W58" s="89" t="str">
        <f>IFERROR(__xludf.DUMMYFUNCTION("GOOGLETRANSLATE(C58,""zh-tw"",""KO"")"),"위에서 언급했듯이, 아이에게 음식을 먹이면 다른 기술을 배울 수 있습니다.
추신: 자세한 내용은 팁 섹션을 참조하세요.")</f>
        <v>위에서 언급했듯이, 아이에게 음식을 먹이면 다른 기술을 배울 수 있습니다.
추신: 자세한 내용은 팁 섹션을 참조하세요.</v>
      </c>
      <c r="X58" s="55" t="str">
        <f>IFERROR(__xludf.DUMMYFUNCTION("GOOGLETRANSLATE(D58,""zh-tw"",""KO"")"),"습득 스킬: 백스탭
적의 뒤에서 공격하여 피해를 증가시킵니다. 숙련도에 따라 배율이 증가하여 최대 300%까지 증가합니다.")</f>
        <v>습득 스킬: 백스탭
적의 뒤에서 공격하여 피해를 증가시킵니다. 숙련도에 따라 배율이 증가하여 최대 300%까지 증가합니다.</v>
      </c>
      <c r="Y58" s="155" t="str">
        <f>IFERROR(__xludf.DUMMYFUNCTION("GOOGLETRANSLATE(E58,""zh-tw"",""en"")"),"R54")</f>
        <v>R54</v>
      </c>
      <c r="Z58" s="153" t="str">
        <f>IFERROR(__xludf.DUMMYFUNCTION("GOOGLETRANSLATE(B58,""zh-tw"",""ru"")"),"Ниндзюцу-2")</f>
        <v>Ниндзюцу-2</v>
      </c>
      <c r="AA58" s="156" t="str">
        <f>IFERROR(__xludf.DUMMYFUNCTION("GOOGLETRANSLATE(C58,""zh-tw"",""RU"")"),"Как и выше, кормление ребёнка позволит ему освоить ещё один навык.
P.S. Подробности в разделе «СОВЕТЫ».")</f>
        <v>Как и выше, кормление ребёнка позволит ему освоить ещё один навык.
P.S. Подробности в разделе «СОВЕТЫ».</v>
      </c>
      <c r="AB58" s="44" t="str">
        <f>IFERROR(__xludf.DUMMYFUNCTION("GOOGLETRANSLATE(D58,""zh-tw"",""RU"")"),"Изученный навык: Удар в спину
Атакует противника сзади, увеличивая урон. Множитель увеличивается с ростом мастерства, достигая максимума в 300%.")</f>
        <v>Изученный навык: Удар в спину
Атакует противника сзади, увеличивая урон. Множитель увеличивается с ростом мастерства, достигая максимума в 300%.</v>
      </c>
      <c r="AC58" s="155" t="str">
        <f>IFERROR(__xludf.DUMMYFUNCTION("GOOGLETRANSLATE(I58,""zh-tw"",""en"")"),"R54")</f>
        <v>R54</v>
      </c>
      <c r="AD58" s="179" t="s">
        <v>2730</v>
      </c>
      <c r="AE58" s="158" t="s">
        <v>2731</v>
      </c>
      <c r="AF58" s="105" t="s">
        <v>2732</v>
      </c>
      <c r="AG58" s="159" t="s">
        <v>2720</v>
      </c>
      <c r="AH58" s="160" t="s">
        <v>2733</v>
      </c>
      <c r="AI58" s="161" t="s">
        <v>2734</v>
      </c>
      <c r="AJ58" s="162" t="s">
        <v>2735</v>
      </c>
      <c r="AK58" s="126"/>
      <c r="AL58" s="126"/>
    </row>
    <row r="59">
      <c r="A59" s="107" t="s">
        <v>2736</v>
      </c>
      <c r="B59" s="153" t="s">
        <v>2737</v>
      </c>
      <c r="C59" s="95" t="s">
        <v>2738</v>
      </c>
      <c r="D59" s="52" t="s">
        <v>2739</v>
      </c>
      <c r="E59" s="107" t="str">
        <f>IFERROR(__xludf.DUMMYFUNCTION("GOOGLETRANSLATE(A59,""zh-tw"",""ja"")"),"R55")</f>
        <v>R55</v>
      </c>
      <c r="F59" s="153" t="s">
        <v>2740</v>
      </c>
      <c r="G59" s="95" t="s">
        <v>2741</v>
      </c>
      <c r="H59" s="52" t="s">
        <v>2742</v>
      </c>
      <c r="I59" s="107" t="str">
        <f>IFERROR(__xludf.DUMMYFUNCTION("GOOGLETRANSLATE(A59,""zh-tw"",""en"")"),"R55")</f>
        <v>R55</v>
      </c>
      <c r="J59" s="153" t="s">
        <v>2743</v>
      </c>
      <c r="K59" s="95" t="s">
        <v>2744</v>
      </c>
      <c r="L59" s="52" t="s">
        <v>2745</v>
      </c>
      <c r="M59" s="119" t="str">
        <f>IFERROR(__xludf.DUMMYFUNCTION("GOOGLETRANSLATE(A59,""zh-tw"",""en"")"),"R55")</f>
        <v>R55</v>
      </c>
      <c r="N59" s="153"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19" t="str">
        <f>IFERROR(__xludf.DUMMYFUNCTION("GOOGLETRANSLATE(A59,""zh-tw"",""ja"")"),"R55")</f>
        <v>R55</v>
      </c>
      <c r="R59" s="153" t="s">
        <v>2746</v>
      </c>
      <c r="S59" s="95" t="s">
        <v>2747</v>
      </c>
      <c r="T59" s="55" t="str">
        <f>IFERROR(__xludf.DUMMYFUNCTION("GOOGLETRANSLATE(D59,""zh-tw"",""es-MX"")"),"Nuevo mapa: La Gran Zona de Lava Abrasada
(Las funciones de este mapa aún no están completas y pueden contener errores. No se recomienda acceder a él sin antes guardar la partida).")</f>
        <v>Nuevo mapa: La Gran Zona de Lava Abrasada
(Las funciones de este mapa aún no están completas y pueden contener errores. No se recomienda acceder a él sin antes guardar la partida).</v>
      </c>
      <c r="U59" s="155" t="str">
        <f>IFERROR(__xludf.DUMMYFUNCTION("GOOGLETRANSLATE(A59,""zh-tw"",""en"")"),"R55")</f>
        <v>R55</v>
      </c>
      <c r="V59" s="154" t="str">
        <f>IFERROR(__xludf.DUMMYFUNCTION("GOOGLETRANSLATE(B59,""zh-tw"",""KO"")"),"다자오 뜨거운 용암대")</f>
        <v>다자오 뜨거운 용암대</v>
      </c>
      <c r="W59" s="89" t="str">
        <f>IFERROR(__xludf.DUMMYFUNCTION("GOOGLETRANSLATE(C59,""zh-tw"",""KO"")"),"잊혀진 무덤-2에서 입구로 내려가세요(부활 깃털을 가져오세요). 그러면 새로운 지도에 도달할 수 있습니다.")</f>
        <v>잊혀진 무덤-2에서 입구로 내려가세요(부활 깃털을 가져오세요). 그러면 새로운 지도에 도달할 수 있습니다.</v>
      </c>
      <c r="X59" s="55" t="str">
        <f>IFERROR(__xludf.DUMMYFUNCTION("GOOGLETRANSLATE(D59,""zh-tw"",""KO"")"),"새로운 맵: 그을린 용암 지대
(이 맵의 기능은 아직 완성되지 않았으며 버그가 발생할 수 있습니다. 게임을 저장하기 전에는 방문하지 않는 것이 좋습니다.)")</f>
        <v>새로운 맵: 그을린 용암 지대
(이 맵의 기능은 아직 완성되지 않았으며 버그가 발생할 수 있습니다. 게임을 저장하기 전에는 방문하지 않는 것이 좋습니다.)</v>
      </c>
      <c r="Y59" s="155" t="str">
        <f>IFERROR(__xludf.DUMMYFUNCTION("GOOGLETRANSLATE(E59,""zh-tw"",""en"")"),"R55")</f>
        <v>R55</v>
      </c>
      <c r="Z59" s="153" t="str">
        <f>IFERROR(__xludf.DUMMYFUNCTION("GOOGLETRANSLATE(B59,""zh-tw"",""ru"")"),"Пояс горячей лавы Дацзяо")</f>
        <v>Пояс горячей лавы Дацзяо</v>
      </c>
      <c r="AA59" s="156" t="str">
        <f>IFERROR(__xludf.DUMMYFUNCTION("GOOGLETRANSLATE(C59,""zh-tw"",""RU"")"),"В Забытой Гробнице-2 спуститесь к входу (принесите перо воскрешения), чтобы добраться до новой карты.")</f>
        <v>В Забытой Гробнице-2 спуститесь к входу (принесите перо воскрешения), чтобы добраться до новой карты.</v>
      </c>
      <c r="AB59" s="44" t="str">
        <f>IFERROR(__xludf.DUMMYFUNCTION("GOOGLETRANSLATE(D59,""zh-tw"",""RU"")"),"Новая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f>
        <v>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v>
      </c>
      <c r="AC59" s="155" t="str">
        <f>IFERROR(__xludf.DUMMYFUNCTION("GOOGLETRANSLATE(I59,""zh-tw"",""en"")"),"R55")</f>
        <v>R55</v>
      </c>
      <c r="AD59" s="179" t="s">
        <v>2748</v>
      </c>
      <c r="AE59" s="158" t="s">
        <v>2749</v>
      </c>
      <c r="AF59" s="105" t="s">
        <v>2750</v>
      </c>
      <c r="AG59" s="159" t="s">
        <v>2736</v>
      </c>
      <c r="AH59" s="160" t="s">
        <v>2751</v>
      </c>
      <c r="AI59" s="161" t="s">
        <v>2752</v>
      </c>
      <c r="AJ59" s="162" t="s">
        <v>2753</v>
      </c>
      <c r="AK59" s="126"/>
      <c r="AL59" s="126"/>
    </row>
    <row r="60">
      <c r="A60" s="107" t="s">
        <v>2754</v>
      </c>
      <c r="B60" s="153" t="s">
        <v>2755</v>
      </c>
      <c r="C60" s="95" t="s">
        <v>2756</v>
      </c>
      <c r="D60" s="52" t="s">
        <v>2757</v>
      </c>
      <c r="E60" s="107" t="str">
        <f>IFERROR(__xludf.DUMMYFUNCTION("GOOGLETRANSLATE(A60,""zh-tw"",""ja"")"),"R56")</f>
        <v>R56</v>
      </c>
      <c r="F60" s="153" t="s">
        <v>2758</v>
      </c>
      <c r="G60" s="163" t="s">
        <v>2759</v>
      </c>
      <c r="H60" s="52" t="s">
        <v>2760</v>
      </c>
      <c r="I60" s="107" t="str">
        <f>IFERROR(__xludf.DUMMYFUNCTION("GOOGLETRANSLATE(A60,""zh-tw"",""en"")"),"R56")</f>
        <v>R56</v>
      </c>
      <c r="J60" s="153" t="s">
        <v>2761</v>
      </c>
      <c r="K60" s="163" t="s">
        <v>2762</v>
      </c>
      <c r="L60" s="52" t="s">
        <v>2763</v>
      </c>
      <c r="M60" s="119" t="str">
        <f>IFERROR(__xludf.DUMMYFUNCTION("GOOGLETRANSLATE(A60,""zh-tw"",""en"")"),"R56")</f>
        <v>R56</v>
      </c>
      <c r="N60" s="153"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19" t="str">
        <f>IFERROR(__xludf.DUMMYFUNCTION("GOOGLETRANSLATE(A60,""zh-tw"",""ja"")"),"R56")</f>
        <v>R56</v>
      </c>
      <c r="R60" s="154" t="str">
        <f>IFERROR(__xludf.DUMMYFUNCTION("GOOGLETRANSLATE(B60,""zh-tw"",""es-MX"")"),"escarabajo")</f>
        <v>escarabajo</v>
      </c>
      <c r="S60" s="89" t="str">
        <f>IFERROR(__xludf.DUMMYFUNCTION("GOOGLETRANSLATE(C60,""zh-tw"",""es-MX"")"),"Al igual que en R16, apareció una criatura desconocida.")</f>
        <v>Al igual que en R16, apareció una criatura desconocida.</v>
      </c>
      <c r="T60" s="55" t="str">
        <f>IFERROR(__xludf.DUMMYFUNCTION("GOOGLETRANSLATE(D60,""zh-tw"",""es-MX"")"),"Actualmente, la configuración inicial del escarabajo BOSS es ineficaz.")</f>
        <v>Actualmente, la configuración inicial del escarabajo BOSS es ineficaz.</v>
      </c>
      <c r="U60" s="155" t="str">
        <f>IFERROR(__xludf.DUMMYFUNCTION("GOOGLETRANSLATE(A60,""zh-tw"",""en"")"),"R56")</f>
        <v>R56</v>
      </c>
      <c r="V60" s="154" t="str">
        <f>IFERROR(__xludf.DUMMYFUNCTION("GOOGLETRANSLATE(B60,""zh-tw"",""KO"")"),"갑충")</f>
        <v>갑충</v>
      </c>
      <c r="W60" s="89" t="str">
        <f>IFERROR(__xludf.DUMMYFUNCTION("GOOGLETRANSLATE(C60,""zh-tw"",""KO"")"),"R16과 비슷하게, 알려지지 않은 생물이 등장했습니다.")</f>
        <v>R16과 비슷하게, 알려지지 않은 생물이 등장했습니다.</v>
      </c>
      <c r="X60" s="55" t="str">
        <f>IFERROR(__xludf.DUMMYFUNCTION("GOOGLETRANSLATE(D60,""zh-tw"",""KO"")"),"BOSS 비틀의 초기 설정은 현재 효과가 없습니다.")</f>
        <v>BOSS 비틀의 초기 설정은 현재 효과가 없습니다.</v>
      </c>
      <c r="Y60" s="155" t="str">
        <f>IFERROR(__xludf.DUMMYFUNCTION("GOOGLETRANSLATE(E60,""zh-tw"",""en"")"),"R56")</f>
        <v>R56</v>
      </c>
      <c r="Z60" s="153" t="str">
        <f>IFERROR(__xludf.DUMMYFUNCTION("GOOGLETRANSLATE(B60,""zh-tw"",""ru"")"),"жук")</f>
        <v>жук</v>
      </c>
      <c r="AA60" s="156" t="str">
        <f>IFERROR(__xludf.DUMMYFUNCTION("GOOGLETRANSLATE(C60,""zh-tw"",""RU"")"),"Подобно R16, появилось неизвестное существо.")</f>
        <v>Подобно R16, появилось неизвестное существо.</v>
      </c>
      <c r="AB60" s="44" t="str">
        <f>IFERROR(__xludf.DUMMYFUNCTION("GOOGLETRANSLATE(D60,""zh-tw"",""RU"")"),"Первоначальная настройка жука BOSS в настоящее время неэффективна.")</f>
        <v>Первоначальная настройка жука BOSS в настоящее время неэффективна.</v>
      </c>
      <c r="AC60" s="155" t="str">
        <f>IFERROR(__xludf.DUMMYFUNCTION("GOOGLETRANSLATE(I60,""zh-tw"",""en"")"),"R56")</f>
        <v>R56</v>
      </c>
      <c r="AD60" s="179" t="s">
        <v>2764</v>
      </c>
      <c r="AE60" s="158" t="s">
        <v>2765</v>
      </c>
      <c r="AF60" s="105" t="s">
        <v>2766</v>
      </c>
      <c r="AG60" s="159" t="s">
        <v>2754</v>
      </c>
      <c r="AH60" s="160" t="s">
        <v>2767</v>
      </c>
      <c r="AI60" s="161" t="s">
        <v>2768</v>
      </c>
      <c r="AJ60" s="162" t="s">
        <v>2769</v>
      </c>
      <c r="AK60" s="126"/>
      <c r="AL60" s="126"/>
    </row>
    <row r="61">
      <c r="A61" s="107" t="s">
        <v>2770</v>
      </c>
      <c r="B61" s="153" t="s">
        <v>2771</v>
      </c>
      <c r="C61" s="95" t="s">
        <v>2646</v>
      </c>
      <c r="D61" s="52" t="s">
        <v>2772</v>
      </c>
      <c r="E61" s="107" t="str">
        <f>IFERROR(__xludf.DUMMYFUNCTION("GOOGLETRANSLATE(A61,""zh-tw"",""ja"")"),"R57")</f>
        <v>R57</v>
      </c>
      <c r="F61" s="153" t="s">
        <v>2773</v>
      </c>
      <c r="G61" s="95" t="s">
        <v>2774</v>
      </c>
      <c r="H61" s="52" t="s">
        <v>2775</v>
      </c>
      <c r="I61" s="107" t="str">
        <f>IFERROR(__xludf.DUMMYFUNCTION("GOOGLETRANSLATE(A61,""zh-tw"",""en"")"),"R57")</f>
        <v>R57</v>
      </c>
      <c r="J61" s="153" t="s">
        <v>2776</v>
      </c>
      <c r="K61" s="95" t="s">
        <v>2777</v>
      </c>
      <c r="L61" s="52" t="s">
        <v>2778</v>
      </c>
      <c r="M61" s="119" t="str">
        <f>IFERROR(__xludf.DUMMYFUNCTION("GOOGLETRANSLATE(A61,""zh-tw"",""en"")"),"R57")</f>
        <v>R57</v>
      </c>
      <c r="N61" s="153"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19" t="str">
        <f>IFERROR(__xludf.DUMMYFUNCTION("GOOGLETRANSLATE(A61,""zh-tw"",""ja"")"),"R57")</f>
        <v>R57</v>
      </c>
      <c r="R61" s="154" t="str">
        <f>IFERROR(__xludf.DUMMYFUNCTION("GOOGLETRANSLATE(B61,""zh-tw"",""es-MX"")"),"Camión de taller-6")</f>
        <v>Camión de taller-6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55" t="str">
        <f>IFERROR(__xludf.DUMMYFUNCTION("GOOGLETRANSLATE(A61,""zh-tw"",""en"")"),"R57")</f>
        <v>R57</v>
      </c>
      <c r="V61" s="154" t="str">
        <f>IFERROR(__xludf.DUMMYFUNCTION("GOOGLETRANSLATE(B61,""zh-tw"",""KO"")"),"트럭 6호점")</f>
        <v>트럭 6호점</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55" t="str">
        <f>IFERROR(__xludf.DUMMYFUNCTION("GOOGLETRANSLATE(E61,""zh-tw"",""en"")"),"R57")</f>
        <v>R57</v>
      </c>
      <c r="Z61" s="153" t="str">
        <f>IFERROR(__xludf.DUMMYFUNCTION("GOOGLETRANSLATE(B61,""zh-tw"",""ru"")"),"Магазин Truck-6")</f>
        <v>Магазин Truck-6</v>
      </c>
      <c r="AA61" s="156"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7" t="s">
        <v>2754</v>
      </c>
      <c r="AD61" s="179" t="s">
        <v>2779</v>
      </c>
      <c r="AE61" s="158" t="s">
        <v>2780</v>
      </c>
      <c r="AF61" s="105" t="s">
        <v>2781</v>
      </c>
      <c r="AG61" s="159" t="s">
        <v>2770</v>
      </c>
      <c r="AH61" s="160" t="s">
        <v>2782</v>
      </c>
      <c r="AI61" s="161" t="s">
        <v>2783</v>
      </c>
      <c r="AJ61" s="162" t="s">
        <v>2784</v>
      </c>
      <c r="AK61" s="126"/>
      <c r="AL61" s="126"/>
    </row>
    <row r="62">
      <c r="A62" s="107" t="s">
        <v>2785</v>
      </c>
      <c r="B62" s="153" t="s">
        <v>2786</v>
      </c>
      <c r="C62" s="95" t="s">
        <v>2646</v>
      </c>
      <c r="D62" s="52" t="s">
        <v>2787</v>
      </c>
      <c r="E62" s="107" t="str">
        <f>IFERROR(__xludf.DUMMYFUNCTION("GOOGLETRANSLATE(A62,""zh-tw"",""ja"")"),"R58")</f>
        <v>R58</v>
      </c>
      <c r="F62" s="153" t="s">
        <v>2788</v>
      </c>
      <c r="G62" s="183" t="s">
        <v>2774</v>
      </c>
      <c r="H62" s="184" t="s">
        <v>2789</v>
      </c>
      <c r="I62" s="107" t="str">
        <f>IFERROR(__xludf.DUMMYFUNCTION("GOOGLETRANSLATE(A62,""zh-tw"",""en"")"),"R58")</f>
        <v>R58</v>
      </c>
      <c r="J62" s="153" t="s">
        <v>2790</v>
      </c>
      <c r="K62" s="95" t="s">
        <v>2777</v>
      </c>
      <c r="L62" s="52" t="s">
        <v>2791</v>
      </c>
      <c r="M62" s="119" t="str">
        <f>IFERROR(__xludf.DUMMYFUNCTION("GOOGLETRANSLATE(A62,""zh-tw"",""en"")"),"R58")</f>
        <v>R58</v>
      </c>
      <c r="N62" s="153"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19" t="str">
        <f>IFERROR(__xludf.DUMMYFUNCTION("GOOGLETRANSLATE(A62,""zh-tw"",""ja"")"),"R58")</f>
        <v>R58</v>
      </c>
      <c r="R62" s="154"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Doujinshi adorable
Efecto: Aumenta la libido
※Este objeto es experimental; se añadirá una función para ver las imágenes posteriormente.")</f>
        <v>Objeto obtenido: Doujinshi adorable
Efecto: Aumenta la libido
※Este objeto es experimental; se añadirá una función para ver las imágenes posteriormente.</v>
      </c>
      <c r="U62" s="155" t="str">
        <f>IFERROR(__xludf.DUMMYFUNCTION("GOOGLETRANSLATE(A62,""zh-tw"",""en"")"),"R58")</f>
        <v>R58</v>
      </c>
      <c r="V62" s="154"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귀여운 동인지
효과: 성욕 증가
※이 아이템은 현재 실험 단계이며, 추후 CG 보기 기능이 추가될 예정입니다.")</f>
        <v>획득 아이템: 귀여운 동인지
효과: 성욕 증가
※이 아이템은 현재 실험 단계이며, 추후 CG 보기 기능이 추가될 예정입니다.</v>
      </c>
      <c r="Y62" s="155" t="str">
        <f>IFERROR(__xludf.DUMMYFUNCTION("GOOGLETRANSLATE(E62,""zh-tw"",""en"")"),"R58")</f>
        <v>R58</v>
      </c>
      <c r="Z62" s="153" t="str">
        <f>IFERROR(__xludf.DUMMYFUNCTION("GOOGLETRANSLATE(B62,""zh-tw"",""ru"")"),"Корзина-7")</f>
        <v>Корзина-7</v>
      </c>
      <c r="AA62" s="156"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f>
        <v>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v>
      </c>
      <c r="AC62" s="177" t="s">
        <v>2770</v>
      </c>
      <c r="AD62" s="179" t="s">
        <v>2792</v>
      </c>
      <c r="AE62" s="158" t="s">
        <v>2793</v>
      </c>
      <c r="AF62" s="105" t="s">
        <v>2794</v>
      </c>
      <c r="AG62" s="159" t="s">
        <v>2785</v>
      </c>
      <c r="AH62" s="160" t="s">
        <v>2795</v>
      </c>
      <c r="AI62" s="161" t="s">
        <v>2783</v>
      </c>
      <c r="AJ62" s="162" t="s">
        <v>2796</v>
      </c>
      <c r="AK62" s="126"/>
      <c r="AL62" s="126"/>
    </row>
    <row r="63">
      <c r="A63" s="84" t="s">
        <v>2797</v>
      </c>
      <c r="B63" s="154" t="s">
        <v>2798</v>
      </c>
      <c r="C63" s="176" t="s">
        <v>2799</v>
      </c>
      <c r="D63" s="181" t="s">
        <v>2800</v>
      </c>
      <c r="E63" s="84" t="s">
        <v>2797</v>
      </c>
      <c r="F63" s="154" t="s">
        <v>2801</v>
      </c>
      <c r="G63" s="180" t="s">
        <v>2802</v>
      </c>
      <c r="H63" s="168" t="s">
        <v>2803</v>
      </c>
      <c r="I63" s="84" t="s">
        <v>2797</v>
      </c>
      <c r="J63" s="154" t="s">
        <v>2804</v>
      </c>
      <c r="K63" s="180" t="s">
        <v>2805</v>
      </c>
      <c r="L63" s="168" t="s">
        <v>2806</v>
      </c>
      <c r="M63" s="84" t="s">
        <v>2797</v>
      </c>
      <c r="N63" s="153"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2797</v>
      </c>
      <c r="R63" s="154" t="str">
        <f>IFERROR(__xludf.DUMMYFUNCTION("GOOGLETRANSLATE(B63,""zh-tw"",""es-MX"")"),"Área en desarrollo (mina a cielo abierto) -2")</f>
        <v>Área en desarrollo (mina a cielo abierto) -2</v>
      </c>
      <c r="S63" s="89" t="str">
        <f>IFERROR(__xludf.DUMMYFUNCTION("GOOGLETRANSLATE(C63,""zh-tw"",""es-MX"")"),"Desde el fondo del área en desarrollo (mina)-1, se puede acceder al siguiente mapa.")</f>
        <v>Desde el fondo del área en desarrollo (mina)-1, se puede acceder al siguiente mapa.</v>
      </c>
      <c r="T63" s="55" t="str">
        <f>IFERROR(__xludf.DUMMYFUNCTION("GOOGLETRANSLATE(D63,""zh-tw"",""es-MX"")"),"Llegada a ""Zona en desarrollo (Mina)-2""")</f>
        <v>Llegada a "Zona en desarrollo (Mina)-2"</v>
      </c>
      <c r="U63" s="84" t="s">
        <v>2797</v>
      </c>
      <c r="V63" s="154" t="str">
        <f>IFERROR(__xludf.DUMMYFUNCTION("GOOGLETRANSLATE(B63,""zh-tw"",""KO"")"),"개발 지역(광산) -2")</f>
        <v>개발 지역(광산) -2</v>
      </c>
      <c r="W63" s="89" t="str">
        <f>IFERROR(__xludf.DUMMYFUNCTION("GOOGLETRANSLATE(C63,""zh-tw"",""KO"")"),"개발 구역(광산)-1의 맨 뒤쪽에서 다음 지도에 접근할 수 있습니다.")</f>
        <v>개발 구역(광산)-1의 맨 뒤쪽에서 다음 지도에 접근할 수 있습니다.</v>
      </c>
      <c r="X63" s="55" t="str">
        <f>IFERROR(__xludf.DUMMYFUNCTION("GOOGLETRANSLATE(D63,""zh-tw"",""KO"")"),"""개발구역(광산)-2"" 도착")</f>
        <v>"개발구역(광산)-2" 도착</v>
      </c>
      <c r="Y63" s="84" t="s">
        <v>2797</v>
      </c>
      <c r="Z63" s="153" t="str">
        <f>IFERROR(__xludf.DUMMYFUNCTION("GOOGLETRANSLATE(B63,""zh-tw"",""ru"")"),"Зона разработки (шахта) -2")</f>
        <v>Зона разработки (шахта) -2</v>
      </c>
      <c r="AA63" s="156" t="str">
        <f>IFERROR(__xludf.DUMMYFUNCTION("GOOGLETRANSLATE(C63,""zh-tw"",""RU"")"),"Из самой дальней части разрабатываемой зоны (шахты)-1 вы можете попасть на следующую карту.")</f>
        <v>Из самой дальней части разрабатываемой зоны (шахты)-1 вы можете попасть на следующую карту.</v>
      </c>
      <c r="AB63" s="44" t="str">
        <f>IFERROR(__xludf.DUMMYFUNCTION("GOOGLETRANSLATE(D63,""zh-tw"",""RU"")"),"Прибытие в «Разработку участка (рудника)-2»")</f>
        <v>Прибытие в «Разработку участка (рудника)-2»</v>
      </c>
      <c r="AC63" s="119" t="s">
        <v>2797</v>
      </c>
      <c r="AD63" s="154" t="s">
        <v>2807</v>
      </c>
      <c r="AE63" s="176" t="s">
        <v>2808</v>
      </c>
      <c r="AF63" s="181" t="s">
        <v>2809</v>
      </c>
      <c r="AG63" s="159" t="s">
        <v>2797</v>
      </c>
      <c r="AH63" s="185" t="s">
        <v>2810</v>
      </c>
      <c r="AI63" s="186" t="s">
        <v>2811</v>
      </c>
      <c r="AJ63" s="187" t="s">
        <v>2812</v>
      </c>
      <c r="AK63" s="188"/>
      <c r="AL63" s="188"/>
    </row>
    <row r="64">
      <c r="A64" s="84" t="s">
        <v>2813</v>
      </c>
      <c r="B64" s="154" t="s">
        <v>2814</v>
      </c>
      <c r="C64" s="176" t="s">
        <v>2815</v>
      </c>
      <c r="D64" s="181" t="s">
        <v>2816</v>
      </c>
      <c r="E64" s="84" t="s">
        <v>2813</v>
      </c>
      <c r="F64" s="154" t="s">
        <v>2817</v>
      </c>
      <c r="G64" s="180" t="s">
        <v>2818</v>
      </c>
      <c r="H64" s="168" t="s">
        <v>2819</v>
      </c>
      <c r="I64" s="84" t="s">
        <v>2813</v>
      </c>
      <c r="J64" s="154" t="s">
        <v>2820</v>
      </c>
      <c r="K64" s="163" t="s">
        <v>2821</v>
      </c>
      <c r="L64" s="168" t="s">
        <v>2822</v>
      </c>
      <c r="M64" s="84" t="s">
        <v>2813</v>
      </c>
      <c r="N64" s="153"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2813</v>
      </c>
      <c r="R64" s="154" t="str">
        <f>IFERROR(__xludf.DUMMYFUNCTION("GOOGLETRANSLATE(B64,""zh-tw"",""es-MX"")"),"Pasaje oculto")</f>
        <v>Pasaje oculto</v>
      </c>
      <c r="S64" s="89" t="str">
        <f>IFERROR(__xludf.DUMMYFUNCTION("GOOGLETRANSLATE(C64,""zh-tw"",""es-MX"")"),"En la zona en desarrollo (mina) -2, en el centro del mapa, en la parte superior derecha, hay un pasaje oculto que conecta con la ""Cueva de la Montaña"" (R11).")</f>
        <v>En la zona en desarrollo (mina) -2, en el centro del mapa, en la parte superior derecha, hay un pasaje oculto que conecta con la "Cueva de la Montaña" (R11).</v>
      </c>
      <c r="T64" s="55" t="str">
        <f>IFERROR(__xludf.DUMMYFUNCTION("GOOGLETRANSLATE(D64,""zh-tw"",""es-MX"")"),"Tras despejar las rocas, se puede acceder a las cuevas de la montaña.")</f>
        <v>Tras despejar las rocas, se puede acceder a las cuevas de la montaña.</v>
      </c>
      <c r="U64" s="84" t="s">
        <v>2813</v>
      </c>
      <c r="V64" s="154" t="str">
        <f>IFERROR(__xludf.DUMMYFUNCTION("GOOGLETRANSLATE(B64,""zh-tw"",""KO"")"),"숨겨진 통로")</f>
        <v>숨겨진 통로</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 속 동굴로 연결될 수 있습니다.")</f>
        <v>바위를 치운 후, 산 속 동굴로 연결될 수 있습니다.</v>
      </c>
      <c r="Y64" s="84" t="s">
        <v>2813</v>
      </c>
      <c r="Z64" s="153" t="str">
        <f>IFERROR(__xludf.DUMMYFUNCTION("GOOGLETRANSLATE(B64,""zh-tw"",""ru"")"),"Скрытый проход")</f>
        <v>Скрытый проход</v>
      </c>
      <c r="AA64" s="156"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камни, можно соединиться с пещерами в горе.")</f>
        <v>Расчистив камни, можно соединиться с пещерами в горе.</v>
      </c>
      <c r="AC64" s="119" t="s">
        <v>2813</v>
      </c>
      <c r="AD64" s="154" t="s">
        <v>2823</v>
      </c>
      <c r="AE64" s="176" t="s">
        <v>2824</v>
      </c>
      <c r="AF64" s="181" t="s">
        <v>2825</v>
      </c>
      <c r="AG64" s="159" t="s">
        <v>2813</v>
      </c>
      <c r="AH64" s="185" t="s">
        <v>2826</v>
      </c>
      <c r="AI64" s="186" t="s">
        <v>2827</v>
      </c>
      <c r="AJ64" s="187" t="s">
        <v>2828</v>
      </c>
      <c r="AK64" s="188"/>
      <c r="AL64" s="188"/>
    </row>
    <row r="65">
      <c r="A65" s="84" t="s">
        <v>2829</v>
      </c>
      <c r="B65" s="154" t="s">
        <v>2830</v>
      </c>
      <c r="C65" s="176" t="s">
        <v>2831</v>
      </c>
      <c r="D65" s="181" t="s">
        <v>2832</v>
      </c>
      <c r="E65" s="84" t="s">
        <v>2829</v>
      </c>
      <c r="F65" s="154" t="s">
        <v>2833</v>
      </c>
      <c r="G65" s="180" t="s">
        <v>2834</v>
      </c>
      <c r="H65" s="168" t="s">
        <v>2835</v>
      </c>
      <c r="I65" s="84" t="s">
        <v>2829</v>
      </c>
      <c r="J65" s="154" t="s">
        <v>2836</v>
      </c>
      <c r="K65" s="180" t="s">
        <v>2837</v>
      </c>
      <c r="L65" s="168" t="s">
        <v>2838</v>
      </c>
      <c r="M65" s="84" t="s">
        <v>2829</v>
      </c>
      <c r="N65" s="153"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2829</v>
      </c>
      <c r="R65" s="154" t="str">
        <f>IFERROR(__xludf.DUMMYFUNCTION("GOOGLETRANSLATE(B65,""zh-tw"",""es-MX"")"),"Área en desarrollo (mina a cielo abierto) -3")</f>
        <v>Área en desarrollo (mina a cielo abierto) -3</v>
      </c>
      <c r="S65" s="89" t="str">
        <f>IFERROR(__xludf.DUMMYFUNCTION("GOOGLETRANSLATE(C65,""zh-tw"",""es-MX"")"),"En la ""Zona en Desarrollo (Mina) -2"", hay una enorme roca en el centro del mapa que se eleva. Tras superarla, se accede a la ""Zona en Desarrollo (Mina) -3"". Se puede destruir manualmente o entrar rápidamente con una vagoneta.")</f>
        <v>En la "Zona en Desarrollo (Mina) -2", hay una enorme roca en el centro del mapa que se eleva. Tras superarla, se accede a la "Zona en Desarrollo (Mina) -3". Se puede destruir manualmente o entrar rápidamente con una vagoneta.</v>
      </c>
      <c r="T65" s="55" t="str">
        <f>IFERROR(__xludf.DUMMYFUNCTION("GOOGLETRANSLATE(D65,""zh-tw"",""es-MX"")"),"Llegamos a la ""Zona de Desarrollo (Mina)-3"".")</f>
        <v>Llegamos a la "Zona de Desarrollo (Mina)-3".</v>
      </c>
      <c r="U65" s="84" t="s">
        <v>2829</v>
      </c>
      <c r="V65" s="154" t="str">
        <f>IFERROR(__xludf.DUMMYFUNCTION("GOOGLETRANSLATE(B65,""zh-tw"",""KO"")"),"개발 지역(광산) -3")</f>
        <v>개발 지역(광산) -3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2829</v>
      </c>
      <c r="Z65" s="153" t="str">
        <f>IFERROR(__xludf.DUMMYFUNCTION("GOOGLETRANSLATE(B65,""zh-tw"",""ru"")"),"Зона разработки (шахта) -3")</f>
        <v>Зона разработки (шахта) -3</v>
      </c>
      <c r="AA65" s="156"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19" t="s">
        <v>2829</v>
      </c>
      <c r="AD65" s="154" t="s">
        <v>2839</v>
      </c>
      <c r="AE65" s="176" t="s">
        <v>2840</v>
      </c>
      <c r="AF65" s="181" t="s">
        <v>2841</v>
      </c>
      <c r="AG65" s="159" t="s">
        <v>2829</v>
      </c>
      <c r="AH65" s="185" t="s">
        <v>2842</v>
      </c>
      <c r="AI65" s="186" t="s">
        <v>2843</v>
      </c>
      <c r="AJ65" s="187" t="s">
        <v>2844</v>
      </c>
      <c r="AK65" s="188"/>
      <c r="AL65" s="188"/>
    </row>
    <row r="66">
      <c r="A66" s="84" t="s">
        <v>2845</v>
      </c>
      <c r="B66" s="154" t="s">
        <v>2846</v>
      </c>
      <c r="C66" s="176" t="s">
        <v>2847</v>
      </c>
      <c r="D66" s="181" t="s">
        <v>2848</v>
      </c>
      <c r="E66" s="84" t="s">
        <v>2845</v>
      </c>
      <c r="F66" s="154" t="s">
        <v>2849</v>
      </c>
      <c r="G66" s="180" t="s">
        <v>2850</v>
      </c>
      <c r="H66" s="168" t="s">
        <v>2851</v>
      </c>
      <c r="I66" s="84" t="s">
        <v>2845</v>
      </c>
      <c r="J66" s="154" t="s">
        <v>2852</v>
      </c>
      <c r="K66" s="180" t="s">
        <v>2853</v>
      </c>
      <c r="L66" s="168" t="s">
        <v>2854</v>
      </c>
      <c r="M66" s="84" t="s">
        <v>2845</v>
      </c>
      <c r="N66" s="153"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2845</v>
      </c>
      <c r="R66" s="154" t="str">
        <f>IFERROR(__xludf.DUMMYFUNCTION("GOOGLETRANSLATE(B66,""zh-tw"",""es-MX"")"),"Área en desarrollo (mina a cielo abierto) -4")</f>
        <v>Área en desarrollo (mina a cielo abierto) -4</v>
      </c>
      <c r="S66" s="89" t="str">
        <f>IFERROR(__xludf.DUMMYFUNCTION("GOOGLETRANSLATE(C66,""zh-tw"",""es-MX"")"),"Desde ""Zona en desarrollo (Mina)-3"", sigue la ruta del mapa hasta llegar a ""Zona en desarrollo (Mina)-4"". Si caes accidentalmente, llegarás a la zona de lava.")</f>
        <v>Desde "Zona en desarrollo (Mina)-3", sigue la ruta del mapa hasta llegar a "Zona en desarrollo (Mina)-4". Si caes accidentalmente, llegarás a la zona de lava.</v>
      </c>
      <c r="T66" s="55" t="str">
        <f>IFERROR(__xludf.DUMMYFUNCTION("GOOGLETRANSLATE(D66,""zh-tw"",""es-MX"")"),"Llegar a ""Zona en desarrollo (Mina)-4""")</f>
        <v>Llegar a "Zona en desarrollo (Mina)-4"</v>
      </c>
      <c r="U66" s="84" t="s">
        <v>2845</v>
      </c>
      <c r="V66" s="154" t="str">
        <f>IFERROR(__xludf.DUMMYFUNCTION("GOOGLETRANSLATE(B66,""zh-tw"",""KO"")"),"개발 지역(광산) -4")</f>
        <v>개발 지역(광산) -4</v>
      </c>
      <c r="W66" s="89" t="str">
        <f>IFERROR(__xludf.DUMMYFUNCTION("GOOGLETRANSLATE(C66,""zh-tw"",""KO"")"),"""개발 구역(광산)-3""에서 지도 경로를 따라 ""개발 구역(광산)-4""로 이동하세요. 실수로 떨어지면 용암 지대에 도착하게 됩니다.")</f>
        <v>"개발 구역(광산)-3"에서 지도 경로를 따라 "개발 구역(광산)-4"로 이동하세요. 실수로 떨어지면 용암 지대에 도착하게 됩니다.</v>
      </c>
      <c r="X66" s="55" t="str">
        <f>IFERROR(__xludf.DUMMYFUNCTION("GOOGLETRANSLATE(D66,""zh-tw"",""KO"")"),"""개발구역(광산)-4"" 도착")</f>
        <v>"개발구역(광산)-4" 도착</v>
      </c>
      <c r="Y66" s="84" t="s">
        <v>2845</v>
      </c>
      <c r="Z66" s="153" t="str">
        <f>IFERROR(__xludf.DUMMYFUNCTION("GOOGLETRANSLATE(B66,""zh-tw"",""ru"")"),"Зона разработки (шахта) -4")</f>
        <v>Зона разработки (шахта) -4</v>
      </c>
      <c r="AA66" s="156" t="str">
        <f>IFERROR(__xludf.DUMMYFUNCTION("GOOGLETRANSLATE(C66,""zh-tw"",""RU"")"),"Из зоны разработки (шахты)-3 следуйте по карте до зоны разработки (шахты)-4. Если вы случайно упадёте, то попадёте в зону лавы.")</f>
        <v>Из зоны разработки (шахты)-3 следуйте по карте до зоны разработки (шахты)-4. Если вы случайно упадёте, то попадёте в зону лавы.</v>
      </c>
      <c r="AB66" s="44" t="str">
        <f>IFERROR(__xludf.DUMMYFUNCTION("GOOGLETRANSLATE(D66,""zh-tw"",""RU"")"),"Прибытие в «Разработку участка (рудника)-4»")</f>
        <v>Прибытие в «Разработку участка (рудника)-4»</v>
      </c>
      <c r="AC66" s="119" t="s">
        <v>2845</v>
      </c>
      <c r="AD66" s="154" t="s">
        <v>2855</v>
      </c>
      <c r="AE66" s="176" t="s">
        <v>2856</v>
      </c>
      <c r="AF66" s="181" t="s">
        <v>2857</v>
      </c>
      <c r="AG66" s="159" t="s">
        <v>2845</v>
      </c>
      <c r="AH66" s="185" t="s">
        <v>2810</v>
      </c>
      <c r="AI66" s="186" t="s">
        <v>2858</v>
      </c>
      <c r="AJ66" s="187" t="s">
        <v>2859</v>
      </c>
      <c r="AK66" s="188"/>
      <c r="AL66" s="188"/>
    </row>
    <row r="67">
      <c r="A67" s="84" t="s">
        <v>2860</v>
      </c>
      <c r="B67" s="154" t="s">
        <v>2814</v>
      </c>
      <c r="C67" s="176" t="s">
        <v>2861</v>
      </c>
      <c r="D67" s="181" t="s">
        <v>2862</v>
      </c>
      <c r="E67" s="84" t="s">
        <v>2860</v>
      </c>
      <c r="F67" s="154" t="s">
        <v>2817</v>
      </c>
      <c r="G67" s="180" t="s">
        <v>2863</v>
      </c>
      <c r="H67" s="168" t="s">
        <v>2864</v>
      </c>
      <c r="I67" s="84" t="s">
        <v>2860</v>
      </c>
      <c r="J67" s="154" t="s">
        <v>2865</v>
      </c>
      <c r="K67" s="180" t="s">
        <v>2866</v>
      </c>
      <c r="L67" s="167" t="s">
        <v>2867</v>
      </c>
      <c r="M67" s="84" t="s">
        <v>2860</v>
      </c>
      <c r="N67" s="153"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2860</v>
      </c>
      <c r="R67" s="154" t="str">
        <f>IFERROR(__xludf.DUMMYFUNCTION("GOOGLETRANSLATE(B67,""zh-tw"",""es-MX"")"),"Pasaje oculto")</f>
        <v>Pasaje oculto</v>
      </c>
      <c r="S67" s="89" t="str">
        <f>IFERROR(__xludf.DUMMYFUNCTION("GOOGLETRANSLATE(C67,""zh-tw"",""es-MX"")"),"En ""Área de Desarrollo (Mina)-4"", después de salir del área de la escalera, hay un pasaje oculto en la gran área rocosa en la parte superior derecha.")</f>
        <v>En "Área de Desarrollo (Mina)-4", después de salir del área de la escalera, hay un pasaje oculto en la gran área rocosa en la parte superior derecha.</v>
      </c>
      <c r="T67" s="55" t="str">
        <f>IFERROR(__xludf.DUMMYFUNCTION("GOOGLETRANSLATE(D67,""zh-tw"",""es-MX"")"),"Llegar a ""La Tumba Olvidada-1""")</f>
        <v>Llegar a "La Tumba Olvidada-1"</v>
      </c>
      <c r="U67" s="84" t="s">
        <v>2860</v>
      </c>
      <c r="V67" s="154" t="str">
        <f>IFERROR(__xludf.DUMMYFUNCTION("GOOGLETRANSLATE(B67,""zh-tw"",""KO"")"),"숨겨진 통로")</f>
        <v>숨겨진 통로</v>
      </c>
      <c r="W67" s="89" t="str">
        <f>IFERROR(__xludf.DUMMYFUNCTION("GOOGLETRANSLATE(C67,""zh-tw"",""KO"")"),"""개발 구역(광산)-4""에서 계단 구역을 벗어나면 오른쪽 위의 큰 바위 구역에 숨겨진 통로가 있습니다.")</f>
        <v>"개발 구역(광산)-4"에서 계단 구역을 벗어나면 오른쪽 위의 큰 바위 구역에 숨겨진 통로가 있습니다.</v>
      </c>
      <c r="X67" s="55" t="str">
        <f>IFERROR(__xludf.DUMMYFUNCTION("GOOGLETRANSLATE(D67,""zh-tw"",""KO"")"),"""잊혀진 무덤-1""에 도착")</f>
        <v>"잊혀진 무덤-1"에 도착</v>
      </c>
      <c r="Y67" s="84" t="s">
        <v>2860</v>
      </c>
      <c r="Z67" s="153" t="str">
        <f>IFERROR(__xludf.DUMMYFUNCTION("GOOGLETRANSLATE(B67,""zh-tw"",""ru"")"),"Скрытый проход")</f>
        <v>Скрытый проход</v>
      </c>
      <c r="AA67" s="156" t="str">
        <f>IFERROR(__xludf.DUMMYFUNCTION("GOOGLETRANSLATE(C67,""zh-tw"",""RU"")"),"В «Зоне разработки (Шахта)-4» после выхода из зоны лестницы есть скрытый проход в большой скалистой области вверху справа.")</f>
        <v>В «Зоне разработки (Шахта)-4» после выхода из зоны лестницы есть скрытый проход в большой скалистой области вверху справа.</v>
      </c>
      <c r="AB67" s="44" t="str">
        <f>IFERROR(__xludf.DUMMYFUNCTION("GOOGLETRANSLATE(D67,""zh-tw"",""RU"")"),"Прибытие в «Забытую гробницу-1»")</f>
        <v>Прибытие в «Забытую гробницу-1»</v>
      </c>
      <c r="AC67" s="119" t="s">
        <v>2860</v>
      </c>
      <c r="AD67" s="154" t="s">
        <v>2868</v>
      </c>
      <c r="AE67" s="176" t="s">
        <v>2869</v>
      </c>
      <c r="AF67" s="181" t="s">
        <v>2870</v>
      </c>
      <c r="AG67" s="159" t="s">
        <v>2860</v>
      </c>
      <c r="AH67" s="185" t="s">
        <v>2871</v>
      </c>
      <c r="AI67" s="186" t="s">
        <v>2872</v>
      </c>
      <c r="AJ67" s="187" t="s">
        <v>2873</v>
      </c>
      <c r="AK67" s="188"/>
      <c r="AL67" s="188"/>
    </row>
    <row r="68">
      <c r="A68" s="84" t="s">
        <v>2874</v>
      </c>
      <c r="B68" s="154" t="s">
        <v>2875</v>
      </c>
      <c r="C68" s="172" t="s">
        <v>2876</v>
      </c>
      <c r="D68" s="181" t="s">
        <v>2877</v>
      </c>
      <c r="E68" s="84" t="s">
        <v>2874</v>
      </c>
      <c r="F68" s="154" t="s">
        <v>2878</v>
      </c>
      <c r="G68" s="180" t="s">
        <v>2879</v>
      </c>
      <c r="H68" s="168" t="s">
        <v>2880</v>
      </c>
      <c r="I68" s="84" t="s">
        <v>2874</v>
      </c>
      <c r="J68" s="153" t="s">
        <v>2881</v>
      </c>
      <c r="K68" s="163" t="s">
        <v>2882</v>
      </c>
      <c r="L68" s="167" t="s">
        <v>2883</v>
      </c>
      <c r="M68" s="84" t="s">
        <v>2874</v>
      </c>
      <c r="N68" s="153"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2874</v>
      </c>
      <c r="R68" s="154" t="str">
        <f>IFERROR(__xludf.DUMMYFUNCTION("GOOGLETRANSLATE(B68,""zh-tw"",""es-MX"")"),"Dirígete al Bosque de las Ruinas")</f>
        <v>Dirígete al Bosque de las Ruinas</v>
      </c>
      <c r="S68" s="89" t="str">
        <f>IFERROR(__xludf.DUMMYFUNCTION("GOOGLETRANSLATE(C68,""zh-tw"",""es-MX"")"),"Desde ""Sendero del aventurero: Bosque-2"", después de pasar el tablón de anuncios, puedes llegar a ""Bosque de las ruinas"" atravesando el bosque.")</f>
        <v>Desde "Sendero del aventurero: Bosque-2", después de pasar el tablón de anuncios, puedes llegar a "Bosque de las ruinas" atravesando el bosque.</v>
      </c>
      <c r="T68" s="55" t="str">
        <f>IFERROR(__xludf.DUMMYFUNCTION("GOOGLETRANSLATE(D68,""zh-tw"",""es-MX"")"),"Al llegar al ""Bosque de las Ruinas""")</f>
        <v>Al llegar al "Bosque de las Ruinas"</v>
      </c>
      <c r="U68" s="84" t="s">
        <v>2874</v>
      </c>
      <c r="V68" s="154" t="str">
        <f>IFERROR(__xludf.DUMMYFUNCTION("GOOGLETRANSLATE(B68,""zh-tw"",""KO"")"),"폐허의 숲으로 가세요")</f>
        <v>폐허의 숲으로 가세요</v>
      </c>
      <c r="W68" s="89" t="str">
        <f>IFERROR(__xludf.DUMMYFUNCTION("GOOGLETRANSLATE(C68,""zh-tw"",""KO"")"),"""모험가의 길: 숲-2""에서 공지판을 지나 숲을 통과하면 ""유적의 숲""에 도달할 수 있습니다.")</f>
        <v>"모험가의 길: 숲-2"에서 공지판을 지나 숲을 통과하면 "유적의 숲"에 도달할 수 있습니다.</v>
      </c>
      <c r="X68" s="55" t="str">
        <f>IFERROR(__xludf.DUMMYFUNCTION("GOOGLETRANSLATE(D68,""zh-tw"",""KO"")"),"""폐허의 숲""에 도착")</f>
        <v>"폐허의 숲"에 도착</v>
      </c>
      <c r="Y68" s="84" t="s">
        <v>2874</v>
      </c>
      <c r="Z68" s="153" t="str">
        <f>IFERROR(__xludf.DUMMYFUNCTION("GOOGLETRANSLATE(B68,""zh-tw"",""ru"")"),"Отправляйтесь в Лес Руин")</f>
        <v>Отправляйтесь в Лес Руин</v>
      </c>
      <c r="AA68" s="156" t="str">
        <f>IFERROR(__xludf.DUMMYFUNCTION("GOOGLETRANSLATE(C68,""zh-tw"",""RU"")"),"Из «Пути искателя приключений: Лес-2», минуя доску объявлений, можно попасть в «Лес руин», пройдя через лес.")</f>
        <v>Из «Пути искателя приключений: Лес-2», минуя доску объявлений, можно попасть в «Лес руин», пройдя через лес.</v>
      </c>
      <c r="AB68" s="44" t="str">
        <f>IFERROR(__xludf.DUMMYFUNCTION("GOOGLETRANSLATE(D68,""zh-tw"",""RU"")"),"Прибытие в «Лес руин»")</f>
        <v>Прибытие в «Лес руин»</v>
      </c>
      <c r="AC68" s="119" t="s">
        <v>2874</v>
      </c>
      <c r="AD68" s="153" t="s">
        <v>2884</v>
      </c>
      <c r="AE68" s="172" t="s">
        <v>2885</v>
      </c>
      <c r="AF68" s="173" t="s">
        <v>2886</v>
      </c>
      <c r="AG68" s="159" t="s">
        <v>2874</v>
      </c>
      <c r="AH68" s="185" t="s">
        <v>2887</v>
      </c>
      <c r="AI68" s="189" t="s">
        <v>2888</v>
      </c>
      <c r="AJ68" s="187" t="s">
        <v>2889</v>
      </c>
      <c r="AK68" s="188"/>
      <c r="AL68" s="188"/>
    </row>
    <row r="69">
      <c r="A69" s="84" t="s">
        <v>2890</v>
      </c>
      <c r="B69" s="154" t="s">
        <v>2891</v>
      </c>
      <c r="C69" s="176" t="s">
        <v>2892</v>
      </c>
      <c r="D69" s="181" t="s">
        <v>2893</v>
      </c>
      <c r="E69" s="84" t="s">
        <v>2890</v>
      </c>
      <c r="F69" s="154" t="s">
        <v>2894</v>
      </c>
      <c r="G69" s="180" t="s">
        <v>2895</v>
      </c>
      <c r="H69" s="168" t="s">
        <v>2896</v>
      </c>
      <c r="I69" s="84" t="s">
        <v>2890</v>
      </c>
      <c r="J69" s="154" t="s">
        <v>2897</v>
      </c>
      <c r="K69" s="180" t="s">
        <v>2898</v>
      </c>
      <c r="L69" s="168" t="s">
        <v>2899</v>
      </c>
      <c r="M69" s="84" t="s">
        <v>2890</v>
      </c>
      <c r="N69" s="153"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2890</v>
      </c>
      <c r="R69" s="154" t="str">
        <f>IFERROR(__xludf.DUMMYFUNCTION("GOOGLETRANSLATE(B69,""zh-tw"",""es-MX"")"),"Área del jefe Maid Bunny -1")</f>
        <v>Área del jefe Maid Bunny -1</v>
      </c>
      <c r="S69" s="89" t="str">
        <f>IFERROR(__xludf.DUMMYFUNCTION("GOOGLETRANSLATE(C69,""zh-tw"",""es-MX"")"),"Puedes acceder a la zona del jefe Maid Bunny utilizando un método de movimiento especial en el ""Bosque de las Ruinas"".")</f>
        <v>Puedes acceder a la zona del jefe Maid Bunny utilizando un método de movimiento especial en el "Bosque de las Ruinas".</v>
      </c>
      <c r="T69" s="55" t="str">
        <f>IFERROR(__xludf.DUMMYFUNCTION("GOOGLETRANSLATE(D69,""zh-tw"",""es-MX"")"),"Llega a la zona del JEFE.
P. D.: Por ejemplo: las plumas del ave monstruosa se pueden usar para levitar.")</f>
        <v>Llega a la zona del JEFE.
P. D.: Por ejemplo: las plumas del ave monstruosa se pueden usar para levitar.</v>
      </c>
      <c r="U69" s="84" t="s">
        <v>2890</v>
      </c>
      <c r="V69" s="154" t="str">
        <f>IFERROR(__xludf.DUMMYFUNCTION("GOOGLETRANSLATE(B69,""zh-tw"",""KO"")"),"메이드 버니 보스 지역 -1")</f>
        <v>메이드 버니 보스 지역 -1</v>
      </c>
      <c r="W69" s="89" t="str">
        <f>IFERROR(__xludf.DUMMYFUNCTION("GOOGLETRANSLATE(C69,""zh-tw"",""KO"")"),"""폐허의 숲""에서 특별한 이동 방법을 사용하면 메이드 토끼의 보스 구역에 도달할 수 있습니다.")</f>
        <v>"폐허의 숲"에서 특별한 이동 방법을 사용하면 메이드 토끼의 보스 구역에 도달할 수 있습니다.</v>
      </c>
      <c r="X69" s="55" t="str">
        <f>IFERROR(__xludf.DUMMYFUNCTION("GOOGLETRANSLATE(D69,""zh-tw"",""KO"")"),"BOSS 구역에 도착하세요.
추신: 예를 들어: 괴물 새의 깃털은 공중 부양에 사용할 수 있습니다.")</f>
        <v>BOSS 구역에 도착하세요.
추신: 예를 들어: 괴물 새의 깃털은 공중 부양에 사용할 수 있습니다.</v>
      </c>
      <c r="Y69" s="84" t="s">
        <v>2890</v>
      </c>
      <c r="Z69" s="153" t="str">
        <f>IFERROR(__xludf.DUMMYFUNCTION("GOOGLETRANSLATE(B69,""zh-tw"",""ru"")"),"Зона БОСС-горничной-кролика -1")</f>
        <v>Зона БОСС-горничной-кролика -1</v>
      </c>
      <c r="AA69" s="156" t="str">
        <f>IFERROR(__xludf.DUMMYFUNCTION("GOOGLETRANSLATE(C69,""zh-tw"",""RU"")"),"Добраться до босса Кролика-горничной можно, используя особый метод передвижения в «Лесу руин».")</f>
        <v>Добраться до босса Кролика-горничной можно, используя особый метод передвижения в «Лесу руин».</v>
      </c>
      <c r="AB69" s="44" t="str">
        <f>IFERROR(__xludf.DUMMYFUNCTION("GOOGLETRANSLATE(D69,""zh-tw"",""RU"")"),"Доберитесь до зоны БОССОВ.
P.S. Например: перья чудовищной птицы можно использовать для левитации.")</f>
        <v>Доберитесь до зоны БОССОВ.
P.S. Например: перья чудовищной птицы можно использовать для левитации.</v>
      </c>
      <c r="AC69" s="119" t="s">
        <v>2890</v>
      </c>
      <c r="AD69" s="154" t="s">
        <v>2900</v>
      </c>
      <c r="AE69" s="176" t="s">
        <v>2901</v>
      </c>
      <c r="AF69" s="181" t="s">
        <v>2902</v>
      </c>
      <c r="AG69" s="159" t="s">
        <v>2890</v>
      </c>
      <c r="AH69" s="185" t="s">
        <v>2903</v>
      </c>
      <c r="AI69" s="186" t="s">
        <v>2904</v>
      </c>
      <c r="AJ69" s="187" t="s">
        <v>2905</v>
      </c>
      <c r="AK69" s="188"/>
      <c r="AL69" s="188"/>
    </row>
    <row r="70">
      <c r="A70" s="84" t="s">
        <v>2906</v>
      </c>
      <c r="B70" s="154" t="s">
        <v>2907</v>
      </c>
      <c r="C70" s="176" t="s">
        <v>2908</v>
      </c>
      <c r="D70" s="173" t="s">
        <v>2909</v>
      </c>
      <c r="E70" s="84" t="s">
        <v>2906</v>
      </c>
      <c r="F70" s="154" t="s">
        <v>2910</v>
      </c>
      <c r="G70" s="180" t="s">
        <v>2911</v>
      </c>
      <c r="H70" s="167" t="s">
        <v>2912</v>
      </c>
      <c r="I70" s="84" t="s">
        <v>2906</v>
      </c>
      <c r="J70" s="154" t="s">
        <v>2913</v>
      </c>
      <c r="K70" s="180" t="s">
        <v>2914</v>
      </c>
      <c r="L70" s="167" t="s">
        <v>2915</v>
      </c>
      <c r="M70" s="84" t="s">
        <v>2906</v>
      </c>
      <c r="N70" s="153"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2906</v>
      </c>
      <c r="R70" s="154" t="str">
        <f>IFERROR(__xludf.DUMMYFUNCTION("GOOGLETRANSLATE(B70,""zh-tw"",""es-MX"")"),"Zona del jefe Maid Bunny - 2")</f>
        <v>Zona del jefe Maid Bunny - 2</v>
      </c>
      <c r="S70" s="89" t="str">
        <f>IFERROR(__xludf.DUMMYFUNCTION("GOOGLETRANSLATE(C70,""zh-tw"",""es-MX"")"),"El cofre del tesoro situado frente a la zona del JEFE explotará al abrirse, infligiendo daño a los jugadores o enemigos.")</f>
        <v>El cofre del tesoro situado frente a la zona del JEFE explotará al abrirse, infligiendo daño a los jugadores o enemigos.</v>
      </c>
      <c r="T70" s="55" t="str">
        <f>IFERROR(__xludf.DUMMYFUNCTION("GOOGLETRANSLATE(D70,""zh-tw"",""es-MX"")"),"Abra con precaución. *No se reiniciará.")</f>
        <v>Abra con precaución. *No se reiniciará.</v>
      </c>
      <c r="U70" s="84" t="s">
        <v>2906</v>
      </c>
      <c r="V70" s="154" t="str">
        <f>IFERROR(__xludf.DUMMYFUNCTION("GOOGLETRANSLATE(B70,""zh-tw"",""KO"")"),"메이드 버니 보스 구역 - 2")</f>
        <v>메이드 버니 보스 구역 - 2</v>
      </c>
      <c r="W70" s="89" t="str">
        <f>IFERROR(__xludf.DUMMYFUNCTION("GOOGLETRANSLATE(C70,""zh-tw"",""KO"")"),"BOSS 구역 앞에 있는 보물상자는 열면 폭발하여 플레이어나 적에게 피해를 입힙니다.")</f>
        <v>BOSS 구역 앞에 있는 보물상자는 열면 폭발하여 플레이어나 적에게 피해를 입힙니다.</v>
      </c>
      <c r="X70" s="55" t="str">
        <f>IFERROR(__xludf.DUMMYFUNCTION("GOOGLETRANSLATE(D70,""zh-tw"",""KO"")"),"주의해서 열어주세요. *초기화되지 않습니다.")</f>
        <v>주의해서 열어주세요. *초기화되지 않습니다.</v>
      </c>
      <c r="Y70" s="84" t="s">
        <v>2906</v>
      </c>
      <c r="Z70" s="153" t="str">
        <f>IFERROR(__xludf.DUMMYFUNCTION("GOOGLETRANSLATE(B70,""zh-tw"",""ru"")"),"Зона БОСС-горничной-кролика - 2")</f>
        <v>Зона БОСС-горничной-кролика - 2</v>
      </c>
      <c r="AA70" s="156" t="str">
        <f>IFERROR(__xludf.DUMMYFUNCTION("GOOGLETRANSLATE(C70,""zh-tw"",""RU"")"),"Сундук с сокровищами перед зоной БОССА взорвется при открытии, нанося урон игрокам или врагам.")</f>
        <v>Сундук с сокровищами перед зоной БОССА взорвется при открытии, нанося урон игрокам или врагам.</v>
      </c>
      <c r="AB70" s="44" t="str">
        <f>IFERROR(__xludf.DUMMYFUNCTION("GOOGLETRANSLATE(D70,""zh-tw"",""RU"")"),"Открывайте осторожно. *Сброс невозможен.")</f>
        <v>Открывайте осторожно. *Сброс невозможен.</v>
      </c>
      <c r="AC70" s="119" t="s">
        <v>2906</v>
      </c>
      <c r="AD70" s="154" t="s">
        <v>2916</v>
      </c>
      <c r="AE70" s="176" t="s">
        <v>2917</v>
      </c>
      <c r="AF70" s="181" t="s">
        <v>2918</v>
      </c>
      <c r="AG70" s="159" t="s">
        <v>2906</v>
      </c>
      <c r="AH70" s="185" t="s">
        <v>2919</v>
      </c>
      <c r="AI70" s="186" t="s">
        <v>2920</v>
      </c>
      <c r="AJ70" s="170" t="s">
        <v>2921</v>
      </c>
      <c r="AK70" s="188"/>
      <c r="AL70" s="188"/>
    </row>
    <row r="71">
      <c r="A71" s="84" t="s">
        <v>2922</v>
      </c>
      <c r="B71" s="154" t="s">
        <v>2923</v>
      </c>
      <c r="C71" s="172" t="s">
        <v>2924</v>
      </c>
      <c r="D71" s="181" t="s">
        <v>2925</v>
      </c>
      <c r="E71" s="84" t="s">
        <v>2922</v>
      </c>
      <c r="F71" s="154" t="s">
        <v>2926</v>
      </c>
      <c r="G71" s="180" t="s">
        <v>2927</v>
      </c>
      <c r="H71" s="168" t="s">
        <v>2928</v>
      </c>
      <c r="I71" s="84" t="s">
        <v>2922</v>
      </c>
      <c r="J71" s="154" t="s">
        <v>2929</v>
      </c>
      <c r="K71" s="163" t="s">
        <v>2930</v>
      </c>
      <c r="L71" s="167" t="s">
        <v>2931</v>
      </c>
      <c r="M71" s="84" t="s">
        <v>2922</v>
      </c>
      <c r="N71" s="153"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2922</v>
      </c>
      <c r="R71" s="154" t="str">
        <f>IFERROR(__xludf.DUMMYFUNCTION("GOOGLETRANSLATE(B71,""zh-tw"",""es-MX"")"),"Zona del jefe Conejo Doncella - 3")</f>
        <v>Zona del jefe Conejo Doncella - 3</v>
      </c>
      <c r="S71" s="89" t="str">
        <f>IFERROR(__xludf.DUMMYFUNCTION("GOOGLETRANSLATE(C71,""zh-tw"",""es-MX"")"),"Tras retirar la zanahoria brillante, aparecerá la JEFA Conejita Sirvienta.
P. D.: Llevar el traje de sirvienta activará diferentes opciones de diálogo, pero la batalla seguirá su curso. Recuerda mejorar tu equipo de batalla.")</f>
        <v>Tras retirar la zanahoria brillante, aparecerá la JEFA Conejita Sirvienta.
P. D.: Llevar el traje de sirvienta activará diferentes opciones de diálogo, pero la batalla seguirá su curso. Recuerda mejorar tu equipo de batalla.</v>
      </c>
      <c r="T71" s="55" t="str">
        <f>IFERROR(__xludf.DUMMYFUNCTION("GOOGLETRANSLATE(D71,""zh-tw"",""es-MX"")"),"Jefe invocado: El Conejo Blanco del Jardín Pequeño")</f>
        <v>Jefe invocado: El Conejo Blanco del Jardín Pequeño</v>
      </c>
      <c r="U71" s="84" t="s">
        <v>2922</v>
      </c>
      <c r="V71" s="154" t="str">
        <f>IFERROR(__xludf.DUMMYFUNCTION("GOOGLETRANSLATE(B71,""zh-tw"",""KO"")"),"메이드 래빗 보스 지역 - 3")</f>
        <v>메이드 래빗 보스 지역 - 3</v>
      </c>
      <c r="W71" s="89" t="str">
        <f>IFERROR(__xludf.DUMMYFUNCTION("GOOGLETRANSLATE(C71,""zh-tw"",""KO"")"),"빛나는 당근을 제거하면 메이드 토끼 보스가 소환됩니다.
추신: 메이드 복장을 착용하면 다양한 대화가 나오지만, 전투는 계속 진행됩니다. 전투 장비를 최신 상태로 유지하는 것을 잊지 마세요.")</f>
        <v>빛나는 당근을 제거하면 메이드 토끼 보스가 소환됩니다.
추신: 메이드 복장을 착용하면 다양한 대화가 나오지만, 전투는 계속 진행됩니다. 전투 장비를 최신 상태로 유지하는 것을 잊지 마세요.</v>
      </c>
      <c r="X71" s="55" t="str">
        <f>IFERROR(__xludf.DUMMYFUNCTION("GOOGLETRANSLATE(D71,""zh-tw"",""KO"")"),"소환 보스 - 작은 정원의 흰 토끼")</f>
        <v>소환 보스 - 작은 정원의 흰 토끼</v>
      </c>
      <c r="Y71" s="84" t="s">
        <v>2922</v>
      </c>
      <c r="Z71" s="153" t="str">
        <f>IFERROR(__xludf.DUMMYFUNCTION("GOOGLETRANSLATE(B71,""zh-tw"",""ru"")"),"Зона Босса «Горничная Кролик» - 3")</f>
        <v>Зона Босса «Горничная Кролик» - 3</v>
      </c>
      <c r="AA71" s="156" t="str">
        <f>IFERROR(__xludf.DUMMYFUNCTION("GOOGLETRANSLATE(C71,""zh-tw"",""RU"")"),"После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f>
        <v>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v>
      </c>
      <c r="AB71" s="44" t="str">
        <f>IFERROR(__xludf.DUMMYFUNCTION("GOOGLETRANSLATE(D71,""zh-tw"",""RU"")"),"Вызов босса — Белый кролик маленького сада")</f>
        <v>Вызов босса — Белый кролик маленького сада</v>
      </c>
      <c r="AC71" s="84" t="s">
        <v>2922</v>
      </c>
      <c r="AD71" s="154" t="s">
        <v>2932</v>
      </c>
      <c r="AE71" s="176" t="s">
        <v>2933</v>
      </c>
      <c r="AF71" s="181" t="s">
        <v>2934</v>
      </c>
      <c r="AG71" s="159" t="s">
        <v>2922</v>
      </c>
      <c r="AH71" s="185" t="s">
        <v>2935</v>
      </c>
      <c r="AI71" s="189" t="s">
        <v>2936</v>
      </c>
      <c r="AJ71" s="187" t="s">
        <v>2937</v>
      </c>
      <c r="AK71" s="188"/>
      <c r="AL71" s="188"/>
    </row>
    <row r="72">
      <c r="A72" s="84" t="s">
        <v>2938</v>
      </c>
      <c r="B72" s="154" t="s">
        <v>2939</v>
      </c>
      <c r="C72" s="172" t="s">
        <v>2940</v>
      </c>
      <c r="D72" s="173" t="s">
        <v>2941</v>
      </c>
      <c r="E72" s="84" t="s">
        <v>2938</v>
      </c>
      <c r="F72" s="154" t="s">
        <v>2942</v>
      </c>
      <c r="G72" s="163" t="s">
        <v>2943</v>
      </c>
      <c r="H72" s="167" t="s">
        <v>2944</v>
      </c>
      <c r="I72" s="84" t="s">
        <v>2938</v>
      </c>
      <c r="J72" s="154" t="s">
        <v>2945</v>
      </c>
      <c r="K72" s="163" t="s">
        <v>2946</v>
      </c>
      <c r="L72" s="167" t="s">
        <v>2947</v>
      </c>
      <c r="M72" s="84" t="s">
        <v>2938</v>
      </c>
      <c r="N72" s="153"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2938</v>
      </c>
      <c r="R72" s="154" t="str">
        <f>IFERROR(__xludf.DUMMYFUNCTION("GOOGLETRANSLATE(B72,""zh-tw"",""es-MX"")"),"Zona del jefe Maid Rabbit -4")</f>
        <v>Zona del jefe Maid Rabbit -4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IFERROR(__xludf.DUMMYFUNCTION("GOOGLETRANSLATE(D72,""zh-tw"",""es-MX"")"),"Probabilidad de obtener objetos: Gran espada de zanahoria/Gran espada de zanahoria congelada/Gran espada de zanahoria mohosa
Probabilidad de obtener comida: Zanahoria
Probabilidad de obtener armadura: Orejas de conejo adorables, Uniforme de sirvienta
O"&amp;"bjeto que se obtiene: Mapa del conejo (Único)")</f>
        <v>Probabilidad de obtener objetos: Gran espada de zanahoria/Gran espada de zanahoria congelada/Gran espada de zanahoria mohosa
Probabilidad de obtener comida: Zanahoria
Probabilidad de obtener armadura: Orejas de conejo adorables, Uniforme de sirvienta
Objeto que se obtiene: Mapa del conejo (Único)</v>
      </c>
      <c r="U72" s="84" t="s">
        <v>2938</v>
      </c>
      <c r="V72" s="154" t="str">
        <f>IFERROR(__xludf.DUMMYFUNCTION("GOOGLETRANSLATE(B72,""zh-tw"",""KO"")"),"메이드 래빗 보스 지역 -4")</f>
        <v>메이드 래빗 보스 지역 -4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IFERROR(__xludf.DUMMYFUNCTION("GOOGLETRANSLATE(D72,""zh-tw"",""KO"")"),"아이템 획득 확률: 당근 대검/얼어붙은 당근 대검/곰팡이 낀 당근 대검
음식 획득 확률: 당근
방어구 획득 확률: 귀여운 토끼 귀, 메이드복
드랍 아이템: 토끼 지도 (고유)")</f>
        <v>아이템 획득 확률: 당근 대검/얼어붙은 당근 대검/곰팡이 낀 당근 대검
음식 획득 확률: 당근
방어구 획득 확률: 귀여운 토끼 귀, 메이드복
드랍 아이템: 토끼 지도 (고유)</v>
      </c>
      <c r="Y72" s="84" t="s">
        <v>2938</v>
      </c>
      <c r="Z72" s="153" t="str">
        <f>IFERROR(__xludf.DUMMYFUNCTION("GOOGLETRANSLATE(B72,""zh-tw"",""ru"")"),"Зона БОСС-горничной-кролика -4")</f>
        <v>Зона БОСС-горничной-кролика -4</v>
      </c>
      <c r="AA72" s="156"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f>
        <v>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v>
      </c>
      <c r="AC72" s="84" t="s">
        <v>2938</v>
      </c>
      <c r="AD72" s="154" t="s">
        <v>2948</v>
      </c>
      <c r="AE72" s="176" t="s">
        <v>2949</v>
      </c>
      <c r="AF72" s="181" t="s">
        <v>2950</v>
      </c>
      <c r="AG72" s="159" t="s">
        <v>2938</v>
      </c>
      <c r="AH72" s="185" t="s">
        <v>2951</v>
      </c>
      <c r="AI72" s="189" t="s">
        <v>2952</v>
      </c>
      <c r="AJ72" s="166" t="s">
        <v>2953</v>
      </c>
      <c r="AK72" s="188"/>
      <c r="AL72" s="188"/>
    </row>
    <row r="73">
      <c r="A73" s="84" t="s">
        <v>2954</v>
      </c>
      <c r="B73" s="153" t="s">
        <v>2955</v>
      </c>
      <c r="C73" s="95" t="s">
        <v>2956</v>
      </c>
      <c r="D73" s="52" t="s">
        <v>2957</v>
      </c>
      <c r="E73" s="84" t="s">
        <v>2954</v>
      </c>
      <c r="F73" s="153" t="s">
        <v>2958</v>
      </c>
      <c r="G73" s="163" t="s">
        <v>2959</v>
      </c>
      <c r="H73" s="52" t="s">
        <v>2960</v>
      </c>
      <c r="I73" s="84" t="s">
        <v>2954</v>
      </c>
      <c r="J73" s="153" t="s">
        <v>2961</v>
      </c>
      <c r="K73" s="163" t="s">
        <v>2962</v>
      </c>
      <c r="L73" s="167" t="s">
        <v>2963</v>
      </c>
      <c r="M73" s="84" t="s">
        <v>2954</v>
      </c>
      <c r="N73" s="153"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2954</v>
      </c>
      <c r="R73" s="154" t="str">
        <f>IFERROR(__xludf.DUMMYFUNCTION("GOOGLETRANSLATE(B73,""zh-tw"",""es-MX"")"),"El albergue del cazador")</f>
        <v>El albergue del cazador</v>
      </c>
      <c r="S73" s="89" t="str">
        <f>IFERROR(__xludf.DUMMYFUNCTION("GOOGLETRANSLATE(C73,""zh-tw"",""es-MX"")"),"La cabaña del cazador ya está abierta para explorar; debes derribar la puerta para entrar.
Puedes encontrar la túnica del cazador en el montón de pieles.
Puedes encontrar el cinturón del cazador en el montón del armario central.
")</f>
        <v>La cabaña del cazador ya está abierta para explorar; debes derribar la puerta para entrar.
Puedes encontrar la túnica del cazador en el montón de pieles.
Puedes encontrar el cinturón del cazador en el montón del armario central.
</v>
      </c>
      <c r="T73" s="55" t="str">
        <f>IFERROR(__xludf.DUMMYFUNCTION("GOOGLETRANSLATE(D73,""zh-tw"",""es-MX"")"),"Equipo adquirido: Traje de cazador, Cinturón de cazador
*Se espera que se añada un PNJ en el futuro")</f>
        <v>Equipo adquirido: Traje de cazador, Cinturón de cazador
*Se espera que se añada un PNJ en el futuro</v>
      </c>
      <c r="U73" s="84" t="s">
        <v>2954</v>
      </c>
      <c r="V73" s="154" t="str">
        <f>IFERROR(__xludf.DUMMYFUNCTION("GOOGLETRANSLATE(B73,""zh-tw"",""KO"")"),"헌터스 롯지")</f>
        <v>헌터스 롯지</v>
      </c>
      <c r="W73" s="89" t="str">
        <f>IFERROR(__xludf.DUMMYFUNCTION("GOOGLETRANSLATE(C73,""zh-tw"",""KO"")"),"사냥꾼의 오두막이 이제 탐험에 개방되었습니다. 들어가려면 문을 부수어야 합니다.
사냥꾼의 로브는 모피 더미에서 찾을 수 있습니다.
사냥꾼의 허리띠는 중앙 캐비닛 더미에서 찾을 수 있습니다.
")</f>
        <v>사냥꾼의 오두막이 이제 탐험에 개방되었습니다. 들어가려면 문을 부수어야 합니다.
사냥꾼의 로브는 모피 더미에서 찾을 수 있습니다.
사냥꾼의 허리띠는 중앙 캐비닛 더미에서 찾을 수 있습니다.
</v>
      </c>
      <c r="X73" s="55" t="str">
        <f>IFERROR(__xludf.DUMMYFUNCTION("GOOGLETRANSLATE(D73,""zh-tw"",""KO"")"),"획득 장비: 사냥꾼의 옷, 사냥꾼의 허리띠
*향후 NPC 추가 예정")</f>
        <v>획득 장비: 사냥꾼의 옷, 사냥꾼의 허리띠
*향후 NPC 추가 예정</v>
      </c>
      <c r="Y73" s="84" t="s">
        <v>2954</v>
      </c>
      <c r="Z73" s="153" t="str">
        <f>IFERROR(__xludf.DUMMYFUNCTION("GOOGLETRANSLATE(B73,""zh-tw"",""ru"")"),"Охотничий домик")</f>
        <v>Охотничий домик</v>
      </c>
      <c r="AA73" s="156" t="str">
        <f>IFERROR(__xludf.DUMMYFUNCTION("GOOGLETRANSLATE(C73,""zh-tw"",""RU"")"),"Домик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f>
        <v>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v>
      </c>
      <c r="AB73" s="44" t="str">
        <f>IFERROR(__xludf.DUMMYFUNCTION("GOOGLETRANSLATE(D73,""zh-tw"",""RU"")"),"Приобретённое снаряжение: Костюм охотника, Пояс охотника
*Ожидается добавление NPC в будущем.")</f>
        <v>Приобретённое снаряжение: Костюм охотника, Пояс охотника
*Ожидается добавление NPC в будущем.</v>
      </c>
      <c r="AC73" s="84" t="s">
        <v>2954</v>
      </c>
      <c r="AD73" s="153" t="s">
        <v>2964</v>
      </c>
      <c r="AE73" s="163" t="s">
        <v>2965</v>
      </c>
      <c r="AF73" s="167" t="s">
        <v>2966</v>
      </c>
      <c r="AG73" s="159" t="s">
        <v>2954</v>
      </c>
      <c r="AH73" s="160" t="s">
        <v>2967</v>
      </c>
      <c r="AI73" s="189" t="s">
        <v>2968</v>
      </c>
      <c r="AJ73" s="170" t="s">
        <v>2969</v>
      </c>
      <c r="AK73" s="126"/>
      <c r="AL73" s="126"/>
    </row>
    <row r="74">
      <c r="A74" s="84" t="s">
        <v>2970</v>
      </c>
      <c r="B74" s="153" t="s">
        <v>2971</v>
      </c>
      <c r="C74" s="95" t="s">
        <v>2972</v>
      </c>
      <c r="D74" s="52" t="s">
        <v>2973</v>
      </c>
      <c r="E74" s="84" t="s">
        <v>2970</v>
      </c>
      <c r="F74" s="153" t="s">
        <v>2974</v>
      </c>
      <c r="G74" s="163" t="s">
        <v>2975</v>
      </c>
      <c r="H74" s="52" t="s">
        <v>2976</v>
      </c>
      <c r="I74" s="84" t="s">
        <v>2970</v>
      </c>
      <c r="J74" s="153" t="s">
        <v>2977</v>
      </c>
      <c r="K74" s="163" t="s">
        <v>2978</v>
      </c>
      <c r="L74" s="167" t="s">
        <v>2979</v>
      </c>
      <c r="M74" s="84" t="s">
        <v>2970</v>
      </c>
      <c r="N74" s="153"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2970</v>
      </c>
      <c r="R74" s="154" t="str">
        <f>IFERROR(__xludf.DUMMYFUNCTION("GOOGLETRANSLATE(B74,""zh-tw"",""es-MX"")"),"Refugio del cazador - Sótano")</f>
        <v>Refugio del cazador - Sótano</v>
      </c>
      <c r="S74" s="89" t="str">
        <f>IFERROR(__xludf.DUMMYFUNCTION("GOOGLETRANSLATE(C74,""zh-tw"",""es-MX"")"),"Hay un pasadizo oculto en la parte inferior central de la tabla de madera, accesible mediante explosiones u otros métodos.
Allí puedes obtener la Daga del Cazador.
Y en el barril de la esquina inferior derecha encontrarás la Insignia de la Espada del Gu"&amp;"ardián.")</f>
        <v>Hay un pasadizo oculto en la parte inferior central de la tabla de madera, accesible mediante explosiones u otros métodos.
Allí puedes obtener la Daga del Cazador.
Y en el barril de la esquina inferior derecha encontrarás la Insignia de la Espada del Guardián.</v>
      </c>
      <c r="T74" s="55" t="str">
        <f>IFERROR(__xludf.DUMMYFUNCTION("GOOGLETRANSLATE(D74,""zh-tw"",""es-MX"")"),"Equipo adquirido: Daga de cazador, Insignia de maestro de la espada guardiana")</f>
        <v>Equipo adquirido: Daga de cazador, Insignia de maestro de la espada guardiana</v>
      </c>
      <c r="U74" s="84" t="s">
        <v>2970</v>
      </c>
      <c r="V74" s="154" t="str">
        <f>IFERROR(__xludf.DUMMYFUNCTION("GOOGLETRANSLATE(B74,""zh-tw"",""KO"")"),"헌터스 롯지 - 지하실")</f>
        <v>헌터스 롯지 - 지하실</v>
      </c>
      <c r="W74" s="89" t="str">
        <f>IFERROR(__xludf.DUMMYFUNCTION("GOOGLETRANSLATE(C74,""zh-tw"",""KO"")"),"나무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f>
        <v>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v>
      </c>
      <c r="X74" s="55" t="str">
        <f>IFERROR(__xludf.DUMMYFUNCTION("GOOGLETRANSLATE(D74,""zh-tw"",""KO"")"),"획득 장비 : 헌터의 단검, 가디언 블레이드 마스터 배지")</f>
        <v>획득 장비 : 헌터의 단검, 가디언 블레이드 마스터 배지</v>
      </c>
      <c r="Y74" s="84" t="s">
        <v>2970</v>
      </c>
      <c r="Z74" s="153" t="str">
        <f>IFERROR(__xludf.DUMMYFUNCTION("GOOGLETRANSLATE(B74,""zh-tw"",""ru"")"),"Охотничий домик - Подвал")</f>
        <v>Охотничий домик - Подвал</v>
      </c>
      <c r="AA74" s="156" t="str">
        <f>IFERROR(__xludf.DUMMYFUNCTION("GOOGLETRANSLATE(C74,""zh-tw"",""RU"")"),"В нижней части деревянной доски есть скрытый проход, доступ к которому осуществляется с помощью взрывов или другими способами.
Там можно получить Кинжал Охотника.
А в бочке в правом нижнем углу можно найти Значок Стража Клинка.")</f>
        <v>В нижней части деревянной доски есть скрытый проход, доступ к которому осуществляется с помощью взрывов или другими способами.
Там можно получить Кинжал Охотника.
А в бочке в правом нижнем углу можно найти Значок Стража Клинка.</v>
      </c>
      <c r="AB74" s="44" t="str">
        <f>IFERROR(__xludf.DUMMYFUNCTION("GOOGLETRANSLATE(D74,""zh-tw"",""RU"")"),"Полученное снаряжение: Кинжал Охотника, Значок Мастера Клинка Хранителя.")</f>
        <v>Полученное снаряжение: Кинжал Охотника, Значок Мастера Клинка Хранителя.</v>
      </c>
      <c r="AC74" s="84" t="s">
        <v>2970</v>
      </c>
      <c r="AD74" s="153" t="s">
        <v>2980</v>
      </c>
      <c r="AE74" s="163" t="s">
        <v>2981</v>
      </c>
      <c r="AF74" s="167" t="s">
        <v>2982</v>
      </c>
      <c r="AG74" s="159" t="s">
        <v>2970</v>
      </c>
      <c r="AH74" s="160" t="s">
        <v>2983</v>
      </c>
      <c r="AI74" s="161" t="s">
        <v>2984</v>
      </c>
      <c r="AJ74" s="170" t="s">
        <v>2985</v>
      </c>
      <c r="AK74" s="126"/>
      <c r="AL74" s="126"/>
    </row>
    <row r="75">
      <c r="A75" s="84" t="s">
        <v>2986</v>
      </c>
      <c r="B75" s="153" t="s">
        <v>2987</v>
      </c>
      <c r="C75" s="95" t="s">
        <v>2988</v>
      </c>
      <c r="D75" s="52" t="s">
        <v>2989</v>
      </c>
      <c r="E75" s="84" t="s">
        <v>2986</v>
      </c>
      <c r="F75" s="153" t="s">
        <v>2990</v>
      </c>
      <c r="G75" s="163" t="s">
        <v>2991</v>
      </c>
      <c r="H75" s="52" t="s">
        <v>2992</v>
      </c>
      <c r="I75" s="84" t="s">
        <v>2986</v>
      </c>
      <c r="J75" s="153" t="s">
        <v>2993</v>
      </c>
      <c r="K75" s="163" t="s">
        <v>2994</v>
      </c>
      <c r="L75" s="167" t="s">
        <v>2995</v>
      </c>
      <c r="M75" s="84" t="s">
        <v>2986</v>
      </c>
      <c r="N75" s="153"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2986</v>
      </c>
      <c r="R75" s="154" t="str">
        <f>IFERROR(__xludf.DUMMYFUNCTION("GOOGLETRANSLATE(B75,""zh-tw"",""es-MX"")"),"Elementos ocultos")</f>
        <v>Elementos ocultos</v>
      </c>
      <c r="S75" s="89" t="str">
        <f>IFERROR(__xludf.DUMMYFUNCTION("GOOGLETRANSLATE(C75,""zh-tw"",""es-MX"")"),"El punto brillante se encuentra en el fondo de la superficie del agua en ""Área de Desarrollo (Mina)-2"".")</f>
        <v>El punto brillante se encuentra en el fondo de la superficie del agua en "Área de Desarrollo (Mina)-2".</v>
      </c>
      <c r="T75" s="55" t="str">
        <f>IFERROR(__xludf.DUMMYFUNCTION("GOOGLETRANSLATE(D75,""zh-tw"",""es-MX"")"),"Equipo obtenido: Medalla de la Espada Guardiana")</f>
        <v>Equipo obtenido: Medalla de la Espada Guardiana</v>
      </c>
      <c r="U75" s="84" t="s">
        <v>2986</v>
      </c>
      <c r="V75" s="154" t="str">
        <f>IFERROR(__xludf.DUMMYFUNCTION("GOOGLETRANSLATE(B75,""zh-tw"",""KO"")"),"숨겨진 아이템")</f>
        <v>숨겨진 아이템</v>
      </c>
      <c r="W75" s="89" t="str">
        <f>IFERROR(__xludf.DUMMYFUNCTION("GOOGLETRANSLATE(C75,""zh-tw"",""KO"")"),"빛나는 지점은 ""개발 구역(광산)-2""의 수면 바닥에 위치해 있습니다.")</f>
        <v>빛나는 지점은 "개발 구역(광산)-2"의 수면 바닥에 위치해 있습니다.</v>
      </c>
      <c r="X75" s="55" t="str">
        <f>IFERROR(__xludf.DUMMYFUNCTION("GOOGLETRANSLATE(D75,""zh-tw"",""KO"")"),"획득 장비: 가디언 블레이드 메달")</f>
        <v>획득 장비: 가디언 블레이드 메달</v>
      </c>
      <c r="Y75" s="84" t="s">
        <v>2986</v>
      </c>
      <c r="Z75" s="153" t="str">
        <f>IFERROR(__xludf.DUMMYFUNCTION("GOOGLETRANSLATE(B75,""zh-tw"",""ru"")"),"Скрытые предметы")</f>
        <v>Скрытые предметы</v>
      </c>
      <c r="AA75" s="156" t="str">
        <f>IFERROR(__xludf.DUMMYFUNCTION("GOOGLETRANSLATE(C75,""zh-tw"",""RU"")"),"Светящаяся точка расположена на дне водной поверхности в «Зоне разработки (Шахте)-2».")</f>
        <v>Светящаяся точка расположена на дне водной поверхности в «Зоне разработки (Шахте)-2».</v>
      </c>
      <c r="AB75" s="44" t="str">
        <f>IFERROR(__xludf.DUMMYFUNCTION("GOOGLETRANSLATE(D75,""zh-tw"",""RU"")"),"Полученное снаряжение: Медаль «Хранитель Клинка»")</f>
        <v>Полученное снаряжение: Медаль «Хранитель Клинка»</v>
      </c>
      <c r="AC75" s="84" t="s">
        <v>2986</v>
      </c>
      <c r="AD75" s="153" t="s">
        <v>2996</v>
      </c>
      <c r="AE75" s="163" t="str">
        <f>IFERROR(__xludf.DUMMYFUNCTION("GOOGLETRANSLATE(C75,""zh-tw"",""de"")"),"Der leuchtende Fleck befindet sich am Grund der Wasseroberfläche im ""Entwicklungsbereich (Mine)-2"".")</f>
        <v>Der leuchtende Fleck befindet sich am Grund der Wasseroberfläche im "Entwicklungsbereich (Mine)-2".</v>
      </c>
      <c r="AF75" s="167" t="s">
        <v>2997</v>
      </c>
      <c r="AG75" s="159" t="s">
        <v>2986</v>
      </c>
      <c r="AH75" s="160" t="s">
        <v>2998</v>
      </c>
      <c r="AI75" s="189" t="s">
        <v>2999</v>
      </c>
      <c r="AJ75" s="170" t="s">
        <v>3000</v>
      </c>
      <c r="AK75" s="126"/>
      <c r="AL75" s="126"/>
    </row>
    <row r="76">
      <c r="A76" s="84" t="s">
        <v>3001</v>
      </c>
      <c r="B76" s="153" t="s">
        <v>2987</v>
      </c>
      <c r="C76" s="95" t="s">
        <v>3002</v>
      </c>
      <c r="D76" s="52" t="s">
        <v>3003</v>
      </c>
      <c r="E76" s="84" t="s">
        <v>3001</v>
      </c>
      <c r="F76" s="153" t="s">
        <v>2990</v>
      </c>
      <c r="G76" s="163" t="str">
        <f>IFERROR(__xludf.DUMMYFUNCTION("GOOGLETRANSLATE(C76,""zh-tw"",""ja"")"),"光る木箱は「開発区（鉱山）-3」に入って左側にあります。")</f>
        <v>光る木箱は「開発区（鉱山）-3」に入って左側にあります。</v>
      </c>
      <c r="H76" s="52" t="s">
        <v>3004</v>
      </c>
      <c r="I76" s="84" t="s">
        <v>3001</v>
      </c>
      <c r="J76" s="153" t="s">
        <v>2993</v>
      </c>
      <c r="K76" s="163" t="s">
        <v>3005</v>
      </c>
      <c r="L76" s="167" t="s">
        <v>3006</v>
      </c>
      <c r="M76" s="84" t="s">
        <v>3001</v>
      </c>
      <c r="N76" s="153"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3001</v>
      </c>
      <c r="R76" s="154" t="str">
        <f>IFERROR(__xludf.DUMMYFUNCTION("GOOGLETRANSLATE(B76,""zh-tw"",""es-MX"")"),"Elementos ocultos")</f>
        <v>Elementos ocultos</v>
      </c>
      <c r="S76" s="89" t="str">
        <f>IFERROR(__xludf.DUMMYFUNCTION("GOOGLETRANSLATE(C76,""zh-tw"",""es-MX"")"),"La caja de madera brillante se encuentra en el lado izquierdo después de entrar en ""Área de Desarrollo (Mina)-3"".")</f>
        <v>La caja de madera brillante se encuentra en el lado izquierdo después de entrar en "Área de Desarrollo (Mina)-3".</v>
      </c>
      <c r="T76" s="55" t="str">
        <f>IFERROR(__xludf.DUMMYFUNCTION("GOOGLETRANSLATE(D76,""zh-tw"",""es-MX"")"),"Equipo obtenido: Guantes de seguridad")</f>
        <v>Equipo obtenido: Guantes de seguridad</v>
      </c>
      <c r="U76" s="84" t="s">
        <v>3001</v>
      </c>
      <c r="V76" s="154" t="str">
        <f>IFERROR(__xludf.DUMMYFUNCTION("GOOGLETRANSLATE(B76,""zh-tw"",""KO"")"),"숨겨진 아이템")</f>
        <v>숨겨진 아이템</v>
      </c>
      <c r="W76" s="89" t="str">
        <f>IFERROR(__xludf.DUMMYFUNCTION("GOOGLETRANSLATE(C76,""zh-tw"",""KO"")"),"빛나는 나무 상자는 ""개발 구역(광산)-3""에 들어간 후 왼쪽에 있습니다.")</f>
        <v>빛나는 나무 상자는 "개발 구역(광산)-3"에 들어간 후 왼쪽에 있습니다.</v>
      </c>
      <c r="X76" s="55" t="str">
        <f>IFERROR(__xludf.DUMMYFUNCTION("GOOGLETRANSLATE(D76,""zh-tw"",""KO"")"),"획득한 장비: 안전 장갑")</f>
        <v>획득한 장비: 안전 장갑</v>
      </c>
      <c r="Y76" s="84" t="s">
        <v>3001</v>
      </c>
      <c r="Z76" s="153" t="str">
        <f>IFERROR(__xludf.DUMMYFUNCTION("GOOGLETRANSLATE(B76,""zh-tw"",""ru"")"),"Скрытые предметы")</f>
        <v>Скрытые предметы</v>
      </c>
      <c r="AA76" s="156" t="str">
        <f>IFERROR(__xludf.DUMMYFUNCTION("GOOGLETRANSLATE(C76,""zh-tw"",""RU"")"),"Светящийся деревянный ящик находится слева после входа в «Зону разработки (Шахту)-3».")</f>
        <v>Светящийся деревянный ящик находится слева после входа в «Зону разработки (Шахту)-3».</v>
      </c>
      <c r="AB76" s="44" t="str">
        <f>IFERROR(__xludf.DUMMYFUNCTION("GOOGLETRANSLATE(D76,""zh-tw"",""RU"")"),"Полученное оборудование: защитные перчатки.")</f>
        <v>Полученное оборудование: защитные перчатки.</v>
      </c>
      <c r="AC76" s="84" t="s">
        <v>3001</v>
      </c>
      <c r="AD76" s="153" t="s">
        <v>2996</v>
      </c>
      <c r="AE76" s="163" t="str">
        <f>IFERROR(__xludf.DUMMYFUNCTION("GOOGLETRANSLATE(C76,""zh-tw"",""de"")"),"Die leuchtende Holzkiste befindet sich auf der linken Seite nach Betreten des ""Entwicklungsbereichs (Mine)-3"".")</f>
        <v>Die leuchtende Holzkiste befindet sich auf der linken Seite nach Betreten des "Entwicklungsbereichs (Mine)-3".</v>
      </c>
      <c r="AF76" s="167" t="s">
        <v>3007</v>
      </c>
      <c r="AG76" s="159" t="s">
        <v>3001</v>
      </c>
      <c r="AH76" s="160" t="s">
        <v>2998</v>
      </c>
      <c r="AI76" s="189" t="s">
        <v>3008</v>
      </c>
      <c r="AJ76" s="170" t="s">
        <v>3009</v>
      </c>
      <c r="AK76" s="126"/>
      <c r="AL76" s="126"/>
    </row>
    <row r="77">
      <c r="A77" s="84" t="s">
        <v>3010</v>
      </c>
      <c r="B77" s="153" t="s">
        <v>2987</v>
      </c>
      <c r="C77" s="95" t="s">
        <v>3011</v>
      </c>
      <c r="D77" s="52" t="s">
        <v>3012</v>
      </c>
      <c r="E77" s="84" t="s">
        <v>3010</v>
      </c>
      <c r="F77" s="153" t="s">
        <v>2990</v>
      </c>
      <c r="G77" s="163" t="s">
        <v>3013</v>
      </c>
      <c r="H77" s="52" t="s">
        <v>3014</v>
      </c>
      <c r="I77" s="84" t="s">
        <v>3010</v>
      </c>
      <c r="J77" s="153" t="s">
        <v>2993</v>
      </c>
      <c r="K77" s="163" t="s">
        <v>3015</v>
      </c>
      <c r="L77" s="167" t="s">
        <v>3016</v>
      </c>
      <c r="M77" s="84" t="s">
        <v>3010</v>
      </c>
      <c r="N77" s="153"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3010</v>
      </c>
      <c r="R77" s="154" t="str">
        <f>IFERROR(__xludf.DUMMYFUNCTION("GOOGLETRANSLATE(B77,""zh-tw"",""es-MX"")"),"Elementos ocultos")</f>
        <v>Elementos ocultos</v>
      </c>
      <c r="S77" s="89" t="str">
        <f>IFERROR(__xludf.DUMMYFUNCTION("GOOGLETRANSLATE(C77,""zh-tw"",""es-MX"")"),"Los objetos ocultos se pueden obtener utilizando habilidades de equipo en el área suspendida del área de desarrollo (mina)-3.")</f>
        <v>Los objetos ocultos se pueden obtener utilizando habilidades de equipo en el área suspendida del área de desarrollo (mina)-3.</v>
      </c>
      <c r="T77" s="55" t="str">
        <f>IFERROR(__xludf.DUMMYFUNCTION("GOOGLETRANSLATE(D77,""zh-tw"",""es-MX"")"),"Equipo obtenido: Espada de gema")</f>
        <v>Equipo obtenido: Espada de gema</v>
      </c>
      <c r="U77" s="84" t="s">
        <v>3010</v>
      </c>
      <c r="V77" s="154" t="str">
        <f>IFERROR(__xludf.DUMMYFUNCTION("GOOGLETRANSLATE(B77,""zh-tw"",""KO"")"),"숨겨진 아이템")</f>
        <v>숨겨진 아이템</v>
      </c>
      <c r="W77" s="89" t="str">
        <f>IFERROR(__xludf.DUMMYFUNCTION("GOOGLETRANSLATE(C77,""zh-tw"",""KO"")"),"개발구역(광산)-3의 정지구역에서 장비스킬을 사용하면 숨겨진 아이템을 획득할 수 있습니다.")</f>
        <v>개발구역(광산)-3의 정지구역에서 장비스킬을 사용하면 숨겨진 아이템을 획득할 수 있습니다.</v>
      </c>
      <c r="X77" s="55" t="str">
        <f>IFERROR(__xludf.DUMMYFUNCTION("GOOGLETRANSLATE(D77,""zh-tw"",""KO"")"),"획득 장비: 보석검")</f>
        <v>획득 장비: 보석검</v>
      </c>
      <c r="Y77" s="84" t="s">
        <v>3010</v>
      </c>
      <c r="Z77" s="153" t="str">
        <f>IFERROR(__xludf.DUMMYFUNCTION("GOOGLETRANSLATE(B77,""zh-tw"",""ru"")"),"Скрытые предметы")</f>
        <v>Скрытые предметы</v>
      </c>
      <c r="AA77" s="156" t="str">
        <f>IFERROR(__xludf.DUMMYFUNCTION("GOOGLETRANSLATE(C77,""zh-tw"",""RU"")"),"Скрытые предметы можно получить, используя навыки владения снаряжением в подвешенной зоне разрабатываемой территории (шахты)-3.")</f>
        <v>Скрытые предметы можно получить, используя навыки владения снаряжением в подвешенной зоне разрабатываемой территории (шахты)-3.</v>
      </c>
      <c r="AB77" s="44" t="str">
        <f>IFERROR(__xludf.DUMMYFUNCTION("GOOGLETRANSLATE(D77,""zh-tw"",""RU"")"),"Полученное снаряжение: Меч из самоцветов")</f>
        <v>Полученное снаряжение: Меч из самоцветов</v>
      </c>
      <c r="AC77" s="84" t="s">
        <v>3010</v>
      </c>
      <c r="AD77" s="153" t="s">
        <v>2996</v>
      </c>
      <c r="AE77" s="163" t="str">
        <f>IFERROR(__xludf.DUMMYFUNCTION("GOOGLETRANSLATE(C77,""zh-tw"",""de"")"),"Versteckte Gegenstände können durch den Einsatz von Ausrüstungsfertigkeiten im schwebenden Bereich des Entwicklungsgebiets (Mine)-3 erhalten werden.")</f>
        <v>Versteckte Gegenstände können durch den Einsatz von Ausrüstungsfertigkeiten im schwebenden Bereich des Entwicklungsgebiets (Mine)-3 erhalten werden.</v>
      </c>
      <c r="AF77" s="167" t="s">
        <v>3017</v>
      </c>
      <c r="AG77" s="159" t="s">
        <v>3010</v>
      </c>
      <c r="AH77" s="160" t="s">
        <v>2998</v>
      </c>
      <c r="AI77" s="189" t="s">
        <v>3018</v>
      </c>
      <c r="AJ77" s="170" t="s">
        <v>3019</v>
      </c>
      <c r="AK77" s="126"/>
      <c r="AL77" s="126"/>
    </row>
    <row r="78">
      <c r="A78" s="84" t="s">
        <v>3020</v>
      </c>
      <c r="B78" s="153" t="s">
        <v>2987</v>
      </c>
      <c r="C78" s="95" t="s">
        <v>3021</v>
      </c>
      <c r="D78" s="52" t="s">
        <v>3022</v>
      </c>
      <c r="E78" s="84" t="s">
        <v>3020</v>
      </c>
      <c r="F78" s="153" t="s">
        <v>2990</v>
      </c>
      <c r="G78" s="163" t="s">
        <v>3023</v>
      </c>
      <c r="H78" s="52" t="s">
        <v>3024</v>
      </c>
      <c r="I78" s="84" t="s">
        <v>3020</v>
      </c>
      <c r="J78" s="153" t="s">
        <v>2993</v>
      </c>
      <c r="K78" s="163" t="s">
        <v>3025</v>
      </c>
      <c r="L78" s="167" t="s">
        <v>3026</v>
      </c>
      <c r="M78" s="84" t="s">
        <v>3020</v>
      </c>
      <c r="N78" s="153"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3020</v>
      </c>
      <c r="R78" s="154" t="str">
        <f>IFERROR(__xludf.DUMMYFUNCTION("GOOGLETRANSLATE(B78,""zh-tw"",""es-MX"")"),"Elementos ocultos")</f>
        <v>Elementos ocultos</v>
      </c>
      <c r="S78" s="89" t="str">
        <f>IFERROR(__xludf.DUMMYFUNCTION("GOOGLETRANSLATE(C78,""zh-tw"",""es-MX"")"),"En la zona en desarrollo (mina)-4, encima de la escalera central, hay un punto brillante.")</f>
        <v>En la zona en desarrollo (mina)-4, encima de la escalera central, hay un punto brillante.</v>
      </c>
      <c r="T78" s="55" t="str">
        <f>IFERROR(__xludf.DUMMYFUNCTION("GOOGLETRANSLATE(D78,""zh-tw"",""es-MX"")"),"Obtén el equipo: Espada de hierro oxidada")</f>
        <v>Obtén el equipo: Espada de hierro oxidada</v>
      </c>
      <c r="U78" s="84" t="s">
        <v>3020</v>
      </c>
      <c r="V78" s="154" t="str">
        <f>IFERROR(__xludf.DUMMYFUNCTION("GOOGLETRANSLATE(B78,""zh-tw"",""KO"")"),"숨겨진 아이템")</f>
        <v>숨겨진 아이템</v>
      </c>
      <c r="W78" s="89" t="str">
        <f>IFERROR(__xludf.DUMMYFUNCTION("GOOGLETRANSLATE(C78,""zh-tw"",""KO"")"),"개발 구역(광산)-4, 중앙 계단 위에 빛나는 점이 있습니다.")</f>
        <v>개발 구역(광산)-4, 중앙 계단 위에 빛나는 점이 있습니다.</v>
      </c>
      <c r="X78" s="55" t="str">
        <f>IFERROR(__xludf.DUMMYFUNCTION("GOOGLETRANSLATE(D78,""zh-tw"",""KO"")"),"장비 획득: 녹슨 철검")</f>
        <v>장비 획득: 녹슨 철검</v>
      </c>
      <c r="Y78" s="84" t="s">
        <v>3020</v>
      </c>
      <c r="Z78" s="153" t="str">
        <f>IFERROR(__xludf.DUMMYFUNCTION("GOOGLETRANSLATE(B78,""zh-tw"",""ru"")"),"Скрытые предметы")</f>
        <v>Скрытые предметы</v>
      </c>
      <c r="AA78" s="156" t="str">
        <f>IFERROR(__xludf.DUMMYFUNCTION("GOOGLETRANSLATE(C78,""zh-tw"",""RU"")"),"В зоне разработки (шахте)-4, над центральной лестницей, находится светящаяся точка.")</f>
        <v>В зоне разработки (шахте)-4, над центральной лестницей, находится светящаяся точка.</v>
      </c>
      <c r="AB78" s="44" t="str">
        <f>IFERROR(__xludf.DUMMYFUNCTION("GOOGLETRANSLATE(D78,""zh-tw"",""RU"")"),"Получить снаряжение: Ржавый железный меч")</f>
        <v>Получить снаряжение: Ржавый железный меч</v>
      </c>
      <c r="AC78" s="84" t="s">
        <v>3020</v>
      </c>
      <c r="AD78" s="153" t="s">
        <v>2996</v>
      </c>
      <c r="AE78" s="163" t="str">
        <f>IFERROR(__xludf.DUMMYFUNCTION("GOOGLETRANSLATE(C78,""zh-tw"",""de"")"),"Im Entwicklungsgebiet (Mine)-4, oberhalb der zentralen Treppe, befindet sich ein leuchtender Fleck.")</f>
        <v>Im Entwicklungsgebiet (Mine)-4, oberhalb der zentralen Treppe, befindet sich ein leuchtender Fleck.</v>
      </c>
      <c r="AF78" s="167" t="s">
        <v>3027</v>
      </c>
      <c r="AG78" s="159" t="s">
        <v>3020</v>
      </c>
      <c r="AH78" s="160" t="s">
        <v>2998</v>
      </c>
      <c r="AI78" s="189" t="s">
        <v>3028</v>
      </c>
      <c r="AJ78" s="170" t="s">
        <v>3029</v>
      </c>
      <c r="AK78" s="126"/>
      <c r="AL78" s="126"/>
    </row>
    <row r="79">
      <c r="A79" s="84" t="s">
        <v>3030</v>
      </c>
      <c r="B79" s="153" t="s">
        <v>2987</v>
      </c>
      <c r="C79" s="95" t="s">
        <v>3031</v>
      </c>
      <c r="D79" s="52" t="s">
        <v>3032</v>
      </c>
      <c r="E79" s="84" t="s">
        <v>3030</v>
      </c>
      <c r="F79" s="153" t="s">
        <v>2990</v>
      </c>
      <c r="G79" s="163" t="s">
        <v>3033</v>
      </c>
      <c r="H79" s="52" t="s">
        <v>3034</v>
      </c>
      <c r="I79" s="84" t="s">
        <v>3030</v>
      </c>
      <c r="J79" s="153" t="s">
        <v>2993</v>
      </c>
      <c r="K79" s="163" t="s">
        <v>3035</v>
      </c>
      <c r="L79" s="167" t="s">
        <v>3036</v>
      </c>
      <c r="M79" s="84" t="s">
        <v>3030</v>
      </c>
      <c r="N79" s="153"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3030</v>
      </c>
      <c r="R79" s="154" t="str">
        <f>IFERROR(__xludf.DUMMYFUNCTION("GOOGLETRANSLATE(B79,""zh-tw"",""es-MX"")"),"Elementos ocultos")</f>
        <v>Elementos ocultos</v>
      </c>
      <c r="S79" s="89" t="str">
        <f>IFERROR(__xludf.DUMMYFUNCTION("GOOGLETRANSLATE(C79,""zh-tw"",""es-MX"")"),"En la zona en desarrollo (pozo minero) -4, a la izquierda después de bajar la escalera central.")</f>
        <v>En la zona en desarrollo (pozo minero) -4, a la izquierda después de bajar la escalera central.</v>
      </c>
      <c r="T79" s="55" t="str">
        <f>IFERROR(__xludf.DUMMYFUNCTION("GOOGLETRANSLATE(D79,""zh-tw"",""es-MX"")"),"Adquirir equipo: Gólem de Hierro. Las reglas del Gólem de Hierro se explican en los Consejos.")</f>
        <v>Adquirir equipo: Gólem de Hierro. Las reglas del Gólem de Hierro se explican en los Consejos.</v>
      </c>
      <c r="U79" s="84" t="s">
        <v>3030</v>
      </c>
      <c r="V79" s="154" t="str">
        <f>IFERROR(__xludf.DUMMYFUNCTION("GOOGLETRANSLATE(B79,""zh-tw"",""KO"")"),"숨겨진 아이템")</f>
        <v>숨겨진 아이템</v>
      </c>
      <c r="W79" s="89" t="str">
        <f>IFERROR(__xludf.DUMMYFUNCTION("GOOGLETRANSLATE(C79,""zh-tw"",""KO"")"),"개발 구역(광산 구덩이) -4, 중앙 계단을 내려가 왼쪽에 있습니다.")</f>
        <v>개발 구역(광산 구덩이) -4, 중앙 계단을 내려가 왼쪽에 있습니다.</v>
      </c>
      <c r="X79" s="55" t="str">
        <f>IFERROR(__xludf.DUMMYFUNCTION("GOOGLETRANSLATE(D79,""zh-tw"",""KO"")"),"장비 획득: 아이언 골렘 아이언 골렘의 규칙은 팁에 설명되어 있습니다.")</f>
        <v>장비 획득: 아이언 골렘 아이언 골렘의 규칙은 팁에 설명되어 있습니다.</v>
      </c>
      <c r="Y79" s="84" t="s">
        <v>3030</v>
      </c>
      <c r="Z79" s="153" t="str">
        <f>IFERROR(__xludf.DUMMYFUNCTION("GOOGLETRANSLATE(B79,""zh-tw"",""ru"")"),"Скрытые предметы")</f>
        <v>Скрытые предметы</v>
      </c>
      <c r="AA79" s="156"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IFERROR(__xludf.DUMMYFUNCTION("GOOGLETRANSLATE(D79,""zh-tw"",""RU"")"),"Приобретение снаряжения: Железный Голем. Правила для Железного Голема объясняются в Советах.")</f>
        <v>Приобретение снаряжения: Железный Голем. Правила для Железного Голема объясняются в Советах.</v>
      </c>
      <c r="AC79" s="84" t="s">
        <v>3030</v>
      </c>
      <c r="AD79" s="153" t="s">
        <v>2996</v>
      </c>
      <c r="AE79" s="163" t="str">
        <f>IFERROR(__xludf.DUMMYFUNCTION("GOOGLETRANSLATE(C79,""zh-tw"",""de"")"),"Im Erschließungsbereich (Schacht) -4, links nach dem Abstieg über die zentrale Treppe.")</f>
        <v>Im Erschließungsbereich (Schacht) -4, links nach dem Abstieg über die zentrale Treppe.</v>
      </c>
      <c r="AF79" s="167" t="s">
        <v>3037</v>
      </c>
      <c r="AG79" s="159" t="s">
        <v>3030</v>
      </c>
      <c r="AH79" s="160" t="s">
        <v>2998</v>
      </c>
      <c r="AI79" s="189" t="s">
        <v>3038</v>
      </c>
      <c r="AJ79" s="170" t="s">
        <v>3039</v>
      </c>
      <c r="AK79" s="126"/>
      <c r="AL79" s="126"/>
    </row>
    <row r="80">
      <c r="A80" s="84" t="s">
        <v>3040</v>
      </c>
      <c r="B80" s="153" t="s">
        <v>2987</v>
      </c>
      <c r="C80" s="95" t="s">
        <v>3041</v>
      </c>
      <c r="D80" s="52" t="s">
        <v>3042</v>
      </c>
      <c r="E80" s="84" t="s">
        <v>3040</v>
      </c>
      <c r="F80" s="153" t="s">
        <v>2990</v>
      </c>
      <c r="G80" s="163" t="s">
        <v>3043</v>
      </c>
      <c r="H80" s="52" t="s">
        <v>3044</v>
      </c>
      <c r="I80" s="84" t="s">
        <v>3040</v>
      </c>
      <c r="J80" s="153" t="s">
        <v>2993</v>
      </c>
      <c r="K80" s="163" t="s">
        <v>3045</v>
      </c>
      <c r="L80" s="167" t="s">
        <v>3046</v>
      </c>
      <c r="M80" s="84" t="s">
        <v>3040</v>
      </c>
      <c r="N80" s="153"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3040</v>
      </c>
      <c r="R80" s="154" t="str">
        <f>IFERROR(__xludf.DUMMYFUNCTION("GOOGLETRANSLATE(B80,""zh-tw"",""es-MX"")"),"Elementos ocultos")</f>
        <v>Elementos ocultos</v>
      </c>
      <c r="S80" s="89" t="str">
        <f>IFERROR(__xludf.DUMMYFUNCTION("GOOGLETRANSLATE(C80,""zh-tw"",""es-MX"")"),"En el área en desarrollo (pozo minero) -4, el punto brillante está a la derecha después de bajar las escaleras centrales.")</f>
        <v>En el área en desarrollo (pozo minero) -4, el punto brillante está a la derecha después de bajar las escaleras centrales.</v>
      </c>
      <c r="T80" s="55" t="str">
        <f>IFERROR(__xludf.DUMMYFUNCTION("GOOGLETRANSLATE(D80,""zh-tw"",""es-MX"")"),"Objeto obtenido: Gel mágico x10")</f>
        <v>Objeto obtenido: Gel mágico x10</v>
      </c>
      <c r="U80" s="84" t="s">
        <v>3040</v>
      </c>
      <c r="V80" s="154" t="str">
        <f>IFERROR(__xludf.DUMMYFUNCTION("GOOGLETRANSLATE(B80,""zh-tw"",""KO"")"),"숨겨진 아이템")</f>
        <v>숨겨진 아이템</v>
      </c>
      <c r="W80" s="89" t="str">
        <f>IFERROR(__xludf.DUMMYFUNCTION("GOOGLETRANSLATE(C80,""zh-tw"",""KO"")"),"개발 구역(광산 구덩이)-4에서 빛나는 지점은 중앙 계단을 내려가서 오른쪽에 있습니다.")</f>
        <v>개발 구역(광산 구덩이)-4에서 빛나는 지점은 중앙 계단을 내려가서 오른쪽에 있습니다.</v>
      </c>
      <c r="X80" s="55" t="str">
        <f>IFERROR(__xludf.DUMMYFUNCTION("GOOGLETRANSLATE(D80,""zh-tw"",""KO"")"),"획득 아이템 : 마법 젤 x10")</f>
        <v>획득 아이템 : 마법 젤 x10</v>
      </c>
      <c r="Y80" s="84" t="s">
        <v>3040</v>
      </c>
      <c r="Z80" s="153" t="str">
        <f>IFERROR(__xludf.DUMMYFUNCTION("GOOGLETRANSLATE(B80,""zh-tw"",""ru"")"),"Скрытые предметы")</f>
        <v>Скрытые предметы</v>
      </c>
      <c r="AA80" s="156" t="str">
        <f>IFERROR(__xludf.DUMMYFUNCTION("GOOGLETRANSLATE(C80,""zh-tw"",""RU"")"),"В зоне разработки (шахта)-4 светящаяся точка находится справа после спуска по центральной лестнице.")</f>
        <v>В зоне разработки (шахта)-4 светящаяся точка находится справа после спуска по центральной лестнице.</v>
      </c>
      <c r="AB80" s="44" t="str">
        <f>IFERROR(__xludf.DUMMYFUNCTION("GOOGLETRANSLATE(D80,""zh-tw"",""RU"")"),"Полученный предмет: Волшебный гель x10")</f>
        <v>Полученный предмет: Волшебный гель x10</v>
      </c>
      <c r="AC80" s="84" t="s">
        <v>3040</v>
      </c>
      <c r="AD80" s="153" t="s">
        <v>2996</v>
      </c>
      <c r="AE80" s="163" t="str">
        <f>IFERROR(__xludf.DUMMYFUNCTION("GOOGLETRANSLATE(C80,""zh-tw"",""de"")"),"Im Entwicklungsgebiet (Schacht) -4 befindet sich der leuchtende Punkt auf der rechten Seite, nachdem man die zentrale Treppe hinuntergegangen ist.")</f>
        <v>Im Entwicklungsgebiet (Schacht) -4 befindet sich der leuchtende Punkt auf der rechten Seite, nachdem man die zentrale Treppe hinuntergegangen ist.</v>
      </c>
      <c r="AF80" s="167" t="s">
        <v>3047</v>
      </c>
      <c r="AG80" s="159" t="s">
        <v>3040</v>
      </c>
      <c r="AH80" s="160" t="s">
        <v>2998</v>
      </c>
      <c r="AI80" s="189" t="s">
        <v>3048</v>
      </c>
      <c r="AJ80" s="170" t="s">
        <v>3049</v>
      </c>
      <c r="AK80" s="126"/>
      <c r="AL80" s="126"/>
    </row>
    <row r="81">
      <c r="A81" s="84" t="s">
        <v>3050</v>
      </c>
      <c r="B81" s="153" t="s">
        <v>3051</v>
      </c>
      <c r="C81" s="95" t="s">
        <v>3052</v>
      </c>
      <c r="D81" s="52" t="s">
        <v>3053</v>
      </c>
      <c r="E81" s="84" t="s">
        <v>3050</v>
      </c>
      <c r="F81" s="153" t="s">
        <v>3054</v>
      </c>
      <c r="G81" s="163" t="s">
        <v>3055</v>
      </c>
      <c r="H81" s="52" t="s">
        <v>3056</v>
      </c>
      <c r="I81" s="84" t="s">
        <v>3050</v>
      </c>
      <c r="J81" s="153" t="s">
        <v>3057</v>
      </c>
      <c r="K81" s="163" t="s">
        <v>3058</v>
      </c>
      <c r="L81" s="167" t="s">
        <v>3059</v>
      </c>
      <c r="M81" s="84" t="s">
        <v>3050</v>
      </c>
      <c r="N81" s="153"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3050</v>
      </c>
      <c r="R81" s="154" t="str">
        <f>IFERROR(__xludf.DUMMYFUNCTION("GOOGLETRANSLATE(B81,""zh-tw"",""es-MX"")"),"ASABA-1")</f>
        <v>ASABA-1</v>
      </c>
      <c r="S81" s="89" t="str">
        <f>IFERROR(__xludf.DUMMYFUNCTION("GOOGLETRANSLATE(C81,""zh-tw"",""es-MX"")"),"Alimente a ASABA con ""comida normal"".")</f>
        <v>Alimente a ASABA con "comida normal".</v>
      </c>
      <c r="T81" s="55" t="str">
        <f>IFERROR(__xludf.DUMMYFUNCTION("GOOGLETRANSLATE(D81,""zh-tw"",""es-MX"")"),"Ninguna reacción, e incluso disgusto si sucede con demasiada frecuencia.")</f>
        <v>Ninguna reacción, e incluso disgusto si sucede con demasiada frecuencia.</v>
      </c>
      <c r="U81" s="84" t="s">
        <v>3050</v>
      </c>
      <c r="V81" s="154" t="str">
        <f>IFERROR(__xludf.DUMMYFUNCTION("GOOGLETRANSLATE(B81,""zh-tw"",""KO"")"),"아사바-1")</f>
        <v>아사바-1</v>
      </c>
      <c r="W81" s="89" t="str">
        <f>IFERROR(__xludf.DUMMYFUNCTION("GOOGLETRANSLATE(C81,""zh-tw"",""KO"")"),"ASABA에게 ""일반 음식""을 먹이세요")</f>
        <v>ASABA에게 "일반 음식"을 먹이세요</v>
      </c>
      <c r="X81" s="55" t="str">
        <f>IFERROR(__xludf.DUMMYFUNCTION("GOOGLETRANSLATE(D81,""zh-tw"",""KO"")"),"아무런 반응도 없고, 너무 자주 일어나면 혐오감을 느끼기도 합니다.")</f>
        <v>아무런 반응도 없고, 너무 자주 일어나면 혐오감을 느끼기도 합니다.</v>
      </c>
      <c r="Y81" s="84" t="s">
        <v>3050</v>
      </c>
      <c r="Z81" s="153" t="str">
        <f>IFERROR(__xludf.DUMMYFUNCTION("GOOGLETRANSLATE(B81,""zh-tw"",""ru"")"),"АСАБА-1")</f>
        <v>АСАБА-1</v>
      </c>
      <c r="AA81" s="156" t="str">
        <f>IFERROR(__xludf.DUMMYFUNCTION("GOOGLETRANSLATE(C81,""zh-tw"",""RU"")"),"Корм ASABA - ""обычный корм""")</f>
        <v>Корм ASABA - "обычный корм"</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3050</v>
      </c>
      <c r="AD81" s="153" t="str">
        <f>IFERROR(__xludf.DUMMYFUNCTION("GOOGLETRANSLATE(B81,""zh-tw"",""de"")"),"ASABA-1")</f>
        <v>ASABA-1</v>
      </c>
      <c r="AE81" s="163" t="str">
        <f>IFERROR(__xludf.DUMMYFUNCTION("GOOGLETRANSLATE(C81,""zh-tw"",""de"")"),"ASABA füttern – „normales Futter“")</f>
        <v>ASABA füttern – „normales Futter“</v>
      </c>
      <c r="AF81" s="167" t="s">
        <v>3060</v>
      </c>
      <c r="AG81" s="159" t="s">
        <v>3050</v>
      </c>
      <c r="AH81" s="160" t="s">
        <v>3057</v>
      </c>
      <c r="AI81" s="189" t="s">
        <v>3061</v>
      </c>
      <c r="AJ81" s="170" t="s">
        <v>3062</v>
      </c>
      <c r="AK81" s="126"/>
      <c r="AL81" s="126"/>
    </row>
    <row r="82">
      <c r="A82" s="84" t="s">
        <v>3063</v>
      </c>
      <c r="B82" s="153" t="s">
        <v>3064</v>
      </c>
      <c r="C82" s="95" t="s">
        <v>3065</v>
      </c>
      <c r="D82" s="52" t="s">
        <v>3066</v>
      </c>
      <c r="E82" s="84" t="s">
        <v>3063</v>
      </c>
      <c r="F82" s="153" t="s">
        <v>3067</v>
      </c>
      <c r="G82" s="163" t="s">
        <v>3068</v>
      </c>
      <c r="H82" s="52" t="s">
        <v>3069</v>
      </c>
      <c r="I82" s="84" t="s">
        <v>3063</v>
      </c>
      <c r="J82" s="153" t="s">
        <v>3070</v>
      </c>
      <c r="K82" s="163" t="s">
        <v>3071</v>
      </c>
      <c r="L82" s="167" t="s">
        <v>3072</v>
      </c>
      <c r="M82" s="84" t="s">
        <v>3063</v>
      </c>
      <c r="N82" s="153"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3063</v>
      </c>
      <c r="R82" s="154" t="str">
        <f>IFERROR(__xludf.DUMMYFUNCTION("GOOGLETRANSLATE(B82,""zh-tw"",""es-MX"")"),"ASABA-2")</f>
        <v>ASABA-2</v>
      </c>
      <c r="S82" s="89" t="str">
        <f>IFERROR(__xludf.DUMMYFUNCTION("GOOGLETRANSLATE(C82,""zh-tw"",""es-MX"")"),"Alimentando a ASABA - ""El ahoge de la hermana""")</f>
        <v>Alimentando a ASABA - "El ahoge de la hermana"</v>
      </c>
      <c r="T82" s="55" t="str">
        <f>IFERROR(__xludf.DUMMYFUNCTION("GOOGLETRANSLATE(D82,""zh-tw"",""es-MX"")"),"Apagando el cerebro de ASABA")</f>
        <v>Apagando el cerebro de ASABA</v>
      </c>
      <c r="U82" s="84" t="s">
        <v>3063</v>
      </c>
      <c r="V82" s="154" t="str">
        <f>IFERROR(__xludf.DUMMYFUNCTION("GOOGLETRANSLATE(B82,""zh-tw"",""KO"")"),"아사바-2")</f>
        <v>아사바-2</v>
      </c>
      <c r="W82" s="89" t="str">
        <f>IFERROR(__xludf.DUMMYFUNCTION("GOOGLETRANSLATE(C82,""zh-tw"",""KO"")"),"아사바에게 먹이주기 - ""자매의 아호게""")</f>
        <v>아사바에게 먹이주기 - "자매의 아호게"</v>
      </c>
      <c r="X82" s="55" t="str">
        <f>IFERROR(__xludf.DUMMYFUNCTION("GOOGLETRANSLATE(D82,""zh-tw"",""KO"")"),"ASABA의 뇌를 끄다")</f>
        <v>ASABA의 뇌를 끄다</v>
      </c>
      <c r="Y82" s="84" t="s">
        <v>3063</v>
      </c>
      <c r="Z82" s="153" t="str">
        <f>IFERROR(__xludf.DUMMYFUNCTION("GOOGLETRANSLATE(B82,""zh-tw"",""ru"")"),"АСАБА-2")</f>
        <v>АСАБА-2</v>
      </c>
      <c r="AA82" s="156" t="str">
        <f>IFERROR(__xludf.DUMMYFUNCTION("GOOGLETRANSLATE(C82,""zh-tw"",""RU"")"),"Кормление ASABA - ""Sister's ahoge""")</f>
        <v>Кормление ASABA - "Sister's ahoge"</v>
      </c>
      <c r="AB82" s="44" t="str">
        <f>IFERROR(__xludf.DUMMYFUNCTION("GOOGLETRANSLATE(D82,""zh-tw"",""RU"")"),"Отключение мозга ASABA")</f>
        <v>Отключение мозга ASABA</v>
      </c>
      <c r="AC82" s="84" t="s">
        <v>3063</v>
      </c>
      <c r="AD82" s="153" t="str">
        <f>IFERROR(__xludf.DUMMYFUNCTION("GOOGLETRANSLATE(B82,""zh-tw"",""de"")"),"ASABA-2")</f>
        <v>ASABA-2</v>
      </c>
      <c r="AE82" s="163" t="str">
        <f>IFERROR(__xludf.DUMMYFUNCTION("GOOGLETRANSLATE(C82,""zh-tw"",""de"")"),"Fütterung von ASABA – „Schwesters Ahoge“")</f>
        <v>Fütterung von ASABA – „Schwesters Ahoge“</v>
      </c>
      <c r="AF82" s="167" t="s">
        <v>3073</v>
      </c>
      <c r="AG82" s="159" t="s">
        <v>3063</v>
      </c>
      <c r="AH82" s="160" t="s">
        <v>3070</v>
      </c>
      <c r="AI82" s="189" t="s">
        <v>3074</v>
      </c>
      <c r="AJ82" s="170" t="s">
        <v>3075</v>
      </c>
      <c r="AK82" s="126"/>
      <c r="AL82" s="126"/>
    </row>
    <row r="83">
      <c r="A83" s="84" t="s">
        <v>3076</v>
      </c>
      <c r="B83" s="153" t="s">
        <v>3077</v>
      </c>
      <c r="C83" s="95" t="s">
        <v>3078</v>
      </c>
      <c r="D83" s="52" t="s">
        <v>3079</v>
      </c>
      <c r="E83" s="84" t="s">
        <v>3076</v>
      </c>
      <c r="F83" s="153" t="s">
        <v>3080</v>
      </c>
      <c r="G83" s="163" t="s">
        <v>3081</v>
      </c>
      <c r="H83" s="52" t="str">
        <f>IFERROR(__xludf.DUMMYFUNCTION("GOOGLETRANSLATE(D83,""zh-tw"",""ja"")"),"BUFFを取得")</f>
        <v>BUFFを取得</v>
      </c>
      <c r="I83" s="84" t="s">
        <v>3076</v>
      </c>
      <c r="J83" s="153" t="s">
        <v>3082</v>
      </c>
      <c r="K83" s="163" t="s">
        <v>3083</v>
      </c>
      <c r="L83" s="167" t="s">
        <v>3084</v>
      </c>
      <c r="M83" s="84" t="s">
        <v>3076</v>
      </c>
      <c r="N83" s="153"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3076</v>
      </c>
      <c r="R83" s="154" t="str">
        <f>IFERROR(__xludf.DUMMYFUNCTION("GOOGLETRANSLATE(B83,""zh-tw"",""es-MX"")"),"ASABA-3")</f>
        <v>ASABA-3</v>
      </c>
      <c r="S83" s="89" t="str">
        <f>IFERROR(__xludf.DUMMYFUNCTION("GOOGLETRANSLATE(C83,""zh-tw"",""es-MX"")"),"Alimentar a ASABA con ""Fresa"" te otorgará una mejora.")</f>
        <v>Alimentar a ASABA con "Fresa" te otorgará una mejora.</v>
      </c>
      <c r="T83" s="55" t="str">
        <f>IFERROR(__xludf.DUMMYFUNCTION("GOOGLETRANSLATE(D83,""zh-tw"",""es-MX"")"),"Consigue BUFF")</f>
        <v>Consigue BUFF</v>
      </c>
      <c r="U83" s="84" t="s">
        <v>3076</v>
      </c>
      <c r="V83" s="154" t="str">
        <f>IFERROR(__xludf.DUMMYFUNCTION("GOOGLETRANSLATE(B83,""zh-tw"",""KO"")"),"아사바-3")</f>
        <v>아사바-3</v>
      </c>
      <c r="W83" s="89" t="str">
        <f>IFERROR(__xludf.DUMMYFUNCTION("GOOGLETRANSLATE(C83,""zh-tw"",""KO"")"),"아사바에게 ""딸기""를 먹이면 버프를 얻을 수 있습니다.")</f>
        <v>아사바에게 "딸기"를 먹이면 버프를 얻을 수 있습니다.</v>
      </c>
      <c r="X83" s="55" t="str">
        <f>IFERROR(__xludf.DUMMYFUNCTION("GOOGLETRANSLATE(D83,""zh-tw"",""KO"")"),"버프를 받으세요")</f>
        <v>버프를 받으세요</v>
      </c>
      <c r="Y83" s="84" t="s">
        <v>3076</v>
      </c>
      <c r="Z83" s="153" t="str">
        <f>IFERROR(__xludf.DUMMYFUNCTION("GOOGLETRANSLATE(B83,""zh-tw"",""ru"")"),"АСАБА-3")</f>
        <v>АСАБА-3</v>
      </c>
      <c r="AA83" s="156" t="str">
        <f>IFERROR(__xludf.DUMMYFUNCTION("GOOGLETRANSLATE(C83,""zh-tw"",""RU"")"),"Если покормить ASABA «Клубникой», вы получите усиление.")</f>
        <v>Если покормить ASABA «Клубникой», вы получите усиление.</v>
      </c>
      <c r="AB83" s="44" t="str">
        <f>IFERROR(__xludf.DUMMYFUNCTION("GOOGLETRANSLATE(D83,""zh-tw"",""RU"")"),"Получите BUFF")</f>
        <v>Получите BUFF</v>
      </c>
      <c r="AC83" s="84" t="s">
        <v>3076</v>
      </c>
      <c r="AD83" s="153" t="str">
        <f>IFERROR(__xludf.DUMMYFUNCTION("GOOGLETRANSLATE(B83,""zh-tw"",""de"")"),"ASABA-3")</f>
        <v>ASABA-3</v>
      </c>
      <c r="AE83" s="163" t="str">
        <f>IFERROR(__xludf.DUMMYFUNCTION("GOOGLETRANSLATE(C83,""zh-tw"",""de"")"),"Wenn du ASABA mit ""Erdbeeren"" fütterst, erhältst du einen Buff.")</f>
        <v>Wenn du ASABA mit "Erdbeeren" fütterst, erhältst du einen Buff.</v>
      </c>
      <c r="AF83" s="167" t="s">
        <v>3085</v>
      </c>
      <c r="AG83" s="159" t="s">
        <v>3076</v>
      </c>
      <c r="AH83" s="160" t="s">
        <v>3082</v>
      </c>
      <c r="AI83" s="189" t="s">
        <v>3086</v>
      </c>
      <c r="AJ83" s="170" t="s">
        <v>3087</v>
      </c>
      <c r="AK83" s="126"/>
      <c r="AL83" s="126"/>
    </row>
    <row r="84">
      <c r="A84" s="84" t="s">
        <v>3088</v>
      </c>
      <c r="B84" s="153" t="s">
        <v>3089</v>
      </c>
      <c r="C84" s="95" t="s">
        <v>3090</v>
      </c>
      <c r="D84" s="52" t="s">
        <v>3091</v>
      </c>
      <c r="E84" s="84" t="s">
        <v>3088</v>
      </c>
      <c r="F84" s="153" t="s">
        <v>3092</v>
      </c>
      <c r="G84" s="163" t="str">
        <f>IFERROR(__xludf.DUMMYFUNCTION("GOOGLETRANSLATE(C84,""zh-tw"",""ja"")"),"通常のアサバを倒すと「アサバのイチゴ」が手に入ります")</f>
        <v>通常のアサバを倒すと「アサバのイチゴ」が手に入ります</v>
      </c>
      <c r="H84" s="52" t="s">
        <v>3093</v>
      </c>
      <c r="I84" s="84" t="s">
        <v>3088</v>
      </c>
      <c r="J84" s="153" t="s">
        <v>3094</v>
      </c>
      <c r="K84" s="163" t="s">
        <v>3095</v>
      </c>
      <c r="L84" s="167" t="s">
        <v>3096</v>
      </c>
      <c r="M84" s="84" t="s">
        <v>3088</v>
      </c>
      <c r="N84" s="153"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3088</v>
      </c>
      <c r="R84" s="154" t="str">
        <f>IFERROR(__xludf.DUMMYFUNCTION("GOOGLETRANSLATE(B84,""zh-tw"",""es-MX"")"),"ASABA-4")</f>
        <v>ASABA-4</v>
      </c>
      <c r="S84" s="89" t="str">
        <f>IFERROR(__xludf.DUMMYFUNCTION("GOOGLETRANSLATE(C84,""zh-tw"",""es-MX"")"),"Tras derrotar al ASABA normal, obtendrás la ""Fresa de ASABA"".")</f>
        <v>Tras derrotar al ASABA normal, obtendrás la "Fresa de ASABA".</v>
      </c>
      <c r="T84" s="55" t="str">
        <f>IFERROR(__xludf.DUMMYFUNCTION("GOOGLETRANSLATE(D84,""zh-tw"",""es-MX"")"),"Fresas de ASABA")</f>
        <v>Fresas de ASABA</v>
      </c>
      <c r="U84" s="84" t="s">
        <v>3088</v>
      </c>
      <c r="V84" s="154"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IFERROR(__xludf.DUMMYFUNCTION("GOOGLETRANSLATE(D84,""zh-tw"",""KO"")"),"ASABA의 딸기")</f>
        <v>ASABA의 딸기</v>
      </c>
      <c r="Y84" s="84" t="s">
        <v>3088</v>
      </c>
      <c r="Z84" s="153" t="str">
        <f>IFERROR(__xludf.DUMMYFUNCTION("GOOGLETRANSLATE(B84,""zh-tw"",""ru"")"),"АСАБА-4")</f>
        <v>АСАБА-4</v>
      </c>
      <c r="AA84" s="156"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IFERROR(__xludf.DUMMYFUNCTION("GOOGLETRANSLATE(D84,""zh-tw"",""RU"")"),"Клубника из ASABA")</f>
        <v>Клубника из ASABA</v>
      </c>
      <c r="AC84" s="84" t="s">
        <v>3088</v>
      </c>
      <c r="AD84" s="153" t="str">
        <f>IFERROR(__xludf.DUMMYFUNCTION("GOOGLETRANSLATE(B84,""zh-tw"",""de"")"),"ASABA-4")</f>
        <v>ASABA-4</v>
      </c>
      <c r="AE84" s="163" t="str">
        <f>IFERROR(__xludf.DUMMYFUNCTION("GOOGLETRANSLATE(C84,""zh-tw"",""de"")"),"Nachdem du die normale ASABA besiegt hast, erhältst du ""ASABAs Erdbeere"".")</f>
        <v>Nachdem du die normale ASABA besiegt hast, erhältst du "ASABAs Erdbeere".</v>
      </c>
      <c r="AF84" s="167" t="s">
        <v>3097</v>
      </c>
      <c r="AG84" s="159" t="s">
        <v>3088</v>
      </c>
      <c r="AH84" s="160" t="s">
        <v>3094</v>
      </c>
      <c r="AI84" s="189" t="s">
        <v>3098</v>
      </c>
      <c r="AJ84" s="170" t="s">
        <v>3099</v>
      </c>
      <c r="AK84" s="126"/>
      <c r="AL84" s="126"/>
    </row>
    <row r="85">
      <c r="A85" s="84" t="s">
        <v>3100</v>
      </c>
      <c r="B85" s="153" t="s">
        <v>3101</v>
      </c>
      <c r="C85" s="95" t="s">
        <v>3102</v>
      </c>
      <c r="D85" s="52" t="s">
        <v>3103</v>
      </c>
      <c r="E85" s="84" t="s">
        <v>3100</v>
      </c>
      <c r="F85" s="153" t="s">
        <v>3104</v>
      </c>
      <c r="G85" s="163" t="s">
        <v>3105</v>
      </c>
      <c r="H85" s="52" t="s">
        <v>3106</v>
      </c>
      <c r="I85" s="84" t="s">
        <v>3100</v>
      </c>
      <c r="J85" s="153" t="s">
        <v>3107</v>
      </c>
      <c r="K85" s="163" t="s">
        <v>3108</v>
      </c>
      <c r="L85" s="167" t="s">
        <v>3109</v>
      </c>
      <c r="M85" s="84" t="s">
        <v>3100</v>
      </c>
      <c r="N85" s="153"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3100</v>
      </c>
      <c r="R85" s="154" t="str">
        <f>IFERROR(__xludf.DUMMYFUNCTION("GOOGLETRANSLATE(B85,""zh-tw"",""es-MX"")"),"ASABA-5")</f>
        <v>ASABA-5</v>
      </c>
      <c r="S85" s="89" t="str">
        <f>IFERROR(__xludf.DUMMYFUNCTION("GOOGLETRANSLATE(C85,""zh-tw"",""es-MX"")"),"Alimentar a ASABA con ""La fresa de ASABA"" iniciará una batalla contra un JEFE.")</f>
        <v>Alimentar a ASABA con "La fresa de ASABA" iniciará una batalla contra un JEFE.</v>
      </c>
      <c r="T85" s="55" t="str">
        <f>IFERROR(__xludf.DUMMYFUNCTION("GOOGLETRANSLATE(D85,""zh-tw"",""es-MX"")"),"Derrotar al enemigo te recompensará con ""La fresa de ASABA"".")</f>
        <v>Derrotar al enemigo te recompensará con "La fresa de ASABA".</v>
      </c>
      <c r="U85" s="84" t="s">
        <v>3100</v>
      </c>
      <c r="V85" s="154" t="str">
        <f>IFERROR(__xludf.DUMMYFUNCTION("GOOGLETRANSLATE(B85,""zh-tw"",""KO"")"),"아사바-5")</f>
        <v>아사바-5</v>
      </c>
      <c r="W85" s="89" t="str">
        <f>IFERROR(__xludf.DUMMYFUNCTION("GOOGLETRANSLATE(C85,""zh-tw"",""KO"")"),"ASABA에게 ""ASABA의 딸기""를 먹이면 BOSS 전투가 시작됩니다.")</f>
        <v>ASABA에게 "ASABA의 딸기"를 먹이면 BOSS 전투가 시작됩니다.</v>
      </c>
      <c r="X85" s="55" t="str">
        <f>IFERROR(__xludf.DUMMYFUNCTION("GOOGLETRANSLATE(D85,""zh-tw"",""KO"")"),"적을 물리치면 ""아사바의 딸기""를 보상으로 얻을 수 있습니다.")</f>
        <v>적을 물리치면 "아사바의 딸기"를 보상으로 얻을 수 있습니다.</v>
      </c>
      <c r="Y85" s="84" t="s">
        <v>3100</v>
      </c>
      <c r="Z85" s="153" t="str">
        <f>IFERROR(__xludf.DUMMYFUNCTION("GOOGLETRANSLATE(B85,""zh-tw"",""ru"")"),"АСАБА-5")</f>
        <v>АСАБА-5</v>
      </c>
      <c r="AA85" s="156" t="str">
        <f>IFERROR(__xludf.DUMMYFUNCTION("GOOGLETRANSLATE(C85,""zh-tw"",""RU"")"),"Если покормить ASABA «Клубникой ASABA», начнется битва с БОССОМ.")</f>
        <v>Если покормить ASABA «Клубникой ASABA», начнется битва с БОССОМ.</v>
      </c>
      <c r="AB85" s="44" t="str">
        <f>IFERROR(__xludf.DUMMYFUNCTION("GOOGLETRANSLATE(D85,""zh-tw"",""RU"")"),"Победив врага, вы получите награду «Клубника ASABA».")</f>
        <v>Победив врага, вы получите награду «Клубника ASABA».</v>
      </c>
      <c r="AC85" s="84" t="s">
        <v>3100</v>
      </c>
      <c r="AD85" s="153" t="str">
        <f>IFERROR(__xludf.DUMMYFUNCTION("GOOGLETRANSLATE(B85,""zh-tw"",""de"")"),"ASABA-5")</f>
        <v>ASABA-5</v>
      </c>
      <c r="AE85" s="163" t="str">
        <f>IFERROR(__xludf.DUMMYFUNCTION("GOOGLETRANSLATE(C85,""zh-tw"",""de"")"),"Wenn man ASABA mit „ASABAs Erdbeere“ füttert, wird ein Bosskampf ausgelöst.")</f>
        <v>Wenn man ASABA mit „ASABAs Erdbeere“ füttert, wird ein Bosskampf ausgelöst.</v>
      </c>
      <c r="AF85" s="167" t="s">
        <v>3110</v>
      </c>
      <c r="AG85" s="159" t="s">
        <v>3100</v>
      </c>
      <c r="AH85" s="160" t="s">
        <v>3107</v>
      </c>
      <c r="AI85" s="189" t="s">
        <v>3111</v>
      </c>
      <c r="AJ85" s="170" t="s">
        <v>3112</v>
      </c>
      <c r="AK85" s="126"/>
      <c r="AL85" s="126"/>
    </row>
    <row r="86">
      <c r="A86" s="84" t="s">
        <v>3113</v>
      </c>
      <c r="B86" s="153" t="s">
        <v>3114</v>
      </c>
      <c r="C86" s="95" t="s">
        <v>3115</v>
      </c>
      <c r="D86" s="52" t="s">
        <v>3116</v>
      </c>
      <c r="E86" s="84" t="s">
        <v>3113</v>
      </c>
      <c r="F86" s="153" t="s">
        <v>3117</v>
      </c>
      <c r="G86" s="163" t="s">
        <v>3118</v>
      </c>
      <c r="H86" s="52" t="str">
        <f>IFERROR(__xludf.DUMMYFUNCTION("GOOGLETRANSLATE(D86,""zh-tw"",""ja"")"),"装備「イチゴを取り戻せ！！」を入手
（コマンドはスキルバーで確認できます）")</f>
        <v>装備「イチゴを取り戻せ！！」を入手
（コマンドはスキルバーで確認できます）</v>
      </c>
      <c r="I86" s="84" t="s">
        <v>3113</v>
      </c>
      <c r="J86" s="153" t="s">
        <v>3119</v>
      </c>
      <c r="K86" s="163" t="s">
        <v>3120</v>
      </c>
      <c r="L86" s="167" t="s">
        <v>3121</v>
      </c>
      <c r="M86" s="84" t="s">
        <v>3113</v>
      </c>
      <c r="N86" s="153"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3113</v>
      </c>
      <c r="R86" s="154" t="str">
        <f>IFERROR(__xludf.DUMMYFUNCTION("GOOGLETRANSLATE(B86,""zh-tw"",""es-MX"")"),"ASABA-6")</f>
        <v>ASABA-6</v>
      </c>
      <c r="S86" s="89" t="str">
        <f>IFERROR(__xludf.DUMMYFUNCTION("GOOGLETRANSLATE(C86,""zh-tw"",""es-MX"")"),"Del mismo modo, cuantas más veces te golpee el ataque definitivo del JEFE, mayor será tu probabilidad de obtener objetos especiales.")</f>
        <v>Del mismo modo, cuantas más veces te golpee el ataque definitivo del JEFE, mayor será tu probabilidad de obtener objetos especiales.</v>
      </c>
      <c r="T86" s="55" t="str">
        <f>IFERROR(__xludf.DUMMYFUNCTION("GOOGLETRANSLATE(D86,""zh-tw"",""es-MX"")"),"Obtén el equipo ""¡Recupera las fresas!""
(Consulta la barra de habilidades para ver los comandos)")</f>
        <v>Obtén el equipo "¡Recupera las fresas!"
(Consulta la barra de habilidades para ver los comandos)</v>
      </c>
      <c r="U86" s="84" t="s">
        <v>3113</v>
      </c>
      <c r="V86" s="154" t="str">
        <f>IFERROR(__xludf.DUMMYFUNCTION("GOOGLETRANSLATE(B86,""zh-tw"",""KO"")"),"아사바-6")</f>
        <v>아사바-6</v>
      </c>
      <c r="W86" s="89" t="str">
        <f>IFERROR(__xludf.DUMMYFUNCTION("GOOGLETRANSLATE(C86,""zh-tw"",""KO"")"),"마찬가지로, BOSS의 궁극기에 자주 맞을수록 특별한 아이템을 획득할 확률이 커집니다.")</f>
        <v>마찬가지로, BOSS의 궁극기에 자주 맞을수록 특별한 아이템을 획득할 확률이 커집니다.</v>
      </c>
      <c r="X86" s="55" t="str">
        <f>IFERROR(__xludf.DUMMYFUNCTION("GOOGLETRANSLATE(D86,""zh-tw"",""KO"")"),"""딸기를 되찾아라!!"" 장비를 획득하세요.
(명령어는 스킬 바를 참조하세요)")</f>
        <v>"딸기를 되찾아라!!" 장비를 획득하세요.
(명령어는 스킬 바를 참조하세요)</v>
      </c>
      <c r="Y86" s="84" t="s">
        <v>3113</v>
      </c>
      <c r="Z86" s="153" t="str">
        <f>IFERROR(__xludf.DUMMYFUNCTION("GOOGLETRANSLATE(B86,""zh-tw"",""ru"")"),"АСАБА-6")</f>
        <v>АСАБА-6</v>
      </c>
      <c r="AA86" s="156" t="str">
        <f>IFERROR(__xludf.DUMMYFUNCTION("GOOGLETRANSLATE(C86,""zh-tw"",""RU"")"),"Аналогично, чем больше раз вы попадете под сильнейшую атаку БОССА, тем больше у вас шансов получить особые предметы.")</f>
        <v>Аналогично, чем больше раз вы попадете под сильнейшую атаку БОССА, тем больше у вас шансов получить особые предметы.</v>
      </c>
      <c r="AB86" s="44" t="str">
        <f>IFERROR(__xludf.DUMMYFUNCTION("GOOGLETRANSLATE(D86,""zh-tw"",""RU"")"),"Получите снаряжение «Верни клубнику!!»
(Команды см. на панели навыков)")</f>
        <v>Получите снаряжение «Верни клубнику!!»
(Команды см. на панели навыков)</v>
      </c>
      <c r="AC86" s="84" t="s">
        <v>3113</v>
      </c>
      <c r="AD86" s="153" t="str">
        <f>IFERROR(__xludf.DUMMYFUNCTION("GOOGLETRANSLATE(B86,""zh-tw"",""de"")"),"ASABA-6")</f>
        <v>ASABA-6</v>
      </c>
      <c r="AE86" s="163" t="str">
        <f>IFERROR(__xludf.DUMMYFUNCTION("GOOGLETRANSLATE(C86,""zh-tw"",""de"")"),"Genauso verhält es sich mit der ultimativen Attacke des BOSS: Je öfter man von ihr getroffen wird, desto größer ist die Chance, besondere Beute zu erhalten.")</f>
        <v>Genauso verhält es sich mit der ultimativen Attacke des BOSS: Je öfter man von ihr getroffen wird, desto größer ist die Chance, besondere Beute zu erhalten.</v>
      </c>
      <c r="AF86" s="167" t="str">
        <f>IFERROR(__xludf.DUMMYFUNCTION("GOOGLETRANSLATE(D86,""zh-tw"",""de"")"),"Hol dir die Ausrüstung „Erdbeeren zurückerobern!!“
(Befehle siehe Fertigkeitsleiste)")</f>
        <v>Hol dir die Ausrüstung „Erdbeeren zurückerobern!!“
(Befehle siehe Fertigkeitsleiste)</v>
      </c>
      <c r="AG86" s="159" t="s">
        <v>3113</v>
      </c>
      <c r="AH86" s="160" t="s">
        <v>3119</v>
      </c>
      <c r="AI86" s="189" t="s">
        <v>3122</v>
      </c>
      <c r="AJ86" s="170" t="s">
        <v>3123</v>
      </c>
      <c r="AK86" s="126"/>
      <c r="AL86" s="126"/>
    </row>
    <row r="87">
      <c r="A87" s="84" t="s">
        <v>3124</v>
      </c>
      <c r="B87" s="153" t="s">
        <v>3125</v>
      </c>
      <c r="C87" s="95" t="s">
        <v>3126</v>
      </c>
      <c r="D87" s="52" t="s">
        <v>3127</v>
      </c>
      <c r="E87" s="84" t="s">
        <v>3124</v>
      </c>
      <c r="F87" s="153" t="s">
        <v>3125</v>
      </c>
      <c r="G87" s="183" t="s">
        <v>3128</v>
      </c>
      <c r="H87" s="184" t="s">
        <v>3129</v>
      </c>
      <c r="I87" s="84" t="s">
        <v>3124</v>
      </c>
      <c r="J87" s="153" t="s">
        <v>3125</v>
      </c>
      <c r="K87" s="95" t="s">
        <v>3130</v>
      </c>
      <c r="L87" s="52" t="s">
        <v>3131</v>
      </c>
      <c r="M87" s="84" t="s">
        <v>3124</v>
      </c>
      <c r="N87" s="153"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3124</v>
      </c>
      <c r="R87" s="154"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Botín por muerte: ◉▽◉ (Azul)")</f>
        <v>Tortuga Sakaban pequeña
Botín por muerte: ◉▽◉ (Azul)</v>
      </c>
      <c r="U87" s="84" t="s">
        <v>3124</v>
      </c>
      <c r="V87" s="154"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3124</v>
      </c>
      <c r="Z87" s="153" t="str">
        <f>IFERROR(__xludf.DUMMYFUNCTION("GOOGLETRANSLATE(B87,""zh-tw"",""ru"")"),"◉▽◉?")</f>
        <v>◉▽◉?</v>
      </c>
      <c r="AA87" s="156"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3124</v>
      </c>
      <c r="AD87" s="153" t="str">
        <f>IFERROR(__xludf.DUMMYFUNCTION("GOOGLETRANSLATE(B87,""zh-tw"",""de"")"),"◉▽◉?")</f>
        <v>◉▽◉?</v>
      </c>
      <c r="AE87" s="163" t="str">
        <f>IFERROR(__xludf.DUMMYFUNCTION("GOOGLETRANSLATE(C87,""zh-tw"",""de"")"),"Beim Braten von Fisch kann dieses Monster erscheinen")</f>
        <v>Beim Braten von Fisch kann dieses Monster erscheinen</v>
      </c>
      <c r="AF87" s="167" t="str">
        <f>IFERROR(__xludf.DUMMYFUNCTION("GOOGLETRANSLATE(D87,""zh-tw"",""de"")"),"Kleine Sakaban-Schildkröte
Kill Drop: ◉▽◉ (Blau)")</f>
        <v>Kleine Sakaban-Schildkröte
Kill Drop: ◉▽◉ (Blau)</v>
      </c>
      <c r="AG87" s="159" t="s">
        <v>3124</v>
      </c>
      <c r="AH87" s="160" t="s">
        <v>3125</v>
      </c>
      <c r="AI87" s="161" t="s">
        <v>3132</v>
      </c>
      <c r="AJ87" s="170" t="s">
        <v>3133</v>
      </c>
      <c r="AK87" s="126"/>
      <c r="AL87" s="126"/>
    </row>
    <row r="88">
      <c r="A88" s="84" t="s">
        <v>3134</v>
      </c>
      <c r="B88" s="153" t="s">
        <v>3135</v>
      </c>
      <c r="C88" s="95" t="s">
        <v>3136</v>
      </c>
      <c r="D88" s="52" t="s">
        <v>3137</v>
      </c>
      <c r="E88" s="84" t="s">
        <v>3134</v>
      </c>
      <c r="F88" s="153" t="s">
        <v>3135</v>
      </c>
      <c r="G88" s="183" t="s">
        <v>3138</v>
      </c>
      <c r="H88" s="184" t="s">
        <v>3139</v>
      </c>
      <c r="I88" s="84" t="s">
        <v>3134</v>
      </c>
      <c r="J88" s="153" t="s">
        <v>3135</v>
      </c>
      <c r="K88" s="95" t="s">
        <v>3140</v>
      </c>
      <c r="L88" s="52" t="s">
        <v>3141</v>
      </c>
      <c r="M88" s="84" t="s">
        <v>3134</v>
      </c>
      <c r="N88" s="153"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3134</v>
      </c>
      <c r="R88" s="154" t="str">
        <f>IFERROR(__xludf.DUMMYFUNCTION("GOOGLETRANSLATE(B88,""zh-tw"",""es-MX"")"),"◉▽◉!?")</f>
        <v>◉▽◉!?</v>
      </c>
      <c r="S88" s="89" t="str">
        <f>IFERROR(__xludf.DUMMYFUNCTION("GOOGLETRANSLATE(C88,""zh-tw"",""es-MX"")"),"Este monstruo puede aparecer con una baja probabilidad al freír pescado.")</f>
        <v>Este monstruo puede aparecer con una baja probabilidad al freír pescado.</v>
      </c>
      <c r="T88" s="55" t="str">
        <f>IFERROR(__xludf.DUMMYFUNCTION("GOOGLETRANSLATE(D88,""zh-tw"",""es-MX"")"),"Tortuga Sakaban (Grande) - Objeto que suelta al ser derrotada: ◉▽◉ (Morado)")</f>
        <v>Tortuga Sakaban (Grande) - Objeto que suelta al ser derrotada: ◉▽◉ (Morado)</v>
      </c>
      <c r="U88" s="84" t="s">
        <v>3134</v>
      </c>
      <c r="V88" s="154" t="str">
        <f>IFERROR(__xludf.DUMMYFUNCTION("GOOGLETRANSLATE(B88,""zh-tw"",""KO"")"),"◉▽◉!?")</f>
        <v>◉▽◉!?</v>
      </c>
      <c r="W88" s="89" t="str">
        <f>IFERROR(__xludf.DUMMYFUNCTION("GOOGLETRANSLATE(C88,""zh-tw"",""KO"")"),"이 괴물은 생선을 튀길 때 낮은 확률로 나타날 수 있습니다.")</f>
        <v>이 괴물은 생선을 튀길 때 낮은 확률로 나타날 수 있습니다.</v>
      </c>
      <c r="X88" s="55" t="str">
        <f>IFERROR(__xludf.DUMMYFUNCTION("GOOGLETRANSLATE(D88,""zh-tw"",""KO"")"),"사카반 거북이(대형) - 패배 시 획득: ◉▽◉ (보라색)")</f>
        <v>사카반 거북이(대형) - 패배 시 획득: ◉▽◉ (보라색)</v>
      </c>
      <c r="Y88" s="84" t="s">
        <v>3134</v>
      </c>
      <c r="Z88" s="153" t="str">
        <f>IFERROR(__xludf.DUMMYFUNCTION("GOOGLETRANSLATE(B88,""zh-tw"",""ru"")"),"◉▽◉!?")</f>
        <v>◉▽◉!?</v>
      </c>
      <c r="AA88" s="156" t="str">
        <f>IFERROR(__xludf.DUMMYFUNCTION("GOOGLETRANSLATE(C88,""zh-tw"",""RU"")"),"Этот монстр может появиться с небольшой вероятностью при жарке рыбы.")</f>
        <v>Этот монстр может появиться с небольшой вероятностью при жарке рыбы.</v>
      </c>
      <c r="AB88" s="44" t="str">
        <f>IFERROR(__xludf.DUMMYFUNCTION("GOOGLETRANSLATE(D88,""zh-tw"",""RU"")"),"Черепаха Сакабан (Большая) — Выпадает после поражения: ◉▽◉ (Фиолетовая)")</f>
        <v>Черепаха Сакабан (Большая) — Выпадает после поражения: ◉▽◉ (Фиолетовая)</v>
      </c>
      <c r="AC88" s="84" t="s">
        <v>3134</v>
      </c>
      <c r="AD88" s="153" t="str">
        <f>IFERROR(__xludf.DUMMYFUNCTION("GOOGLETRANSLATE(B88,""zh-tw"",""de"")"),"◉▽◉!?")</f>
        <v>◉▽◉!?</v>
      </c>
      <c r="AE88" s="163" t="str">
        <f>IFERROR(__xludf.DUMMYFUNCTION("GOOGLETRANSLATE(C88,""zh-tw"",""de"")"),"Dieses Monster kann mit geringer Wahrscheinlichkeit beim Braten von Fisch erscheinen.")</f>
        <v>Dieses Monster kann mit geringer Wahrscheinlichkeit beim Braten von Fisch erscheinen.</v>
      </c>
      <c r="AF88" s="167" t="str">
        <f>IFERROR(__xludf.DUMMYFUNCTION("GOOGLETRANSLATE(D88,""zh-tw"",""de"")"),"Sakaban-Schildkröte (Groß) – Beute nach Niederlage: ◉▽◉ (Lila)")</f>
        <v>Sakaban-Schildkröte (Groß) – Beute nach Niederlage: ◉▽◉ (Lila)</v>
      </c>
      <c r="AG88" s="159" t="s">
        <v>3134</v>
      </c>
      <c r="AH88" s="160" t="s">
        <v>3135</v>
      </c>
      <c r="AI88" s="161" t="s">
        <v>3142</v>
      </c>
      <c r="AJ88" s="170" t="s">
        <v>3143</v>
      </c>
      <c r="AK88" s="126"/>
      <c r="AL88" s="126"/>
    </row>
    <row r="89">
      <c r="A89" s="84" t="s">
        <v>3144</v>
      </c>
      <c r="B89" s="153" t="s">
        <v>3145</v>
      </c>
      <c r="C89" s="95" t="s">
        <v>3146</v>
      </c>
      <c r="D89" s="52" t="s">
        <v>3147</v>
      </c>
      <c r="E89" s="84" t="s">
        <v>3144</v>
      </c>
      <c r="F89" s="153" t="s">
        <v>3145</v>
      </c>
      <c r="G89" s="183" t="s">
        <v>3148</v>
      </c>
      <c r="H89" s="184" t="s">
        <v>3149</v>
      </c>
      <c r="I89" s="84" t="s">
        <v>3144</v>
      </c>
      <c r="J89" s="153" t="s">
        <v>3145</v>
      </c>
      <c r="K89" s="95" t="s">
        <v>3150</v>
      </c>
      <c r="L89" s="52" t="s">
        <v>3151</v>
      </c>
      <c r="M89" s="84" t="s">
        <v>3144</v>
      </c>
      <c r="N89" s="153"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3144</v>
      </c>
      <c r="R89" s="154" t="str">
        <f>IFERROR(__xludf.DUMMYFUNCTION("GOOGLETRANSLATE(B89,""zh-tw"",""es-MX"")"),"♔
◉▽◉")</f>
        <v>♔
◉▽◉</v>
      </c>
      <c r="S89" s="89" t="str">
        <f>IFERROR(__xludf.DUMMYFUNCTION("GOOGLETRANSLATE(C89,""zh-tw"",""es-MX"")"),"Si la probabilidad es lo suficientemente alta y se dan las condiciones del terreno, puede aparecer un jefe.
(Encontrarás más detalles en la sección de CONSEJOS).")</f>
        <v>Si la probabilidad es lo suficientemente alta y se dan las condiciones del terreno, puede aparecer un jefe.
(Encontrarás más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3144</v>
      </c>
      <c r="V89" s="154"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3144</v>
      </c>
      <c r="Z89" s="153" t="str">
        <f>IFERROR(__xludf.DUMMYFUNCTION("GOOGLETRANSLATE(B89,""zh-tw"",""ru"")"),"♔
◉▽◉")</f>
        <v>♔
◉▽◉</v>
      </c>
      <c r="AA89" s="156"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3144</v>
      </c>
      <c r="AD89" s="153" t="str">
        <f>IFERROR(__xludf.DUMMYFUNCTION("GOOGLETRANSLATE(B89,""zh-tw"",""de"")"),"♔
◉▽◉")</f>
        <v>♔
◉▽◉</v>
      </c>
      <c r="AE89" s="163"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6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159" t="s">
        <v>3144</v>
      </c>
      <c r="AH89" s="160" t="s">
        <v>3145</v>
      </c>
      <c r="AI89" s="161" t="s">
        <v>3152</v>
      </c>
      <c r="AJ89" s="190" t="s">
        <v>3153</v>
      </c>
      <c r="AK89" s="126"/>
      <c r="AL89" s="126"/>
    </row>
    <row r="90">
      <c r="A90" s="84" t="s">
        <v>3154</v>
      </c>
      <c r="B90" s="153" t="s">
        <v>3155</v>
      </c>
      <c r="C90" s="95" t="s">
        <v>3156</v>
      </c>
      <c r="D90" s="52" t="s">
        <v>3157</v>
      </c>
      <c r="E90" s="84" t="s">
        <v>3154</v>
      </c>
      <c r="F90" s="153" t="s">
        <v>3158</v>
      </c>
      <c r="G90" s="183" t="s">
        <v>3159</v>
      </c>
      <c r="H90" s="184" t="s">
        <v>3160</v>
      </c>
      <c r="I90" s="84" t="s">
        <v>3154</v>
      </c>
      <c r="J90" s="153" t="s">
        <v>3161</v>
      </c>
      <c r="K90" s="95" t="s">
        <v>3162</v>
      </c>
      <c r="L90" s="52" t="s">
        <v>3163</v>
      </c>
      <c r="M90" s="84" t="s">
        <v>3154</v>
      </c>
      <c r="N90" s="153"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3154</v>
      </c>
      <c r="R90" s="154" t="str">
        <f>IFERROR(__xludf.DUMMYFUNCTION("GOOGLETRANSLATE(B90,""zh-tw"",""es-MX"")"),"Regreso al agua")</f>
        <v>Regreso al agua</v>
      </c>
      <c r="S90" s="89" t="str">
        <f>IFERROR(__xludf.DUMMYFUNCTION("GOOGLETRANSLATE(C90,""zh-tw"",""es-MX"")"),"Cuando los seguidores de la tortuga o el rey tortuga se encuentran con la superficie del agua, volverán corriendo al agua.")</f>
        <v>Cuando los seguidores de la tortuga o el rey tortuga se encuentran con la superficie del agua, volverán corriendo al agua.</v>
      </c>
      <c r="T90" s="55" t="str">
        <f>IFERROR(__xludf.DUMMYFUNCTION("GOOGLETRANSLATE(D90,""zh-tw"",""es-MX"")"),"El sujeto escapa")</f>
        <v>El sujeto escapa</v>
      </c>
      <c r="U90" s="84" t="s">
        <v>3154</v>
      </c>
      <c r="V90" s="154" t="str">
        <f>IFERROR(__xludf.DUMMYFUNCTION("GOOGLETRANSLATE(B90,""zh-tw"",""KO"")"),"물로 돌아가다")</f>
        <v>물로 돌아가다</v>
      </c>
      <c r="W90" s="89" t="str">
        <f>IFERROR(__xludf.DUMMYFUNCTION("GOOGLETRANSLATE(C90,""zh-tw"",""KO"")"),"거북이 추종자나 거북이 왕이 물 표면에 나타나면 다시 물속으로 달려 들어갑니다.")</f>
        <v>거북이 추종자나 거북이 왕이 물 표면에 나타나면 다시 물속으로 달려 들어갑니다.</v>
      </c>
      <c r="X90" s="55" t="str">
        <f>IFERROR(__xludf.DUMMYFUNCTION("GOOGLETRANSLATE(D90,""zh-tw"",""KO"")"),"주제가 탈출합니다")</f>
        <v>주제가 탈출합니다</v>
      </c>
      <c r="Y90" s="84" t="s">
        <v>3154</v>
      </c>
      <c r="Z90" s="153" t="str">
        <f>IFERROR(__xludf.DUMMYFUNCTION("GOOGLETRANSLATE(B90,""zh-tw"",""ru"")"),"Возвращение в воду")</f>
        <v>Возвращение в воду</v>
      </c>
      <c r="AA90" s="156" t="str">
        <f>IFERROR(__xludf.DUMMYFUNCTION("GOOGLETRANSLATE(C90,""zh-tw"",""RU"")"),"Когда последователи черепах или король черепах достигают поверхности воды, они бегут обратно в воду.")</f>
        <v>Когда последователи черепах или король черепах достигают поверхности воды, они бегут обратно в воду.</v>
      </c>
      <c r="AB90" s="44" t="str">
        <f>IFERROR(__xludf.DUMMYFUNCTION("GOOGLETRANSLATE(D90,""zh-tw"",""RU"")"),"Субъект убегает")</f>
        <v>Субъект убегает</v>
      </c>
      <c r="AC90" s="84" t="s">
        <v>3154</v>
      </c>
      <c r="AD90" s="153" t="s">
        <v>3164</v>
      </c>
      <c r="AE90" s="163" t="str">
        <f>IFERROR(__xludf.DUMMYFUNCTION("GOOGLETRANSLATE(C90,""zh-tw"",""de"")"),"Wenn die Schildkrötenanhänger oder der Schildkrötenkönig die Wasseroberfläche erreichen, rennen sie zurück ins Wasser.")</f>
        <v>Wenn die Schildkrötenanhänger oder der Schildkrötenkönig die Wasseroberfläche erreichen, rennen sie zurück ins Wasser.</v>
      </c>
      <c r="AF90" s="167" t="s">
        <v>3165</v>
      </c>
      <c r="AG90" s="159" t="s">
        <v>3154</v>
      </c>
      <c r="AH90" s="160" t="s">
        <v>3166</v>
      </c>
      <c r="AI90" s="161" t="s">
        <v>3167</v>
      </c>
      <c r="AJ90" s="170" t="s">
        <v>3168</v>
      </c>
      <c r="AK90" s="126"/>
      <c r="AL90" s="126"/>
    </row>
    <row r="91">
      <c r="A91" s="84" t="s">
        <v>3169</v>
      </c>
      <c r="B91" s="153" t="s">
        <v>3170</v>
      </c>
      <c r="C91" s="95" t="s">
        <v>3171</v>
      </c>
      <c r="D91" s="52" t="s">
        <v>3172</v>
      </c>
      <c r="E91" s="84" t="s">
        <v>3169</v>
      </c>
      <c r="F91" s="153" t="s">
        <v>3173</v>
      </c>
      <c r="G91" s="183" t="s">
        <v>3174</v>
      </c>
      <c r="H91" s="184" t="s">
        <v>3175</v>
      </c>
      <c r="I91" s="84" t="s">
        <v>3169</v>
      </c>
      <c r="J91" s="153" t="s">
        <v>3176</v>
      </c>
      <c r="K91" s="95" t="s">
        <v>3177</v>
      </c>
      <c r="L91" s="52" t="s">
        <v>3178</v>
      </c>
      <c r="M91" s="84" t="s">
        <v>3169</v>
      </c>
      <c r="N91" s="153"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3169</v>
      </c>
      <c r="R91" s="154" t="str">
        <f>IFERROR(__xludf.DUMMYFUNCTION("GOOGLETRANSLATE(B91,""zh-tw"",""es-MX"")"),"Zanahorias brillantes")</f>
        <v>Zanahorias brillantes</v>
      </c>
      <c r="S91" s="89" t="str">
        <f>IFERROR(__xludf.DUMMYFUNCTION("GOOGLETRANSLATE(C91,""zh-tw"",""es-MX"")"),"La zanahoria brillante confiscará todas las zanahorias especiales presentes cuando aparezca el jefe Conejita Sirvienta, y solo reaparecerá después de derrotarlo.
Al arrancar esta zanahoria especial, soltará un objeto especial.")</f>
        <v>La zanahoria brillante confiscará todas las zanahorias especiales presentes cuando aparezca el jefe Conejita Sirvienta, y solo reaparecerá después de derrotarlo.
Al arrancar esta zanahoria especial, soltará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3169</v>
      </c>
      <c r="V91" s="154" t="str">
        <f>IFERROR(__xludf.DUMMYFUNCTION("GOOGLETRANSLATE(B91,""zh-tw"",""KO"")"),"빛나는 당근")</f>
        <v>빛나는 당근</v>
      </c>
      <c r="W91" s="89" t="str">
        <f>IFERROR(__xludf.DUMMYFUNCTION("GOOGLETRANSLATE(C91,""zh-tw"",""KO"")"),"빛나는 당근은 메이드 버니 보스가 등장할 때 존재하는 모든 특수 당근을 빼앗아 가며, 보스를 물리친 후에만 다시 나타납니다.
이 특수 당근을 획득하면 특수 아이템을 드랍합니다.")</f>
        <v>빛나는 당근은 메이드 버니 보스가 등장할 때 존재하는 모든 특수 당근을 빼앗아 가며, 보스를 물리친 후에만 다시 나타납니다.
이 특수 당근을 획득하면 특수 아이템을 드랍합니다.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3169</v>
      </c>
      <c r="Z91" s="153" t="str">
        <f>IFERROR(__xludf.DUMMYFUNCTION("GOOGLETRANSLATE(B91,""zh-tw"",""ru"")"),"Светящаяся морковь")</f>
        <v>Светящаяся морковь</v>
      </c>
      <c r="AA91" s="156" t="str">
        <f>IFERROR(__xludf.DUMMYFUNCTION("GOOGLETRANSLATE(C91,""zh-tw"",""RU"")"),"Светящаяся морковка конфискует все особые морковки, которые были у вас при появлении БОССА-горничной-кролика, и появится снова только после того, как вы его победите.
Если поднять эту особую морковку, из неё выпадет особый предмет.")</f>
        <v>Светящаяся морковка конфискует все особые морковки, которые были у вас при появлении БОССА-горничной-кролика, и появится снова только после того, как вы его победите.
Если поднять эту особую морковку, из неё выпадет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3169</v>
      </c>
      <c r="AD91" s="153" t="s">
        <v>3179</v>
      </c>
      <c r="AE91" s="163" t="str">
        <f>IFERROR(__xludf.DUMMYFUNCTION("GOOGLETRANSLATE(C91,""zh-tw"",""de"")"),"Die leuchtende Karotte nimmt alle Spezialkarotten an sich, sobald der Maid Bunny-Boss erscheint, und taucht erst wieder auf, nachdem ihr ihn besiegt habt.
Zieht ihr diese Spezialkarotte hoch, erhaltet ihr einen besonderen Gegenstand.")</f>
        <v>Die leuchtende Karotte nimmt alle Spezialkarotten an sich, sobald der Maid Bunny-Boss erscheint, und taucht erst wieder auf, nachdem ihr ihn besiegt habt.
Zieht ihr diese Spezialkarotte hoch, erhaltet ihr einen besonderen Gegenstand.</v>
      </c>
      <c r="AF91" s="167" t="s">
        <v>3180</v>
      </c>
      <c r="AG91" s="159" t="s">
        <v>3169</v>
      </c>
      <c r="AH91" s="160" t="s">
        <v>3181</v>
      </c>
      <c r="AI91" s="161" t="s">
        <v>3182</v>
      </c>
      <c r="AJ91" s="191" t="s">
        <v>3183</v>
      </c>
      <c r="AK91" s="126"/>
      <c r="AL91" s="126"/>
    </row>
    <row r="92">
      <c r="A92" s="84" t="s">
        <v>3184</v>
      </c>
      <c r="B92" s="153" t="s">
        <v>3185</v>
      </c>
      <c r="C92" s="95" t="s">
        <v>3186</v>
      </c>
      <c r="D92" s="52" t="s">
        <v>591</v>
      </c>
      <c r="E92" s="84" t="s">
        <v>3184</v>
      </c>
      <c r="F92" s="153" t="s">
        <v>3187</v>
      </c>
      <c r="G92" s="183" t="s">
        <v>3188</v>
      </c>
      <c r="H92" s="184" t="s">
        <v>594</v>
      </c>
      <c r="I92" s="84" t="s">
        <v>3184</v>
      </c>
      <c r="J92" s="153" t="s">
        <v>3189</v>
      </c>
      <c r="K92" s="95" t="s">
        <v>3190</v>
      </c>
      <c r="L92" s="52" t="s">
        <v>2681</v>
      </c>
      <c r="M92" s="84" t="s">
        <v>3184</v>
      </c>
      <c r="N92" s="153"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3184</v>
      </c>
      <c r="R92" s="154" t="str">
        <f>IFERROR(__xludf.DUMMYFUNCTION("GOOGLETRANSLATE(B92,""zh-tw"",""es-MX"")"),"Espada grande")</f>
        <v>Espada grande</v>
      </c>
      <c r="S92" s="89" t="str">
        <f>IFERROR(__xludf.DUMMYFUNCTION("GOOGLETRANSLATE(C92,""zh-tw"",""es-MX"")"),"Tras usar la Espada de Zanahoria Congelada para descongelarla en la hoguera, podrás obtener la Espada de Zanahoria Mohosa.")</f>
        <v>Tras usar la Espada de Zanahoria Congelada para descongelarla en la hoguera, podrás obtener la Espada de Zanahoria Mohosa.</v>
      </c>
      <c r="T92" s="55" t="str">
        <f>IFERROR(__xludf.DUMMYFUNCTION("GOOGLETRANSLATE(D92,""zh-tw"",""es-MX"")"),"No implementado")</f>
        <v>No implementado</v>
      </c>
      <c r="U92" s="84" t="s">
        <v>3184</v>
      </c>
      <c r="V92" s="154" t="str">
        <f>IFERROR(__xludf.DUMMYFUNCTION("GOOGLETRANSLATE(B92,""zh-tw"",""KO"")"),"큰 검")</f>
        <v>큰 검</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3184</v>
      </c>
      <c r="Z92" s="153" t="str">
        <f>IFERROR(__xludf.DUMMYFUNCTION("GOOGLETRANSLATE(B92,""zh-tw"",""ru"")"),"Большой Меч")</f>
        <v>Большой Меч</v>
      </c>
      <c r="AA92" s="156"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3184</v>
      </c>
      <c r="AD92" s="153" t="s">
        <v>3191</v>
      </c>
      <c r="AE92" s="163"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67" t="s">
        <v>609</v>
      </c>
      <c r="AG92" s="159" t="s">
        <v>3184</v>
      </c>
      <c r="AH92" s="160" t="s">
        <v>3192</v>
      </c>
      <c r="AI92" s="161" t="s">
        <v>3193</v>
      </c>
      <c r="AJ92" s="170" t="s">
        <v>3194</v>
      </c>
      <c r="AK92" s="126"/>
      <c r="AL92" s="126"/>
    </row>
    <row r="93">
      <c r="A93" s="84" t="s">
        <v>3195</v>
      </c>
      <c r="B93" s="153" t="s">
        <v>3196</v>
      </c>
      <c r="C93" s="95" t="s">
        <v>3197</v>
      </c>
      <c r="D93" s="52" t="s">
        <v>591</v>
      </c>
      <c r="E93" s="84" t="s">
        <v>3195</v>
      </c>
      <c r="F93" s="153" t="s">
        <v>3198</v>
      </c>
      <c r="G93" s="183" t="s">
        <v>3199</v>
      </c>
      <c r="H93" s="184" t="s">
        <v>594</v>
      </c>
      <c r="I93" s="84" t="s">
        <v>3195</v>
      </c>
      <c r="J93" s="153" t="s">
        <v>3200</v>
      </c>
      <c r="K93" s="95" t="s">
        <v>3201</v>
      </c>
      <c r="L93" s="52" t="s">
        <v>2681</v>
      </c>
      <c r="M93" s="84" t="s">
        <v>3195</v>
      </c>
      <c r="N93" s="153"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3195</v>
      </c>
      <c r="R93" s="154"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3195</v>
      </c>
      <c r="V93" s="154"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3195</v>
      </c>
      <c r="Z93" s="153" t="str">
        <f>IFERROR(__xludf.DUMMYFUNCTION("GOOGLETRANSLATE(B93,""zh-tw"",""ru"")"),"Редька Меч-1")</f>
        <v>Редька Меч-1</v>
      </c>
      <c r="AA93" s="156"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3195</v>
      </c>
      <c r="AD93" s="153" t="s">
        <v>3202</v>
      </c>
      <c r="AE93" s="163" t="str">
        <f>IFERROR(__xludf.DUMMYFUNCTION("GOOGLETRANSLATE(C93,""zh-tw"",""de"")"),"Wenn du das Karottenschwert am Lagerfeuer benutzt, rufst du ein freundliches Dienstmädchen-Kaninchen herbei, das dir beim Teleportieren auf der Karte hilft.")</f>
        <v>Wenn du das Karottenschwert am Lagerfeuer benutzt, rufst du ein freundliches Dienstmädchen-Kaninchen herbei, das dir beim Teleportieren auf der Karte hilft.</v>
      </c>
      <c r="AF93" s="167" t="s">
        <v>609</v>
      </c>
      <c r="AG93" s="159" t="s">
        <v>3195</v>
      </c>
      <c r="AH93" s="160" t="s">
        <v>3203</v>
      </c>
      <c r="AI93" s="161" t="s">
        <v>3204</v>
      </c>
      <c r="AJ93" s="170" t="s">
        <v>3194</v>
      </c>
      <c r="AK93" s="126"/>
      <c r="AL93" s="126"/>
    </row>
    <row r="94">
      <c r="A94" s="119"/>
      <c r="B94" s="154"/>
      <c r="C94" s="95"/>
      <c r="D94" s="52"/>
      <c r="E94" s="119"/>
      <c r="F94" s="154"/>
      <c r="G94" s="192"/>
      <c r="H94" s="193"/>
      <c r="I94" s="119"/>
      <c r="J94" s="154"/>
      <c r="K94" s="89"/>
      <c r="L94" s="55"/>
      <c r="M94" s="119"/>
      <c r="N94" s="194"/>
      <c r="O94" s="89"/>
      <c r="P94" s="55"/>
      <c r="Q94" s="195"/>
      <c r="R94" s="196"/>
      <c r="S94" s="125"/>
      <c r="T94" s="126"/>
      <c r="U94" s="195"/>
      <c r="V94" s="196"/>
      <c r="W94" s="125"/>
      <c r="X94" s="126"/>
      <c r="Y94" s="119"/>
      <c r="Z94" s="197"/>
      <c r="AA94" s="198"/>
      <c r="AB94" s="199"/>
      <c r="AC94" s="119"/>
      <c r="AD94" s="196"/>
      <c r="AE94" s="200"/>
      <c r="AF94" s="201"/>
      <c r="AG94" s="202"/>
      <c r="AH94" s="203"/>
      <c r="AI94" s="204"/>
      <c r="AJ94" s="126"/>
      <c r="AK94" s="126"/>
      <c r="AL94" s="126"/>
    </row>
    <row r="95">
      <c r="A95" s="119"/>
      <c r="B95" s="154"/>
      <c r="C95" s="89"/>
      <c r="D95" s="55"/>
      <c r="E95" s="119"/>
      <c r="F95" s="154"/>
      <c r="G95" s="192"/>
      <c r="H95" s="193"/>
      <c r="I95" s="119"/>
      <c r="J95" s="154"/>
      <c r="K95" s="89"/>
      <c r="L95" s="55"/>
      <c r="M95" s="119"/>
      <c r="N95" s="194"/>
      <c r="O95" s="89"/>
      <c r="P95" s="55"/>
      <c r="Q95" s="195"/>
      <c r="R95" s="196"/>
      <c r="S95" s="125"/>
      <c r="T95" s="126"/>
      <c r="U95" s="195"/>
      <c r="V95" s="196"/>
      <c r="W95" s="125"/>
      <c r="X95" s="126"/>
      <c r="Y95" s="119"/>
      <c r="Z95" s="197"/>
      <c r="AA95" s="198"/>
      <c r="AB95" s="199"/>
      <c r="AC95" s="119"/>
      <c r="AD95" s="196"/>
      <c r="AE95" s="200"/>
      <c r="AF95" s="201"/>
      <c r="AG95" s="202"/>
      <c r="AH95" s="203"/>
      <c r="AI95" s="204"/>
      <c r="AJ95" s="126"/>
      <c r="AK95" s="126"/>
      <c r="AL95" s="126"/>
    </row>
    <row r="96">
      <c r="A96" s="119"/>
      <c r="B96" s="154"/>
      <c r="C96" s="89"/>
      <c r="D96" s="55"/>
      <c r="E96" s="119"/>
      <c r="F96" s="154"/>
      <c r="G96" s="192"/>
      <c r="H96" s="193"/>
      <c r="I96" s="119"/>
      <c r="J96" s="154"/>
      <c r="K96" s="89"/>
      <c r="L96" s="55"/>
      <c r="M96" s="119"/>
      <c r="N96" s="194"/>
      <c r="O96" s="89"/>
      <c r="P96" s="55"/>
      <c r="Q96" s="195"/>
      <c r="R96" s="196"/>
      <c r="S96" s="125"/>
      <c r="T96" s="126"/>
      <c r="U96" s="195"/>
      <c r="V96" s="196"/>
      <c r="W96" s="125"/>
      <c r="X96" s="126"/>
      <c r="Y96" s="119"/>
      <c r="Z96" s="197"/>
      <c r="AA96" s="198"/>
      <c r="AB96" s="199"/>
      <c r="AC96" s="119"/>
      <c r="AD96" s="196"/>
      <c r="AE96" s="200"/>
      <c r="AF96" s="201"/>
      <c r="AG96" s="202"/>
      <c r="AH96" s="203"/>
      <c r="AI96" s="204"/>
      <c r="AJ96" s="126"/>
      <c r="AK96" s="126"/>
      <c r="AL96" s="126"/>
    </row>
    <row r="97">
      <c r="A97" s="119"/>
      <c r="B97" s="154"/>
      <c r="C97" s="89"/>
      <c r="D97" s="55"/>
      <c r="E97" s="119"/>
      <c r="F97" s="154"/>
      <c r="G97" s="192"/>
      <c r="H97" s="193"/>
      <c r="I97" s="119"/>
      <c r="J97" s="154"/>
      <c r="K97" s="89"/>
      <c r="L97" s="55"/>
      <c r="M97" s="119"/>
      <c r="N97" s="194"/>
      <c r="O97" s="89"/>
      <c r="P97" s="55"/>
      <c r="Q97" s="195"/>
      <c r="R97" s="196"/>
      <c r="S97" s="125"/>
      <c r="T97" s="126"/>
      <c r="U97" s="195"/>
      <c r="V97" s="196"/>
      <c r="W97" s="125"/>
      <c r="X97" s="126"/>
      <c r="Y97" s="119"/>
      <c r="Z97" s="197"/>
      <c r="AA97" s="198"/>
      <c r="AB97" s="199"/>
      <c r="AC97" s="119"/>
      <c r="AD97" s="196"/>
      <c r="AE97" s="200"/>
      <c r="AF97" s="201"/>
      <c r="AG97" s="202"/>
      <c r="AH97" s="203"/>
      <c r="AI97" s="204"/>
      <c r="AJ97" s="126"/>
      <c r="AK97" s="126"/>
      <c r="AL97" s="126"/>
    </row>
    <row r="98">
      <c r="A98" s="119"/>
      <c r="B98" s="154"/>
      <c r="C98" s="89"/>
      <c r="D98" s="55"/>
      <c r="E98" s="119"/>
      <c r="F98" s="154"/>
      <c r="G98" s="192"/>
      <c r="H98" s="193"/>
      <c r="I98" s="119"/>
      <c r="J98" s="154"/>
      <c r="K98" s="89"/>
      <c r="L98" s="55"/>
      <c r="M98" s="119"/>
      <c r="N98" s="194"/>
      <c r="O98" s="89"/>
      <c r="P98" s="55"/>
      <c r="Q98" s="195"/>
      <c r="R98" s="196"/>
      <c r="S98" s="125"/>
      <c r="T98" s="126"/>
      <c r="U98" s="195"/>
      <c r="V98" s="196"/>
      <c r="W98" s="125"/>
      <c r="X98" s="126"/>
      <c r="Y98" s="119"/>
      <c r="Z98" s="197"/>
      <c r="AA98" s="198"/>
      <c r="AB98" s="199"/>
      <c r="AC98" s="119"/>
      <c r="AD98" s="196"/>
      <c r="AE98" s="200"/>
      <c r="AF98" s="201"/>
      <c r="AG98" s="202"/>
      <c r="AH98" s="203"/>
      <c r="AI98" s="204"/>
      <c r="AJ98" s="126"/>
      <c r="AK98" s="126"/>
      <c r="AL98" s="126"/>
    </row>
    <row r="99">
      <c r="A99" s="119"/>
      <c r="B99" s="154"/>
      <c r="C99" s="89"/>
      <c r="D99" s="55"/>
      <c r="E99" s="119"/>
      <c r="F99" s="154"/>
      <c r="G99" s="192"/>
      <c r="H99" s="193"/>
      <c r="I99" s="119"/>
      <c r="J99" s="154"/>
      <c r="K99" s="89"/>
      <c r="L99" s="55"/>
      <c r="M99" s="119"/>
      <c r="N99" s="194"/>
      <c r="O99" s="89"/>
      <c r="P99" s="55"/>
      <c r="Q99" s="195"/>
      <c r="R99" s="196"/>
      <c r="S99" s="125"/>
      <c r="T99" s="126"/>
      <c r="U99" s="195"/>
      <c r="V99" s="196"/>
      <c r="W99" s="125"/>
      <c r="X99" s="126"/>
      <c r="Y99" s="119"/>
      <c r="Z99" s="197"/>
      <c r="AA99" s="198"/>
      <c r="AB99" s="199"/>
      <c r="AC99" s="119"/>
      <c r="AD99" s="196"/>
      <c r="AE99" s="200"/>
      <c r="AF99" s="201"/>
      <c r="AG99" s="202"/>
      <c r="AH99" s="203"/>
      <c r="AI99" s="204"/>
      <c r="AJ99" s="126"/>
      <c r="AK99" s="126"/>
      <c r="AL99" s="126"/>
    </row>
    <row r="100">
      <c r="A100" s="119"/>
      <c r="B100" s="154"/>
      <c r="C100" s="89"/>
      <c r="D100" s="55"/>
      <c r="E100" s="119"/>
      <c r="F100" s="154"/>
      <c r="G100" s="192"/>
      <c r="H100" s="193"/>
      <c r="I100" s="119"/>
      <c r="J100" s="154"/>
      <c r="K100" s="89"/>
      <c r="L100" s="55"/>
      <c r="M100" s="119"/>
      <c r="N100" s="194"/>
      <c r="O100" s="89"/>
      <c r="P100" s="55"/>
      <c r="Q100" s="195"/>
      <c r="R100" s="196"/>
      <c r="S100" s="125"/>
      <c r="T100" s="126"/>
      <c r="U100" s="195"/>
      <c r="V100" s="196"/>
      <c r="W100" s="125"/>
      <c r="X100" s="126"/>
      <c r="Y100" s="119"/>
      <c r="Z100" s="197"/>
      <c r="AA100" s="198"/>
      <c r="AB100" s="199"/>
      <c r="AC100" s="119"/>
      <c r="AD100" s="196"/>
      <c r="AE100" s="200"/>
      <c r="AF100" s="201"/>
      <c r="AG100" s="202"/>
      <c r="AH100" s="203"/>
      <c r="AI100" s="204"/>
      <c r="AJ100" s="126"/>
      <c r="AK100" s="126"/>
      <c r="AL100" s="126"/>
    </row>
    <row r="101">
      <c r="A101" s="119"/>
      <c r="B101" s="154"/>
      <c r="C101" s="89"/>
      <c r="D101" s="55"/>
      <c r="E101" s="119"/>
      <c r="F101" s="154"/>
      <c r="G101" s="192"/>
      <c r="H101" s="193"/>
      <c r="I101" s="119"/>
      <c r="J101" s="154"/>
      <c r="K101" s="89"/>
      <c r="L101" s="55"/>
      <c r="M101" s="119"/>
      <c r="N101" s="194"/>
      <c r="O101" s="89"/>
      <c r="P101" s="55"/>
      <c r="Q101" s="195"/>
      <c r="R101" s="196"/>
      <c r="S101" s="125"/>
      <c r="T101" s="126"/>
      <c r="U101" s="195"/>
      <c r="V101" s="196"/>
      <c r="W101" s="125"/>
      <c r="X101" s="126"/>
      <c r="Y101" s="119"/>
      <c r="Z101" s="197"/>
      <c r="AA101" s="198"/>
      <c r="AB101" s="199"/>
      <c r="AC101" s="119"/>
      <c r="AD101" s="196"/>
      <c r="AE101" s="200"/>
      <c r="AF101" s="201"/>
      <c r="AG101" s="202"/>
      <c r="AH101" s="203"/>
      <c r="AI101" s="204"/>
      <c r="AJ101" s="126"/>
      <c r="AK101" s="126"/>
      <c r="AL101" s="126"/>
    </row>
    <row r="102">
      <c r="A102" s="119"/>
      <c r="B102" s="154"/>
      <c r="C102" s="89"/>
      <c r="D102" s="55"/>
      <c r="E102" s="119"/>
      <c r="F102" s="154"/>
      <c r="G102" s="192"/>
      <c r="H102" s="193"/>
      <c r="I102" s="119"/>
      <c r="J102" s="154"/>
      <c r="K102" s="89"/>
      <c r="L102" s="55"/>
      <c r="M102" s="119"/>
      <c r="N102" s="194"/>
      <c r="O102" s="89"/>
      <c r="P102" s="55"/>
      <c r="Q102" s="195"/>
      <c r="R102" s="196"/>
      <c r="S102" s="125"/>
      <c r="T102" s="126"/>
      <c r="U102" s="195"/>
      <c r="V102" s="196"/>
      <c r="W102" s="125"/>
      <c r="X102" s="126"/>
      <c r="Y102" s="119"/>
      <c r="Z102" s="197"/>
      <c r="AA102" s="198"/>
      <c r="AB102" s="199"/>
      <c r="AC102" s="119"/>
      <c r="AD102" s="196"/>
      <c r="AE102" s="200"/>
      <c r="AF102" s="201"/>
      <c r="AG102" s="202"/>
      <c r="AH102" s="203"/>
      <c r="AI102" s="204"/>
      <c r="AJ102" s="126"/>
      <c r="AK102" s="126"/>
      <c r="AL102" s="126"/>
    </row>
    <row r="103">
      <c r="A103" s="119"/>
      <c r="B103" s="154"/>
      <c r="C103" s="89"/>
      <c r="D103" s="55"/>
      <c r="E103" s="119"/>
      <c r="F103" s="154"/>
      <c r="G103" s="192"/>
      <c r="H103" s="193"/>
      <c r="I103" s="119"/>
      <c r="J103" s="154"/>
      <c r="K103" s="89"/>
      <c r="L103" s="55"/>
      <c r="M103" s="119"/>
      <c r="N103" s="194"/>
      <c r="O103" s="89"/>
      <c r="P103" s="55"/>
      <c r="Q103" s="195"/>
      <c r="R103" s="196"/>
      <c r="S103" s="125"/>
      <c r="T103" s="126"/>
      <c r="U103" s="195"/>
      <c r="V103" s="196"/>
      <c r="W103" s="125"/>
      <c r="X103" s="126"/>
      <c r="Y103" s="119"/>
      <c r="Z103" s="197"/>
      <c r="AA103" s="198"/>
      <c r="AB103" s="199"/>
      <c r="AC103" s="119"/>
      <c r="AD103" s="196"/>
      <c r="AE103" s="200"/>
      <c r="AF103" s="201"/>
      <c r="AG103" s="202"/>
      <c r="AH103" s="203"/>
      <c r="AI103" s="204"/>
      <c r="AJ103" s="126"/>
      <c r="AK103" s="126"/>
      <c r="AL103" s="126"/>
    </row>
    <row r="104">
      <c r="A104" s="119"/>
      <c r="B104" s="154"/>
      <c r="C104" s="89"/>
      <c r="D104" s="55"/>
      <c r="E104" s="119"/>
      <c r="F104" s="154"/>
      <c r="G104" s="192"/>
      <c r="H104" s="193"/>
      <c r="I104" s="119"/>
      <c r="J104" s="154"/>
      <c r="K104" s="89"/>
      <c r="L104" s="55"/>
      <c r="M104" s="119"/>
      <c r="N104" s="194"/>
      <c r="O104" s="89"/>
      <c r="P104" s="55"/>
      <c r="Q104" s="195"/>
      <c r="R104" s="196"/>
      <c r="S104" s="125"/>
      <c r="T104" s="126"/>
      <c r="U104" s="195"/>
      <c r="V104" s="196"/>
      <c r="W104" s="125"/>
      <c r="X104" s="126"/>
      <c r="Y104" s="119"/>
      <c r="Z104" s="197"/>
      <c r="AA104" s="198"/>
      <c r="AB104" s="199"/>
      <c r="AC104" s="119"/>
      <c r="AD104" s="196"/>
      <c r="AE104" s="200"/>
      <c r="AF104" s="201"/>
      <c r="AG104" s="202"/>
      <c r="AH104" s="203"/>
      <c r="AI104" s="204"/>
      <c r="AJ104" s="126"/>
      <c r="AK104" s="126"/>
      <c r="AL104" s="126"/>
    </row>
    <row r="105">
      <c r="A105" s="119"/>
      <c r="B105" s="154"/>
      <c r="C105" s="89"/>
      <c r="D105" s="55"/>
      <c r="E105" s="119"/>
      <c r="F105" s="154"/>
      <c r="G105" s="192"/>
      <c r="H105" s="193"/>
      <c r="I105" s="119"/>
      <c r="J105" s="154"/>
      <c r="K105" s="89"/>
      <c r="L105" s="55"/>
      <c r="M105" s="119"/>
      <c r="N105" s="194"/>
      <c r="O105" s="89"/>
      <c r="P105" s="55"/>
      <c r="Q105" s="195"/>
      <c r="R105" s="196"/>
      <c r="S105" s="125"/>
      <c r="T105" s="126"/>
      <c r="U105" s="195"/>
      <c r="V105" s="196"/>
      <c r="W105" s="125"/>
      <c r="X105" s="126"/>
      <c r="Y105" s="119"/>
      <c r="Z105" s="197"/>
      <c r="AA105" s="198"/>
      <c r="AB105" s="199"/>
      <c r="AC105" s="119"/>
      <c r="AD105" s="196"/>
      <c r="AE105" s="200"/>
      <c r="AF105" s="201"/>
      <c r="AG105" s="202"/>
      <c r="AH105" s="203"/>
      <c r="AI105" s="204"/>
      <c r="AJ105" s="126"/>
      <c r="AK105" s="126"/>
      <c r="AL105" s="126"/>
    </row>
    <row r="106">
      <c r="A106" s="119"/>
      <c r="B106" s="154"/>
      <c r="C106" s="89"/>
      <c r="D106" s="55"/>
      <c r="E106" s="119"/>
      <c r="F106" s="154"/>
      <c r="G106" s="192"/>
      <c r="H106" s="193"/>
      <c r="I106" s="119"/>
      <c r="J106" s="154"/>
      <c r="K106" s="89"/>
      <c r="L106" s="55"/>
      <c r="M106" s="119"/>
      <c r="N106" s="194"/>
      <c r="O106" s="89"/>
      <c r="P106" s="55"/>
      <c r="Q106" s="195"/>
      <c r="R106" s="196"/>
      <c r="S106" s="125"/>
      <c r="T106" s="126"/>
      <c r="U106" s="195"/>
      <c r="V106" s="196"/>
      <c r="W106" s="125"/>
      <c r="X106" s="126"/>
      <c r="Y106" s="119"/>
      <c r="Z106" s="197"/>
      <c r="AA106" s="198"/>
      <c r="AB106" s="199"/>
      <c r="AC106" s="119"/>
      <c r="AD106" s="196"/>
      <c r="AE106" s="200"/>
      <c r="AF106" s="201"/>
      <c r="AG106" s="202"/>
      <c r="AH106" s="203"/>
      <c r="AI106" s="204"/>
      <c r="AJ106" s="126"/>
      <c r="AK106" s="126"/>
      <c r="AL106" s="126"/>
    </row>
    <row r="107">
      <c r="A107" s="119"/>
      <c r="B107" s="154"/>
      <c r="C107" s="89"/>
      <c r="D107" s="55"/>
      <c r="E107" s="119"/>
      <c r="F107" s="154"/>
      <c r="G107" s="192"/>
      <c r="H107" s="193"/>
      <c r="I107" s="119"/>
      <c r="J107" s="154"/>
      <c r="K107" s="89"/>
      <c r="L107" s="55"/>
      <c r="M107" s="119"/>
      <c r="N107" s="194"/>
      <c r="O107" s="89"/>
      <c r="P107" s="55"/>
      <c r="Q107" s="195"/>
      <c r="R107" s="196"/>
      <c r="S107" s="125"/>
      <c r="T107" s="126"/>
      <c r="U107" s="195"/>
      <c r="V107" s="196"/>
      <c r="W107" s="125"/>
      <c r="X107" s="126"/>
      <c r="Y107" s="119"/>
      <c r="Z107" s="197"/>
      <c r="AA107" s="198"/>
      <c r="AB107" s="199"/>
      <c r="AC107" s="119"/>
      <c r="AD107" s="196"/>
      <c r="AE107" s="200"/>
      <c r="AF107" s="201"/>
      <c r="AG107" s="202"/>
      <c r="AH107" s="203"/>
      <c r="AI107" s="204"/>
      <c r="AJ107" s="126"/>
      <c r="AK107" s="126"/>
      <c r="AL107" s="126"/>
    </row>
    <row r="108">
      <c r="A108" s="119"/>
      <c r="B108" s="154"/>
      <c r="C108" s="89"/>
      <c r="D108" s="55"/>
      <c r="E108" s="119"/>
      <c r="F108" s="154"/>
      <c r="G108" s="192"/>
      <c r="H108" s="193"/>
      <c r="I108" s="119"/>
      <c r="J108" s="154"/>
      <c r="K108" s="89"/>
      <c r="L108" s="55"/>
      <c r="M108" s="119"/>
      <c r="N108" s="194"/>
      <c r="O108" s="89"/>
      <c r="P108" s="55"/>
      <c r="Q108" s="195"/>
      <c r="R108" s="196"/>
      <c r="S108" s="125"/>
      <c r="T108" s="126"/>
      <c r="U108" s="195"/>
      <c r="V108" s="196"/>
      <c r="W108" s="125"/>
      <c r="X108" s="126"/>
      <c r="Y108" s="119"/>
      <c r="Z108" s="197"/>
      <c r="AA108" s="198"/>
      <c r="AB108" s="199"/>
      <c r="AC108" s="119"/>
      <c r="AD108" s="196"/>
      <c r="AE108" s="200"/>
      <c r="AF108" s="201"/>
      <c r="AG108" s="202"/>
      <c r="AH108" s="203"/>
      <c r="AI108" s="204"/>
      <c r="AJ108" s="126"/>
      <c r="AK108" s="126"/>
      <c r="AL108" s="126"/>
    </row>
    <row r="109">
      <c r="A109" s="119"/>
      <c r="B109" s="154"/>
      <c r="C109" s="89"/>
      <c r="D109" s="55"/>
      <c r="E109" s="119"/>
      <c r="F109" s="154"/>
      <c r="G109" s="192"/>
      <c r="H109" s="193"/>
      <c r="I109" s="119"/>
      <c r="J109" s="154"/>
      <c r="K109" s="89"/>
      <c r="L109" s="55"/>
      <c r="M109" s="119"/>
      <c r="N109" s="194"/>
      <c r="O109" s="89"/>
      <c r="P109" s="55"/>
      <c r="Q109" s="195"/>
      <c r="R109" s="196"/>
      <c r="S109" s="125"/>
      <c r="T109" s="126"/>
      <c r="U109" s="195"/>
      <c r="V109" s="196"/>
      <c r="W109" s="125"/>
      <c r="X109" s="126"/>
      <c r="Y109" s="119"/>
      <c r="Z109" s="197"/>
      <c r="AA109" s="198"/>
      <c r="AB109" s="199"/>
      <c r="AC109" s="119"/>
      <c r="AD109" s="196"/>
      <c r="AE109" s="200"/>
      <c r="AF109" s="201"/>
      <c r="AG109" s="202"/>
      <c r="AH109" s="203"/>
      <c r="AI109" s="204"/>
      <c r="AJ109" s="126"/>
      <c r="AK109" s="126"/>
      <c r="AL109" s="126"/>
    </row>
    <row r="110">
      <c r="A110" s="119"/>
      <c r="B110" s="154"/>
      <c r="C110" s="89"/>
      <c r="D110" s="55"/>
      <c r="E110" s="119"/>
      <c r="F110" s="154"/>
      <c r="G110" s="192"/>
      <c r="H110" s="193"/>
      <c r="I110" s="119"/>
      <c r="J110" s="154"/>
      <c r="K110" s="89"/>
      <c r="L110" s="55"/>
      <c r="M110" s="119"/>
      <c r="N110" s="194"/>
      <c r="O110" s="89"/>
      <c r="P110" s="55"/>
      <c r="Q110" s="195"/>
      <c r="R110" s="196"/>
      <c r="S110" s="125"/>
      <c r="T110" s="126"/>
      <c r="U110" s="195"/>
      <c r="V110" s="196"/>
      <c r="W110" s="125"/>
      <c r="X110" s="126"/>
      <c r="Y110" s="119"/>
      <c r="Z110" s="197"/>
      <c r="AA110" s="198"/>
      <c r="AB110" s="199"/>
      <c r="AC110" s="119"/>
      <c r="AD110" s="196"/>
      <c r="AE110" s="200"/>
      <c r="AF110" s="201"/>
      <c r="AG110" s="202"/>
      <c r="AH110" s="203"/>
      <c r="AI110" s="204"/>
      <c r="AJ110" s="126"/>
      <c r="AK110" s="126"/>
      <c r="AL110" s="126"/>
    </row>
    <row r="111">
      <c r="A111" s="119"/>
      <c r="B111" s="154"/>
      <c r="C111" s="89"/>
      <c r="D111" s="55"/>
      <c r="E111" s="119"/>
      <c r="F111" s="154"/>
      <c r="G111" s="192"/>
      <c r="H111" s="193"/>
      <c r="I111" s="119"/>
      <c r="J111" s="154"/>
      <c r="K111" s="89"/>
      <c r="L111" s="55"/>
      <c r="M111" s="119"/>
      <c r="N111" s="194"/>
      <c r="O111" s="89"/>
      <c r="P111" s="55"/>
      <c r="Q111" s="195"/>
      <c r="R111" s="196"/>
      <c r="S111" s="125"/>
      <c r="T111" s="126"/>
      <c r="U111" s="195"/>
      <c r="V111" s="196"/>
      <c r="W111" s="125"/>
      <c r="X111" s="126"/>
      <c r="Y111" s="119"/>
      <c r="Z111" s="197"/>
      <c r="AA111" s="198"/>
      <c r="AB111" s="199"/>
      <c r="AC111" s="119"/>
      <c r="AD111" s="196"/>
      <c r="AE111" s="200"/>
      <c r="AF111" s="201"/>
      <c r="AG111" s="202"/>
      <c r="AH111" s="203"/>
      <c r="AI111" s="204"/>
      <c r="AJ111" s="126"/>
      <c r="AK111" s="126"/>
      <c r="AL111" s="126"/>
    </row>
    <row r="112">
      <c r="A112" s="119"/>
      <c r="B112" s="154"/>
      <c r="C112" s="89"/>
      <c r="D112" s="55"/>
      <c r="E112" s="119"/>
      <c r="F112" s="154"/>
      <c r="G112" s="192"/>
      <c r="H112" s="193"/>
      <c r="I112" s="119"/>
      <c r="J112" s="154"/>
      <c r="K112" s="89"/>
      <c r="L112" s="55"/>
      <c r="M112" s="119"/>
      <c r="N112" s="194"/>
      <c r="O112" s="89"/>
      <c r="P112" s="55"/>
      <c r="Q112" s="195"/>
      <c r="R112" s="196"/>
      <c r="S112" s="125"/>
      <c r="T112" s="126"/>
      <c r="U112" s="195"/>
      <c r="V112" s="196"/>
      <c r="W112" s="125"/>
      <c r="X112" s="126"/>
      <c r="Y112" s="119"/>
      <c r="Z112" s="197"/>
      <c r="AA112" s="198"/>
      <c r="AB112" s="199"/>
      <c r="AC112" s="119"/>
      <c r="AD112" s="196"/>
      <c r="AE112" s="200"/>
      <c r="AF112" s="201"/>
      <c r="AG112" s="202"/>
      <c r="AH112" s="203"/>
      <c r="AI112" s="204"/>
      <c r="AJ112" s="126"/>
      <c r="AK112" s="126"/>
      <c r="AL112" s="126"/>
    </row>
    <row r="113">
      <c r="A113" s="119"/>
      <c r="B113" s="154"/>
      <c r="C113" s="89"/>
      <c r="D113" s="55"/>
      <c r="E113" s="119"/>
      <c r="F113" s="154"/>
      <c r="G113" s="192"/>
      <c r="H113" s="193"/>
      <c r="I113" s="119"/>
      <c r="J113" s="154"/>
      <c r="K113" s="89"/>
      <c r="L113" s="55"/>
      <c r="M113" s="119"/>
      <c r="N113" s="194"/>
      <c r="O113" s="89"/>
      <c r="P113" s="55"/>
      <c r="Q113" s="195"/>
      <c r="R113" s="196"/>
      <c r="S113" s="125"/>
      <c r="T113" s="126"/>
      <c r="U113" s="195"/>
      <c r="V113" s="196"/>
      <c r="W113" s="125"/>
      <c r="X113" s="126"/>
      <c r="Y113" s="119"/>
      <c r="Z113" s="197"/>
      <c r="AA113" s="198"/>
      <c r="AB113" s="199"/>
      <c r="AC113" s="119"/>
      <c r="AD113" s="196"/>
      <c r="AE113" s="200"/>
      <c r="AF113" s="201"/>
      <c r="AG113" s="202"/>
      <c r="AH113" s="203"/>
      <c r="AI113" s="204"/>
      <c r="AJ113" s="126"/>
      <c r="AK113" s="126"/>
      <c r="AL113" s="126"/>
    </row>
    <row r="114">
      <c r="A114" s="119"/>
      <c r="B114" s="154"/>
      <c r="C114" s="89"/>
      <c r="D114" s="55"/>
      <c r="E114" s="119"/>
      <c r="F114" s="154"/>
      <c r="G114" s="192"/>
      <c r="H114" s="193"/>
      <c r="I114" s="119"/>
      <c r="J114" s="154"/>
      <c r="K114" s="89"/>
      <c r="L114" s="55"/>
      <c r="M114" s="119"/>
      <c r="N114" s="194"/>
      <c r="O114" s="89"/>
      <c r="P114" s="55"/>
      <c r="Q114" s="195"/>
      <c r="R114" s="196"/>
      <c r="S114" s="125"/>
      <c r="T114" s="126"/>
      <c r="U114" s="195"/>
      <c r="V114" s="196"/>
      <c r="W114" s="125"/>
      <c r="X114" s="126"/>
      <c r="Y114" s="119"/>
      <c r="Z114" s="197"/>
      <c r="AA114" s="198"/>
      <c r="AB114" s="199"/>
      <c r="AC114" s="119"/>
      <c r="AD114" s="196"/>
      <c r="AE114" s="200"/>
      <c r="AF114" s="201"/>
      <c r="AG114" s="202"/>
      <c r="AH114" s="203"/>
      <c r="AI114" s="204"/>
      <c r="AJ114" s="126"/>
      <c r="AK114" s="126"/>
      <c r="AL114" s="126"/>
    </row>
    <row r="115">
      <c r="A115" s="119"/>
      <c r="B115" s="154"/>
      <c r="C115" s="89"/>
      <c r="D115" s="55"/>
      <c r="E115" s="119"/>
      <c r="F115" s="154"/>
      <c r="G115" s="192"/>
      <c r="H115" s="193"/>
      <c r="I115" s="119"/>
      <c r="J115" s="154"/>
      <c r="K115" s="89"/>
      <c r="L115" s="55"/>
      <c r="M115" s="119"/>
      <c r="N115" s="194"/>
      <c r="O115" s="89"/>
      <c r="P115" s="55"/>
      <c r="Q115" s="195"/>
      <c r="R115" s="196"/>
      <c r="S115" s="125"/>
      <c r="T115" s="126"/>
      <c r="U115" s="195"/>
      <c r="V115" s="196"/>
      <c r="W115" s="125"/>
      <c r="X115" s="126"/>
      <c r="Y115" s="119"/>
      <c r="Z115" s="197"/>
      <c r="AA115" s="198"/>
      <c r="AB115" s="199"/>
      <c r="AC115" s="119"/>
      <c r="AD115" s="196"/>
      <c r="AE115" s="200"/>
      <c r="AF115" s="201"/>
      <c r="AG115" s="202"/>
      <c r="AH115" s="203"/>
      <c r="AI115" s="204"/>
      <c r="AJ115" s="126"/>
      <c r="AK115" s="126"/>
      <c r="AL115" s="126"/>
    </row>
    <row r="116">
      <c r="A116" s="119"/>
      <c r="B116" s="154"/>
      <c r="C116" s="89"/>
      <c r="D116" s="55"/>
      <c r="E116" s="119"/>
      <c r="F116" s="154"/>
      <c r="G116" s="192"/>
      <c r="H116" s="193"/>
      <c r="I116" s="119"/>
      <c r="J116" s="154"/>
      <c r="K116" s="89"/>
      <c r="L116" s="55"/>
      <c r="M116" s="119"/>
      <c r="N116" s="194"/>
      <c r="O116" s="89"/>
      <c r="P116" s="55"/>
      <c r="Q116" s="195"/>
      <c r="R116" s="196"/>
      <c r="S116" s="125"/>
      <c r="T116" s="126"/>
      <c r="U116" s="195"/>
      <c r="V116" s="196"/>
      <c r="W116" s="125"/>
      <c r="X116" s="126"/>
      <c r="Y116" s="119"/>
      <c r="Z116" s="197"/>
      <c r="AA116" s="198"/>
      <c r="AB116" s="199"/>
      <c r="AC116" s="119"/>
      <c r="AD116" s="196"/>
      <c r="AE116" s="200"/>
      <c r="AF116" s="201"/>
      <c r="AG116" s="202"/>
      <c r="AH116" s="203"/>
      <c r="AI116" s="204"/>
      <c r="AJ116" s="126"/>
      <c r="AK116" s="126"/>
      <c r="AL116" s="126"/>
    </row>
    <row r="117">
      <c r="A117" s="119"/>
      <c r="B117" s="154"/>
      <c r="C117" s="89"/>
      <c r="D117" s="55"/>
      <c r="E117" s="119"/>
      <c r="F117" s="154"/>
      <c r="G117" s="192"/>
      <c r="H117" s="193"/>
      <c r="I117" s="119"/>
      <c r="J117" s="154"/>
      <c r="K117" s="89"/>
      <c r="L117" s="55"/>
      <c r="M117" s="119"/>
      <c r="N117" s="194"/>
      <c r="O117" s="89"/>
      <c r="P117" s="55"/>
      <c r="Q117" s="195"/>
      <c r="R117" s="196"/>
      <c r="S117" s="125"/>
      <c r="T117" s="126"/>
      <c r="U117" s="195"/>
      <c r="V117" s="196"/>
      <c r="W117" s="125"/>
      <c r="X117" s="126"/>
      <c r="Y117" s="119"/>
      <c r="Z117" s="197"/>
      <c r="AA117" s="198"/>
      <c r="AB117" s="199"/>
      <c r="AC117" s="119"/>
      <c r="AD117" s="196"/>
      <c r="AE117" s="200"/>
      <c r="AF117" s="201"/>
      <c r="AG117" s="202"/>
      <c r="AH117" s="203"/>
      <c r="AI117" s="204"/>
      <c r="AJ117" s="126"/>
      <c r="AK117" s="126"/>
      <c r="AL117" s="126"/>
    </row>
    <row r="118">
      <c r="A118" s="119"/>
      <c r="B118" s="154"/>
      <c r="C118" s="89"/>
      <c r="D118" s="55"/>
      <c r="E118" s="119"/>
      <c r="F118" s="154"/>
      <c r="G118" s="192"/>
      <c r="H118" s="193"/>
      <c r="I118" s="119"/>
      <c r="J118" s="154"/>
      <c r="K118" s="89"/>
      <c r="L118" s="55"/>
      <c r="M118" s="119"/>
      <c r="N118" s="194"/>
      <c r="O118" s="89"/>
      <c r="P118" s="55"/>
      <c r="Q118" s="195"/>
      <c r="R118" s="196"/>
      <c r="S118" s="125"/>
      <c r="T118" s="126"/>
      <c r="U118" s="195"/>
      <c r="V118" s="196"/>
      <c r="W118" s="125"/>
      <c r="X118" s="126"/>
      <c r="Y118" s="119"/>
      <c r="Z118" s="197"/>
      <c r="AA118" s="198"/>
      <c r="AB118" s="199"/>
      <c r="AC118" s="119"/>
      <c r="AD118" s="196"/>
      <c r="AE118" s="200"/>
      <c r="AF118" s="201"/>
      <c r="AG118" s="202"/>
      <c r="AH118" s="203"/>
      <c r="AI118" s="204"/>
      <c r="AJ118" s="126"/>
      <c r="AK118" s="126"/>
      <c r="AL118" s="126"/>
    </row>
    <row r="119">
      <c r="A119" s="119"/>
      <c r="B119" s="154"/>
      <c r="C119" s="89"/>
      <c r="D119" s="55"/>
      <c r="E119" s="119"/>
      <c r="F119" s="154"/>
      <c r="G119" s="192"/>
      <c r="H119" s="193"/>
      <c r="I119" s="119"/>
      <c r="J119" s="154"/>
      <c r="K119" s="89"/>
      <c r="L119" s="55"/>
      <c r="M119" s="119"/>
      <c r="N119" s="194"/>
      <c r="O119" s="89"/>
      <c r="P119" s="55"/>
      <c r="Q119" s="195"/>
      <c r="R119" s="196"/>
      <c r="S119" s="125"/>
      <c r="T119" s="126"/>
      <c r="U119" s="195"/>
      <c r="V119" s="196"/>
      <c r="W119" s="125"/>
      <c r="X119" s="126"/>
      <c r="Y119" s="119"/>
      <c r="Z119" s="197"/>
      <c r="AA119" s="198"/>
      <c r="AB119" s="199"/>
      <c r="AC119" s="119"/>
      <c r="AD119" s="196"/>
      <c r="AE119" s="200"/>
      <c r="AF119" s="201"/>
      <c r="AG119" s="202"/>
      <c r="AH119" s="203"/>
      <c r="AI119" s="204"/>
      <c r="AJ119" s="126"/>
      <c r="AK119" s="126"/>
      <c r="AL119" s="126"/>
    </row>
    <row r="120">
      <c r="A120" s="119"/>
      <c r="B120" s="154"/>
      <c r="C120" s="89"/>
      <c r="D120" s="55"/>
      <c r="E120" s="119"/>
      <c r="F120" s="154"/>
      <c r="G120" s="192"/>
      <c r="H120" s="193"/>
      <c r="I120" s="119"/>
      <c r="J120" s="154"/>
      <c r="K120" s="89"/>
      <c r="L120" s="55"/>
      <c r="M120" s="119"/>
      <c r="N120" s="194"/>
      <c r="O120" s="89"/>
      <c r="P120" s="55"/>
      <c r="Q120" s="195"/>
      <c r="R120" s="196"/>
      <c r="S120" s="125"/>
      <c r="T120" s="126"/>
      <c r="U120" s="195"/>
      <c r="V120" s="196"/>
      <c r="W120" s="125"/>
      <c r="X120" s="126"/>
      <c r="Y120" s="119"/>
      <c r="Z120" s="197"/>
      <c r="AA120" s="198"/>
      <c r="AB120" s="199"/>
      <c r="AC120" s="119"/>
      <c r="AD120" s="196"/>
      <c r="AE120" s="200"/>
      <c r="AF120" s="201"/>
      <c r="AG120" s="202"/>
      <c r="AH120" s="203"/>
      <c r="AI120" s="204"/>
      <c r="AJ120" s="126"/>
      <c r="AK120" s="126"/>
      <c r="AL120" s="126"/>
    </row>
    <row r="121">
      <c r="A121" s="119"/>
      <c r="B121" s="154"/>
      <c r="C121" s="89"/>
      <c r="D121" s="55"/>
      <c r="E121" s="119"/>
      <c r="F121" s="154"/>
      <c r="G121" s="192"/>
      <c r="H121" s="193"/>
      <c r="I121" s="119"/>
      <c r="J121" s="154"/>
      <c r="K121" s="89"/>
      <c r="L121" s="55"/>
      <c r="M121" s="119"/>
      <c r="N121" s="194"/>
      <c r="O121" s="89"/>
      <c r="P121" s="55"/>
      <c r="Q121" s="195"/>
      <c r="R121" s="196"/>
      <c r="S121" s="125"/>
      <c r="T121" s="126"/>
      <c r="U121" s="195"/>
      <c r="V121" s="196"/>
      <c r="W121" s="125"/>
      <c r="X121" s="126"/>
      <c r="Y121" s="119"/>
      <c r="Z121" s="197"/>
      <c r="AA121" s="198"/>
      <c r="AB121" s="199"/>
      <c r="AC121" s="119"/>
      <c r="AD121" s="196"/>
      <c r="AE121" s="200"/>
      <c r="AF121" s="201"/>
      <c r="AG121" s="202"/>
      <c r="AH121" s="203"/>
      <c r="AI121" s="204"/>
      <c r="AJ121" s="126"/>
      <c r="AK121" s="126"/>
      <c r="AL121" s="126"/>
    </row>
    <row r="122">
      <c r="A122" s="119"/>
      <c r="B122" s="154"/>
      <c r="C122" s="89"/>
      <c r="D122" s="55"/>
      <c r="E122" s="119"/>
      <c r="F122" s="154"/>
      <c r="G122" s="192"/>
      <c r="H122" s="193"/>
      <c r="I122" s="119"/>
      <c r="J122" s="154"/>
      <c r="K122" s="89"/>
      <c r="L122" s="55"/>
      <c r="M122" s="119"/>
      <c r="N122" s="194"/>
      <c r="O122" s="89"/>
      <c r="P122" s="55"/>
      <c r="Q122" s="195"/>
      <c r="R122" s="196"/>
      <c r="S122" s="125"/>
      <c r="T122" s="126"/>
      <c r="U122" s="195"/>
      <c r="V122" s="196"/>
      <c r="W122" s="125"/>
      <c r="X122" s="126"/>
      <c r="Y122" s="119"/>
      <c r="Z122" s="197"/>
      <c r="AA122" s="198"/>
      <c r="AB122" s="199"/>
      <c r="AC122" s="119"/>
      <c r="AD122" s="196"/>
      <c r="AE122" s="200"/>
      <c r="AF122" s="201"/>
      <c r="AG122" s="202"/>
      <c r="AH122" s="203"/>
      <c r="AI122" s="204"/>
      <c r="AJ122" s="126"/>
      <c r="AK122" s="126"/>
      <c r="AL122" s="126"/>
    </row>
    <row r="123">
      <c r="A123" s="119"/>
      <c r="B123" s="154"/>
      <c r="C123" s="89"/>
      <c r="D123" s="55"/>
      <c r="E123" s="119"/>
      <c r="F123" s="154"/>
      <c r="G123" s="192"/>
      <c r="H123" s="193"/>
      <c r="I123" s="119"/>
      <c r="J123" s="154"/>
      <c r="K123" s="89"/>
      <c r="L123" s="55"/>
      <c r="M123" s="119"/>
      <c r="N123" s="194"/>
      <c r="O123" s="89"/>
      <c r="P123" s="55"/>
      <c r="Q123" s="195"/>
      <c r="R123" s="196"/>
      <c r="S123" s="125"/>
      <c r="T123" s="126"/>
      <c r="U123" s="195"/>
      <c r="V123" s="196"/>
      <c r="W123" s="125"/>
      <c r="X123" s="126"/>
      <c r="Y123" s="119"/>
      <c r="Z123" s="197"/>
      <c r="AA123" s="198"/>
      <c r="AB123" s="199"/>
      <c r="AC123" s="119"/>
      <c r="AD123" s="196"/>
      <c r="AE123" s="200"/>
      <c r="AF123" s="201"/>
      <c r="AG123" s="202"/>
      <c r="AH123" s="203"/>
      <c r="AI123" s="204"/>
      <c r="AJ123" s="126"/>
      <c r="AK123" s="126"/>
      <c r="AL123" s="126"/>
    </row>
    <row r="124">
      <c r="A124" s="119"/>
      <c r="B124" s="154"/>
      <c r="C124" s="89"/>
      <c r="D124" s="55"/>
      <c r="E124" s="119"/>
      <c r="F124" s="154"/>
      <c r="G124" s="192"/>
      <c r="H124" s="193"/>
      <c r="I124" s="119"/>
      <c r="J124" s="154"/>
      <c r="K124" s="89"/>
      <c r="L124" s="55"/>
      <c r="M124" s="119"/>
      <c r="N124" s="194"/>
      <c r="O124" s="89"/>
      <c r="P124" s="55"/>
      <c r="Q124" s="195"/>
      <c r="R124" s="196"/>
      <c r="S124" s="125"/>
      <c r="T124" s="126"/>
      <c r="U124" s="195"/>
      <c r="V124" s="196"/>
      <c r="W124" s="125"/>
      <c r="X124" s="126"/>
      <c r="Y124" s="119"/>
      <c r="Z124" s="197"/>
      <c r="AA124" s="198"/>
      <c r="AB124" s="199"/>
      <c r="AC124" s="119"/>
      <c r="AD124" s="196"/>
      <c r="AE124" s="200"/>
      <c r="AF124" s="201"/>
      <c r="AG124" s="202"/>
      <c r="AH124" s="203"/>
      <c r="AI124" s="204"/>
      <c r="AJ124" s="126"/>
      <c r="AK124" s="126"/>
      <c r="AL124" s="126"/>
    </row>
    <row r="125">
      <c r="A125" s="119"/>
      <c r="B125" s="154"/>
      <c r="C125" s="89"/>
      <c r="D125" s="55"/>
      <c r="E125" s="119"/>
      <c r="F125" s="154"/>
      <c r="G125" s="192"/>
      <c r="H125" s="193"/>
      <c r="I125" s="119"/>
      <c r="J125" s="154"/>
      <c r="K125" s="89"/>
      <c r="L125" s="55"/>
      <c r="M125" s="119"/>
      <c r="N125" s="194"/>
      <c r="O125" s="89"/>
      <c r="P125" s="55"/>
      <c r="Q125" s="195"/>
      <c r="R125" s="196"/>
      <c r="S125" s="125"/>
      <c r="T125" s="126"/>
      <c r="U125" s="195"/>
      <c r="V125" s="196"/>
      <c r="W125" s="125"/>
      <c r="X125" s="126"/>
      <c r="Y125" s="119"/>
      <c r="Z125" s="197"/>
      <c r="AA125" s="198"/>
      <c r="AB125" s="199"/>
      <c r="AC125" s="119"/>
      <c r="AD125" s="196"/>
      <c r="AE125" s="200"/>
      <c r="AF125" s="201"/>
      <c r="AG125" s="202"/>
      <c r="AH125" s="203"/>
      <c r="AI125" s="204"/>
      <c r="AJ125" s="126"/>
      <c r="AK125" s="126"/>
      <c r="AL125" s="126"/>
    </row>
    <row r="126">
      <c r="A126" s="119"/>
      <c r="B126" s="154"/>
      <c r="C126" s="89"/>
      <c r="D126" s="55"/>
      <c r="E126" s="119"/>
      <c r="F126" s="154"/>
      <c r="G126" s="192"/>
      <c r="H126" s="193"/>
      <c r="I126" s="119"/>
      <c r="J126" s="154"/>
      <c r="K126" s="89"/>
      <c r="L126" s="55"/>
      <c r="M126" s="119"/>
      <c r="N126" s="194"/>
      <c r="O126" s="89"/>
      <c r="P126" s="55"/>
      <c r="Q126" s="195"/>
      <c r="R126" s="196"/>
      <c r="S126" s="125"/>
      <c r="T126" s="126"/>
      <c r="U126" s="195"/>
      <c r="V126" s="196"/>
      <c r="W126" s="125"/>
      <c r="X126" s="126"/>
      <c r="Y126" s="119"/>
      <c r="Z126" s="197"/>
      <c r="AA126" s="198"/>
      <c r="AB126" s="199"/>
      <c r="AC126" s="119"/>
      <c r="AD126" s="196"/>
      <c r="AE126" s="200"/>
      <c r="AF126" s="201"/>
      <c r="AG126" s="202"/>
      <c r="AH126" s="203"/>
      <c r="AI126" s="204"/>
      <c r="AJ126" s="126"/>
      <c r="AK126" s="126"/>
      <c r="AL126" s="126"/>
    </row>
    <row r="127">
      <c r="A127" s="119"/>
      <c r="B127" s="154"/>
      <c r="C127" s="89"/>
      <c r="D127" s="55"/>
      <c r="E127" s="119"/>
      <c r="F127" s="154"/>
      <c r="G127" s="192"/>
      <c r="H127" s="193"/>
      <c r="I127" s="119"/>
      <c r="J127" s="154"/>
      <c r="K127" s="89"/>
      <c r="L127" s="55"/>
      <c r="M127" s="119"/>
      <c r="N127" s="194"/>
      <c r="O127" s="89"/>
      <c r="P127" s="55"/>
      <c r="Q127" s="195"/>
      <c r="R127" s="196"/>
      <c r="S127" s="125"/>
      <c r="T127" s="126"/>
      <c r="U127" s="195"/>
      <c r="V127" s="196"/>
      <c r="W127" s="125"/>
      <c r="X127" s="126"/>
      <c r="Y127" s="119"/>
      <c r="Z127" s="197"/>
      <c r="AA127" s="198"/>
      <c r="AB127" s="199"/>
      <c r="AC127" s="119"/>
      <c r="AD127" s="196"/>
      <c r="AE127" s="200"/>
      <c r="AF127" s="201"/>
      <c r="AG127" s="202"/>
      <c r="AH127" s="203"/>
      <c r="AI127" s="204"/>
      <c r="AJ127" s="126"/>
      <c r="AK127" s="126"/>
      <c r="AL127" s="126"/>
    </row>
    <row r="128">
      <c r="A128" s="119"/>
      <c r="B128" s="154"/>
      <c r="C128" s="89"/>
      <c r="D128" s="55"/>
      <c r="E128" s="119"/>
      <c r="F128" s="154"/>
      <c r="G128" s="192"/>
      <c r="H128" s="193"/>
      <c r="I128" s="119"/>
      <c r="J128" s="154"/>
      <c r="K128" s="89"/>
      <c r="L128" s="55"/>
      <c r="M128" s="119"/>
      <c r="N128" s="194"/>
      <c r="O128" s="89"/>
      <c r="P128" s="55"/>
      <c r="Q128" s="195"/>
      <c r="R128" s="196"/>
      <c r="S128" s="125"/>
      <c r="T128" s="126"/>
      <c r="U128" s="195"/>
      <c r="V128" s="196"/>
      <c r="W128" s="125"/>
      <c r="X128" s="126"/>
      <c r="Y128" s="119"/>
      <c r="Z128" s="197"/>
      <c r="AA128" s="198"/>
      <c r="AB128" s="199"/>
      <c r="AC128" s="119"/>
      <c r="AD128" s="196"/>
      <c r="AE128" s="200"/>
      <c r="AF128" s="201"/>
      <c r="AG128" s="202"/>
      <c r="AH128" s="203"/>
      <c r="AI128" s="204"/>
      <c r="AJ128" s="126"/>
      <c r="AK128" s="126"/>
      <c r="AL128" s="126"/>
    </row>
    <row r="129">
      <c r="A129" s="119"/>
      <c r="B129" s="154"/>
      <c r="C129" s="89"/>
      <c r="D129" s="55"/>
      <c r="E129" s="119"/>
      <c r="F129" s="154"/>
      <c r="G129" s="192"/>
      <c r="H129" s="193"/>
      <c r="I129" s="119"/>
      <c r="J129" s="154"/>
      <c r="K129" s="89"/>
      <c r="L129" s="55"/>
      <c r="M129" s="119"/>
      <c r="N129" s="194"/>
      <c r="O129" s="89"/>
      <c r="P129" s="55"/>
      <c r="Q129" s="195"/>
      <c r="R129" s="196"/>
      <c r="S129" s="125"/>
      <c r="T129" s="126"/>
      <c r="U129" s="195"/>
      <c r="V129" s="196"/>
      <c r="W129" s="125"/>
      <c r="X129" s="126"/>
      <c r="Y129" s="119"/>
      <c r="Z129" s="197"/>
      <c r="AA129" s="198"/>
      <c r="AB129" s="199"/>
      <c r="AC129" s="119"/>
      <c r="AD129" s="196"/>
      <c r="AE129" s="200"/>
      <c r="AF129" s="201"/>
      <c r="AG129" s="202"/>
      <c r="AH129" s="203"/>
      <c r="AI129" s="204"/>
      <c r="AJ129" s="126"/>
      <c r="AK129" s="126"/>
      <c r="AL129" s="126"/>
    </row>
    <row r="130">
      <c r="A130" s="119"/>
      <c r="B130" s="154"/>
      <c r="C130" s="89"/>
      <c r="D130" s="55"/>
      <c r="E130" s="119"/>
      <c r="F130" s="154"/>
      <c r="G130" s="192"/>
      <c r="H130" s="193"/>
      <c r="I130" s="119"/>
      <c r="J130" s="154"/>
      <c r="K130" s="89"/>
      <c r="L130" s="55"/>
      <c r="M130" s="119"/>
      <c r="N130" s="194"/>
      <c r="O130" s="89"/>
      <c r="P130" s="55"/>
      <c r="Q130" s="195"/>
      <c r="R130" s="196"/>
      <c r="S130" s="125"/>
      <c r="T130" s="126"/>
      <c r="U130" s="195"/>
      <c r="V130" s="196"/>
      <c r="W130" s="125"/>
      <c r="X130" s="126"/>
      <c r="Y130" s="119"/>
      <c r="Z130" s="197"/>
      <c r="AA130" s="198"/>
      <c r="AB130" s="199"/>
      <c r="AC130" s="119"/>
      <c r="AD130" s="196"/>
      <c r="AE130" s="200"/>
      <c r="AF130" s="201"/>
      <c r="AG130" s="202"/>
      <c r="AH130" s="203"/>
      <c r="AI130" s="204"/>
      <c r="AJ130" s="126"/>
      <c r="AK130" s="126"/>
      <c r="AL130" s="126"/>
    </row>
    <row r="131">
      <c r="A131" s="119"/>
      <c r="B131" s="154"/>
      <c r="C131" s="89"/>
      <c r="D131" s="55"/>
      <c r="E131" s="119"/>
      <c r="F131" s="154"/>
      <c r="G131" s="192"/>
      <c r="H131" s="193"/>
      <c r="I131" s="119"/>
      <c r="J131" s="154"/>
      <c r="K131" s="89"/>
      <c r="L131" s="55"/>
      <c r="M131" s="119"/>
      <c r="N131" s="194"/>
      <c r="O131" s="89"/>
      <c r="P131" s="55"/>
      <c r="Q131" s="195"/>
      <c r="R131" s="196"/>
      <c r="S131" s="125"/>
      <c r="T131" s="126"/>
      <c r="U131" s="195"/>
      <c r="V131" s="196"/>
      <c r="W131" s="125"/>
      <c r="X131" s="126"/>
      <c r="Y131" s="119"/>
      <c r="Z131" s="197"/>
      <c r="AA131" s="198"/>
      <c r="AB131" s="199"/>
      <c r="AC131" s="119"/>
      <c r="AD131" s="196"/>
      <c r="AE131" s="200"/>
      <c r="AF131" s="201"/>
      <c r="AG131" s="202"/>
      <c r="AH131" s="203"/>
      <c r="AI131" s="204"/>
      <c r="AJ131" s="126"/>
      <c r="AK131" s="126"/>
      <c r="AL131" s="126"/>
    </row>
    <row r="132">
      <c r="A132" s="119"/>
      <c r="B132" s="154"/>
      <c r="C132" s="89"/>
      <c r="D132" s="55"/>
      <c r="E132" s="119"/>
      <c r="F132" s="154"/>
      <c r="G132" s="192"/>
      <c r="H132" s="193"/>
      <c r="I132" s="119"/>
      <c r="J132" s="154"/>
      <c r="K132" s="89"/>
      <c r="L132" s="55"/>
      <c r="M132" s="119"/>
      <c r="N132" s="194"/>
      <c r="O132" s="89"/>
      <c r="P132" s="55"/>
      <c r="Q132" s="195"/>
      <c r="R132" s="196"/>
      <c r="S132" s="125"/>
      <c r="T132" s="126"/>
      <c r="U132" s="195"/>
      <c r="V132" s="196"/>
      <c r="W132" s="125"/>
      <c r="X132" s="126"/>
      <c r="Y132" s="119"/>
      <c r="Z132" s="197"/>
      <c r="AA132" s="198"/>
      <c r="AB132" s="199"/>
      <c r="AC132" s="119"/>
      <c r="AD132" s="196"/>
      <c r="AE132" s="200"/>
      <c r="AF132" s="201"/>
      <c r="AG132" s="202"/>
      <c r="AH132" s="203"/>
      <c r="AI132" s="204"/>
      <c r="AJ132" s="126"/>
      <c r="AK132" s="126"/>
      <c r="AL132" s="126"/>
    </row>
    <row r="133">
      <c r="A133" s="119"/>
      <c r="B133" s="154"/>
      <c r="C133" s="89"/>
      <c r="D133" s="55"/>
      <c r="E133" s="119"/>
      <c r="F133" s="154"/>
      <c r="G133" s="192"/>
      <c r="H133" s="193"/>
      <c r="I133" s="119"/>
      <c r="J133" s="154"/>
      <c r="K133" s="89"/>
      <c r="L133" s="55"/>
      <c r="M133" s="119"/>
      <c r="N133" s="194"/>
      <c r="O133" s="89"/>
      <c r="P133" s="55"/>
      <c r="Q133" s="195"/>
      <c r="R133" s="196"/>
      <c r="S133" s="125"/>
      <c r="T133" s="126"/>
      <c r="U133" s="195"/>
      <c r="V133" s="196"/>
      <c r="W133" s="125"/>
      <c r="X133" s="126"/>
      <c r="Y133" s="119"/>
      <c r="Z133" s="197"/>
      <c r="AA133" s="198"/>
      <c r="AB133" s="199"/>
      <c r="AC133" s="119"/>
      <c r="AD133" s="196"/>
      <c r="AE133" s="200"/>
      <c r="AF133" s="201"/>
      <c r="AG133" s="202"/>
      <c r="AH133" s="203"/>
      <c r="AI133" s="204"/>
      <c r="AJ133" s="126"/>
      <c r="AK133" s="126"/>
      <c r="AL133" s="126"/>
    </row>
    <row r="134">
      <c r="A134" s="119"/>
      <c r="B134" s="154"/>
      <c r="C134" s="89"/>
      <c r="D134" s="55"/>
      <c r="E134" s="119"/>
      <c r="F134" s="154"/>
      <c r="G134" s="192"/>
      <c r="H134" s="193"/>
      <c r="I134" s="119"/>
      <c r="J134" s="154"/>
      <c r="K134" s="89"/>
      <c r="L134" s="55"/>
      <c r="M134" s="119"/>
      <c r="N134" s="194"/>
      <c r="O134" s="89"/>
      <c r="P134" s="55"/>
      <c r="Q134" s="195"/>
      <c r="R134" s="196"/>
      <c r="S134" s="125"/>
      <c r="T134" s="126"/>
      <c r="U134" s="195"/>
      <c r="V134" s="196"/>
      <c r="W134" s="125"/>
      <c r="X134" s="126"/>
      <c r="Y134" s="119"/>
      <c r="Z134" s="197"/>
      <c r="AA134" s="198"/>
      <c r="AB134" s="199"/>
      <c r="AC134" s="119"/>
      <c r="AD134" s="196"/>
      <c r="AE134" s="200"/>
      <c r="AF134" s="201"/>
      <c r="AG134" s="202"/>
      <c r="AH134" s="203"/>
      <c r="AI134" s="204"/>
      <c r="AJ134" s="126"/>
      <c r="AK134" s="126"/>
      <c r="AL134" s="126"/>
    </row>
    <row r="135">
      <c r="A135" s="119"/>
      <c r="B135" s="154"/>
      <c r="C135" s="89"/>
      <c r="D135" s="55"/>
      <c r="E135" s="119"/>
      <c r="F135" s="154"/>
      <c r="G135" s="192"/>
      <c r="H135" s="193"/>
      <c r="I135" s="119"/>
      <c r="J135" s="154"/>
      <c r="K135" s="89"/>
      <c r="L135" s="55"/>
      <c r="M135" s="119"/>
      <c r="N135" s="194"/>
      <c r="O135" s="89"/>
      <c r="P135" s="55"/>
      <c r="Q135" s="195"/>
      <c r="R135" s="196"/>
      <c r="S135" s="125"/>
      <c r="T135" s="126"/>
      <c r="U135" s="195"/>
      <c r="V135" s="196"/>
      <c r="W135" s="125"/>
      <c r="X135" s="126"/>
      <c r="Y135" s="119"/>
      <c r="Z135" s="197"/>
      <c r="AA135" s="198"/>
      <c r="AB135" s="199"/>
      <c r="AC135" s="119"/>
      <c r="AD135" s="196"/>
      <c r="AE135" s="200"/>
      <c r="AF135" s="201"/>
      <c r="AG135" s="202"/>
      <c r="AH135" s="203"/>
      <c r="AI135" s="204"/>
      <c r="AJ135" s="126"/>
      <c r="AK135" s="126"/>
      <c r="AL135" s="126"/>
    </row>
    <row r="136">
      <c r="A136" s="119"/>
      <c r="B136" s="154"/>
      <c r="C136" s="89"/>
      <c r="D136" s="55"/>
      <c r="E136" s="119"/>
      <c r="F136" s="154"/>
      <c r="G136" s="192"/>
      <c r="H136" s="193"/>
      <c r="I136" s="119"/>
      <c r="J136" s="154"/>
      <c r="K136" s="89"/>
      <c r="L136" s="55"/>
      <c r="M136" s="119"/>
      <c r="N136" s="194"/>
      <c r="O136" s="89"/>
      <c r="P136" s="55"/>
      <c r="Q136" s="195"/>
      <c r="R136" s="196"/>
      <c r="S136" s="125"/>
      <c r="T136" s="126"/>
      <c r="U136" s="195"/>
      <c r="V136" s="196"/>
      <c r="W136" s="125"/>
      <c r="X136" s="126"/>
      <c r="Y136" s="119"/>
      <c r="Z136" s="197"/>
      <c r="AA136" s="198"/>
      <c r="AB136" s="199"/>
      <c r="AC136" s="119"/>
      <c r="AD136" s="196"/>
      <c r="AE136" s="200"/>
      <c r="AF136" s="201"/>
      <c r="AG136" s="202"/>
      <c r="AH136" s="203"/>
      <c r="AI136" s="204"/>
      <c r="AJ136" s="126"/>
      <c r="AK136" s="126"/>
      <c r="AL136" s="126"/>
    </row>
    <row r="137">
      <c r="A137" s="119"/>
      <c r="B137" s="154"/>
      <c r="C137" s="89"/>
      <c r="D137" s="55"/>
      <c r="E137" s="119"/>
      <c r="F137" s="154"/>
      <c r="G137" s="192"/>
      <c r="H137" s="193"/>
      <c r="I137" s="119"/>
      <c r="J137" s="154"/>
      <c r="K137" s="89"/>
      <c r="L137" s="55"/>
      <c r="M137" s="119"/>
      <c r="N137" s="194"/>
      <c r="O137" s="89"/>
      <c r="P137" s="55"/>
      <c r="Q137" s="195"/>
      <c r="R137" s="196"/>
      <c r="S137" s="125"/>
      <c r="T137" s="126"/>
      <c r="U137" s="195"/>
      <c r="V137" s="196"/>
      <c r="W137" s="125"/>
      <c r="X137" s="126"/>
      <c r="Y137" s="119"/>
      <c r="Z137" s="197"/>
      <c r="AA137" s="198"/>
      <c r="AB137" s="199"/>
      <c r="AC137" s="119"/>
      <c r="AD137" s="196"/>
      <c r="AE137" s="200"/>
      <c r="AF137" s="201"/>
      <c r="AG137" s="202"/>
      <c r="AH137" s="203"/>
      <c r="AI137" s="204"/>
      <c r="AJ137" s="126"/>
      <c r="AK137" s="126"/>
      <c r="AL137" s="126"/>
    </row>
    <row r="138">
      <c r="A138" s="119"/>
      <c r="B138" s="154"/>
      <c r="C138" s="89"/>
      <c r="D138" s="55"/>
      <c r="E138" s="119"/>
      <c r="F138" s="154"/>
      <c r="G138" s="192"/>
      <c r="H138" s="193"/>
      <c r="I138" s="119"/>
      <c r="J138" s="154"/>
      <c r="K138" s="89"/>
      <c r="L138" s="55"/>
      <c r="M138" s="119"/>
      <c r="N138" s="194"/>
      <c r="O138" s="89"/>
      <c r="P138" s="55"/>
      <c r="Q138" s="195"/>
      <c r="R138" s="196"/>
      <c r="S138" s="125"/>
      <c r="T138" s="126"/>
      <c r="U138" s="195"/>
      <c r="V138" s="196"/>
      <c r="W138" s="125"/>
      <c r="X138" s="126"/>
      <c r="Y138" s="119"/>
      <c r="Z138" s="197"/>
      <c r="AA138" s="198"/>
      <c r="AB138" s="199"/>
      <c r="AC138" s="119"/>
      <c r="AD138" s="196"/>
      <c r="AE138" s="200"/>
      <c r="AF138" s="201"/>
      <c r="AG138" s="202"/>
      <c r="AH138" s="203"/>
      <c r="AI138" s="204"/>
      <c r="AJ138" s="126"/>
      <c r="AK138" s="126"/>
      <c r="AL138" s="126"/>
    </row>
    <row r="139">
      <c r="A139" s="119"/>
      <c r="B139" s="154"/>
      <c r="C139" s="89"/>
      <c r="D139" s="55"/>
      <c r="E139" s="119"/>
      <c r="F139" s="154"/>
      <c r="G139" s="192"/>
      <c r="H139" s="193"/>
      <c r="I139" s="119"/>
      <c r="J139" s="154"/>
      <c r="K139" s="89"/>
      <c r="L139" s="55"/>
      <c r="M139" s="119"/>
      <c r="N139" s="194"/>
      <c r="O139" s="89"/>
      <c r="P139" s="55"/>
      <c r="Q139" s="195"/>
      <c r="R139" s="196"/>
      <c r="S139" s="125"/>
      <c r="T139" s="126"/>
      <c r="U139" s="195"/>
      <c r="V139" s="196"/>
      <c r="W139" s="125"/>
      <c r="X139" s="126"/>
      <c r="Y139" s="119"/>
      <c r="Z139" s="197"/>
      <c r="AA139" s="198"/>
      <c r="AB139" s="199"/>
      <c r="AC139" s="119"/>
      <c r="AD139" s="196"/>
      <c r="AE139" s="200"/>
      <c r="AF139" s="201"/>
      <c r="AG139" s="202"/>
      <c r="AH139" s="203"/>
      <c r="AI139" s="204"/>
      <c r="AJ139" s="126"/>
      <c r="AK139" s="126"/>
      <c r="AL139" s="126"/>
    </row>
    <row r="140">
      <c r="A140" s="119"/>
      <c r="B140" s="154"/>
      <c r="C140" s="89"/>
      <c r="D140" s="55"/>
      <c r="E140" s="119"/>
      <c r="F140" s="154"/>
      <c r="G140" s="192"/>
      <c r="H140" s="193"/>
      <c r="I140" s="119"/>
      <c r="J140" s="154"/>
      <c r="K140" s="89"/>
      <c r="L140" s="55"/>
      <c r="M140" s="119"/>
      <c r="N140" s="194"/>
      <c r="O140" s="89"/>
      <c r="P140" s="55"/>
      <c r="Q140" s="195"/>
      <c r="R140" s="196"/>
      <c r="S140" s="125"/>
      <c r="T140" s="126"/>
      <c r="U140" s="195"/>
      <c r="V140" s="196"/>
      <c r="W140" s="125"/>
      <c r="X140" s="126"/>
      <c r="Y140" s="119"/>
      <c r="Z140" s="197"/>
      <c r="AA140" s="198"/>
      <c r="AB140" s="199"/>
      <c r="AC140" s="119"/>
      <c r="AD140" s="196"/>
      <c r="AE140" s="200"/>
      <c r="AF140" s="201"/>
      <c r="AG140" s="202"/>
      <c r="AH140" s="203"/>
      <c r="AI140" s="204"/>
      <c r="AJ140" s="126"/>
      <c r="AK140" s="126"/>
      <c r="AL140" s="126"/>
    </row>
    <row r="141">
      <c r="A141" s="119"/>
      <c r="B141" s="154"/>
      <c r="C141" s="89"/>
      <c r="D141" s="55"/>
      <c r="E141" s="119"/>
      <c r="F141" s="154"/>
      <c r="G141" s="192"/>
      <c r="H141" s="193"/>
      <c r="I141" s="119"/>
      <c r="J141" s="154"/>
      <c r="K141" s="89"/>
      <c r="L141" s="55"/>
      <c r="M141" s="119"/>
      <c r="N141" s="194"/>
      <c r="O141" s="89"/>
      <c r="P141" s="55"/>
      <c r="Q141" s="195"/>
      <c r="R141" s="196"/>
      <c r="S141" s="125"/>
      <c r="T141" s="126"/>
      <c r="U141" s="195"/>
      <c r="V141" s="196"/>
      <c r="W141" s="125"/>
      <c r="X141" s="126"/>
      <c r="Y141" s="119"/>
      <c r="Z141" s="197"/>
      <c r="AA141" s="198"/>
      <c r="AB141" s="199"/>
      <c r="AC141" s="119"/>
      <c r="AD141" s="196"/>
      <c r="AE141" s="200"/>
      <c r="AF141" s="201"/>
      <c r="AG141" s="202"/>
      <c r="AH141" s="203"/>
      <c r="AI141" s="204"/>
      <c r="AJ141" s="126"/>
      <c r="AK141" s="126"/>
      <c r="AL141" s="126"/>
    </row>
    <row r="142">
      <c r="A142" s="119"/>
      <c r="B142" s="154"/>
      <c r="C142" s="89"/>
      <c r="D142" s="55"/>
      <c r="E142" s="119"/>
      <c r="F142" s="154"/>
      <c r="G142" s="192"/>
      <c r="H142" s="193"/>
      <c r="I142" s="119"/>
      <c r="J142" s="154"/>
      <c r="K142" s="89"/>
      <c r="L142" s="55"/>
      <c r="M142" s="119"/>
      <c r="N142" s="194"/>
      <c r="O142" s="89"/>
      <c r="P142" s="55"/>
      <c r="Q142" s="195"/>
      <c r="R142" s="196"/>
      <c r="S142" s="125"/>
      <c r="T142" s="126"/>
      <c r="U142" s="195"/>
      <c r="V142" s="196"/>
      <c r="W142" s="125"/>
      <c r="X142" s="126"/>
      <c r="Y142" s="119"/>
      <c r="Z142" s="197"/>
      <c r="AA142" s="198"/>
      <c r="AB142" s="199"/>
      <c r="AC142" s="119"/>
      <c r="AD142" s="196"/>
      <c r="AE142" s="200"/>
      <c r="AF142" s="201"/>
      <c r="AG142" s="202"/>
      <c r="AH142" s="203"/>
      <c r="AI142" s="204"/>
      <c r="AJ142" s="126"/>
      <c r="AK142" s="126"/>
      <c r="AL142" s="126"/>
    </row>
    <row r="143">
      <c r="A143" s="119"/>
      <c r="B143" s="154"/>
      <c r="C143" s="89"/>
      <c r="D143" s="55"/>
      <c r="E143" s="119"/>
      <c r="F143" s="154"/>
      <c r="G143" s="192"/>
      <c r="H143" s="193"/>
      <c r="I143" s="119"/>
      <c r="J143" s="154"/>
      <c r="K143" s="89"/>
      <c r="L143" s="55"/>
      <c r="M143" s="119"/>
      <c r="N143" s="194"/>
      <c r="O143" s="89"/>
      <c r="P143" s="55"/>
      <c r="Q143" s="195"/>
      <c r="R143" s="196"/>
      <c r="S143" s="125"/>
      <c r="T143" s="126"/>
      <c r="U143" s="195"/>
      <c r="V143" s="196"/>
      <c r="W143" s="125"/>
      <c r="X143" s="126"/>
      <c r="Y143" s="119"/>
      <c r="Z143" s="197"/>
      <c r="AA143" s="198"/>
      <c r="AB143" s="199"/>
      <c r="AC143" s="119"/>
      <c r="AD143" s="196"/>
      <c r="AE143" s="200"/>
      <c r="AF143" s="201"/>
      <c r="AG143" s="202"/>
      <c r="AH143" s="203"/>
      <c r="AI143" s="204"/>
      <c r="AJ143" s="126"/>
      <c r="AK143" s="126"/>
      <c r="AL143" s="126"/>
    </row>
    <row r="144">
      <c r="A144" s="119"/>
      <c r="B144" s="154"/>
      <c r="C144" s="89"/>
      <c r="D144" s="55"/>
      <c r="E144" s="119"/>
      <c r="F144" s="154"/>
      <c r="G144" s="192"/>
      <c r="H144" s="193"/>
      <c r="I144" s="119"/>
      <c r="J144" s="154"/>
      <c r="K144" s="89"/>
      <c r="L144" s="55"/>
      <c r="M144" s="119"/>
      <c r="N144" s="194"/>
      <c r="O144" s="89"/>
      <c r="P144" s="55"/>
      <c r="Q144" s="195"/>
      <c r="R144" s="196"/>
      <c r="S144" s="125"/>
      <c r="T144" s="126"/>
      <c r="U144" s="195"/>
      <c r="V144" s="196"/>
      <c r="W144" s="125"/>
      <c r="X144" s="126"/>
      <c r="Y144" s="119"/>
      <c r="Z144" s="197"/>
      <c r="AA144" s="198"/>
      <c r="AB144" s="199"/>
      <c r="AC144" s="119"/>
      <c r="AD144" s="196"/>
      <c r="AE144" s="200"/>
      <c r="AF144" s="201"/>
      <c r="AG144" s="202"/>
      <c r="AH144" s="203"/>
      <c r="AI144" s="204"/>
      <c r="AJ144" s="126"/>
      <c r="AK144" s="126"/>
      <c r="AL144" s="126"/>
    </row>
    <row r="145">
      <c r="A145" s="119"/>
      <c r="B145" s="154"/>
      <c r="C145" s="89"/>
      <c r="D145" s="55"/>
      <c r="E145" s="119"/>
      <c r="F145" s="154"/>
      <c r="G145" s="192"/>
      <c r="H145" s="193"/>
      <c r="I145" s="119"/>
      <c r="J145" s="154"/>
      <c r="K145" s="89"/>
      <c r="L145" s="55"/>
      <c r="M145" s="119"/>
      <c r="N145" s="194"/>
      <c r="O145" s="89"/>
      <c r="P145" s="55"/>
      <c r="Q145" s="195"/>
      <c r="R145" s="196"/>
      <c r="S145" s="125"/>
      <c r="T145" s="126"/>
      <c r="U145" s="195"/>
      <c r="V145" s="196"/>
      <c r="W145" s="125"/>
      <c r="X145" s="126"/>
      <c r="Y145" s="119"/>
      <c r="Z145" s="197"/>
      <c r="AA145" s="198"/>
      <c r="AB145" s="199"/>
      <c r="AC145" s="119"/>
      <c r="AD145" s="196"/>
      <c r="AE145" s="200"/>
      <c r="AF145" s="201"/>
      <c r="AG145" s="202"/>
      <c r="AH145" s="203"/>
      <c r="AI145" s="204"/>
      <c r="AJ145" s="126"/>
      <c r="AK145" s="126"/>
      <c r="AL145" s="126"/>
    </row>
    <row r="146">
      <c r="A146" s="119"/>
      <c r="B146" s="154"/>
      <c r="C146" s="89"/>
      <c r="D146" s="55"/>
      <c r="E146" s="119"/>
      <c r="F146" s="154"/>
      <c r="G146" s="192"/>
      <c r="H146" s="193"/>
      <c r="I146" s="119"/>
      <c r="J146" s="154"/>
      <c r="K146" s="89"/>
      <c r="L146" s="55"/>
      <c r="M146" s="119"/>
      <c r="N146" s="194"/>
      <c r="O146" s="89"/>
      <c r="P146" s="55"/>
      <c r="Q146" s="195"/>
      <c r="R146" s="196"/>
      <c r="S146" s="125"/>
      <c r="T146" s="126"/>
      <c r="U146" s="195"/>
      <c r="V146" s="196"/>
      <c r="W146" s="125"/>
      <c r="X146" s="126"/>
      <c r="Y146" s="119"/>
      <c r="Z146" s="197"/>
      <c r="AA146" s="198"/>
      <c r="AB146" s="199"/>
      <c r="AC146" s="119"/>
      <c r="AD146" s="196"/>
      <c r="AE146" s="200"/>
      <c r="AF146" s="201"/>
      <c r="AG146" s="202"/>
      <c r="AH146" s="203"/>
      <c r="AI146" s="204"/>
      <c r="AJ146" s="126"/>
      <c r="AK146" s="126"/>
      <c r="AL146" s="126"/>
    </row>
    <row r="147">
      <c r="A147" s="119"/>
      <c r="B147" s="154"/>
      <c r="C147" s="89"/>
      <c r="D147" s="55"/>
      <c r="E147" s="119"/>
      <c r="F147" s="154"/>
      <c r="G147" s="192"/>
      <c r="H147" s="193"/>
      <c r="I147" s="119"/>
      <c r="J147" s="154"/>
      <c r="K147" s="89"/>
      <c r="L147" s="55"/>
      <c r="M147" s="119"/>
      <c r="N147" s="194"/>
      <c r="O147" s="89"/>
      <c r="P147" s="55"/>
      <c r="Q147" s="195"/>
      <c r="R147" s="196"/>
      <c r="S147" s="125"/>
      <c r="T147" s="126"/>
      <c r="U147" s="195"/>
      <c r="V147" s="196"/>
      <c r="W147" s="125"/>
      <c r="X147" s="126"/>
      <c r="Y147" s="119"/>
      <c r="Z147" s="197"/>
      <c r="AA147" s="198"/>
      <c r="AB147" s="199"/>
      <c r="AC147" s="119"/>
      <c r="AD147" s="196"/>
      <c r="AE147" s="200"/>
      <c r="AF147" s="201"/>
      <c r="AG147" s="202"/>
      <c r="AH147" s="203"/>
      <c r="AI147" s="204"/>
      <c r="AJ147" s="126"/>
      <c r="AK147" s="126"/>
      <c r="AL147" s="126"/>
    </row>
    <row r="148">
      <c r="A148" s="119"/>
      <c r="B148" s="154"/>
      <c r="C148" s="89"/>
      <c r="D148" s="55"/>
      <c r="E148" s="119"/>
      <c r="F148" s="154"/>
      <c r="G148" s="192"/>
      <c r="H148" s="193"/>
      <c r="I148" s="119"/>
      <c r="J148" s="154"/>
      <c r="K148" s="89"/>
      <c r="L148" s="55"/>
      <c r="M148" s="119"/>
      <c r="N148" s="194"/>
      <c r="O148" s="89"/>
      <c r="P148" s="55"/>
      <c r="Q148" s="195"/>
      <c r="R148" s="196"/>
      <c r="S148" s="125"/>
      <c r="T148" s="126"/>
      <c r="U148" s="195"/>
      <c r="V148" s="196"/>
      <c r="W148" s="125"/>
      <c r="X148" s="126"/>
      <c r="Y148" s="119"/>
      <c r="Z148" s="197"/>
      <c r="AA148" s="198"/>
      <c r="AB148" s="199"/>
      <c r="AC148" s="119"/>
      <c r="AD148" s="196"/>
      <c r="AE148" s="200"/>
      <c r="AF148" s="201"/>
      <c r="AG148" s="202"/>
      <c r="AH148" s="203"/>
      <c r="AI148" s="204"/>
      <c r="AJ148" s="126"/>
      <c r="AK148" s="126"/>
      <c r="AL148" s="126"/>
    </row>
    <row r="149">
      <c r="A149" s="119"/>
      <c r="B149" s="154"/>
      <c r="C149" s="89"/>
      <c r="D149" s="55"/>
      <c r="E149" s="119"/>
      <c r="F149" s="154"/>
      <c r="G149" s="192"/>
      <c r="H149" s="193"/>
      <c r="I149" s="119"/>
      <c r="J149" s="154"/>
      <c r="K149" s="89"/>
      <c r="L149" s="55"/>
      <c r="M149" s="119"/>
      <c r="N149" s="194"/>
      <c r="O149" s="89"/>
      <c r="P149" s="55"/>
      <c r="Q149" s="195"/>
      <c r="R149" s="196"/>
      <c r="S149" s="125"/>
      <c r="T149" s="126"/>
      <c r="U149" s="195"/>
      <c r="V149" s="196"/>
      <c r="W149" s="125"/>
      <c r="X149" s="126"/>
      <c r="Y149" s="119"/>
      <c r="Z149" s="197"/>
      <c r="AA149" s="198"/>
      <c r="AB149" s="199"/>
      <c r="AC149" s="119"/>
      <c r="AD149" s="196"/>
      <c r="AE149" s="200"/>
      <c r="AF149" s="201"/>
      <c r="AG149" s="202"/>
      <c r="AH149" s="203"/>
      <c r="AI149" s="204"/>
      <c r="AJ149" s="126"/>
      <c r="AK149" s="126"/>
      <c r="AL149" s="126"/>
    </row>
    <row r="150">
      <c r="A150" s="119"/>
      <c r="B150" s="154"/>
      <c r="C150" s="89"/>
      <c r="D150" s="55"/>
      <c r="E150" s="119"/>
      <c r="F150" s="154"/>
      <c r="G150" s="192"/>
      <c r="H150" s="193"/>
      <c r="I150" s="119"/>
      <c r="J150" s="154"/>
      <c r="K150" s="89"/>
      <c r="L150" s="55"/>
      <c r="M150" s="119"/>
      <c r="N150" s="194"/>
      <c r="O150" s="89"/>
      <c r="P150" s="55"/>
      <c r="Q150" s="195"/>
      <c r="R150" s="196"/>
      <c r="S150" s="125"/>
      <c r="T150" s="126"/>
      <c r="U150" s="195"/>
      <c r="V150" s="196"/>
      <c r="W150" s="125"/>
      <c r="X150" s="126"/>
      <c r="Y150" s="119"/>
      <c r="Z150" s="197"/>
      <c r="AA150" s="198"/>
      <c r="AB150" s="199"/>
      <c r="AC150" s="119"/>
      <c r="AD150" s="196"/>
      <c r="AE150" s="200"/>
      <c r="AF150" s="201"/>
      <c r="AG150" s="202"/>
      <c r="AH150" s="203"/>
      <c r="AI150" s="204"/>
      <c r="AJ150" s="126"/>
      <c r="AK150" s="126"/>
      <c r="AL150" s="126"/>
    </row>
    <row r="151">
      <c r="A151" s="119"/>
      <c r="B151" s="154"/>
      <c r="C151" s="89"/>
      <c r="D151" s="55"/>
      <c r="E151" s="119"/>
      <c r="F151" s="154"/>
      <c r="G151" s="192"/>
      <c r="H151" s="193"/>
      <c r="I151" s="119"/>
      <c r="J151" s="154"/>
      <c r="K151" s="89"/>
      <c r="L151" s="55"/>
      <c r="M151" s="119"/>
      <c r="N151" s="194"/>
      <c r="O151" s="89"/>
      <c r="P151" s="55"/>
      <c r="Q151" s="195"/>
      <c r="R151" s="196"/>
      <c r="S151" s="125"/>
      <c r="T151" s="126"/>
      <c r="U151" s="195"/>
      <c r="V151" s="196"/>
      <c r="W151" s="125"/>
      <c r="X151" s="126"/>
      <c r="Y151" s="119"/>
      <c r="Z151" s="197"/>
      <c r="AA151" s="198"/>
      <c r="AB151" s="199"/>
      <c r="AC151" s="119"/>
      <c r="AD151" s="196"/>
      <c r="AE151" s="200"/>
      <c r="AF151" s="201"/>
      <c r="AG151" s="202"/>
      <c r="AH151" s="203"/>
      <c r="AI151" s="204"/>
      <c r="AJ151" s="126"/>
      <c r="AK151" s="126"/>
      <c r="AL151" s="126"/>
    </row>
    <row r="152">
      <c r="A152" s="119"/>
      <c r="B152" s="154"/>
      <c r="C152" s="89"/>
      <c r="D152" s="55"/>
      <c r="E152" s="119"/>
      <c r="F152" s="154"/>
      <c r="G152" s="192"/>
      <c r="H152" s="193"/>
      <c r="I152" s="119"/>
      <c r="J152" s="154"/>
      <c r="K152" s="89"/>
      <c r="L152" s="55"/>
      <c r="M152" s="119"/>
      <c r="N152" s="194"/>
      <c r="O152" s="89"/>
      <c r="P152" s="55"/>
      <c r="Q152" s="195"/>
      <c r="R152" s="196"/>
      <c r="S152" s="125"/>
      <c r="T152" s="126"/>
      <c r="U152" s="195"/>
      <c r="V152" s="196"/>
      <c r="W152" s="125"/>
      <c r="X152" s="126"/>
      <c r="Y152" s="119"/>
      <c r="Z152" s="197"/>
      <c r="AA152" s="198"/>
      <c r="AB152" s="199"/>
      <c r="AC152" s="119"/>
      <c r="AD152" s="196"/>
      <c r="AE152" s="200"/>
      <c r="AF152" s="201"/>
      <c r="AG152" s="202"/>
      <c r="AH152" s="203"/>
      <c r="AI152" s="204"/>
      <c r="AJ152" s="126"/>
      <c r="AK152" s="126"/>
      <c r="AL152" s="126"/>
    </row>
    <row r="153">
      <c r="A153" s="119"/>
      <c r="B153" s="154"/>
      <c r="C153" s="89"/>
      <c r="D153" s="55"/>
      <c r="E153" s="119"/>
      <c r="F153" s="154"/>
      <c r="G153" s="192"/>
      <c r="H153" s="193"/>
      <c r="I153" s="119"/>
      <c r="J153" s="154"/>
      <c r="K153" s="89"/>
      <c r="L153" s="55"/>
      <c r="M153" s="119"/>
      <c r="N153" s="194"/>
      <c r="O153" s="89"/>
      <c r="P153" s="55"/>
      <c r="Q153" s="195"/>
      <c r="R153" s="196"/>
      <c r="S153" s="125"/>
      <c r="T153" s="126"/>
      <c r="U153" s="195"/>
      <c r="V153" s="196"/>
      <c r="W153" s="125"/>
      <c r="X153" s="126"/>
      <c r="Y153" s="119"/>
      <c r="Z153" s="197"/>
      <c r="AA153" s="198"/>
      <c r="AB153" s="199"/>
      <c r="AC153" s="119"/>
      <c r="AD153" s="196"/>
      <c r="AE153" s="200"/>
      <c r="AF153" s="201"/>
      <c r="AG153" s="202"/>
      <c r="AH153" s="203"/>
      <c r="AI153" s="204"/>
      <c r="AJ153" s="126"/>
      <c r="AK153" s="126"/>
      <c r="AL153" s="126"/>
    </row>
    <row r="154">
      <c r="A154" s="119"/>
      <c r="B154" s="154"/>
      <c r="C154" s="89"/>
      <c r="D154" s="55"/>
      <c r="E154" s="119"/>
      <c r="F154" s="154"/>
      <c r="G154" s="192"/>
      <c r="H154" s="193"/>
      <c r="I154" s="119"/>
      <c r="J154" s="154"/>
      <c r="K154" s="89"/>
      <c r="L154" s="55"/>
      <c r="M154" s="119"/>
      <c r="N154" s="194"/>
      <c r="O154" s="89"/>
      <c r="P154" s="55"/>
      <c r="Q154" s="195"/>
      <c r="R154" s="196"/>
      <c r="S154" s="125"/>
      <c r="T154" s="126"/>
      <c r="U154" s="195"/>
      <c r="V154" s="196"/>
      <c r="W154" s="125"/>
      <c r="X154" s="126"/>
      <c r="Y154" s="119"/>
      <c r="Z154" s="197"/>
      <c r="AA154" s="198"/>
      <c r="AB154" s="199"/>
      <c r="AC154" s="119"/>
      <c r="AD154" s="196"/>
      <c r="AE154" s="200"/>
      <c r="AF154" s="201"/>
      <c r="AG154" s="202"/>
      <c r="AH154" s="203"/>
      <c r="AI154" s="204"/>
      <c r="AJ154" s="126"/>
      <c r="AK154" s="126"/>
      <c r="AL154" s="126"/>
    </row>
    <row r="155">
      <c r="A155" s="119"/>
      <c r="B155" s="154"/>
      <c r="C155" s="89"/>
      <c r="D155" s="55"/>
      <c r="E155" s="119"/>
      <c r="F155" s="154"/>
      <c r="G155" s="192"/>
      <c r="H155" s="193"/>
      <c r="I155" s="119"/>
      <c r="J155" s="154"/>
      <c r="K155" s="89"/>
      <c r="L155" s="55"/>
      <c r="M155" s="119"/>
      <c r="N155" s="194"/>
      <c r="O155" s="89"/>
      <c r="P155" s="55"/>
      <c r="Q155" s="195"/>
      <c r="R155" s="196"/>
      <c r="S155" s="125"/>
      <c r="T155" s="126"/>
      <c r="U155" s="195"/>
      <c r="V155" s="196"/>
      <c r="W155" s="125"/>
      <c r="X155" s="126"/>
      <c r="Y155" s="119"/>
      <c r="Z155" s="197"/>
      <c r="AA155" s="198"/>
      <c r="AB155" s="199"/>
      <c r="AC155" s="119"/>
      <c r="AD155" s="196"/>
      <c r="AE155" s="200"/>
      <c r="AF155" s="201"/>
      <c r="AG155" s="202"/>
      <c r="AH155" s="203"/>
      <c r="AI155" s="204"/>
      <c r="AJ155" s="126"/>
      <c r="AK155" s="126"/>
      <c r="AL155" s="126"/>
    </row>
    <row r="156">
      <c r="A156" s="119"/>
      <c r="B156" s="154"/>
      <c r="C156" s="89"/>
      <c r="D156" s="55"/>
      <c r="E156" s="119"/>
      <c r="F156" s="154"/>
      <c r="G156" s="192"/>
      <c r="H156" s="193"/>
      <c r="I156" s="119"/>
      <c r="J156" s="154"/>
      <c r="K156" s="89"/>
      <c r="L156" s="55"/>
      <c r="M156" s="119"/>
      <c r="N156" s="194"/>
      <c r="O156" s="89"/>
      <c r="P156" s="55"/>
      <c r="Q156" s="195"/>
      <c r="R156" s="196"/>
      <c r="S156" s="125"/>
      <c r="T156" s="126"/>
      <c r="U156" s="195"/>
      <c r="V156" s="196"/>
      <c r="W156" s="125"/>
      <c r="X156" s="126"/>
      <c r="Y156" s="119"/>
      <c r="Z156" s="197"/>
      <c r="AA156" s="198"/>
      <c r="AB156" s="199"/>
      <c r="AC156" s="119"/>
      <c r="AD156" s="196"/>
      <c r="AE156" s="200"/>
      <c r="AF156" s="201"/>
      <c r="AG156" s="202"/>
      <c r="AH156" s="203"/>
      <c r="AI156" s="204"/>
      <c r="AJ156" s="126"/>
      <c r="AK156" s="126"/>
      <c r="AL156" s="126"/>
    </row>
    <row r="157">
      <c r="A157" s="119"/>
      <c r="B157" s="154"/>
      <c r="C157" s="89"/>
      <c r="D157" s="55"/>
      <c r="E157" s="119"/>
      <c r="F157" s="154"/>
      <c r="G157" s="192"/>
      <c r="H157" s="193"/>
      <c r="I157" s="119"/>
      <c r="J157" s="154"/>
      <c r="K157" s="89"/>
      <c r="L157" s="55"/>
      <c r="M157" s="119"/>
      <c r="N157" s="194"/>
      <c r="O157" s="89"/>
      <c r="P157" s="55"/>
      <c r="Q157" s="195"/>
      <c r="R157" s="196"/>
      <c r="S157" s="125"/>
      <c r="T157" s="126"/>
      <c r="U157" s="195"/>
      <c r="V157" s="196"/>
      <c r="W157" s="125"/>
      <c r="X157" s="126"/>
      <c r="Y157" s="119"/>
      <c r="Z157" s="197"/>
      <c r="AA157" s="198"/>
      <c r="AB157" s="199"/>
      <c r="AC157" s="119"/>
      <c r="AD157" s="196"/>
      <c r="AE157" s="200"/>
      <c r="AF157" s="201"/>
      <c r="AG157" s="202"/>
      <c r="AH157" s="203"/>
      <c r="AI157" s="204"/>
      <c r="AJ157" s="126"/>
      <c r="AK157" s="126"/>
      <c r="AL157" s="126"/>
    </row>
    <row r="158">
      <c r="A158" s="119"/>
      <c r="B158" s="154"/>
      <c r="C158" s="89"/>
      <c r="D158" s="55"/>
      <c r="E158" s="119"/>
      <c r="F158" s="154"/>
      <c r="G158" s="192"/>
      <c r="H158" s="193"/>
      <c r="I158" s="119"/>
      <c r="J158" s="154"/>
      <c r="K158" s="89"/>
      <c r="L158" s="55"/>
      <c r="M158" s="119"/>
      <c r="N158" s="194"/>
      <c r="O158" s="89"/>
      <c r="P158" s="55"/>
      <c r="Q158" s="195"/>
      <c r="R158" s="196"/>
      <c r="S158" s="125"/>
      <c r="T158" s="126"/>
      <c r="U158" s="195"/>
      <c r="V158" s="196"/>
      <c r="W158" s="125"/>
      <c r="X158" s="126"/>
      <c r="Y158" s="119"/>
      <c r="Z158" s="197"/>
      <c r="AA158" s="198"/>
      <c r="AB158" s="199"/>
      <c r="AC158" s="119"/>
      <c r="AD158" s="196"/>
      <c r="AE158" s="200"/>
      <c r="AF158" s="201"/>
      <c r="AG158" s="202"/>
      <c r="AH158" s="203"/>
      <c r="AI158" s="204"/>
      <c r="AJ158" s="126"/>
      <c r="AK158" s="126"/>
      <c r="AL158" s="126"/>
    </row>
    <row r="159">
      <c r="A159" s="119"/>
      <c r="B159" s="154"/>
      <c r="C159" s="89"/>
      <c r="D159" s="55"/>
      <c r="E159" s="119"/>
      <c r="F159" s="154"/>
      <c r="G159" s="192"/>
      <c r="H159" s="193"/>
      <c r="I159" s="119"/>
      <c r="J159" s="154"/>
      <c r="K159" s="89"/>
      <c r="L159" s="55"/>
      <c r="M159" s="119"/>
      <c r="N159" s="194"/>
      <c r="O159" s="89"/>
      <c r="P159" s="55"/>
      <c r="Q159" s="195"/>
      <c r="R159" s="196"/>
      <c r="S159" s="125"/>
      <c r="T159" s="126"/>
      <c r="U159" s="195"/>
      <c r="V159" s="196"/>
      <c r="W159" s="125"/>
      <c r="X159" s="126"/>
      <c r="Y159" s="119"/>
      <c r="Z159" s="197"/>
      <c r="AA159" s="198"/>
      <c r="AB159" s="199"/>
      <c r="AC159" s="119"/>
      <c r="AD159" s="196"/>
      <c r="AE159" s="200"/>
      <c r="AF159" s="201"/>
      <c r="AG159" s="202"/>
      <c r="AH159" s="203"/>
      <c r="AI159" s="204"/>
      <c r="AJ159" s="126"/>
      <c r="AK159" s="126"/>
      <c r="AL159" s="126"/>
    </row>
    <row r="160">
      <c r="A160" s="119"/>
      <c r="B160" s="154"/>
      <c r="C160" s="89"/>
      <c r="D160" s="55"/>
      <c r="E160" s="119"/>
      <c r="F160" s="154"/>
      <c r="G160" s="192"/>
      <c r="H160" s="193"/>
      <c r="I160" s="119"/>
      <c r="J160" s="154"/>
      <c r="K160" s="89"/>
      <c r="L160" s="55"/>
      <c r="M160" s="119"/>
      <c r="N160" s="194"/>
      <c r="O160" s="89"/>
      <c r="P160" s="55"/>
      <c r="Q160" s="195"/>
      <c r="R160" s="196"/>
      <c r="S160" s="125"/>
      <c r="T160" s="126"/>
      <c r="U160" s="195"/>
      <c r="V160" s="196"/>
      <c r="W160" s="125"/>
      <c r="X160" s="126"/>
      <c r="Y160" s="119"/>
      <c r="Z160" s="197"/>
      <c r="AA160" s="198"/>
      <c r="AB160" s="199"/>
      <c r="AC160" s="119"/>
      <c r="AD160" s="196"/>
      <c r="AE160" s="200"/>
      <c r="AF160" s="201"/>
      <c r="AG160" s="202"/>
      <c r="AH160" s="203"/>
      <c r="AI160" s="204"/>
      <c r="AJ160" s="126"/>
      <c r="AK160" s="126"/>
      <c r="AL160" s="126"/>
    </row>
    <row r="161">
      <c r="A161" s="119"/>
      <c r="B161" s="154"/>
      <c r="C161" s="89"/>
      <c r="D161" s="55"/>
      <c r="E161" s="119"/>
      <c r="F161" s="154"/>
      <c r="G161" s="192"/>
      <c r="H161" s="193"/>
      <c r="I161" s="119"/>
      <c r="J161" s="154"/>
      <c r="K161" s="89"/>
      <c r="L161" s="55"/>
      <c r="M161" s="119"/>
      <c r="N161" s="194"/>
      <c r="O161" s="89"/>
      <c r="P161" s="55"/>
      <c r="Q161" s="195"/>
      <c r="R161" s="196"/>
      <c r="S161" s="125"/>
      <c r="T161" s="126"/>
      <c r="U161" s="195"/>
      <c r="V161" s="196"/>
      <c r="W161" s="125"/>
      <c r="X161" s="126"/>
      <c r="Y161" s="119"/>
      <c r="Z161" s="197"/>
      <c r="AA161" s="198"/>
      <c r="AB161" s="199"/>
      <c r="AC161" s="119"/>
      <c r="AD161" s="196"/>
      <c r="AE161" s="200"/>
      <c r="AF161" s="201"/>
      <c r="AG161" s="202"/>
      <c r="AH161" s="203"/>
      <c r="AI161" s="204"/>
      <c r="AJ161" s="126"/>
      <c r="AK161" s="126"/>
      <c r="AL161" s="126"/>
    </row>
    <row r="162">
      <c r="A162" s="119"/>
      <c r="B162" s="154"/>
      <c r="C162" s="89"/>
      <c r="D162" s="55"/>
      <c r="E162" s="119"/>
      <c r="F162" s="154"/>
      <c r="G162" s="192"/>
      <c r="H162" s="193"/>
      <c r="I162" s="119"/>
      <c r="J162" s="154"/>
      <c r="K162" s="89"/>
      <c r="L162" s="55"/>
      <c r="M162" s="119"/>
      <c r="N162" s="194"/>
      <c r="O162" s="89"/>
      <c r="P162" s="55"/>
      <c r="Q162" s="195"/>
      <c r="R162" s="196"/>
      <c r="S162" s="125"/>
      <c r="T162" s="126"/>
      <c r="U162" s="195"/>
      <c r="V162" s="196"/>
      <c r="W162" s="125"/>
      <c r="X162" s="126"/>
      <c r="Y162" s="119"/>
      <c r="Z162" s="197"/>
      <c r="AA162" s="198"/>
      <c r="AB162" s="199"/>
      <c r="AC162" s="119"/>
      <c r="AD162" s="196"/>
      <c r="AE162" s="200"/>
      <c r="AF162" s="201"/>
      <c r="AG162" s="202"/>
      <c r="AH162" s="203"/>
      <c r="AI162" s="204"/>
      <c r="AJ162" s="126"/>
      <c r="AK162" s="126"/>
      <c r="AL162" s="126"/>
    </row>
    <row r="163">
      <c r="A163" s="119"/>
      <c r="B163" s="154"/>
      <c r="C163" s="89"/>
      <c r="D163" s="55"/>
      <c r="E163" s="119"/>
      <c r="F163" s="154"/>
      <c r="G163" s="192"/>
      <c r="H163" s="193"/>
      <c r="I163" s="119"/>
      <c r="J163" s="154"/>
      <c r="K163" s="89"/>
      <c r="L163" s="55"/>
      <c r="M163" s="119"/>
      <c r="N163" s="194"/>
      <c r="O163" s="89"/>
      <c r="P163" s="55"/>
      <c r="Q163" s="195"/>
      <c r="R163" s="196"/>
      <c r="S163" s="125"/>
      <c r="T163" s="126"/>
      <c r="U163" s="195"/>
      <c r="V163" s="196"/>
      <c r="W163" s="125"/>
      <c r="X163" s="126"/>
      <c r="Y163" s="119"/>
      <c r="Z163" s="197"/>
      <c r="AA163" s="198"/>
      <c r="AB163" s="199"/>
      <c r="AC163" s="119"/>
      <c r="AD163" s="196"/>
      <c r="AE163" s="200"/>
      <c r="AF163" s="201"/>
      <c r="AG163" s="202"/>
      <c r="AH163" s="203"/>
      <c r="AI163" s="204"/>
      <c r="AJ163" s="126"/>
      <c r="AK163" s="126"/>
      <c r="AL163" s="126"/>
    </row>
    <row r="164">
      <c r="A164" s="119"/>
      <c r="B164" s="154"/>
      <c r="C164" s="89"/>
      <c r="D164" s="55"/>
      <c r="E164" s="119"/>
      <c r="F164" s="154"/>
      <c r="G164" s="192"/>
      <c r="H164" s="193"/>
      <c r="I164" s="119"/>
      <c r="J164" s="154"/>
      <c r="K164" s="89"/>
      <c r="L164" s="55"/>
      <c r="M164" s="119"/>
      <c r="N164" s="194"/>
      <c r="O164" s="89"/>
      <c r="P164" s="55"/>
      <c r="Q164" s="195"/>
      <c r="R164" s="196"/>
      <c r="S164" s="125"/>
      <c r="T164" s="126"/>
      <c r="U164" s="195"/>
      <c r="V164" s="196"/>
      <c r="W164" s="125"/>
      <c r="X164" s="126"/>
      <c r="Y164" s="119"/>
      <c r="Z164" s="197"/>
      <c r="AA164" s="198"/>
      <c r="AB164" s="199"/>
      <c r="AC164" s="119"/>
      <c r="AD164" s="196"/>
      <c r="AE164" s="200"/>
      <c r="AF164" s="201"/>
      <c r="AG164" s="202"/>
      <c r="AH164" s="203"/>
      <c r="AI164" s="204"/>
      <c r="AJ164" s="126"/>
      <c r="AK164" s="126"/>
      <c r="AL164" s="126"/>
    </row>
    <row r="165">
      <c r="A165" s="119"/>
      <c r="B165" s="154"/>
      <c r="C165" s="89"/>
      <c r="D165" s="55"/>
      <c r="E165" s="119"/>
      <c r="F165" s="154"/>
      <c r="G165" s="192"/>
      <c r="H165" s="193"/>
      <c r="I165" s="119"/>
      <c r="J165" s="154"/>
      <c r="K165" s="89"/>
      <c r="L165" s="55"/>
      <c r="M165" s="119"/>
      <c r="N165" s="194"/>
      <c r="O165" s="89"/>
      <c r="P165" s="55"/>
      <c r="Q165" s="195"/>
      <c r="R165" s="196"/>
      <c r="S165" s="125"/>
      <c r="T165" s="126"/>
      <c r="U165" s="195"/>
      <c r="V165" s="196"/>
      <c r="W165" s="125"/>
      <c r="X165" s="126"/>
      <c r="Y165" s="119"/>
      <c r="Z165" s="197"/>
      <c r="AA165" s="198"/>
      <c r="AB165" s="199"/>
      <c r="AC165" s="119"/>
      <c r="AD165" s="196"/>
      <c r="AE165" s="200"/>
      <c r="AF165" s="201"/>
      <c r="AG165" s="202"/>
      <c r="AH165" s="203"/>
      <c r="AI165" s="204"/>
      <c r="AJ165" s="126"/>
      <c r="AK165" s="126"/>
      <c r="AL165" s="126"/>
    </row>
    <row r="166">
      <c r="A166" s="119"/>
      <c r="B166" s="154"/>
      <c r="C166" s="89"/>
      <c r="D166" s="55"/>
      <c r="E166" s="119"/>
      <c r="F166" s="154"/>
      <c r="G166" s="192"/>
      <c r="H166" s="193"/>
      <c r="I166" s="119"/>
      <c r="J166" s="154"/>
      <c r="K166" s="89"/>
      <c r="L166" s="55"/>
      <c r="M166" s="119"/>
      <c r="N166" s="194"/>
      <c r="O166" s="89"/>
      <c r="P166" s="55"/>
      <c r="Q166" s="195"/>
      <c r="R166" s="196"/>
      <c r="S166" s="125"/>
      <c r="T166" s="126"/>
      <c r="U166" s="195"/>
      <c r="V166" s="196"/>
      <c r="W166" s="125"/>
      <c r="X166" s="126"/>
      <c r="Y166" s="119"/>
      <c r="Z166" s="197"/>
      <c r="AA166" s="198"/>
      <c r="AB166" s="199"/>
      <c r="AC166" s="119"/>
      <c r="AD166" s="196"/>
      <c r="AE166" s="200"/>
      <c r="AF166" s="201"/>
      <c r="AG166" s="202"/>
      <c r="AH166" s="203"/>
      <c r="AI166" s="204"/>
      <c r="AJ166" s="126"/>
      <c r="AK166" s="126"/>
      <c r="AL166" s="126"/>
    </row>
    <row r="167">
      <c r="A167" s="119"/>
      <c r="B167" s="154"/>
      <c r="C167" s="89"/>
      <c r="D167" s="55"/>
      <c r="E167" s="119"/>
      <c r="F167" s="154"/>
      <c r="G167" s="192"/>
      <c r="H167" s="193"/>
      <c r="I167" s="119"/>
      <c r="J167" s="154"/>
      <c r="K167" s="89"/>
      <c r="L167" s="55"/>
      <c r="M167" s="119"/>
      <c r="N167" s="194"/>
      <c r="O167" s="89"/>
      <c r="P167" s="55"/>
      <c r="Q167" s="195"/>
      <c r="R167" s="196"/>
      <c r="S167" s="125"/>
      <c r="T167" s="126"/>
      <c r="U167" s="195"/>
      <c r="V167" s="196"/>
      <c r="W167" s="125"/>
      <c r="X167" s="126"/>
      <c r="Y167" s="119"/>
      <c r="Z167" s="197"/>
      <c r="AA167" s="198"/>
      <c r="AB167" s="199"/>
      <c r="AC167" s="119"/>
      <c r="AD167" s="196"/>
      <c r="AE167" s="200"/>
      <c r="AF167" s="201"/>
      <c r="AG167" s="202"/>
      <c r="AH167" s="203"/>
      <c r="AI167" s="204"/>
      <c r="AJ167" s="126"/>
      <c r="AK167" s="126"/>
      <c r="AL167" s="126"/>
    </row>
    <row r="168">
      <c r="A168" s="119"/>
      <c r="B168" s="154"/>
      <c r="C168" s="89"/>
      <c r="D168" s="55"/>
      <c r="E168" s="119"/>
      <c r="F168" s="154"/>
      <c r="G168" s="192"/>
      <c r="H168" s="193"/>
      <c r="I168" s="119"/>
      <c r="J168" s="154"/>
      <c r="K168" s="89"/>
      <c r="L168" s="55"/>
      <c r="M168" s="119"/>
      <c r="N168" s="194"/>
      <c r="O168" s="89"/>
      <c r="P168" s="55"/>
      <c r="Q168" s="195"/>
      <c r="R168" s="196"/>
      <c r="S168" s="125"/>
      <c r="T168" s="126"/>
      <c r="U168" s="195"/>
      <c r="V168" s="196"/>
      <c r="W168" s="125"/>
      <c r="X168" s="126"/>
      <c r="Y168" s="119"/>
      <c r="Z168" s="197"/>
      <c r="AA168" s="198"/>
      <c r="AB168" s="199"/>
      <c r="AC168" s="119"/>
      <c r="AD168" s="196"/>
      <c r="AE168" s="200"/>
      <c r="AF168" s="201"/>
      <c r="AG168" s="202"/>
      <c r="AH168" s="203"/>
      <c r="AI168" s="204"/>
      <c r="AJ168" s="126"/>
      <c r="AK168" s="126"/>
      <c r="AL168" s="126"/>
    </row>
    <row r="169">
      <c r="A169" s="119"/>
      <c r="B169" s="154"/>
      <c r="C169" s="89"/>
      <c r="D169" s="55"/>
      <c r="E169" s="119"/>
      <c r="F169" s="154"/>
      <c r="G169" s="192"/>
      <c r="H169" s="193"/>
      <c r="I169" s="119"/>
      <c r="J169" s="154"/>
      <c r="K169" s="89"/>
      <c r="L169" s="55"/>
      <c r="M169" s="119"/>
      <c r="N169" s="194"/>
      <c r="O169" s="89"/>
      <c r="P169" s="55"/>
      <c r="Q169" s="195"/>
      <c r="R169" s="196"/>
      <c r="S169" s="125"/>
      <c r="T169" s="126"/>
      <c r="U169" s="195"/>
      <c r="V169" s="196"/>
      <c r="W169" s="125"/>
      <c r="X169" s="126"/>
      <c r="Y169" s="119"/>
      <c r="Z169" s="197"/>
      <c r="AA169" s="198"/>
      <c r="AB169" s="199"/>
      <c r="AC169" s="119"/>
      <c r="AD169" s="196"/>
      <c r="AE169" s="200"/>
      <c r="AF169" s="201"/>
      <c r="AG169" s="202"/>
      <c r="AH169" s="203"/>
      <c r="AI169" s="204"/>
      <c r="AJ169" s="126"/>
      <c r="AK169" s="126"/>
      <c r="AL169" s="126"/>
    </row>
    <row r="170">
      <c r="A170" s="119"/>
      <c r="B170" s="154"/>
      <c r="C170" s="89"/>
      <c r="D170" s="55"/>
      <c r="E170" s="119"/>
      <c r="F170" s="154"/>
      <c r="G170" s="192"/>
      <c r="H170" s="193"/>
      <c r="I170" s="119"/>
      <c r="J170" s="154"/>
      <c r="K170" s="89"/>
      <c r="L170" s="55"/>
      <c r="M170" s="119"/>
      <c r="N170" s="194"/>
      <c r="O170" s="89"/>
      <c r="P170" s="55"/>
      <c r="Q170" s="195"/>
      <c r="R170" s="196"/>
      <c r="S170" s="125"/>
      <c r="T170" s="126"/>
      <c r="U170" s="195"/>
      <c r="V170" s="196"/>
      <c r="W170" s="125"/>
      <c r="X170" s="126"/>
      <c r="Y170" s="119"/>
      <c r="Z170" s="197"/>
      <c r="AA170" s="198"/>
      <c r="AB170" s="199"/>
      <c r="AC170" s="119"/>
      <c r="AD170" s="196"/>
      <c r="AE170" s="200"/>
      <c r="AF170" s="201"/>
      <c r="AG170" s="202"/>
      <c r="AH170" s="203"/>
      <c r="AI170" s="204"/>
      <c r="AJ170" s="126"/>
      <c r="AK170" s="126"/>
      <c r="AL170" s="126"/>
    </row>
    <row r="171">
      <c r="A171" s="119"/>
      <c r="B171" s="154"/>
      <c r="C171" s="89"/>
      <c r="D171" s="55"/>
      <c r="E171" s="119"/>
      <c r="F171" s="154"/>
      <c r="G171" s="192"/>
      <c r="H171" s="193"/>
      <c r="I171" s="119"/>
      <c r="J171" s="154"/>
      <c r="K171" s="89"/>
      <c r="L171" s="55"/>
      <c r="M171" s="119"/>
      <c r="N171" s="194"/>
      <c r="O171" s="89"/>
      <c r="P171" s="55"/>
      <c r="Q171" s="195"/>
      <c r="R171" s="196"/>
      <c r="S171" s="125"/>
      <c r="T171" s="126"/>
      <c r="U171" s="195"/>
      <c r="V171" s="196"/>
      <c r="W171" s="125"/>
      <c r="X171" s="126"/>
      <c r="Y171" s="119"/>
      <c r="Z171" s="197"/>
      <c r="AA171" s="198"/>
      <c r="AB171" s="199"/>
      <c r="AC171" s="119"/>
      <c r="AD171" s="196"/>
      <c r="AE171" s="200"/>
      <c r="AF171" s="201"/>
      <c r="AG171" s="202"/>
      <c r="AH171" s="203"/>
      <c r="AI171" s="204"/>
      <c r="AJ171" s="126"/>
      <c r="AK171" s="126"/>
      <c r="AL171" s="126"/>
    </row>
    <row r="172">
      <c r="A172" s="119"/>
      <c r="B172" s="154"/>
      <c r="C172" s="89"/>
      <c r="D172" s="55"/>
      <c r="E172" s="119"/>
      <c r="F172" s="154"/>
      <c r="G172" s="192"/>
      <c r="H172" s="193"/>
      <c r="I172" s="119"/>
      <c r="J172" s="154"/>
      <c r="K172" s="89"/>
      <c r="L172" s="55"/>
      <c r="M172" s="119"/>
      <c r="N172" s="194"/>
      <c r="O172" s="89"/>
      <c r="P172" s="55"/>
      <c r="Q172" s="195"/>
      <c r="R172" s="196"/>
      <c r="S172" s="125"/>
      <c r="T172" s="126"/>
      <c r="U172" s="195"/>
      <c r="V172" s="196"/>
      <c r="W172" s="125"/>
      <c r="X172" s="126"/>
      <c r="Y172" s="119"/>
      <c r="Z172" s="197"/>
      <c r="AA172" s="198"/>
      <c r="AB172" s="199"/>
      <c r="AC172" s="119"/>
      <c r="AD172" s="196"/>
      <c r="AE172" s="200"/>
      <c r="AF172" s="201"/>
      <c r="AG172" s="202"/>
      <c r="AH172" s="203"/>
      <c r="AI172" s="204"/>
      <c r="AJ172" s="126"/>
      <c r="AK172" s="126"/>
      <c r="AL172" s="126"/>
    </row>
    <row r="173">
      <c r="A173" s="119"/>
      <c r="B173" s="154"/>
      <c r="C173" s="89"/>
      <c r="D173" s="55"/>
      <c r="E173" s="119"/>
      <c r="F173" s="154"/>
      <c r="G173" s="192"/>
      <c r="H173" s="193"/>
      <c r="I173" s="119"/>
      <c r="J173" s="154"/>
      <c r="K173" s="89"/>
      <c r="L173" s="55"/>
      <c r="M173" s="119"/>
      <c r="N173" s="194"/>
      <c r="O173" s="89"/>
      <c r="P173" s="55"/>
      <c r="Q173" s="195"/>
      <c r="R173" s="196"/>
      <c r="S173" s="125"/>
      <c r="T173" s="126"/>
      <c r="U173" s="195"/>
      <c r="V173" s="196"/>
      <c r="W173" s="125"/>
      <c r="X173" s="126"/>
      <c r="Y173" s="119"/>
      <c r="Z173" s="197"/>
      <c r="AA173" s="198"/>
      <c r="AB173" s="199"/>
      <c r="AC173" s="119"/>
      <c r="AD173" s="196"/>
      <c r="AE173" s="200"/>
      <c r="AF173" s="201"/>
      <c r="AG173" s="202"/>
      <c r="AH173" s="203"/>
      <c r="AI173" s="204"/>
      <c r="AJ173" s="126"/>
      <c r="AK173" s="126"/>
      <c r="AL173" s="126"/>
    </row>
    <row r="174">
      <c r="A174" s="119"/>
      <c r="B174" s="154"/>
      <c r="C174" s="89"/>
      <c r="D174" s="55"/>
      <c r="E174" s="119"/>
      <c r="F174" s="154"/>
      <c r="G174" s="192"/>
      <c r="H174" s="193"/>
      <c r="I174" s="119"/>
      <c r="J174" s="154"/>
      <c r="K174" s="89"/>
      <c r="L174" s="55"/>
      <c r="M174" s="119"/>
      <c r="N174" s="194"/>
      <c r="O174" s="89"/>
      <c r="P174" s="55"/>
      <c r="Q174" s="195"/>
      <c r="R174" s="196"/>
      <c r="S174" s="125"/>
      <c r="T174" s="126"/>
      <c r="U174" s="195"/>
      <c r="V174" s="196"/>
      <c r="W174" s="125"/>
      <c r="X174" s="126"/>
      <c r="Y174" s="119"/>
      <c r="Z174" s="197"/>
      <c r="AA174" s="198"/>
      <c r="AB174" s="199"/>
      <c r="AC174" s="119"/>
      <c r="AD174" s="196"/>
      <c r="AE174" s="200"/>
      <c r="AF174" s="201"/>
      <c r="AG174" s="202"/>
      <c r="AH174" s="203"/>
      <c r="AI174" s="204"/>
      <c r="AJ174" s="126"/>
      <c r="AK174" s="126"/>
      <c r="AL174" s="126"/>
    </row>
    <row r="175">
      <c r="A175" s="119"/>
      <c r="B175" s="154"/>
      <c r="C175" s="89"/>
      <c r="D175" s="55"/>
      <c r="E175" s="119"/>
      <c r="F175" s="154"/>
      <c r="G175" s="192"/>
      <c r="H175" s="193"/>
      <c r="I175" s="119"/>
      <c r="J175" s="154"/>
      <c r="K175" s="89"/>
      <c r="L175" s="55"/>
      <c r="M175" s="119"/>
      <c r="N175" s="194"/>
      <c r="O175" s="89"/>
      <c r="P175" s="55"/>
      <c r="Q175" s="195"/>
      <c r="R175" s="196"/>
      <c r="S175" s="125"/>
      <c r="T175" s="126"/>
      <c r="U175" s="195"/>
      <c r="V175" s="196"/>
      <c r="W175" s="125"/>
      <c r="X175" s="126"/>
      <c r="Y175" s="119"/>
      <c r="Z175" s="197"/>
      <c r="AA175" s="198"/>
      <c r="AB175" s="199"/>
      <c r="AC175" s="119"/>
      <c r="AD175" s="196"/>
      <c r="AE175" s="200"/>
      <c r="AF175" s="201"/>
      <c r="AG175" s="202"/>
      <c r="AH175" s="203"/>
      <c r="AI175" s="204"/>
      <c r="AJ175" s="126"/>
      <c r="AK175" s="126"/>
      <c r="AL175" s="126"/>
    </row>
    <row r="176">
      <c r="A176" s="119"/>
      <c r="B176" s="154"/>
      <c r="C176" s="89"/>
      <c r="D176" s="55"/>
      <c r="E176" s="119"/>
      <c r="F176" s="154"/>
      <c r="G176" s="192"/>
      <c r="H176" s="193"/>
      <c r="I176" s="119"/>
      <c r="J176" s="154"/>
      <c r="K176" s="89"/>
      <c r="L176" s="55"/>
      <c r="M176" s="119"/>
      <c r="N176" s="194"/>
      <c r="O176" s="89"/>
      <c r="P176" s="55"/>
      <c r="Q176" s="195"/>
      <c r="R176" s="196"/>
      <c r="S176" s="125"/>
      <c r="T176" s="126"/>
      <c r="U176" s="195"/>
      <c r="V176" s="196"/>
      <c r="W176" s="125"/>
      <c r="X176" s="126"/>
      <c r="Y176" s="119"/>
      <c r="Z176" s="197"/>
      <c r="AA176" s="198"/>
      <c r="AB176" s="199"/>
      <c r="AC176" s="119"/>
      <c r="AD176" s="196"/>
      <c r="AE176" s="200"/>
      <c r="AF176" s="201"/>
      <c r="AG176" s="202"/>
      <c r="AH176" s="203"/>
      <c r="AI176" s="204"/>
      <c r="AJ176" s="126"/>
      <c r="AK176" s="126"/>
      <c r="AL176" s="126"/>
    </row>
    <row r="177">
      <c r="A177" s="119"/>
      <c r="B177" s="154"/>
      <c r="C177" s="89"/>
      <c r="D177" s="55"/>
      <c r="E177" s="119"/>
      <c r="F177" s="154"/>
      <c r="G177" s="192"/>
      <c r="H177" s="193"/>
      <c r="I177" s="119"/>
      <c r="J177" s="154"/>
      <c r="K177" s="89"/>
      <c r="L177" s="55"/>
      <c r="M177" s="119"/>
      <c r="N177" s="194"/>
      <c r="O177" s="89"/>
      <c r="P177" s="55"/>
      <c r="Q177" s="195"/>
      <c r="R177" s="196"/>
      <c r="S177" s="125"/>
      <c r="T177" s="126"/>
      <c r="U177" s="195"/>
      <c r="V177" s="196"/>
      <c r="W177" s="125"/>
      <c r="X177" s="126"/>
      <c r="Y177" s="119"/>
      <c r="Z177" s="197"/>
      <c r="AA177" s="198"/>
      <c r="AB177" s="199"/>
      <c r="AC177" s="119"/>
      <c r="AD177" s="196"/>
      <c r="AE177" s="200"/>
      <c r="AF177" s="201"/>
      <c r="AG177" s="202"/>
      <c r="AH177" s="203"/>
      <c r="AI177" s="204"/>
      <c r="AJ177" s="126"/>
      <c r="AK177" s="126"/>
      <c r="AL177" s="126"/>
    </row>
    <row r="178">
      <c r="A178" s="119"/>
      <c r="B178" s="154"/>
      <c r="C178" s="89"/>
      <c r="D178" s="55"/>
      <c r="E178" s="119"/>
      <c r="F178" s="154"/>
      <c r="G178" s="192"/>
      <c r="H178" s="193"/>
      <c r="I178" s="119"/>
      <c r="J178" s="154"/>
      <c r="K178" s="89"/>
      <c r="L178" s="55"/>
      <c r="M178" s="119"/>
      <c r="N178" s="194"/>
      <c r="O178" s="89"/>
      <c r="P178" s="55"/>
      <c r="Q178" s="195"/>
      <c r="R178" s="196"/>
      <c r="S178" s="125"/>
      <c r="T178" s="126"/>
      <c r="U178" s="195"/>
      <c r="V178" s="196"/>
      <c r="W178" s="125"/>
      <c r="X178" s="126"/>
      <c r="Y178" s="119"/>
      <c r="Z178" s="197"/>
      <c r="AA178" s="198"/>
      <c r="AB178" s="199"/>
      <c r="AC178" s="119"/>
      <c r="AD178" s="196"/>
      <c r="AE178" s="200"/>
      <c r="AF178" s="201"/>
      <c r="AG178" s="202"/>
      <c r="AH178" s="203"/>
      <c r="AI178" s="204"/>
      <c r="AJ178" s="126"/>
      <c r="AK178" s="126"/>
      <c r="AL178" s="126"/>
    </row>
    <row r="179">
      <c r="A179" s="119"/>
      <c r="B179" s="154"/>
      <c r="C179" s="89"/>
      <c r="D179" s="55"/>
      <c r="E179" s="119"/>
      <c r="F179" s="154"/>
      <c r="G179" s="192"/>
      <c r="H179" s="193"/>
      <c r="I179" s="119"/>
      <c r="J179" s="154"/>
      <c r="K179" s="89"/>
      <c r="L179" s="55"/>
      <c r="M179" s="119"/>
      <c r="N179" s="194"/>
      <c r="O179" s="89"/>
      <c r="P179" s="55"/>
      <c r="Q179" s="195"/>
      <c r="R179" s="196"/>
      <c r="S179" s="125"/>
      <c r="T179" s="126"/>
      <c r="U179" s="195"/>
      <c r="V179" s="196"/>
      <c r="W179" s="125"/>
      <c r="X179" s="126"/>
      <c r="Y179" s="119"/>
      <c r="Z179" s="197"/>
      <c r="AA179" s="198"/>
      <c r="AB179" s="199"/>
      <c r="AC179" s="119"/>
      <c r="AD179" s="196"/>
      <c r="AE179" s="200"/>
      <c r="AF179" s="201"/>
      <c r="AG179" s="202"/>
      <c r="AH179" s="203"/>
      <c r="AI179" s="204"/>
      <c r="AJ179" s="126"/>
      <c r="AK179" s="126"/>
      <c r="AL179" s="126"/>
    </row>
    <row r="180">
      <c r="A180" s="119"/>
      <c r="B180" s="154"/>
      <c r="C180" s="89"/>
      <c r="D180" s="55"/>
      <c r="E180" s="119"/>
      <c r="F180" s="154"/>
      <c r="G180" s="192"/>
      <c r="H180" s="193"/>
      <c r="I180" s="119"/>
      <c r="J180" s="154"/>
      <c r="K180" s="89"/>
      <c r="L180" s="55"/>
      <c r="M180" s="119"/>
      <c r="N180" s="194"/>
      <c r="O180" s="89"/>
      <c r="P180" s="55"/>
      <c r="Q180" s="195"/>
      <c r="R180" s="196"/>
      <c r="S180" s="125"/>
      <c r="T180" s="126"/>
      <c r="U180" s="195"/>
      <c r="V180" s="196"/>
      <c r="W180" s="125"/>
      <c r="X180" s="126"/>
      <c r="Y180" s="119"/>
      <c r="Z180" s="197"/>
      <c r="AA180" s="198"/>
      <c r="AB180" s="199"/>
      <c r="AC180" s="119"/>
      <c r="AD180" s="196"/>
      <c r="AE180" s="200"/>
      <c r="AF180" s="201"/>
      <c r="AG180" s="202"/>
      <c r="AH180" s="203"/>
      <c r="AI180" s="204"/>
      <c r="AJ180" s="126"/>
      <c r="AK180" s="126"/>
      <c r="AL180" s="126"/>
    </row>
    <row r="181">
      <c r="A181" s="119"/>
      <c r="B181" s="154"/>
      <c r="C181" s="89"/>
      <c r="D181" s="55"/>
      <c r="E181" s="119"/>
      <c r="F181" s="154"/>
      <c r="G181" s="192"/>
      <c r="H181" s="193"/>
      <c r="I181" s="119"/>
      <c r="J181" s="154"/>
      <c r="K181" s="89"/>
      <c r="L181" s="55"/>
      <c r="M181" s="119"/>
      <c r="N181" s="194"/>
      <c r="O181" s="89"/>
      <c r="P181" s="55"/>
      <c r="Q181" s="195"/>
      <c r="R181" s="196"/>
      <c r="S181" s="125"/>
      <c r="T181" s="126"/>
      <c r="U181" s="195"/>
      <c r="V181" s="196"/>
      <c r="W181" s="125"/>
      <c r="X181" s="126"/>
      <c r="Y181" s="119"/>
      <c r="Z181" s="197"/>
      <c r="AA181" s="198"/>
      <c r="AB181" s="199"/>
      <c r="AC181" s="119"/>
      <c r="AD181" s="196"/>
      <c r="AE181" s="200"/>
      <c r="AF181" s="201"/>
      <c r="AG181" s="202"/>
      <c r="AH181" s="203"/>
      <c r="AI181" s="204"/>
      <c r="AJ181" s="126"/>
      <c r="AK181" s="126"/>
      <c r="AL181" s="126"/>
    </row>
    <row r="182">
      <c r="A182" s="119"/>
      <c r="B182" s="154"/>
      <c r="C182" s="89"/>
      <c r="D182" s="55"/>
      <c r="E182" s="119"/>
      <c r="F182" s="154"/>
      <c r="G182" s="192"/>
      <c r="H182" s="193"/>
      <c r="I182" s="119"/>
      <c r="J182" s="154"/>
      <c r="K182" s="89"/>
      <c r="L182" s="55"/>
      <c r="M182" s="119"/>
      <c r="N182" s="194"/>
      <c r="O182" s="89"/>
      <c r="P182" s="55"/>
      <c r="Q182" s="195"/>
      <c r="R182" s="196"/>
      <c r="S182" s="125"/>
      <c r="T182" s="126"/>
      <c r="U182" s="195"/>
      <c r="V182" s="196"/>
      <c r="W182" s="125"/>
      <c r="X182" s="126"/>
      <c r="Y182" s="119"/>
      <c r="Z182" s="197"/>
      <c r="AA182" s="198"/>
      <c r="AB182" s="199"/>
      <c r="AC182" s="119"/>
      <c r="AD182" s="196"/>
      <c r="AE182" s="200"/>
      <c r="AF182" s="201"/>
      <c r="AG182" s="202"/>
      <c r="AH182" s="203"/>
      <c r="AI182" s="204"/>
      <c r="AJ182" s="126"/>
      <c r="AK182" s="126"/>
      <c r="AL182" s="126"/>
    </row>
    <row r="183">
      <c r="A183" s="119"/>
      <c r="B183" s="154"/>
      <c r="C183" s="89"/>
      <c r="D183" s="55"/>
      <c r="E183" s="119"/>
      <c r="F183" s="154"/>
      <c r="G183" s="192"/>
      <c r="H183" s="193"/>
      <c r="I183" s="119"/>
      <c r="J183" s="154"/>
      <c r="K183" s="89"/>
      <c r="L183" s="55"/>
      <c r="M183" s="119"/>
      <c r="N183" s="194"/>
      <c r="O183" s="89"/>
      <c r="P183" s="55"/>
      <c r="Q183" s="195"/>
      <c r="R183" s="196"/>
      <c r="S183" s="125"/>
      <c r="T183" s="126"/>
      <c r="U183" s="195"/>
      <c r="V183" s="196"/>
      <c r="W183" s="125"/>
      <c r="X183" s="126"/>
      <c r="Y183" s="119"/>
      <c r="Z183" s="197"/>
      <c r="AA183" s="198"/>
      <c r="AB183" s="199"/>
      <c r="AC183" s="119"/>
      <c r="AD183" s="196"/>
      <c r="AE183" s="200"/>
      <c r="AF183" s="201"/>
      <c r="AG183" s="202"/>
      <c r="AH183" s="203"/>
      <c r="AI183" s="204"/>
      <c r="AJ183" s="126"/>
      <c r="AK183" s="126"/>
      <c r="AL183" s="126"/>
    </row>
    <row r="184">
      <c r="A184" s="119"/>
      <c r="B184" s="154"/>
      <c r="C184" s="89"/>
      <c r="D184" s="55"/>
      <c r="E184" s="119"/>
      <c r="F184" s="154"/>
      <c r="G184" s="192"/>
      <c r="H184" s="193"/>
      <c r="I184" s="119"/>
      <c r="J184" s="154"/>
      <c r="K184" s="89"/>
      <c r="L184" s="55"/>
      <c r="M184" s="119"/>
      <c r="N184" s="194"/>
      <c r="O184" s="89"/>
      <c r="P184" s="55"/>
      <c r="Q184" s="195"/>
      <c r="R184" s="196"/>
      <c r="S184" s="125"/>
      <c r="T184" s="126"/>
      <c r="U184" s="195"/>
      <c r="V184" s="196"/>
      <c r="W184" s="125"/>
      <c r="X184" s="126"/>
      <c r="Y184" s="119"/>
      <c r="Z184" s="197"/>
      <c r="AA184" s="198"/>
      <c r="AB184" s="199"/>
      <c r="AC184" s="119"/>
      <c r="AD184" s="196"/>
      <c r="AE184" s="200"/>
      <c r="AF184" s="201"/>
      <c r="AG184" s="202"/>
      <c r="AH184" s="203"/>
      <c r="AI184" s="204"/>
      <c r="AJ184" s="126"/>
      <c r="AK184" s="126"/>
      <c r="AL184" s="126"/>
    </row>
    <row r="185">
      <c r="A185" s="119"/>
      <c r="B185" s="154"/>
      <c r="C185" s="89"/>
      <c r="D185" s="55"/>
      <c r="E185" s="119"/>
      <c r="F185" s="154"/>
      <c r="G185" s="192"/>
      <c r="H185" s="193"/>
      <c r="I185" s="119"/>
      <c r="J185" s="154"/>
      <c r="K185" s="89"/>
      <c r="L185" s="55"/>
      <c r="M185" s="119"/>
      <c r="N185" s="194"/>
      <c r="O185" s="89"/>
      <c r="P185" s="55"/>
      <c r="Q185" s="195"/>
      <c r="R185" s="196"/>
      <c r="S185" s="125"/>
      <c r="T185" s="126"/>
      <c r="U185" s="195"/>
      <c r="V185" s="196"/>
      <c r="W185" s="125"/>
      <c r="X185" s="126"/>
      <c r="Y185" s="119"/>
      <c r="Z185" s="197"/>
      <c r="AA185" s="198"/>
      <c r="AB185" s="199"/>
      <c r="AC185" s="119"/>
      <c r="AD185" s="196"/>
      <c r="AE185" s="200"/>
      <c r="AF185" s="201"/>
      <c r="AG185" s="202"/>
      <c r="AH185" s="203"/>
      <c r="AI185" s="204"/>
      <c r="AJ185" s="126"/>
      <c r="AK185" s="126"/>
      <c r="AL185" s="126"/>
    </row>
    <row r="186">
      <c r="A186" s="119"/>
      <c r="B186" s="154"/>
      <c r="C186" s="89"/>
      <c r="D186" s="55"/>
      <c r="E186" s="119"/>
      <c r="F186" s="154"/>
      <c r="G186" s="192"/>
      <c r="H186" s="193"/>
      <c r="I186" s="119"/>
      <c r="J186" s="154"/>
      <c r="K186" s="89"/>
      <c r="L186" s="55"/>
      <c r="M186" s="119"/>
      <c r="N186" s="194"/>
      <c r="O186" s="89"/>
      <c r="P186" s="55"/>
      <c r="Q186" s="195"/>
      <c r="R186" s="196"/>
      <c r="S186" s="125"/>
      <c r="T186" s="126"/>
      <c r="U186" s="195"/>
      <c r="V186" s="196"/>
      <c r="W186" s="125"/>
      <c r="X186" s="126"/>
      <c r="Y186" s="119"/>
      <c r="Z186" s="197"/>
      <c r="AA186" s="198"/>
      <c r="AB186" s="199"/>
      <c r="AC186" s="119"/>
      <c r="AD186" s="196"/>
      <c r="AE186" s="200"/>
      <c r="AF186" s="201"/>
      <c r="AG186" s="202"/>
      <c r="AH186" s="203"/>
      <c r="AI186" s="204"/>
      <c r="AJ186" s="126"/>
      <c r="AK186" s="126"/>
      <c r="AL186" s="126"/>
    </row>
    <row r="187">
      <c r="A187" s="119"/>
      <c r="B187" s="154"/>
      <c r="C187" s="89"/>
      <c r="D187" s="55"/>
      <c r="E187" s="119"/>
      <c r="F187" s="154"/>
      <c r="G187" s="192"/>
      <c r="H187" s="193"/>
      <c r="I187" s="119"/>
      <c r="J187" s="154"/>
      <c r="K187" s="89"/>
      <c r="L187" s="55"/>
      <c r="M187" s="119"/>
      <c r="N187" s="194"/>
      <c r="O187" s="89"/>
      <c r="P187" s="55"/>
      <c r="Q187" s="195"/>
      <c r="R187" s="196"/>
      <c r="S187" s="125"/>
      <c r="T187" s="126"/>
      <c r="U187" s="195"/>
      <c r="V187" s="196"/>
      <c r="W187" s="125"/>
      <c r="X187" s="126"/>
      <c r="Y187" s="119"/>
      <c r="Z187" s="197"/>
      <c r="AA187" s="198"/>
      <c r="AB187" s="199"/>
      <c r="AC187" s="119"/>
      <c r="AD187" s="196"/>
      <c r="AE187" s="200"/>
      <c r="AF187" s="201"/>
      <c r="AG187" s="202"/>
      <c r="AH187" s="203"/>
      <c r="AI187" s="204"/>
      <c r="AJ187" s="126"/>
      <c r="AK187" s="126"/>
      <c r="AL187" s="126"/>
    </row>
    <row r="188">
      <c r="A188" s="119"/>
      <c r="B188" s="154"/>
      <c r="C188" s="89"/>
      <c r="D188" s="55"/>
      <c r="E188" s="119"/>
      <c r="F188" s="154"/>
      <c r="G188" s="192"/>
      <c r="H188" s="193"/>
      <c r="I188" s="119"/>
      <c r="J188" s="154"/>
      <c r="K188" s="89"/>
      <c r="L188" s="55"/>
      <c r="M188" s="119"/>
      <c r="N188" s="194"/>
      <c r="O188" s="89"/>
      <c r="P188" s="55"/>
      <c r="Q188" s="195"/>
      <c r="R188" s="196"/>
      <c r="S188" s="125"/>
      <c r="T188" s="126"/>
      <c r="U188" s="195"/>
      <c r="V188" s="196"/>
      <c r="W188" s="125"/>
      <c r="X188" s="126"/>
      <c r="Y188" s="119"/>
      <c r="Z188" s="197"/>
      <c r="AA188" s="198"/>
      <c r="AB188" s="199"/>
      <c r="AC188" s="119"/>
      <c r="AD188" s="196"/>
      <c r="AE188" s="200"/>
      <c r="AF188" s="201"/>
      <c r="AG188" s="202"/>
      <c r="AH188" s="203"/>
      <c r="AI188" s="204"/>
      <c r="AJ188" s="126"/>
      <c r="AK188" s="126"/>
      <c r="AL188" s="126"/>
    </row>
    <row r="189">
      <c r="A189" s="119"/>
      <c r="B189" s="154"/>
      <c r="C189" s="89"/>
      <c r="D189" s="55"/>
      <c r="E189" s="119"/>
      <c r="F189" s="154"/>
      <c r="G189" s="192"/>
      <c r="H189" s="193"/>
      <c r="I189" s="119"/>
      <c r="J189" s="154"/>
      <c r="K189" s="89"/>
      <c r="L189" s="55"/>
      <c r="M189" s="119"/>
      <c r="N189" s="194"/>
      <c r="O189" s="89"/>
      <c r="P189" s="55"/>
      <c r="Q189" s="195"/>
      <c r="R189" s="196"/>
      <c r="S189" s="125"/>
      <c r="T189" s="126"/>
      <c r="U189" s="195"/>
      <c r="V189" s="196"/>
      <c r="W189" s="125"/>
      <c r="X189" s="126"/>
      <c r="Y189" s="119"/>
      <c r="Z189" s="197"/>
      <c r="AA189" s="198"/>
      <c r="AB189" s="199"/>
      <c r="AC189" s="119"/>
      <c r="AD189" s="196"/>
      <c r="AE189" s="200"/>
      <c r="AF189" s="201"/>
      <c r="AG189" s="202"/>
      <c r="AH189" s="203"/>
      <c r="AI189" s="204"/>
      <c r="AJ189" s="126"/>
      <c r="AK189" s="126"/>
      <c r="AL189" s="126"/>
    </row>
    <row r="190">
      <c r="A190" s="119"/>
      <c r="B190" s="154"/>
      <c r="C190" s="89"/>
      <c r="D190" s="55"/>
      <c r="E190" s="119"/>
      <c r="F190" s="154"/>
      <c r="G190" s="192"/>
      <c r="H190" s="193"/>
      <c r="I190" s="119"/>
      <c r="J190" s="154"/>
      <c r="K190" s="89"/>
      <c r="L190" s="55"/>
      <c r="M190" s="119"/>
      <c r="N190" s="194"/>
      <c r="O190" s="89"/>
      <c r="P190" s="55"/>
      <c r="Q190" s="195"/>
      <c r="R190" s="196"/>
      <c r="S190" s="125"/>
      <c r="T190" s="126"/>
      <c r="U190" s="195"/>
      <c r="V190" s="196"/>
      <c r="W190" s="125"/>
      <c r="X190" s="126"/>
      <c r="Y190" s="119"/>
      <c r="Z190" s="197"/>
      <c r="AA190" s="198"/>
      <c r="AB190" s="199"/>
      <c r="AC190" s="119"/>
      <c r="AD190" s="196"/>
      <c r="AE190" s="200"/>
      <c r="AF190" s="201"/>
      <c r="AG190" s="202"/>
      <c r="AH190" s="203"/>
      <c r="AI190" s="204"/>
      <c r="AJ190" s="126"/>
      <c r="AK190" s="126"/>
      <c r="AL190" s="126"/>
    </row>
    <row r="191">
      <c r="A191" s="119"/>
      <c r="B191" s="154"/>
      <c r="C191" s="89"/>
      <c r="D191" s="55"/>
      <c r="E191" s="119"/>
      <c r="F191" s="154"/>
      <c r="G191" s="192"/>
      <c r="H191" s="193"/>
      <c r="I191" s="119"/>
      <c r="J191" s="154"/>
      <c r="K191" s="89"/>
      <c r="L191" s="55"/>
      <c r="M191" s="119"/>
      <c r="N191" s="194"/>
      <c r="O191" s="89"/>
      <c r="P191" s="55"/>
      <c r="Q191" s="195"/>
      <c r="R191" s="196"/>
      <c r="S191" s="125"/>
      <c r="T191" s="126"/>
      <c r="U191" s="195"/>
      <c r="V191" s="196"/>
      <c r="W191" s="125"/>
      <c r="X191" s="126"/>
      <c r="Y191" s="119"/>
      <c r="Z191" s="197"/>
      <c r="AA191" s="198"/>
      <c r="AB191" s="199"/>
      <c r="AC191" s="119"/>
      <c r="AD191" s="196"/>
      <c r="AE191" s="200"/>
      <c r="AF191" s="201"/>
      <c r="AG191" s="202"/>
      <c r="AH191" s="203"/>
      <c r="AI191" s="204"/>
      <c r="AJ191" s="126"/>
      <c r="AK191" s="126"/>
      <c r="AL191" s="126"/>
    </row>
    <row r="192">
      <c r="A192" s="119"/>
      <c r="B192" s="154"/>
      <c r="C192" s="89"/>
      <c r="D192" s="55"/>
      <c r="E192" s="119"/>
      <c r="F192" s="154"/>
      <c r="G192" s="192"/>
      <c r="H192" s="193"/>
      <c r="I192" s="119"/>
      <c r="J192" s="154"/>
      <c r="K192" s="89"/>
      <c r="L192" s="55"/>
      <c r="M192" s="119"/>
      <c r="N192" s="194"/>
      <c r="O192" s="89"/>
      <c r="P192" s="55"/>
      <c r="Q192" s="195"/>
      <c r="R192" s="196"/>
      <c r="S192" s="125"/>
      <c r="T192" s="126"/>
      <c r="U192" s="195"/>
      <c r="V192" s="196"/>
      <c r="W192" s="125"/>
      <c r="X192" s="126"/>
      <c r="Y192" s="119"/>
      <c r="Z192" s="197"/>
      <c r="AA192" s="198"/>
      <c r="AB192" s="199"/>
      <c r="AC192" s="119"/>
      <c r="AD192" s="196"/>
      <c r="AE192" s="200"/>
      <c r="AF192" s="201"/>
      <c r="AG192" s="202"/>
      <c r="AH192" s="203"/>
      <c r="AI192" s="204"/>
      <c r="AJ192" s="126"/>
      <c r="AK192" s="126"/>
      <c r="AL192" s="126"/>
    </row>
    <row r="193">
      <c r="A193" s="119"/>
      <c r="B193" s="154"/>
      <c r="C193" s="89"/>
      <c r="D193" s="55"/>
      <c r="E193" s="119"/>
      <c r="F193" s="154"/>
      <c r="G193" s="192"/>
      <c r="H193" s="193"/>
      <c r="I193" s="119"/>
      <c r="J193" s="154"/>
      <c r="K193" s="89"/>
      <c r="L193" s="55"/>
      <c r="M193" s="119"/>
      <c r="N193" s="194"/>
      <c r="O193" s="89"/>
      <c r="P193" s="55"/>
      <c r="Q193" s="195"/>
      <c r="R193" s="196"/>
      <c r="S193" s="125"/>
      <c r="T193" s="126"/>
      <c r="U193" s="195"/>
      <c r="V193" s="196"/>
      <c r="W193" s="125"/>
      <c r="X193" s="126"/>
      <c r="Y193" s="119"/>
      <c r="Z193" s="197"/>
      <c r="AA193" s="198"/>
      <c r="AB193" s="199"/>
      <c r="AC193" s="119"/>
      <c r="AD193" s="196"/>
      <c r="AE193" s="200"/>
      <c r="AF193" s="201"/>
      <c r="AG193" s="202"/>
      <c r="AH193" s="203"/>
      <c r="AI193" s="204"/>
      <c r="AJ193" s="126"/>
      <c r="AK193" s="126"/>
      <c r="AL193" s="126"/>
    </row>
    <row r="194">
      <c r="A194" s="119"/>
      <c r="B194" s="154"/>
      <c r="C194" s="89"/>
      <c r="D194" s="55"/>
      <c r="E194" s="119"/>
      <c r="F194" s="154"/>
      <c r="G194" s="192"/>
      <c r="H194" s="193"/>
      <c r="I194" s="119"/>
      <c r="J194" s="154"/>
      <c r="K194" s="89"/>
      <c r="L194" s="55"/>
      <c r="M194" s="119"/>
      <c r="N194" s="194"/>
      <c r="O194" s="89"/>
      <c r="P194" s="55"/>
      <c r="Q194" s="195"/>
      <c r="R194" s="196"/>
      <c r="S194" s="125"/>
      <c r="T194" s="126"/>
      <c r="U194" s="195"/>
      <c r="V194" s="196"/>
      <c r="W194" s="125"/>
      <c r="X194" s="126"/>
      <c r="Y194" s="119"/>
      <c r="Z194" s="197"/>
      <c r="AA194" s="198"/>
      <c r="AB194" s="199"/>
      <c r="AC194" s="119"/>
      <c r="AD194" s="196"/>
      <c r="AE194" s="200"/>
      <c r="AF194" s="201"/>
      <c r="AG194" s="202"/>
      <c r="AH194" s="203"/>
      <c r="AI194" s="204"/>
      <c r="AJ194" s="126"/>
      <c r="AK194" s="126"/>
      <c r="AL194" s="126"/>
    </row>
    <row r="195">
      <c r="A195" s="119"/>
      <c r="B195" s="154"/>
      <c r="C195" s="89"/>
      <c r="D195" s="55"/>
      <c r="E195" s="119"/>
      <c r="F195" s="154"/>
      <c r="G195" s="192"/>
      <c r="H195" s="193"/>
      <c r="I195" s="119"/>
      <c r="J195" s="154"/>
      <c r="K195" s="89"/>
      <c r="L195" s="55"/>
      <c r="M195" s="119"/>
      <c r="N195" s="194"/>
      <c r="O195" s="89"/>
      <c r="P195" s="55"/>
      <c r="Q195" s="195"/>
      <c r="R195" s="196"/>
      <c r="S195" s="125"/>
      <c r="T195" s="126"/>
      <c r="U195" s="195"/>
      <c r="V195" s="196"/>
      <c r="W195" s="125"/>
      <c r="X195" s="126"/>
      <c r="Y195" s="119"/>
      <c r="Z195" s="197"/>
      <c r="AA195" s="198"/>
      <c r="AB195" s="199"/>
      <c r="AC195" s="119"/>
      <c r="AD195" s="196"/>
      <c r="AE195" s="200"/>
      <c r="AF195" s="201"/>
      <c r="AG195" s="202"/>
      <c r="AH195" s="203"/>
      <c r="AI195" s="204"/>
      <c r="AJ195" s="126"/>
      <c r="AK195" s="126"/>
      <c r="AL195" s="126"/>
    </row>
    <row r="196">
      <c r="A196" s="119"/>
      <c r="B196" s="154"/>
      <c r="C196" s="89"/>
      <c r="D196" s="55"/>
      <c r="E196" s="119"/>
      <c r="F196" s="154"/>
      <c r="G196" s="192"/>
      <c r="H196" s="193"/>
      <c r="I196" s="119"/>
      <c r="J196" s="154"/>
      <c r="K196" s="89"/>
      <c r="L196" s="55"/>
      <c r="M196" s="119"/>
      <c r="N196" s="194"/>
      <c r="O196" s="89"/>
      <c r="P196" s="55"/>
      <c r="Q196" s="195"/>
      <c r="R196" s="196"/>
      <c r="S196" s="125"/>
      <c r="T196" s="126"/>
      <c r="U196" s="195"/>
      <c r="V196" s="196"/>
      <c r="W196" s="125"/>
      <c r="X196" s="126"/>
      <c r="Y196" s="119"/>
      <c r="Z196" s="197"/>
      <c r="AA196" s="198"/>
      <c r="AB196" s="199"/>
      <c r="AC196" s="119"/>
      <c r="AD196" s="196"/>
      <c r="AE196" s="200"/>
      <c r="AF196" s="201"/>
      <c r="AG196" s="202"/>
      <c r="AH196" s="203"/>
      <c r="AI196" s="204"/>
      <c r="AJ196" s="126"/>
      <c r="AK196" s="126"/>
      <c r="AL196" s="126"/>
    </row>
    <row r="197">
      <c r="A197" s="119"/>
      <c r="B197" s="154"/>
      <c r="C197" s="89"/>
      <c r="D197" s="55"/>
      <c r="E197" s="119"/>
      <c r="F197" s="154"/>
      <c r="G197" s="192"/>
      <c r="H197" s="193"/>
      <c r="I197" s="119"/>
      <c r="J197" s="154"/>
      <c r="K197" s="89"/>
      <c r="L197" s="55"/>
      <c r="M197" s="119"/>
      <c r="N197" s="194"/>
      <c r="O197" s="89"/>
      <c r="P197" s="55"/>
      <c r="Q197" s="195"/>
      <c r="R197" s="196"/>
      <c r="S197" s="125"/>
      <c r="T197" s="126"/>
      <c r="U197" s="195"/>
      <c r="V197" s="196"/>
      <c r="W197" s="125"/>
      <c r="X197" s="126"/>
      <c r="Y197" s="119"/>
      <c r="Z197" s="197"/>
      <c r="AA197" s="198"/>
      <c r="AB197" s="199"/>
      <c r="AC197" s="119"/>
      <c r="AD197" s="196"/>
      <c r="AE197" s="200"/>
      <c r="AF197" s="201"/>
      <c r="AG197" s="202"/>
      <c r="AH197" s="203"/>
      <c r="AI197" s="204"/>
      <c r="AJ197" s="126"/>
      <c r="AK197" s="126"/>
      <c r="AL197" s="126"/>
    </row>
    <row r="198">
      <c r="A198" s="119"/>
      <c r="B198" s="154"/>
      <c r="C198" s="89"/>
      <c r="D198" s="55"/>
      <c r="E198" s="119"/>
      <c r="F198" s="154"/>
      <c r="G198" s="192"/>
      <c r="H198" s="193"/>
      <c r="I198" s="119"/>
      <c r="J198" s="154"/>
      <c r="K198" s="89"/>
      <c r="L198" s="55"/>
      <c r="M198" s="119"/>
      <c r="N198" s="194"/>
      <c r="O198" s="89"/>
      <c r="P198" s="55"/>
      <c r="Q198" s="195"/>
      <c r="R198" s="196"/>
      <c r="S198" s="125"/>
      <c r="T198" s="126"/>
      <c r="U198" s="195"/>
      <c r="V198" s="196"/>
      <c r="W198" s="125"/>
      <c r="X198" s="126"/>
      <c r="Y198" s="119"/>
      <c r="Z198" s="197"/>
      <c r="AA198" s="198"/>
      <c r="AB198" s="199"/>
      <c r="AC198" s="119"/>
      <c r="AD198" s="196"/>
      <c r="AE198" s="200"/>
      <c r="AF198" s="201"/>
      <c r="AG198" s="202"/>
      <c r="AH198" s="203"/>
      <c r="AI198" s="204"/>
      <c r="AJ198" s="126"/>
      <c r="AK198" s="126"/>
      <c r="AL198" s="126"/>
    </row>
    <row r="199">
      <c r="A199" s="119"/>
      <c r="B199" s="154"/>
      <c r="C199" s="89"/>
      <c r="D199" s="55"/>
      <c r="E199" s="119"/>
      <c r="F199" s="154"/>
      <c r="G199" s="192"/>
      <c r="H199" s="193"/>
      <c r="I199" s="119"/>
      <c r="J199" s="154"/>
      <c r="K199" s="89"/>
      <c r="L199" s="55"/>
      <c r="M199" s="119"/>
      <c r="N199" s="194"/>
      <c r="O199" s="89"/>
      <c r="P199" s="55"/>
      <c r="Q199" s="195"/>
      <c r="R199" s="196"/>
      <c r="S199" s="125"/>
      <c r="T199" s="126"/>
      <c r="U199" s="195"/>
      <c r="V199" s="196"/>
      <c r="W199" s="125"/>
      <c r="X199" s="126"/>
      <c r="Y199" s="119"/>
      <c r="Z199" s="197"/>
      <c r="AA199" s="198"/>
      <c r="AB199" s="199"/>
      <c r="AC199" s="119"/>
      <c r="AD199" s="196"/>
      <c r="AE199" s="200"/>
      <c r="AF199" s="201"/>
      <c r="AG199" s="202"/>
      <c r="AH199" s="203"/>
      <c r="AI199" s="204"/>
      <c r="AJ199" s="126"/>
      <c r="AK199" s="126"/>
      <c r="AL199" s="126"/>
    </row>
    <row r="200">
      <c r="A200" s="119"/>
      <c r="B200" s="154"/>
      <c r="C200" s="89"/>
      <c r="D200" s="55"/>
      <c r="E200" s="119"/>
      <c r="F200" s="154"/>
      <c r="G200" s="192"/>
      <c r="H200" s="193"/>
      <c r="I200" s="119"/>
      <c r="J200" s="154"/>
      <c r="K200" s="89"/>
      <c r="L200" s="55"/>
      <c r="M200" s="119"/>
      <c r="N200" s="194"/>
      <c r="O200" s="89"/>
      <c r="P200" s="55"/>
      <c r="Q200" s="195"/>
      <c r="R200" s="196"/>
      <c r="S200" s="125"/>
      <c r="T200" s="126"/>
      <c r="U200" s="195"/>
      <c r="V200" s="196"/>
      <c r="W200" s="125"/>
      <c r="X200" s="126"/>
      <c r="Y200" s="119"/>
      <c r="Z200" s="197"/>
      <c r="AA200" s="198"/>
      <c r="AB200" s="199"/>
      <c r="AC200" s="119"/>
      <c r="AD200" s="196"/>
      <c r="AE200" s="200"/>
      <c r="AF200" s="201"/>
      <c r="AG200" s="202"/>
      <c r="AH200" s="203"/>
      <c r="AI200" s="204"/>
      <c r="AJ200" s="126"/>
      <c r="AK200" s="126"/>
      <c r="AL200" s="126"/>
    </row>
    <row r="201">
      <c r="A201" s="119"/>
      <c r="B201" s="154"/>
      <c r="C201" s="89"/>
      <c r="D201" s="55"/>
      <c r="E201" s="119"/>
      <c r="F201" s="154"/>
      <c r="G201" s="192"/>
      <c r="H201" s="193"/>
      <c r="I201" s="119"/>
      <c r="J201" s="154"/>
      <c r="K201" s="89"/>
      <c r="L201" s="55"/>
      <c r="M201" s="119"/>
      <c r="N201" s="194"/>
      <c r="O201" s="89"/>
      <c r="P201" s="55"/>
      <c r="Q201" s="195"/>
      <c r="R201" s="196"/>
      <c r="S201" s="125"/>
      <c r="T201" s="126"/>
      <c r="U201" s="195"/>
      <c r="V201" s="196"/>
      <c r="W201" s="125"/>
      <c r="X201" s="126"/>
      <c r="Y201" s="119"/>
      <c r="Z201" s="197"/>
      <c r="AA201" s="198"/>
      <c r="AB201" s="199"/>
      <c r="AC201" s="119"/>
      <c r="AD201" s="196"/>
      <c r="AE201" s="200"/>
      <c r="AF201" s="201"/>
      <c r="AG201" s="202"/>
      <c r="AH201" s="203"/>
      <c r="AI201" s="204"/>
      <c r="AJ201" s="126"/>
      <c r="AK201" s="126"/>
      <c r="AL201" s="126"/>
    </row>
    <row r="202">
      <c r="A202" s="119"/>
      <c r="B202" s="154"/>
      <c r="C202" s="89"/>
      <c r="D202" s="55"/>
      <c r="E202" s="119"/>
      <c r="F202" s="154"/>
      <c r="G202" s="192"/>
      <c r="H202" s="193"/>
      <c r="I202" s="119"/>
      <c r="J202" s="154"/>
      <c r="K202" s="89"/>
      <c r="L202" s="55"/>
      <c r="M202" s="119"/>
      <c r="N202" s="194"/>
      <c r="O202" s="89"/>
      <c r="P202" s="55"/>
      <c r="Q202" s="195"/>
      <c r="R202" s="196"/>
      <c r="S202" s="125"/>
      <c r="T202" s="126"/>
      <c r="U202" s="195"/>
      <c r="V202" s="196"/>
      <c r="W202" s="125"/>
      <c r="X202" s="126"/>
      <c r="Y202" s="119"/>
      <c r="Z202" s="197"/>
      <c r="AA202" s="198"/>
      <c r="AB202" s="199"/>
      <c r="AC202" s="119"/>
      <c r="AD202" s="196"/>
      <c r="AE202" s="200"/>
      <c r="AF202" s="201"/>
      <c r="AG202" s="202"/>
      <c r="AH202" s="203"/>
      <c r="AI202" s="204"/>
      <c r="AJ202" s="126"/>
      <c r="AK202" s="126"/>
      <c r="AL202" s="126"/>
    </row>
    <row r="203">
      <c r="A203" s="119"/>
      <c r="B203" s="154"/>
      <c r="C203" s="89"/>
      <c r="D203" s="55"/>
      <c r="E203" s="119"/>
      <c r="F203" s="154"/>
      <c r="G203" s="192"/>
      <c r="H203" s="193"/>
      <c r="I203" s="119"/>
      <c r="J203" s="154"/>
      <c r="K203" s="89"/>
      <c r="L203" s="55"/>
      <c r="M203" s="119"/>
      <c r="N203" s="194"/>
      <c r="O203" s="89"/>
      <c r="P203" s="55"/>
      <c r="Q203" s="195"/>
      <c r="R203" s="196"/>
      <c r="S203" s="125"/>
      <c r="T203" s="126"/>
      <c r="U203" s="195"/>
      <c r="V203" s="196"/>
      <c r="W203" s="125"/>
      <c r="X203" s="126"/>
      <c r="Y203" s="119"/>
      <c r="Z203" s="197"/>
      <c r="AA203" s="198"/>
      <c r="AB203" s="199"/>
      <c r="AC203" s="119"/>
      <c r="AD203" s="196"/>
      <c r="AE203" s="200"/>
      <c r="AF203" s="201"/>
      <c r="AG203" s="202"/>
      <c r="AH203" s="203"/>
      <c r="AI203" s="204"/>
      <c r="AJ203" s="126"/>
      <c r="AK203" s="126"/>
      <c r="AL203" s="126"/>
    </row>
    <row r="204">
      <c r="A204" s="119"/>
      <c r="B204" s="154"/>
      <c r="C204" s="89"/>
      <c r="D204" s="55"/>
      <c r="E204" s="119"/>
      <c r="F204" s="154"/>
      <c r="G204" s="192"/>
      <c r="H204" s="193"/>
      <c r="I204" s="119"/>
      <c r="J204" s="154"/>
      <c r="K204" s="89"/>
      <c r="L204" s="55"/>
      <c r="M204" s="119"/>
      <c r="N204" s="194"/>
      <c r="O204" s="89"/>
      <c r="P204" s="55"/>
      <c r="Q204" s="195"/>
      <c r="R204" s="196"/>
      <c r="S204" s="125"/>
      <c r="T204" s="126"/>
      <c r="U204" s="195"/>
      <c r="V204" s="196"/>
      <c r="W204" s="125"/>
      <c r="X204" s="126"/>
      <c r="Y204" s="119"/>
      <c r="Z204" s="197"/>
      <c r="AA204" s="198"/>
      <c r="AB204" s="199"/>
      <c r="AC204" s="119"/>
      <c r="AD204" s="196"/>
      <c r="AE204" s="200"/>
      <c r="AF204" s="201"/>
      <c r="AG204" s="202"/>
      <c r="AH204" s="203"/>
      <c r="AI204" s="204"/>
      <c r="AJ204" s="126"/>
      <c r="AK204" s="126"/>
      <c r="AL204" s="126"/>
    </row>
    <row r="205">
      <c r="A205" s="119"/>
      <c r="B205" s="154"/>
      <c r="C205" s="89"/>
      <c r="D205" s="55"/>
      <c r="E205" s="119"/>
      <c r="F205" s="154"/>
      <c r="G205" s="192"/>
      <c r="H205" s="193"/>
      <c r="I205" s="119"/>
      <c r="J205" s="154"/>
      <c r="K205" s="89"/>
      <c r="L205" s="55"/>
      <c r="M205" s="119"/>
      <c r="N205" s="194"/>
      <c r="O205" s="89"/>
      <c r="P205" s="55"/>
      <c r="Q205" s="195"/>
      <c r="R205" s="196"/>
      <c r="S205" s="125"/>
      <c r="T205" s="126"/>
      <c r="U205" s="195"/>
      <c r="V205" s="196"/>
      <c r="W205" s="125"/>
      <c r="X205" s="126"/>
      <c r="Y205" s="119"/>
      <c r="Z205" s="197"/>
      <c r="AA205" s="198"/>
      <c r="AB205" s="199"/>
      <c r="AC205" s="119"/>
      <c r="AD205" s="196"/>
      <c r="AE205" s="200"/>
      <c r="AF205" s="201"/>
      <c r="AG205" s="202"/>
      <c r="AH205" s="203"/>
      <c r="AI205" s="204"/>
      <c r="AJ205" s="126"/>
      <c r="AK205" s="126"/>
      <c r="AL205" s="126"/>
    </row>
    <row r="206">
      <c r="A206" s="119"/>
      <c r="B206" s="154"/>
      <c r="C206" s="89"/>
      <c r="D206" s="55"/>
      <c r="E206" s="119"/>
      <c r="F206" s="154"/>
      <c r="G206" s="192"/>
      <c r="H206" s="193"/>
      <c r="I206" s="119"/>
      <c r="J206" s="154"/>
      <c r="K206" s="89"/>
      <c r="L206" s="55"/>
      <c r="M206" s="119"/>
      <c r="N206" s="194"/>
      <c r="O206" s="89"/>
      <c r="P206" s="55"/>
      <c r="Q206" s="195"/>
      <c r="R206" s="196"/>
      <c r="S206" s="125"/>
      <c r="T206" s="126"/>
      <c r="U206" s="195"/>
      <c r="V206" s="196"/>
      <c r="W206" s="125"/>
      <c r="X206" s="126"/>
      <c r="Y206" s="119"/>
      <c r="Z206" s="197"/>
      <c r="AA206" s="198"/>
      <c r="AB206" s="199"/>
      <c r="AC206" s="119"/>
      <c r="AD206" s="196"/>
      <c r="AE206" s="200"/>
      <c r="AF206" s="201"/>
      <c r="AG206" s="202"/>
      <c r="AH206" s="203"/>
      <c r="AI206" s="204"/>
      <c r="AJ206" s="126"/>
      <c r="AK206" s="126"/>
      <c r="AL206" s="126"/>
    </row>
    <row r="207">
      <c r="A207" s="119"/>
      <c r="B207" s="154"/>
      <c r="C207" s="89"/>
      <c r="D207" s="55"/>
      <c r="E207" s="119"/>
      <c r="F207" s="154"/>
      <c r="G207" s="192"/>
      <c r="H207" s="193"/>
      <c r="I207" s="119"/>
      <c r="J207" s="154"/>
      <c r="K207" s="89"/>
      <c r="L207" s="55"/>
      <c r="M207" s="119"/>
      <c r="N207" s="194"/>
      <c r="O207" s="89"/>
      <c r="P207" s="55"/>
      <c r="Q207" s="195"/>
      <c r="R207" s="196"/>
      <c r="S207" s="125"/>
      <c r="T207" s="126"/>
      <c r="U207" s="195"/>
      <c r="V207" s="196"/>
      <c r="W207" s="125"/>
      <c r="X207" s="126"/>
      <c r="Y207" s="119"/>
      <c r="Z207" s="197"/>
      <c r="AA207" s="198"/>
      <c r="AB207" s="199"/>
      <c r="AC207" s="119"/>
      <c r="AD207" s="196"/>
      <c r="AE207" s="200"/>
      <c r="AF207" s="201"/>
      <c r="AG207" s="202"/>
      <c r="AH207" s="203"/>
      <c r="AI207" s="204"/>
      <c r="AJ207" s="126"/>
      <c r="AK207" s="126"/>
      <c r="AL207" s="126"/>
    </row>
    <row r="208">
      <c r="A208" s="119"/>
      <c r="B208" s="154"/>
      <c r="C208" s="89"/>
      <c r="D208" s="55"/>
      <c r="E208" s="119"/>
      <c r="F208" s="154"/>
      <c r="G208" s="192"/>
      <c r="H208" s="193"/>
      <c r="I208" s="119"/>
      <c r="J208" s="154"/>
      <c r="K208" s="89"/>
      <c r="L208" s="55"/>
      <c r="M208" s="119"/>
      <c r="N208" s="194"/>
      <c r="O208" s="89"/>
      <c r="P208" s="55"/>
      <c r="Q208" s="195"/>
      <c r="R208" s="196"/>
      <c r="S208" s="125"/>
      <c r="T208" s="126"/>
      <c r="U208" s="195"/>
      <c r="V208" s="196"/>
      <c r="W208" s="125"/>
      <c r="X208" s="126"/>
      <c r="Y208" s="119"/>
      <c r="Z208" s="197"/>
      <c r="AA208" s="198"/>
      <c r="AB208" s="199"/>
      <c r="AC208" s="119"/>
      <c r="AD208" s="196"/>
      <c r="AE208" s="200"/>
      <c r="AF208" s="201"/>
      <c r="AG208" s="202"/>
      <c r="AH208" s="203"/>
      <c r="AI208" s="204"/>
      <c r="AJ208" s="126"/>
      <c r="AK208" s="126"/>
      <c r="AL208" s="126"/>
    </row>
    <row r="209">
      <c r="A209" s="119"/>
      <c r="B209" s="154"/>
      <c r="C209" s="89"/>
      <c r="D209" s="55"/>
      <c r="E209" s="119"/>
      <c r="F209" s="154"/>
      <c r="G209" s="192"/>
      <c r="H209" s="193"/>
      <c r="I209" s="119"/>
      <c r="J209" s="154"/>
      <c r="K209" s="89"/>
      <c r="L209" s="55"/>
      <c r="M209" s="119"/>
      <c r="N209" s="194"/>
      <c r="O209" s="89"/>
      <c r="P209" s="55"/>
      <c r="Q209" s="195"/>
      <c r="R209" s="196"/>
      <c r="S209" s="125"/>
      <c r="T209" s="126"/>
      <c r="U209" s="195"/>
      <c r="V209" s="196"/>
      <c r="W209" s="125"/>
      <c r="X209" s="126"/>
      <c r="Y209" s="119"/>
      <c r="Z209" s="197"/>
      <c r="AA209" s="198"/>
      <c r="AB209" s="199"/>
      <c r="AC209" s="119"/>
      <c r="AD209" s="196"/>
      <c r="AE209" s="200"/>
      <c r="AF209" s="201"/>
      <c r="AG209" s="202"/>
      <c r="AH209" s="203"/>
      <c r="AI209" s="204"/>
      <c r="AJ209" s="126"/>
      <c r="AK209" s="126"/>
      <c r="AL209" s="126"/>
    </row>
    <row r="210">
      <c r="A210" s="119"/>
      <c r="B210" s="154"/>
      <c r="C210" s="89"/>
      <c r="D210" s="55"/>
      <c r="E210" s="119"/>
      <c r="F210" s="154"/>
      <c r="G210" s="192"/>
      <c r="H210" s="193"/>
      <c r="I210" s="119"/>
      <c r="J210" s="154"/>
      <c r="K210" s="89"/>
      <c r="L210" s="55"/>
      <c r="M210" s="119"/>
      <c r="N210" s="194"/>
      <c r="O210" s="89"/>
      <c r="P210" s="55"/>
      <c r="Q210" s="195"/>
      <c r="R210" s="196"/>
      <c r="S210" s="125"/>
      <c r="T210" s="126"/>
      <c r="U210" s="195"/>
      <c r="V210" s="196"/>
      <c r="W210" s="125"/>
      <c r="X210" s="126"/>
      <c r="Y210" s="119"/>
      <c r="Z210" s="197"/>
      <c r="AA210" s="198"/>
      <c r="AB210" s="199"/>
      <c r="AC210" s="119"/>
      <c r="AD210" s="196"/>
      <c r="AE210" s="200"/>
      <c r="AF210" s="201"/>
      <c r="AG210" s="202"/>
      <c r="AH210" s="203"/>
      <c r="AI210" s="204"/>
      <c r="AJ210" s="126"/>
      <c r="AK210" s="126"/>
      <c r="AL210" s="126"/>
    </row>
    <row r="211">
      <c r="A211" s="119"/>
      <c r="B211" s="154"/>
      <c r="C211" s="89"/>
      <c r="D211" s="55"/>
      <c r="E211" s="119"/>
      <c r="F211" s="154"/>
      <c r="G211" s="192"/>
      <c r="H211" s="193"/>
      <c r="I211" s="119"/>
      <c r="J211" s="154"/>
      <c r="K211" s="89"/>
      <c r="L211" s="55"/>
      <c r="M211" s="119"/>
      <c r="N211" s="194"/>
      <c r="O211" s="89"/>
      <c r="P211" s="55"/>
      <c r="Q211" s="195"/>
      <c r="R211" s="196"/>
      <c r="S211" s="125"/>
      <c r="T211" s="126"/>
      <c r="U211" s="195"/>
      <c r="V211" s="196"/>
      <c r="W211" s="125"/>
      <c r="X211" s="126"/>
      <c r="Y211" s="119"/>
      <c r="Z211" s="197"/>
      <c r="AA211" s="198"/>
      <c r="AB211" s="199"/>
      <c r="AC211" s="119"/>
      <c r="AD211" s="196"/>
      <c r="AE211" s="200"/>
      <c r="AF211" s="201"/>
      <c r="AG211" s="202"/>
      <c r="AH211" s="203"/>
      <c r="AI211" s="204"/>
      <c r="AJ211" s="126"/>
      <c r="AK211" s="126"/>
      <c r="AL211" s="126"/>
    </row>
    <row r="212">
      <c r="A212" s="119"/>
      <c r="B212" s="154"/>
      <c r="C212" s="89"/>
      <c r="D212" s="55"/>
      <c r="E212" s="119"/>
      <c r="F212" s="154"/>
      <c r="G212" s="192"/>
      <c r="H212" s="193"/>
      <c r="I212" s="119"/>
      <c r="J212" s="154"/>
      <c r="K212" s="89"/>
      <c r="L212" s="55"/>
      <c r="M212" s="119"/>
      <c r="N212" s="194"/>
      <c r="O212" s="89"/>
      <c r="P212" s="55"/>
      <c r="Q212" s="195"/>
      <c r="R212" s="196"/>
      <c r="S212" s="125"/>
      <c r="T212" s="126"/>
      <c r="U212" s="195"/>
      <c r="V212" s="196"/>
      <c r="W212" s="125"/>
      <c r="X212" s="126"/>
      <c r="Y212" s="119"/>
      <c r="Z212" s="197"/>
      <c r="AA212" s="198"/>
      <c r="AB212" s="199"/>
      <c r="AC212" s="119"/>
      <c r="AD212" s="196"/>
      <c r="AE212" s="200"/>
      <c r="AF212" s="201"/>
      <c r="AG212" s="202"/>
      <c r="AH212" s="203"/>
      <c r="AI212" s="204"/>
      <c r="AJ212" s="126"/>
      <c r="AK212" s="126"/>
      <c r="AL212" s="126"/>
    </row>
    <row r="213">
      <c r="A213" s="119"/>
      <c r="B213" s="154"/>
      <c r="C213" s="89"/>
      <c r="D213" s="55"/>
      <c r="E213" s="119"/>
      <c r="F213" s="154"/>
      <c r="G213" s="192"/>
      <c r="H213" s="193"/>
      <c r="I213" s="119"/>
      <c r="J213" s="154"/>
      <c r="K213" s="89"/>
      <c r="L213" s="55"/>
      <c r="M213" s="119"/>
      <c r="N213" s="194"/>
      <c r="O213" s="89"/>
      <c r="P213" s="55"/>
      <c r="Q213" s="195"/>
      <c r="R213" s="196"/>
      <c r="S213" s="125"/>
      <c r="T213" s="126"/>
      <c r="U213" s="195"/>
      <c r="V213" s="196"/>
      <c r="W213" s="125"/>
      <c r="X213" s="126"/>
      <c r="Y213" s="119"/>
      <c r="Z213" s="197"/>
      <c r="AA213" s="198"/>
      <c r="AB213" s="199"/>
      <c r="AC213" s="119"/>
      <c r="AD213" s="196"/>
      <c r="AE213" s="200"/>
      <c r="AF213" s="201"/>
      <c r="AG213" s="202"/>
      <c r="AH213" s="203"/>
      <c r="AI213" s="204"/>
      <c r="AJ213" s="126"/>
      <c r="AK213" s="126"/>
      <c r="AL213" s="126"/>
    </row>
    <row r="214">
      <c r="A214" s="119"/>
      <c r="B214" s="154"/>
      <c r="C214" s="89"/>
      <c r="D214" s="55"/>
      <c r="E214" s="119"/>
      <c r="F214" s="154"/>
      <c r="G214" s="192"/>
      <c r="H214" s="193"/>
      <c r="I214" s="119"/>
      <c r="J214" s="154"/>
      <c r="K214" s="89"/>
      <c r="L214" s="55"/>
      <c r="M214" s="119"/>
      <c r="N214" s="194"/>
      <c r="O214" s="89"/>
      <c r="P214" s="55"/>
      <c r="Q214" s="195"/>
      <c r="R214" s="196"/>
      <c r="S214" s="125"/>
      <c r="T214" s="126"/>
      <c r="U214" s="195"/>
      <c r="V214" s="196"/>
      <c r="W214" s="125"/>
      <c r="X214" s="126"/>
      <c r="Y214" s="119"/>
      <c r="Z214" s="197"/>
      <c r="AA214" s="198"/>
      <c r="AB214" s="199"/>
      <c r="AC214" s="119"/>
      <c r="AD214" s="196"/>
      <c r="AE214" s="200"/>
      <c r="AF214" s="201"/>
      <c r="AG214" s="202"/>
      <c r="AH214" s="203"/>
      <c r="AI214" s="204"/>
      <c r="AJ214" s="126"/>
      <c r="AK214" s="126"/>
      <c r="AL214" s="126"/>
    </row>
    <row r="215">
      <c r="A215" s="119"/>
      <c r="B215" s="154"/>
      <c r="C215" s="89"/>
      <c r="D215" s="55"/>
      <c r="E215" s="119"/>
      <c r="F215" s="154"/>
      <c r="G215" s="192"/>
      <c r="H215" s="193"/>
      <c r="I215" s="119"/>
      <c r="J215" s="154"/>
      <c r="K215" s="89"/>
      <c r="L215" s="55"/>
      <c r="M215" s="119"/>
      <c r="N215" s="194"/>
      <c r="O215" s="89"/>
      <c r="P215" s="55"/>
      <c r="Q215" s="195"/>
      <c r="R215" s="196"/>
      <c r="S215" s="125"/>
      <c r="T215" s="126"/>
      <c r="U215" s="195"/>
      <c r="V215" s="196"/>
      <c r="W215" s="125"/>
      <c r="X215" s="126"/>
      <c r="Y215" s="119"/>
      <c r="Z215" s="197"/>
      <c r="AA215" s="198"/>
      <c r="AB215" s="199"/>
      <c r="AC215" s="119"/>
      <c r="AD215" s="196"/>
      <c r="AE215" s="200"/>
      <c r="AF215" s="201"/>
      <c r="AG215" s="202"/>
      <c r="AH215" s="203"/>
      <c r="AI215" s="204"/>
      <c r="AJ215" s="126"/>
      <c r="AK215" s="126"/>
      <c r="AL215" s="126"/>
    </row>
    <row r="216">
      <c r="A216" s="119"/>
      <c r="B216" s="154"/>
      <c r="C216" s="89"/>
      <c r="D216" s="55"/>
      <c r="E216" s="119"/>
      <c r="F216" s="154"/>
      <c r="G216" s="192"/>
      <c r="H216" s="193"/>
      <c r="I216" s="119"/>
      <c r="J216" s="154"/>
      <c r="K216" s="89"/>
      <c r="L216" s="55"/>
      <c r="M216" s="119"/>
      <c r="N216" s="194"/>
      <c r="O216" s="89"/>
      <c r="P216" s="55"/>
      <c r="Q216" s="195"/>
      <c r="R216" s="196"/>
      <c r="S216" s="125"/>
      <c r="T216" s="126"/>
      <c r="U216" s="195"/>
      <c r="V216" s="196"/>
      <c r="W216" s="125"/>
      <c r="X216" s="126"/>
      <c r="Y216" s="119"/>
      <c r="Z216" s="197"/>
      <c r="AA216" s="198"/>
      <c r="AB216" s="199"/>
      <c r="AC216" s="119"/>
      <c r="AD216" s="196"/>
      <c r="AE216" s="200"/>
      <c r="AF216" s="201"/>
      <c r="AG216" s="202"/>
      <c r="AH216" s="203"/>
      <c r="AI216" s="204"/>
      <c r="AJ216" s="126"/>
      <c r="AK216" s="126"/>
      <c r="AL216" s="126"/>
    </row>
    <row r="217">
      <c r="A217" s="119"/>
      <c r="B217" s="154"/>
      <c r="C217" s="89"/>
      <c r="D217" s="55"/>
      <c r="E217" s="119"/>
      <c r="F217" s="154"/>
      <c r="G217" s="192"/>
      <c r="H217" s="193"/>
      <c r="I217" s="119"/>
      <c r="J217" s="154"/>
      <c r="K217" s="89"/>
      <c r="L217" s="55"/>
      <c r="M217" s="119"/>
      <c r="N217" s="194"/>
      <c r="O217" s="89"/>
      <c r="P217" s="55"/>
      <c r="Q217" s="195"/>
      <c r="R217" s="196"/>
      <c r="S217" s="125"/>
      <c r="T217" s="126"/>
      <c r="U217" s="195"/>
      <c r="V217" s="196"/>
      <c r="W217" s="125"/>
      <c r="X217" s="126"/>
      <c r="Y217" s="119"/>
      <c r="Z217" s="197"/>
      <c r="AA217" s="198"/>
      <c r="AB217" s="199"/>
      <c r="AC217" s="119"/>
      <c r="AD217" s="196"/>
      <c r="AE217" s="200"/>
      <c r="AF217" s="201"/>
      <c r="AG217" s="202"/>
      <c r="AH217" s="203"/>
      <c r="AI217" s="204"/>
      <c r="AJ217" s="126"/>
      <c r="AK217" s="126"/>
      <c r="AL217" s="126"/>
    </row>
    <row r="218">
      <c r="A218" s="119"/>
      <c r="B218" s="154"/>
      <c r="C218" s="89"/>
      <c r="D218" s="55"/>
      <c r="E218" s="119"/>
      <c r="F218" s="154"/>
      <c r="G218" s="192"/>
      <c r="H218" s="193"/>
      <c r="I218" s="119"/>
      <c r="J218" s="154"/>
      <c r="K218" s="89"/>
      <c r="L218" s="55"/>
      <c r="M218" s="119"/>
      <c r="N218" s="194"/>
      <c r="O218" s="89"/>
      <c r="P218" s="55"/>
      <c r="Q218" s="195"/>
      <c r="R218" s="196"/>
      <c r="S218" s="125"/>
      <c r="T218" s="126"/>
      <c r="U218" s="195"/>
      <c r="V218" s="196"/>
      <c r="W218" s="125"/>
      <c r="X218" s="126"/>
      <c r="Y218" s="119"/>
      <c r="Z218" s="197"/>
      <c r="AA218" s="198"/>
      <c r="AB218" s="199"/>
      <c r="AC218" s="119"/>
      <c r="AD218" s="196"/>
      <c r="AE218" s="200"/>
      <c r="AF218" s="201"/>
      <c r="AG218" s="202"/>
      <c r="AH218" s="203"/>
      <c r="AI218" s="204"/>
      <c r="AJ218" s="126"/>
      <c r="AK218" s="126"/>
      <c r="AL218" s="126"/>
    </row>
    <row r="219">
      <c r="A219" s="119"/>
      <c r="B219" s="154"/>
      <c r="C219" s="89"/>
      <c r="D219" s="55"/>
      <c r="E219" s="119"/>
      <c r="F219" s="154"/>
      <c r="G219" s="192"/>
      <c r="H219" s="193"/>
      <c r="I219" s="119"/>
      <c r="J219" s="154"/>
      <c r="K219" s="89"/>
      <c r="L219" s="55"/>
      <c r="M219" s="119"/>
      <c r="N219" s="194"/>
      <c r="O219" s="89"/>
      <c r="P219" s="55"/>
      <c r="Q219" s="195"/>
      <c r="R219" s="196"/>
      <c r="S219" s="125"/>
      <c r="T219" s="126"/>
      <c r="U219" s="195"/>
      <c r="V219" s="196"/>
      <c r="W219" s="125"/>
      <c r="X219" s="126"/>
      <c r="Y219" s="119"/>
      <c r="Z219" s="197"/>
      <c r="AA219" s="198"/>
      <c r="AB219" s="199"/>
      <c r="AC219" s="119"/>
      <c r="AD219" s="196"/>
      <c r="AE219" s="200"/>
      <c r="AF219" s="201"/>
      <c r="AG219" s="202"/>
      <c r="AH219" s="203"/>
      <c r="AI219" s="204"/>
      <c r="AJ219" s="126"/>
      <c r="AK219" s="126"/>
      <c r="AL219" s="126"/>
    </row>
    <row r="220">
      <c r="A220" s="119"/>
      <c r="B220" s="154"/>
      <c r="C220" s="89"/>
      <c r="D220" s="55"/>
      <c r="E220" s="119"/>
      <c r="F220" s="154"/>
      <c r="G220" s="192"/>
      <c r="H220" s="193"/>
      <c r="I220" s="119"/>
      <c r="J220" s="154"/>
      <c r="K220" s="89"/>
      <c r="L220" s="55"/>
      <c r="M220" s="119"/>
      <c r="N220" s="194"/>
      <c r="O220" s="89"/>
      <c r="P220" s="55"/>
      <c r="Q220" s="195"/>
      <c r="R220" s="196"/>
      <c r="S220" s="125"/>
      <c r="T220" s="126"/>
      <c r="U220" s="195"/>
      <c r="V220" s="196"/>
      <c r="W220" s="125"/>
      <c r="X220" s="126"/>
      <c r="Y220" s="119"/>
      <c r="Z220" s="197"/>
      <c r="AA220" s="198"/>
      <c r="AB220" s="199"/>
      <c r="AC220" s="119"/>
      <c r="AD220" s="196"/>
      <c r="AE220" s="200"/>
      <c r="AF220" s="201"/>
      <c r="AG220" s="202"/>
      <c r="AH220" s="203"/>
      <c r="AI220" s="204"/>
      <c r="AJ220" s="126"/>
      <c r="AK220" s="126"/>
      <c r="AL220" s="126"/>
    </row>
    <row r="221">
      <c r="A221" s="119"/>
      <c r="B221" s="154"/>
      <c r="C221" s="89"/>
      <c r="D221" s="55"/>
      <c r="E221" s="119"/>
      <c r="F221" s="154"/>
      <c r="G221" s="192"/>
      <c r="H221" s="193"/>
      <c r="I221" s="119"/>
      <c r="J221" s="154"/>
      <c r="K221" s="89"/>
      <c r="L221" s="55"/>
      <c r="M221" s="119"/>
      <c r="N221" s="194"/>
      <c r="O221" s="89"/>
      <c r="P221" s="55"/>
      <c r="Q221" s="195"/>
      <c r="R221" s="196"/>
      <c r="S221" s="125"/>
      <c r="T221" s="126"/>
      <c r="U221" s="195"/>
      <c r="V221" s="196"/>
      <c r="W221" s="125"/>
      <c r="X221" s="126"/>
      <c r="Y221" s="119"/>
      <c r="Z221" s="197"/>
      <c r="AA221" s="198"/>
      <c r="AB221" s="199"/>
      <c r="AC221" s="119"/>
      <c r="AD221" s="196"/>
      <c r="AE221" s="200"/>
      <c r="AF221" s="201"/>
      <c r="AG221" s="202"/>
      <c r="AH221" s="203"/>
      <c r="AI221" s="204"/>
      <c r="AJ221" s="126"/>
      <c r="AK221" s="126"/>
      <c r="AL221" s="126"/>
    </row>
    <row r="222">
      <c r="A222" s="119"/>
      <c r="B222" s="154"/>
      <c r="C222" s="89"/>
      <c r="D222" s="55"/>
      <c r="E222" s="119"/>
      <c r="F222" s="154"/>
      <c r="G222" s="192"/>
      <c r="H222" s="193"/>
      <c r="I222" s="119"/>
      <c r="J222" s="154"/>
      <c r="K222" s="89"/>
      <c r="L222" s="55"/>
      <c r="M222" s="119"/>
      <c r="N222" s="194"/>
      <c r="O222" s="89"/>
      <c r="P222" s="55"/>
      <c r="Q222" s="195"/>
      <c r="R222" s="196"/>
      <c r="S222" s="125"/>
      <c r="T222" s="126"/>
      <c r="U222" s="195"/>
      <c r="V222" s="196"/>
      <c r="W222" s="125"/>
      <c r="X222" s="126"/>
      <c r="Y222" s="119"/>
      <c r="Z222" s="197"/>
      <c r="AA222" s="198"/>
      <c r="AB222" s="199"/>
      <c r="AC222" s="119"/>
      <c r="AD222" s="196"/>
      <c r="AE222" s="200"/>
      <c r="AF222" s="201"/>
      <c r="AG222" s="202"/>
      <c r="AH222" s="203"/>
      <c r="AI222" s="204"/>
      <c r="AJ222" s="126"/>
      <c r="AK222" s="126"/>
      <c r="AL222" s="126"/>
    </row>
    <row r="223">
      <c r="A223" s="119"/>
      <c r="B223" s="154"/>
      <c r="C223" s="89"/>
      <c r="D223" s="55"/>
      <c r="E223" s="119"/>
      <c r="F223" s="154"/>
      <c r="G223" s="192"/>
      <c r="H223" s="193"/>
      <c r="I223" s="119"/>
      <c r="J223" s="154"/>
      <c r="K223" s="89"/>
      <c r="L223" s="55"/>
      <c r="M223" s="119"/>
      <c r="N223" s="194"/>
      <c r="O223" s="89"/>
      <c r="P223" s="55"/>
      <c r="Q223" s="195"/>
      <c r="R223" s="196"/>
      <c r="S223" s="125"/>
      <c r="T223" s="126"/>
      <c r="U223" s="195"/>
      <c r="V223" s="196"/>
      <c r="W223" s="125"/>
      <c r="X223" s="126"/>
      <c r="Y223" s="119"/>
      <c r="Z223" s="197"/>
      <c r="AA223" s="198"/>
      <c r="AB223" s="199"/>
      <c r="AC223" s="119"/>
      <c r="AD223" s="196"/>
      <c r="AE223" s="200"/>
      <c r="AF223" s="201"/>
      <c r="AG223" s="202"/>
      <c r="AH223" s="203"/>
      <c r="AI223" s="204"/>
      <c r="AJ223" s="126"/>
      <c r="AK223" s="126"/>
      <c r="AL223" s="126"/>
    </row>
    <row r="224">
      <c r="A224" s="119"/>
      <c r="B224" s="154"/>
      <c r="C224" s="89"/>
      <c r="D224" s="55"/>
      <c r="E224" s="119"/>
      <c r="F224" s="154"/>
      <c r="G224" s="192"/>
      <c r="H224" s="193"/>
      <c r="I224" s="119"/>
      <c r="J224" s="154"/>
      <c r="K224" s="89"/>
      <c r="L224" s="55"/>
      <c r="M224" s="119"/>
      <c r="N224" s="194"/>
      <c r="O224" s="89"/>
      <c r="P224" s="55"/>
      <c r="Q224" s="195"/>
      <c r="R224" s="196"/>
      <c r="S224" s="125"/>
      <c r="T224" s="126"/>
      <c r="U224" s="195"/>
      <c r="V224" s="196"/>
      <c r="W224" s="125"/>
      <c r="X224" s="126"/>
      <c r="Y224" s="119"/>
      <c r="Z224" s="197"/>
      <c r="AA224" s="198"/>
      <c r="AB224" s="199"/>
      <c r="AC224" s="119"/>
      <c r="AD224" s="196"/>
      <c r="AE224" s="200"/>
      <c r="AF224" s="201"/>
      <c r="AG224" s="202"/>
      <c r="AH224" s="203"/>
      <c r="AI224" s="204"/>
      <c r="AJ224" s="126"/>
      <c r="AK224" s="126"/>
      <c r="AL224" s="126"/>
    </row>
    <row r="225">
      <c r="A225" s="119"/>
      <c r="B225" s="154"/>
      <c r="C225" s="89"/>
      <c r="D225" s="55"/>
      <c r="E225" s="119"/>
      <c r="F225" s="154"/>
      <c r="G225" s="192"/>
      <c r="H225" s="193"/>
      <c r="I225" s="119"/>
      <c r="J225" s="154"/>
      <c r="K225" s="89"/>
      <c r="L225" s="55"/>
      <c r="M225" s="119"/>
      <c r="N225" s="194"/>
      <c r="O225" s="89"/>
      <c r="P225" s="55"/>
      <c r="Q225" s="195"/>
      <c r="R225" s="196"/>
      <c r="S225" s="125"/>
      <c r="T225" s="126"/>
      <c r="U225" s="195"/>
      <c r="V225" s="196"/>
      <c r="W225" s="125"/>
      <c r="X225" s="126"/>
      <c r="Y225" s="119"/>
      <c r="Z225" s="197"/>
      <c r="AA225" s="198"/>
      <c r="AB225" s="199"/>
      <c r="AC225" s="119"/>
      <c r="AD225" s="196"/>
      <c r="AE225" s="200"/>
      <c r="AF225" s="201"/>
      <c r="AG225" s="202"/>
      <c r="AH225" s="203"/>
      <c r="AI225" s="204"/>
      <c r="AJ225" s="126"/>
      <c r="AK225" s="126"/>
      <c r="AL225" s="126"/>
    </row>
    <row r="226">
      <c r="A226" s="119"/>
      <c r="B226" s="154"/>
      <c r="C226" s="89"/>
      <c r="D226" s="55"/>
      <c r="E226" s="119"/>
      <c r="F226" s="154"/>
      <c r="G226" s="192"/>
      <c r="H226" s="193"/>
      <c r="I226" s="119"/>
      <c r="J226" s="154"/>
      <c r="K226" s="89"/>
      <c r="L226" s="55"/>
      <c r="M226" s="119"/>
      <c r="N226" s="194"/>
      <c r="O226" s="89"/>
      <c r="P226" s="55"/>
      <c r="Q226" s="195"/>
      <c r="R226" s="196"/>
      <c r="S226" s="125"/>
      <c r="T226" s="126"/>
      <c r="U226" s="195"/>
      <c r="V226" s="196"/>
      <c r="W226" s="125"/>
      <c r="X226" s="126"/>
      <c r="Y226" s="119"/>
      <c r="Z226" s="197"/>
      <c r="AA226" s="198"/>
      <c r="AB226" s="199"/>
      <c r="AC226" s="119"/>
      <c r="AD226" s="196"/>
      <c r="AE226" s="200"/>
      <c r="AF226" s="201"/>
      <c r="AG226" s="202"/>
      <c r="AH226" s="203"/>
      <c r="AI226" s="204"/>
      <c r="AJ226" s="126"/>
      <c r="AK226" s="126"/>
      <c r="AL226" s="126"/>
    </row>
    <row r="227">
      <c r="A227" s="119"/>
      <c r="B227" s="154"/>
      <c r="C227" s="89"/>
      <c r="D227" s="55"/>
      <c r="E227" s="119"/>
      <c r="F227" s="154"/>
      <c r="G227" s="192"/>
      <c r="H227" s="193"/>
      <c r="I227" s="119"/>
      <c r="J227" s="154"/>
      <c r="K227" s="89"/>
      <c r="L227" s="55"/>
      <c r="M227" s="119"/>
      <c r="N227" s="194"/>
      <c r="O227" s="89"/>
      <c r="P227" s="55"/>
      <c r="Q227" s="195"/>
      <c r="R227" s="196"/>
      <c r="S227" s="125"/>
      <c r="T227" s="126"/>
      <c r="U227" s="195"/>
      <c r="V227" s="196"/>
      <c r="W227" s="125"/>
      <c r="X227" s="126"/>
      <c r="Y227" s="119"/>
      <c r="Z227" s="197"/>
      <c r="AA227" s="198"/>
      <c r="AB227" s="199"/>
      <c r="AC227" s="119"/>
      <c r="AD227" s="196"/>
      <c r="AE227" s="200"/>
      <c r="AF227" s="201"/>
      <c r="AG227" s="202"/>
      <c r="AH227" s="203"/>
      <c r="AI227" s="204"/>
      <c r="AJ227" s="126"/>
      <c r="AK227" s="126"/>
      <c r="AL227" s="126"/>
    </row>
    <row r="228">
      <c r="A228" s="119"/>
      <c r="B228" s="154"/>
      <c r="C228" s="89"/>
      <c r="D228" s="55"/>
      <c r="E228" s="119"/>
      <c r="F228" s="154"/>
      <c r="G228" s="192"/>
      <c r="H228" s="193"/>
      <c r="I228" s="119"/>
      <c r="J228" s="154"/>
      <c r="K228" s="89"/>
      <c r="L228" s="55"/>
      <c r="M228" s="119"/>
      <c r="N228" s="194"/>
      <c r="O228" s="89"/>
      <c r="P228" s="55"/>
      <c r="Q228" s="195"/>
      <c r="R228" s="196"/>
      <c r="S228" s="125"/>
      <c r="T228" s="126"/>
      <c r="U228" s="195"/>
      <c r="V228" s="196"/>
      <c r="W228" s="125"/>
      <c r="X228" s="126"/>
      <c r="Y228" s="119"/>
      <c r="Z228" s="197"/>
      <c r="AA228" s="198"/>
      <c r="AB228" s="199"/>
      <c r="AC228" s="119"/>
      <c r="AD228" s="196"/>
      <c r="AE228" s="200"/>
      <c r="AF228" s="201"/>
      <c r="AG228" s="202"/>
      <c r="AH228" s="203"/>
      <c r="AI228" s="204"/>
      <c r="AJ228" s="126"/>
      <c r="AK228" s="126"/>
      <c r="AL228" s="126"/>
    </row>
    <row r="229">
      <c r="A229" s="119"/>
      <c r="B229" s="154"/>
      <c r="C229" s="89"/>
      <c r="D229" s="55"/>
      <c r="E229" s="119"/>
      <c r="F229" s="154"/>
      <c r="G229" s="192"/>
      <c r="H229" s="193"/>
      <c r="I229" s="119"/>
      <c r="J229" s="154"/>
      <c r="K229" s="89"/>
      <c r="L229" s="55"/>
      <c r="M229" s="119"/>
      <c r="N229" s="194"/>
      <c r="O229" s="89"/>
      <c r="P229" s="55"/>
      <c r="Q229" s="195"/>
      <c r="R229" s="196"/>
      <c r="S229" s="125"/>
      <c r="T229" s="126"/>
      <c r="U229" s="195"/>
      <c r="V229" s="196"/>
      <c r="W229" s="125"/>
      <c r="X229" s="126"/>
      <c r="Y229" s="119"/>
      <c r="Z229" s="197"/>
      <c r="AA229" s="198"/>
      <c r="AB229" s="199"/>
      <c r="AC229" s="119"/>
      <c r="AD229" s="196"/>
      <c r="AE229" s="200"/>
      <c r="AF229" s="201"/>
      <c r="AG229" s="202"/>
      <c r="AH229" s="203"/>
      <c r="AI229" s="204"/>
      <c r="AJ229" s="126"/>
      <c r="AK229" s="126"/>
      <c r="AL229" s="126"/>
    </row>
    <row r="230">
      <c r="A230" s="119"/>
      <c r="B230" s="154"/>
      <c r="C230" s="89"/>
      <c r="D230" s="55"/>
      <c r="E230" s="119"/>
      <c r="F230" s="154"/>
      <c r="G230" s="192"/>
      <c r="H230" s="193"/>
      <c r="I230" s="119"/>
      <c r="J230" s="154"/>
      <c r="K230" s="89"/>
      <c r="L230" s="55"/>
      <c r="M230" s="119"/>
      <c r="N230" s="194"/>
      <c r="O230" s="89"/>
      <c r="P230" s="55"/>
      <c r="Q230" s="195"/>
      <c r="R230" s="196"/>
      <c r="S230" s="125"/>
      <c r="T230" s="126"/>
      <c r="U230" s="195"/>
      <c r="V230" s="196"/>
      <c r="W230" s="125"/>
      <c r="X230" s="126"/>
      <c r="Y230" s="119"/>
      <c r="Z230" s="197"/>
      <c r="AA230" s="198"/>
      <c r="AB230" s="199"/>
      <c r="AC230" s="119"/>
      <c r="AD230" s="196"/>
      <c r="AE230" s="200"/>
      <c r="AF230" s="201"/>
      <c r="AG230" s="202"/>
      <c r="AH230" s="203"/>
      <c r="AI230" s="204"/>
      <c r="AJ230" s="126"/>
      <c r="AK230" s="126"/>
      <c r="AL230" s="126"/>
    </row>
    <row r="231">
      <c r="A231" s="119"/>
      <c r="B231" s="154"/>
      <c r="C231" s="89"/>
      <c r="D231" s="55"/>
      <c r="E231" s="119"/>
      <c r="F231" s="154"/>
      <c r="G231" s="192"/>
      <c r="H231" s="193"/>
      <c r="I231" s="119"/>
      <c r="J231" s="154"/>
      <c r="K231" s="89"/>
      <c r="L231" s="55"/>
      <c r="M231" s="119"/>
      <c r="N231" s="194"/>
      <c r="O231" s="89"/>
      <c r="P231" s="55"/>
      <c r="Q231" s="195"/>
      <c r="R231" s="196"/>
      <c r="S231" s="125"/>
      <c r="T231" s="126"/>
      <c r="U231" s="195"/>
      <c r="V231" s="196"/>
      <c r="W231" s="125"/>
      <c r="X231" s="126"/>
      <c r="Y231" s="119"/>
      <c r="Z231" s="197"/>
      <c r="AA231" s="198"/>
      <c r="AB231" s="199"/>
      <c r="AC231" s="119"/>
      <c r="AD231" s="196"/>
      <c r="AE231" s="200"/>
      <c r="AF231" s="201"/>
      <c r="AG231" s="205"/>
      <c r="AH231" s="205"/>
      <c r="AI231" s="205"/>
      <c r="AJ231" s="205"/>
      <c r="AK231" s="126"/>
      <c r="AL231" s="126"/>
    </row>
    <row r="232">
      <c r="A232" s="119"/>
      <c r="B232" s="154"/>
      <c r="C232" s="89"/>
      <c r="D232" s="55"/>
      <c r="E232" s="119"/>
      <c r="F232" s="154"/>
      <c r="G232" s="192"/>
      <c r="H232" s="193"/>
      <c r="I232" s="119"/>
      <c r="J232" s="154"/>
      <c r="K232" s="89"/>
      <c r="L232" s="55"/>
      <c r="M232" s="119"/>
      <c r="N232" s="194"/>
      <c r="O232" s="89"/>
      <c r="P232" s="55"/>
      <c r="Q232" s="195"/>
      <c r="R232" s="196"/>
      <c r="S232" s="125"/>
      <c r="T232" s="126"/>
      <c r="U232" s="195"/>
      <c r="V232" s="196"/>
      <c r="W232" s="125"/>
      <c r="X232" s="126"/>
      <c r="Y232" s="119"/>
      <c r="Z232" s="197"/>
      <c r="AA232" s="198"/>
      <c r="AB232" s="199"/>
      <c r="AC232" s="119"/>
      <c r="AD232" s="196"/>
      <c r="AE232" s="200"/>
      <c r="AF232" s="201"/>
      <c r="AG232" s="205"/>
      <c r="AH232" s="205"/>
      <c r="AI232" s="205"/>
      <c r="AJ232" s="205"/>
      <c r="AK232" s="126"/>
      <c r="AL232" s="126"/>
    </row>
    <row r="233">
      <c r="A233" s="119"/>
      <c r="B233" s="154"/>
      <c r="C233" s="89"/>
      <c r="D233" s="55"/>
      <c r="E233" s="119"/>
      <c r="F233" s="154"/>
      <c r="G233" s="192"/>
      <c r="H233" s="193"/>
      <c r="I233" s="119"/>
      <c r="J233" s="154"/>
      <c r="K233" s="89"/>
      <c r="L233" s="55"/>
      <c r="M233" s="119"/>
      <c r="N233" s="194"/>
      <c r="O233" s="89"/>
      <c r="P233" s="55"/>
      <c r="Q233" s="195"/>
      <c r="R233" s="196"/>
      <c r="S233" s="125"/>
      <c r="T233" s="126"/>
      <c r="U233" s="195"/>
      <c r="V233" s="196"/>
      <c r="W233" s="125"/>
      <c r="X233" s="126"/>
      <c r="Y233" s="119"/>
      <c r="Z233" s="197"/>
      <c r="AA233" s="198"/>
      <c r="AB233" s="199"/>
      <c r="AC233" s="119"/>
      <c r="AD233" s="196"/>
      <c r="AE233" s="200"/>
      <c r="AF233" s="201"/>
      <c r="AG233" s="205"/>
      <c r="AH233" s="205"/>
      <c r="AI233" s="205"/>
      <c r="AJ233" s="205"/>
      <c r="AK233" s="126"/>
      <c r="AL233" s="126"/>
    </row>
    <row r="234">
      <c r="A234" s="119"/>
      <c r="B234" s="154"/>
      <c r="C234" s="89"/>
      <c r="D234" s="55"/>
      <c r="E234" s="119"/>
      <c r="F234" s="154"/>
      <c r="G234" s="192"/>
      <c r="H234" s="193"/>
      <c r="I234" s="119"/>
      <c r="J234" s="154"/>
      <c r="K234" s="89"/>
      <c r="L234" s="55"/>
      <c r="M234" s="119"/>
      <c r="N234" s="194"/>
      <c r="O234" s="89"/>
      <c r="P234" s="55"/>
      <c r="Q234" s="195"/>
      <c r="R234" s="196"/>
      <c r="S234" s="125"/>
      <c r="T234" s="126"/>
      <c r="U234" s="195"/>
      <c r="V234" s="196"/>
      <c r="W234" s="125"/>
      <c r="X234" s="126"/>
      <c r="Y234" s="119"/>
      <c r="Z234" s="197"/>
      <c r="AA234" s="198"/>
      <c r="AB234" s="199"/>
      <c r="AC234" s="119"/>
      <c r="AD234" s="196"/>
      <c r="AE234" s="200"/>
      <c r="AF234" s="201"/>
      <c r="AG234" s="205"/>
      <c r="AH234" s="205"/>
      <c r="AI234" s="205"/>
      <c r="AJ234" s="205"/>
      <c r="AK234" s="126"/>
      <c r="AL234" s="126"/>
    </row>
    <row r="235">
      <c r="A235" s="119"/>
      <c r="B235" s="154"/>
      <c r="C235" s="89"/>
      <c r="D235" s="55"/>
      <c r="E235" s="119"/>
      <c r="F235" s="154"/>
      <c r="G235" s="192"/>
      <c r="H235" s="193"/>
      <c r="I235" s="119"/>
      <c r="J235" s="154"/>
      <c r="K235" s="89"/>
      <c r="L235" s="55"/>
      <c r="M235" s="119"/>
      <c r="N235" s="194"/>
      <c r="O235" s="89"/>
      <c r="P235" s="55"/>
      <c r="Q235" s="195"/>
      <c r="R235" s="196"/>
      <c r="S235" s="125"/>
      <c r="T235" s="126"/>
      <c r="U235" s="195"/>
      <c r="V235" s="196"/>
      <c r="W235" s="125"/>
      <c r="X235" s="126"/>
      <c r="Y235" s="119"/>
      <c r="Z235" s="197"/>
      <c r="AA235" s="198"/>
      <c r="AB235" s="199"/>
      <c r="AC235" s="119"/>
      <c r="AD235" s="196"/>
      <c r="AE235" s="200"/>
      <c r="AF235" s="201"/>
      <c r="AG235" s="205"/>
      <c r="AH235" s="205"/>
      <c r="AI235" s="205"/>
      <c r="AJ235" s="205"/>
      <c r="AK235" s="126"/>
      <c r="AL235" s="126"/>
    </row>
    <row r="236">
      <c r="A236" s="119"/>
      <c r="B236" s="154"/>
      <c r="C236" s="89"/>
      <c r="D236" s="55"/>
      <c r="E236" s="119"/>
      <c r="F236" s="154"/>
      <c r="G236" s="192"/>
      <c r="H236" s="193"/>
      <c r="I236" s="119"/>
      <c r="J236" s="154"/>
      <c r="K236" s="89"/>
      <c r="L236" s="55"/>
      <c r="M236" s="119"/>
      <c r="N236" s="194"/>
      <c r="O236" s="89"/>
      <c r="P236" s="55"/>
      <c r="Q236" s="195"/>
      <c r="R236" s="196"/>
      <c r="S236" s="125"/>
      <c r="T236" s="126"/>
      <c r="U236" s="195"/>
      <c r="V236" s="196"/>
      <c r="W236" s="125"/>
      <c r="X236" s="126"/>
      <c r="Y236" s="119"/>
      <c r="Z236" s="197"/>
      <c r="AA236" s="198"/>
      <c r="AB236" s="199"/>
      <c r="AC236" s="119"/>
      <c r="AD236" s="196"/>
      <c r="AE236" s="200"/>
      <c r="AF236" s="201"/>
      <c r="AG236" s="205"/>
      <c r="AH236" s="205"/>
      <c r="AI236" s="205"/>
      <c r="AJ236" s="205"/>
      <c r="AK236" s="126"/>
      <c r="AL236" s="126"/>
    </row>
    <row r="237">
      <c r="A237" s="119"/>
      <c r="B237" s="154"/>
      <c r="C237" s="89"/>
      <c r="D237" s="55"/>
      <c r="E237" s="119"/>
      <c r="F237" s="154"/>
      <c r="G237" s="192"/>
      <c r="H237" s="193"/>
      <c r="I237" s="119"/>
      <c r="J237" s="154"/>
      <c r="K237" s="89"/>
      <c r="L237" s="55"/>
      <c r="M237" s="119"/>
      <c r="N237" s="194"/>
      <c r="O237" s="89"/>
      <c r="P237" s="55"/>
      <c r="Q237" s="195"/>
      <c r="R237" s="196"/>
      <c r="S237" s="125"/>
      <c r="T237" s="126"/>
      <c r="U237" s="195"/>
      <c r="V237" s="196"/>
      <c r="W237" s="125"/>
      <c r="X237" s="126"/>
      <c r="Y237" s="119"/>
      <c r="Z237" s="197"/>
      <c r="AA237" s="198"/>
      <c r="AB237" s="199"/>
      <c r="AC237" s="119"/>
      <c r="AD237" s="196"/>
      <c r="AE237" s="200"/>
      <c r="AF237" s="201"/>
      <c r="AG237" s="205"/>
      <c r="AH237" s="205"/>
      <c r="AI237" s="205"/>
      <c r="AJ237" s="205"/>
      <c r="AK237" s="126"/>
      <c r="AL237" s="126"/>
    </row>
    <row r="238">
      <c r="A238" s="119"/>
      <c r="B238" s="154"/>
      <c r="C238" s="89"/>
      <c r="D238" s="55"/>
      <c r="E238" s="119"/>
      <c r="F238" s="154"/>
      <c r="G238" s="192"/>
      <c r="H238" s="193"/>
      <c r="I238" s="119"/>
      <c r="J238" s="154"/>
      <c r="K238" s="89"/>
      <c r="L238" s="55"/>
      <c r="M238" s="119"/>
      <c r="N238" s="194"/>
      <c r="O238" s="89"/>
      <c r="P238" s="55"/>
      <c r="Q238" s="195"/>
      <c r="R238" s="196"/>
      <c r="S238" s="125"/>
      <c r="T238" s="126"/>
      <c r="U238" s="195"/>
      <c r="V238" s="196"/>
      <c r="W238" s="125"/>
      <c r="X238" s="126"/>
      <c r="Y238" s="119"/>
      <c r="Z238" s="197"/>
      <c r="AA238" s="198"/>
      <c r="AB238" s="199"/>
      <c r="AC238" s="119"/>
      <c r="AD238" s="196"/>
      <c r="AE238" s="200"/>
      <c r="AF238" s="201"/>
      <c r="AG238" s="205"/>
      <c r="AH238" s="205"/>
      <c r="AI238" s="205"/>
      <c r="AJ238" s="205"/>
      <c r="AK238" s="126"/>
      <c r="AL238" s="126"/>
    </row>
    <row r="239">
      <c r="A239" s="119"/>
      <c r="B239" s="154"/>
      <c r="C239" s="89"/>
      <c r="D239" s="55"/>
      <c r="E239" s="119"/>
      <c r="F239" s="154"/>
      <c r="G239" s="192"/>
      <c r="H239" s="193"/>
      <c r="I239" s="119"/>
      <c r="J239" s="154"/>
      <c r="K239" s="89"/>
      <c r="L239" s="55"/>
      <c r="M239" s="119"/>
      <c r="N239" s="194"/>
      <c r="O239" s="89"/>
      <c r="P239" s="55"/>
      <c r="Q239" s="195"/>
      <c r="R239" s="196"/>
      <c r="S239" s="125"/>
      <c r="T239" s="126"/>
      <c r="U239" s="195"/>
      <c r="V239" s="196"/>
      <c r="W239" s="125"/>
      <c r="X239" s="126"/>
      <c r="Y239" s="119"/>
      <c r="Z239" s="197"/>
      <c r="AA239" s="198"/>
      <c r="AB239" s="199"/>
      <c r="AC239" s="119"/>
      <c r="AD239" s="196"/>
      <c r="AE239" s="200"/>
      <c r="AF239" s="201"/>
      <c r="AG239" s="205"/>
      <c r="AH239" s="205"/>
      <c r="AI239" s="205"/>
      <c r="AJ239" s="205"/>
      <c r="AK239" s="126"/>
      <c r="AL239" s="126"/>
    </row>
    <row r="240">
      <c r="A240" s="119"/>
      <c r="B240" s="154"/>
      <c r="C240" s="89"/>
      <c r="D240" s="55"/>
      <c r="E240" s="119"/>
      <c r="F240" s="154"/>
      <c r="G240" s="192"/>
      <c r="H240" s="193"/>
      <c r="I240" s="119"/>
      <c r="J240" s="154"/>
      <c r="K240" s="89"/>
      <c r="L240" s="55"/>
      <c r="M240" s="119"/>
      <c r="N240" s="194"/>
      <c r="O240" s="89"/>
      <c r="P240" s="55"/>
      <c r="Q240" s="195"/>
      <c r="R240" s="196"/>
      <c r="S240" s="125"/>
      <c r="T240" s="126"/>
      <c r="U240" s="195"/>
      <c r="V240" s="196"/>
      <c r="W240" s="125"/>
      <c r="X240" s="126"/>
      <c r="Y240" s="119"/>
      <c r="Z240" s="197"/>
      <c r="AA240" s="198"/>
      <c r="AB240" s="199"/>
      <c r="AC240" s="119"/>
      <c r="AD240" s="196"/>
      <c r="AE240" s="200"/>
      <c r="AF240" s="201"/>
      <c r="AG240" s="205"/>
      <c r="AH240" s="205"/>
      <c r="AI240" s="205"/>
      <c r="AJ240" s="205"/>
      <c r="AK240" s="126"/>
      <c r="AL240" s="126"/>
    </row>
    <row r="241">
      <c r="A241" s="119"/>
      <c r="B241" s="154"/>
      <c r="C241" s="89"/>
      <c r="D241" s="55"/>
      <c r="E241" s="119"/>
      <c r="F241" s="154"/>
      <c r="G241" s="192"/>
      <c r="H241" s="193"/>
      <c r="I241" s="119"/>
      <c r="J241" s="154"/>
      <c r="K241" s="89"/>
      <c r="L241" s="55"/>
      <c r="M241" s="119"/>
      <c r="N241" s="194"/>
      <c r="O241" s="89"/>
      <c r="P241" s="55"/>
      <c r="Q241" s="195"/>
      <c r="R241" s="196"/>
      <c r="S241" s="125"/>
      <c r="T241" s="126"/>
      <c r="U241" s="195"/>
      <c r="V241" s="196"/>
      <c r="W241" s="125"/>
      <c r="X241" s="126"/>
      <c r="Y241" s="119"/>
      <c r="Z241" s="197"/>
      <c r="AA241" s="198"/>
      <c r="AB241" s="199"/>
      <c r="AC241" s="119"/>
      <c r="AD241" s="196"/>
      <c r="AE241" s="200"/>
      <c r="AF241" s="201"/>
      <c r="AG241" s="205"/>
      <c r="AH241" s="205"/>
      <c r="AI241" s="205"/>
      <c r="AJ241" s="205"/>
      <c r="AK241" s="126"/>
      <c r="AL241" s="126"/>
    </row>
    <row r="242">
      <c r="A242" s="119"/>
      <c r="B242" s="154"/>
      <c r="C242" s="89"/>
      <c r="D242" s="55"/>
      <c r="E242" s="119"/>
      <c r="F242" s="154"/>
      <c r="G242" s="192"/>
      <c r="H242" s="193"/>
      <c r="I242" s="119"/>
      <c r="J242" s="154"/>
      <c r="K242" s="89"/>
      <c r="L242" s="55"/>
      <c r="M242" s="119"/>
      <c r="N242" s="194"/>
      <c r="O242" s="89"/>
      <c r="P242" s="55"/>
      <c r="Q242" s="195"/>
      <c r="R242" s="196"/>
      <c r="S242" s="125"/>
      <c r="T242" s="126"/>
      <c r="U242" s="195"/>
      <c r="V242" s="196"/>
      <c r="W242" s="125"/>
      <c r="X242" s="126"/>
      <c r="Y242" s="119"/>
      <c r="Z242" s="197"/>
      <c r="AA242" s="198"/>
      <c r="AB242" s="199"/>
      <c r="AC242" s="119"/>
      <c r="AD242" s="196"/>
      <c r="AE242" s="200"/>
      <c r="AF242" s="201"/>
      <c r="AG242" s="205"/>
      <c r="AH242" s="205"/>
      <c r="AI242" s="205"/>
      <c r="AJ242" s="205"/>
      <c r="AK242" s="126"/>
      <c r="AL242" s="126"/>
    </row>
    <row r="243">
      <c r="A243" s="119"/>
      <c r="B243" s="154"/>
      <c r="C243" s="89"/>
      <c r="D243" s="55"/>
      <c r="E243" s="119"/>
      <c r="F243" s="154"/>
      <c r="G243" s="192"/>
      <c r="H243" s="193"/>
      <c r="I243" s="119"/>
      <c r="J243" s="154"/>
      <c r="K243" s="89"/>
      <c r="L243" s="55"/>
      <c r="M243" s="119"/>
      <c r="N243" s="194"/>
      <c r="O243" s="89"/>
      <c r="P243" s="55"/>
      <c r="Q243" s="195"/>
      <c r="R243" s="196"/>
      <c r="S243" s="125"/>
      <c r="T243" s="126"/>
      <c r="U243" s="195"/>
      <c r="V243" s="196"/>
      <c r="W243" s="125"/>
      <c r="X243" s="126"/>
      <c r="Y243" s="119"/>
      <c r="Z243" s="197"/>
      <c r="AA243" s="198"/>
      <c r="AB243" s="199"/>
      <c r="AC243" s="119"/>
      <c r="AD243" s="196"/>
      <c r="AE243" s="200"/>
      <c r="AF243" s="201"/>
      <c r="AG243" s="205"/>
      <c r="AH243" s="205"/>
      <c r="AI243" s="205"/>
      <c r="AJ243" s="205"/>
      <c r="AK243" s="126"/>
      <c r="AL243" s="126"/>
    </row>
    <row r="244">
      <c r="A244" s="119"/>
      <c r="B244" s="154"/>
      <c r="C244" s="89"/>
      <c r="D244" s="55"/>
      <c r="E244" s="119"/>
      <c r="F244" s="154"/>
      <c r="G244" s="192"/>
      <c r="H244" s="193"/>
      <c r="I244" s="119"/>
      <c r="J244" s="154"/>
      <c r="K244" s="89"/>
      <c r="L244" s="55"/>
      <c r="M244" s="119"/>
      <c r="N244" s="194"/>
      <c r="O244" s="89"/>
      <c r="P244" s="55"/>
      <c r="Q244" s="195"/>
      <c r="R244" s="196"/>
      <c r="S244" s="125"/>
      <c r="T244" s="126"/>
      <c r="U244" s="195"/>
      <c r="V244" s="196"/>
      <c r="W244" s="125"/>
      <c r="X244" s="126"/>
      <c r="Y244" s="119"/>
      <c r="Z244" s="197"/>
      <c r="AA244" s="198"/>
      <c r="AB244" s="199"/>
      <c r="AC244" s="119"/>
      <c r="AD244" s="196"/>
      <c r="AE244" s="200"/>
      <c r="AF244" s="201"/>
      <c r="AG244" s="205"/>
      <c r="AH244" s="205"/>
      <c r="AI244" s="205"/>
      <c r="AJ244" s="205"/>
      <c r="AK244" s="126"/>
      <c r="AL244" s="126"/>
    </row>
    <row r="245">
      <c r="A245" s="119"/>
      <c r="B245" s="154"/>
      <c r="C245" s="89"/>
      <c r="D245" s="55"/>
      <c r="E245" s="119"/>
      <c r="F245" s="154"/>
      <c r="G245" s="192"/>
      <c r="H245" s="193"/>
      <c r="I245" s="119"/>
      <c r="J245" s="154"/>
      <c r="K245" s="89"/>
      <c r="L245" s="55"/>
      <c r="M245" s="119"/>
      <c r="N245" s="194"/>
      <c r="O245" s="89"/>
      <c r="P245" s="55"/>
      <c r="Q245" s="195"/>
      <c r="R245" s="196"/>
      <c r="S245" s="125"/>
      <c r="T245" s="126"/>
      <c r="U245" s="195"/>
      <c r="V245" s="196"/>
      <c r="W245" s="125"/>
      <c r="X245" s="126"/>
      <c r="Y245" s="119"/>
      <c r="Z245" s="197"/>
      <c r="AA245" s="198"/>
      <c r="AB245" s="199"/>
      <c r="AC245" s="119"/>
      <c r="AD245" s="196"/>
      <c r="AE245" s="200"/>
      <c r="AF245" s="201"/>
      <c r="AG245" s="205"/>
      <c r="AH245" s="205"/>
      <c r="AI245" s="205"/>
      <c r="AJ245" s="205"/>
      <c r="AK245" s="126"/>
      <c r="AL245" s="126"/>
    </row>
    <row r="246">
      <c r="A246" s="119"/>
      <c r="B246" s="154"/>
      <c r="C246" s="89"/>
      <c r="D246" s="55"/>
      <c r="E246" s="119"/>
      <c r="F246" s="154"/>
      <c r="G246" s="192"/>
      <c r="H246" s="193"/>
      <c r="I246" s="119"/>
      <c r="J246" s="154"/>
      <c r="K246" s="89"/>
      <c r="L246" s="55"/>
      <c r="M246" s="119"/>
      <c r="N246" s="194"/>
      <c r="O246" s="89"/>
      <c r="P246" s="55"/>
      <c r="Q246" s="195"/>
      <c r="R246" s="196"/>
      <c r="S246" s="125"/>
      <c r="T246" s="126"/>
      <c r="U246" s="195"/>
      <c r="V246" s="196"/>
      <c r="W246" s="125"/>
      <c r="X246" s="126"/>
      <c r="Y246" s="119"/>
      <c r="Z246" s="197"/>
      <c r="AA246" s="198"/>
      <c r="AB246" s="199"/>
      <c r="AC246" s="119"/>
      <c r="AD246" s="196"/>
      <c r="AE246" s="200"/>
      <c r="AF246" s="201"/>
      <c r="AG246" s="205"/>
      <c r="AH246" s="205"/>
      <c r="AI246" s="205"/>
      <c r="AJ246" s="205"/>
      <c r="AK246" s="126"/>
      <c r="AL246" s="126"/>
    </row>
    <row r="247">
      <c r="A247" s="119"/>
      <c r="B247" s="154"/>
      <c r="C247" s="89"/>
      <c r="D247" s="55"/>
      <c r="E247" s="119"/>
      <c r="F247" s="154"/>
      <c r="G247" s="192"/>
      <c r="H247" s="193"/>
      <c r="I247" s="119"/>
      <c r="J247" s="154"/>
      <c r="K247" s="89"/>
      <c r="L247" s="55"/>
      <c r="M247" s="119"/>
      <c r="N247" s="194"/>
      <c r="O247" s="89"/>
      <c r="P247" s="55"/>
      <c r="Q247" s="195"/>
      <c r="R247" s="196"/>
      <c r="S247" s="125"/>
      <c r="T247" s="126"/>
      <c r="U247" s="195"/>
      <c r="V247" s="196"/>
      <c r="W247" s="125"/>
      <c r="X247" s="126"/>
      <c r="Y247" s="119"/>
      <c r="Z247" s="197"/>
      <c r="AA247" s="198"/>
      <c r="AB247" s="199"/>
      <c r="AC247" s="119"/>
      <c r="AD247" s="196"/>
      <c r="AE247" s="200"/>
      <c r="AF247" s="201"/>
      <c r="AG247" s="205"/>
      <c r="AH247" s="205"/>
      <c r="AI247" s="205"/>
      <c r="AJ247" s="205"/>
      <c r="AK247" s="126"/>
      <c r="AL247" s="126"/>
    </row>
    <row r="248">
      <c r="A248" s="119"/>
      <c r="B248" s="154"/>
      <c r="C248" s="89"/>
      <c r="D248" s="55"/>
      <c r="E248" s="119"/>
      <c r="F248" s="154"/>
      <c r="G248" s="192"/>
      <c r="H248" s="193"/>
      <c r="I248" s="119"/>
      <c r="J248" s="154"/>
      <c r="K248" s="89"/>
      <c r="L248" s="55"/>
      <c r="M248" s="119"/>
      <c r="N248" s="194"/>
      <c r="O248" s="89"/>
      <c r="P248" s="55"/>
      <c r="Q248" s="195"/>
      <c r="R248" s="196"/>
      <c r="S248" s="125"/>
      <c r="T248" s="126"/>
      <c r="U248" s="195"/>
      <c r="V248" s="196"/>
      <c r="W248" s="125"/>
      <c r="X248" s="126"/>
      <c r="Y248" s="119"/>
      <c r="Z248" s="197"/>
      <c r="AA248" s="198"/>
      <c r="AB248" s="199"/>
      <c r="AC248" s="119"/>
      <c r="AD248" s="196"/>
      <c r="AE248" s="200"/>
      <c r="AF248" s="201"/>
      <c r="AG248" s="205"/>
      <c r="AH248" s="205"/>
      <c r="AI248" s="205"/>
      <c r="AJ248" s="205"/>
      <c r="AK248" s="126"/>
      <c r="AL248" s="126"/>
    </row>
    <row r="249">
      <c r="A249" s="119"/>
      <c r="B249" s="154"/>
      <c r="C249" s="89"/>
      <c r="D249" s="55"/>
      <c r="E249" s="119"/>
      <c r="F249" s="154"/>
      <c r="G249" s="192"/>
      <c r="H249" s="193"/>
      <c r="I249" s="119"/>
      <c r="J249" s="154"/>
      <c r="K249" s="89"/>
      <c r="L249" s="55"/>
      <c r="M249" s="119"/>
      <c r="N249" s="194"/>
      <c r="O249" s="89"/>
      <c r="P249" s="55"/>
      <c r="Q249" s="195"/>
      <c r="R249" s="196"/>
      <c r="S249" s="125"/>
      <c r="T249" s="126"/>
      <c r="U249" s="195"/>
      <c r="V249" s="196"/>
      <c r="W249" s="125"/>
      <c r="X249" s="126"/>
      <c r="Y249" s="119"/>
      <c r="Z249" s="197"/>
      <c r="AA249" s="198"/>
      <c r="AB249" s="199"/>
      <c r="AC249" s="119"/>
      <c r="AD249" s="196"/>
      <c r="AE249" s="200"/>
      <c r="AF249" s="201"/>
      <c r="AG249" s="205"/>
      <c r="AH249" s="205"/>
      <c r="AI249" s="205"/>
      <c r="AJ249" s="205"/>
      <c r="AK249" s="126"/>
      <c r="AL249" s="126"/>
    </row>
    <row r="250">
      <c r="A250" s="119"/>
      <c r="B250" s="154"/>
      <c r="C250" s="89"/>
      <c r="D250" s="55"/>
      <c r="E250" s="119"/>
      <c r="F250" s="154"/>
      <c r="G250" s="192"/>
      <c r="H250" s="193"/>
      <c r="I250" s="119"/>
      <c r="J250" s="154"/>
      <c r="K250" s="89"/>
      <c r="L250" s="55"/>
      <c r="M250" s="119"/>
      <c r="N250" s="194"/>
      <c r="O250" s="89"/>
      <c r="P250" s="55"/>
      <c r="Q250" s="195"/>
      <c r="R250" s="196"/>
      <c r="S250" s="125"/>
      <c r="T250" s="126"/>
      <c r="U250" s="195"/>
      <c r="V250" s="196"/>
      <c r="W250" s="125"/>
      <c r="X250" s="126"/>
      <c r="Y250" s="119"/>
      <c r="Z250" s="197"/>
      <c r="AA250" s="198"/>
      <c r="AB250" s="199"/>
      <c r="AC250" s="119"/>
      <c r="AD250" s="196"/>
      <c r="AE250" s="200"/>
      <c r="AF250" s="201"/>
      <c r="AG250" s="205"/>
      <c r="AH250" s="205"/>
      <c r="AI250" s="205"/>
      <c r="AJ250" s="205"/>
      <c r="AK250" s="126"/>
      <c r="AL250" s="126"/>
    </row>
    <row r="251">
      <c r="A251" s="119"/>
      <c r="B251" s="154"/>
      <c r="C251" s="89"/>
      <c r="D251" s="55"/>
      <c r="E251" s="119"/>
      <c r="F251" s="154"/>
      <c r="G251" s="192"/>
      <c r="H251" s="193"/>
      <c r="I251" s="119"/>
      <c r="J251" s="154"/>
      <c r="K251" s="89"/>
      <c r="L251" s="55"/>
      <c r="M251" s="119"/>
      <c r="N251" s="194"/>
      <c r="O251" s="89"/>
      <c r="P251" s="55"/>
      <c r="Q251" s="195"/>
      <c r="R251" s="196"/>
      <c r="S251" s="125"/>
      <c r="T251" s="126"/>
      <c r="U251" s="195"/>
      <c r="V251" s="196"/>
      <c r="W251" s="125"/>
      <c r="X251" s="126"/>
      <c r="Y251" s="119"/>
      <c r="Z251" s="197"/>
      <c r="AA251" s="198"/>
      <c r="AB251" s="199"/>
      <c r="AC251" s="119"/>
      <c r="AD251" s="196"/>
      <c r="AE251" s="200"/>
      <c r="AF251" s="201"/>
      <c r="AG251" s="205"/>
      <c r="AH251" s="205"/>
      <c r="AI251" s="205"/>
      <c r="AJ251" s="205"/>
      <c r="AK251" s="126"/>
      <c r="AL251" s="126"/>
    </row>
    <row r="252">
      <c r="A252" s="119"/>
      <c r="B252" s="154"/>
      <c r="C252" s="89"/>
      <c r="D252" s="55"/>
      <c r="E252" s="119"/>
      <c r="F252" s="154"/>
      <c r="G252" s="192"/>
      <c r="H252" s="193"/>
      <c r="I252" s="119"/>
      <c r="J252" s="154"/>
      <c r="K252" s="89"/>
      <c r="L252" s="55"/>
      <c r="M252" s="119"/>
      <c r="N252" s="194"/>
      <c r="O252" s="89"/>
      <c r="P252" s="55"/>
      <c r="Q252" s="195"/>
      <c r="R252" s="196"/>
      <c r="S252" s="125"/>
      <c r="T252" s="126"/>
      <c r="U252" s="195"/>
      <c r="V252" s="196"/>
      <c r="W252" s="125"/>
      <c r="X252" s="126"/>
      <c r="Y252" s="119"/>
      <c r="Z252" s="197"/>
      <c r="AA252" s="198"/>
      <c r="AB252" s="199"/>
      <c r="AC252" s="119"/>
      <c r="AD252" s="196"/>
      <c r="AE252" s="200"/>
      <c r="AF252" s="201"/>
      <c r="AG252" s="205"/>
      <c r="AH252" s="205"/>
      <c r="AI252" s="205"/>
      <c r="AJ252" s="205"/>
      <c r="AK252" s="126"/>
      <c r="AL252" s="126"/>
    </row>
    <row r="253">
      <c r="A253" s="119"/>
      <c r="B253" s="154"/>
      <c r="C253" s="89"/>
      <c r="D253" s="55"/>
      <c r="E253" s="119"/>
      <c r="F253" s="154"/>
      <c r="G253" s="192"/>
      <c r="H253" s="193"/>
      <c r="I253" s="119"/>
      <c r="J253" s="154"/>
      <c r="K253" s="89"/>
      <c r="L253" s="55"/>
      <c r="M253" s="119"/>
      <c r="N253" s="194"/>
      <c r="O253" s="89"/>
      <c r="P253" s="55"/>
      <c r="Q253" s="195"/>
      <c r="R253" s="196"/>
      <c r="S253" s="125"/>
      <c r="T253" s="126"/>
      <c r="U253" s="195"/>
      <c r="V253" s="196"/>
      <c r="W253" s="125"/>
      <c r="X253" s="126"/>
      <c r="Y253" s="119"/>
      <c r="Z253" s="197"/>
      <c r="AA253" s="198"/>
      <c r="AB253" s="199"/>
      <c r="AC253" s="119"/>
      <c r="AD253" s="196"/>
      <c r="AE253" s="200"/>
      <c r="AF253" s="201"/>
      <c r="AG253" s="205"/>
      <c r="AH253" s="205"/>
      <c r="AI253" s="205"/>
      <c r="AJ253" s="205"/>
      <c r="AK253" s="126"/>
      <c r="AL253" s="126"/>
    </row>
    <row r="254">
      <c r="A254" s="119"/>
      <c r="B254" s="154"/>
      <c r="C254" s="89"/>
      <c r="D254" s="55"/>
      <c r="E254" s="119"/>
      <c r="F254" s="154"/>
      <c r="G254" s="192"/>
      <c r="H254" s="193"/>
      <c r="I254" s="119"/>
      <c r="J254" s="154"/>
      <c r="K254" s="89"/>
      <c r="L254" s="55"/>
      <c r="M254" s="119"/>
      <c r="N254" s="194"/>
      <c r="O254" s="89"/>
      <c r="P254" s="55"/>
      <c r="Q254" s="195"/>
      <c r="R254" s="196"/>
      <c r="S254" s="125"/>
      <c r="T254" s="126"/>
      <c r="U254" s="195"/>
      <c r="V254" s="196"/>
      <c r="W254" s="125"/>
      <c r="X254" s="126"/>
      <c r="Y254" s="119"/>
      <c r="Z254" s="197"/>
      <c r="AA254" s="198"/>
      <c r="AB254" s="199"/>
      <c r="AC254" s="119"/>
      <c r="AD254" s="196"/>
      <c r="AE254" s="200"/>
      <c r="AF254" s="201"/>
      <c r="AG254" s="205"/>
      <c r="AH254" s="205"/>
      <c r="AI254" s="205"/>
      <c r="AJ254" s="205"/>
      <c r="AK254" s="126"/>
      <c r="AL254" s="126"/>
    </row>
    <row r="255">
      <c r="A255" s="119"/>
      <c r="B255" s="154"/>
      <c r="C255" s="89"/>
      <c r="D255" s="55"/>
      <c r="E255" s="119"/>
      <c r="F255" s="154"/>
      <c r="G255" s="192"/>
      <c r="H255" s="193"/>
      <c r="I255" s="119"/>
      <c r="J255" s="154"/>
      <c r="K255" s="89"/>
      <c r="L255" s="55"/>
      <c r="M255" s="119"/>
      <c r="N255" s="194"/>
      <c r="O255" s="89"/>
      <c r="P255" s="55"/>
      <c r="Q255" s="195"/>
      <c r="R255" s="196"/>
      <c r="S255" s="125"/>
      <c r="T255" s="126"/>
      <c r="U255" s="195"/>
      <c r="V255" s="196"/>
      <c r="W255" s="125"/>
      <c r="X255" s="126"/>
      <c r="Y255" s="119"/>
      <c r="Z255" s="197"/>
      <c r="AA255" s="198"/>
      <c r="AB255" s="199"/>
      <c r="AC255" s="119"/>
      <c r="AD255" s="196"/>
      <c r="AE255" s="200"/>
      <c r="AF255" s="201"/>
      <c r="AG255" s="205"/>
      <c r="AH255" s="205"/>
      <c r="AI255" s="205"/>
      <c r="AJ255" s="205"/>
      <c r="AK255" s="126"/>
      <c r="AL255" s="126"/>
    </row>
    <row r="256">
      <c r="A256" s="119"/>
      <c r="B256" s="154"/>
      <c r="C256" s="89"/>
      <c r="D256" s="55"/>
      <c r="E256" s="119"/>
      <c r="F256" s="154"/>
      <c r="G256" s="192"/>
      <c r="H256" s="193"/>
      <c r="I256" s="119"/>
      <c r="J256" s="154"/>
      <c r="K256" s="89"/>
      <c r="L256" s="55"/>
      <c r="M256" s="119"/>
      <c r="N256" s="194"/>
      <c r="O256" s="89"/>
      <c r="P256" s="55"/>
      <c r="Q256" s="195"/>
      <c r="R256" s="196"/>
      <c r="S256" s="125"/>
      <c r="T256" s="126"/>
      <c r="U256" s="195"/>
      <c r="V256" s="196"/>
      <c r="W256" s="125"/>
      <c r="X256" s="126"/>
      <c r="Y256" s="119"/>
      <c r="Z256" s="197"/>
      <c r="AA256" s="198"/>
      <c r="AB256" s="199"/>
      <c r="AC256" s="119"/>
      <c r="AD256" s="196"/>
      <c r="AE256" s="200"/>
      <c r="AF256" s="201"/>
      <c r="AG256" s="205"/>
      <c r="AH256" s="205"/>
      <c r="AI256" s="205"/>
      <c r="AJ256" s="205"/>
      <c r="AK256" s="126"/>
      <c r="AL256" s="126"/>
    </row>
    <row r="257">
      <c r="A257" s="119"/>
      <c r="B257" s="154"/>
      <c r="C257" s="89"/>
      <c r="D257" s="55"/>
      <c r="E257" s="119"/>
      <c r="F257" s="154"/>
      <c r="G257" s="192"/>
      <c r="H257" s="193"/>
      <c r="I257" s="119"/>
      <c r="J257" s="154"/>
      <c r="K257" s="89"/>
      <c r="L257" s="55"/>
      <c r="M257" s="119"/>
      <c r="N257" s="194"/>
      <c r="O257" s="89"/>
      <c r="P257" s="55"/>
      <c r="Q257" s="195"/>
      <c r="R257" s="196"/>
      <c r="S257" s="125"/>
      <c r="T257" s="126"/>
      <c r="U257" s="195"/>
      <c r="V257" s="196"/>
      <c r="W257" s="125"/>
      <c r="X257" s="126"/>
      <c r="Y257" s="119"/>
      <c r="Z257" s="197"/>
      <c r="AA257" s="198"/>
      <c r="AB257" s="199"/>
      <c r="AC257" s="119"/>
      <c r="AD257" s="196"/>
      <c r="AE257" s="200"/>
      <c r="AF257" s="201"/>
      <c r="AG257" s="205"/>
      <c r="AH257" s="205"/>
      <c r="AI257" s="205"/>
      <c r="AJ257" s="205"/>
      <c r="AK257" s="126"/>
      <c r="AL257" s="126"/>
    </row>
    <row r="258">
      <c r="A258" s="119"/>
      <c r="B258" s="154"/>
      <c r="C258" s="89"/>
      <c r="D258" s="55"/>
      <c r="E258" s="119"/>
      <c r="F258" s="154"/>
      <c r="G258" s="192"/>
      <c r="H258" s="193"/>
      <c r="I258" s="119"/>
      <c r="J258" s="154"/>
      <c r="K258" s="89"/>
      <c r="L258" s="55"/>
      <c r="M258" s="119"/>
      <c r="N258" s="194"/>
      <c r="O258" s="89"/>
      <c r="P258" s="55"/>
      <c r="Q258" s="195"/>
      <c r="R258" s="196"/>
      <c r="S258" s="125"/>
      <c r="T258" s="126"/>
      <c r="U258" s="195"/>
      <c r="V258" s="196"/>
      <c r="W258" s="125"/>
      <c r="X258" s="126"/>
      <c r="Y258" s="119"/>
      <c r="Z258" s="197"/>
      <c r="AA258" s="198"/>
      <c r="AB258" s="199"/>
      <c r="AC258" s="119"/>
      <c r="AD258" s="196"/>
      <c r="AE258" s="200"/>
      <c r="AF258" s="201"/>
      <c r="AG258" s="205"/>
      <c r="AH258" s="205"/>
      <c r="AI258" s="205"/>
      <c r="AJ258" s="205"/>
      <c r="AK258" s="126"/>
      <c r="AL258" s="126"/>
    </row>
    <row r="259">
      <c r="A259" s="119"/>
      <c r="B259" s="154"/>
      <c r="C259" s="89"/>
      <c r="D259" s="55"/>
      <c r="E259" s="119"/>
      <c r="F259" s="154"/>
      <c r="G259" s="192"/>
      <c r="H259" s="193"/>
      <c r="I259" s="119"/>
      <c r="J259" s="154"/>
      <c r="K259" s="89"/>
      <c r="L259" s="55"/>
      <c r="M259" s="119"/>
      <c r="N259" s="194"/>
      <c r="O259" s="89"/>
      <c r="P259" s="55"/>
      <c r="Q259" s="195"/>
      <c r="R259" s="196"/>
      <c r="S259" s="125"/>
      <c r="T259" s="126"/>
      <c r="U259" s="195"/>
      <c r="V259" s="196"/>
      <c r="W259" s="125"/>
      <c r="X259" s="126"/>
      <c r="Y259" s="119"/>
      <c r="Z259" s="197"/>
      <c r="AA259" s="198"/>
      <c r="AB259" s="199"/>
      <c r="AC259" s="119"/>
      <c r="AD259" s="196"/>
      <c r="AE259" s="200"/>
      <c r="AF259" s="201"/>
      <c r="AG259" s="205"/>
      <c r="AH259" s="205"/>
      <c r="AI259" s="205"/>
      <c r="AJ259" s="205"/>
      <c r="AK259" s="126"/>
      <c r="AL259" s="126"/>
    </row>
    <row r="260">
      <c r="A260" s="119"/>
      <c r="B260" s="154"/>
      <c r="C260" s="89"/>
      <c r="D260" s="55"/>
      <c r="E260" s="119"/>
      <c r="F260" s="154"/>
      <c r="G260" s="192"/>
      <c r="H260" s="193"/>
      <c r="I260" s="119"/>
      <c r="J260" s="154"/>
      <c r="K260" s="89"/>
      <c r="L260" s="55"/>
      <c r="M260" s="119"/>
      <c r="N260" s="194"/>
      <c r="O260" s="89"/>
      <c r="P260" s="55"/>
      <c r="Q260" s="195"/>
      <c r="R260" s="196"/>
      <c r="S260" s="125"/>
      <c r="T260" s="126"/>
      <c r="U260" s="195"/>
      <c r="V260" s="196"/>
      <c r="W260" s="125"/>
      <c r="X260" s="126"/>
      <c r="Y260" s="119"/>
      <c r="Z260" s="197"/>
      <c r="AA260" s="198"/>
      <c r="AB260" s="199"/>
      <c r="AC260" s="119"/>
      <c r="AD260" s="196"/>
      <c r="AE260" s="200"/>
      <c r="AF260" s="201"/>
      <c r="AG260" s="205"/>
      <c r="AH260" s="205"/>
      <c r="AI260" s="205"/>
      <c r="AJ260" s="205"/>
      <c r="AK260" s="126"/>
      <c r="AL260" s="126"/>
    </row>
    <row r="261">
      <c r="A261" s="119"/>
      <c r="B261" s="154"/>
      <c r="C261" s="89"/>
      <c r="D261" s="55"/>
      <c r="E261" s="119"/>
      <c r="F261" s="154"/>
      <c r="G261" s="192"/>
      <c r="H261" s="193"/>
      <c r="I261" s="119"/>
      <c r="J261" s="154"/>
      <c r="K261" s="89"/>
      <c r="L261" s="55"/>
      <c r="M261" s="119"/>
      <c r="N261" s="194"/>
      <c r="O261" s="89"/>
      <c r="P261" s="55"/>
      <c r="Q261" s="195"/>
      <c r="R261" s="196"/>
      <c r="S261" s="125"/>
      <c r="T261" s="126"/>
      <c r="U261" s="195"/>
      <c r="V261" s="196"/>
      <c r="W261" s="125"/>
      <c r="X261" s="126"/>
      <c r="Y261" s="119"/>
      <c r="Z261" s="197"/>
      <c r="AA261" s="198"/>
      <c r="AB261" s="199"/>
      <c r="AC261" s="119"/>
      <c r="AD261" s="196"/>
      <c r="AE261" s="200"/>
      <c r="AF261" s="201"/>
      <c r="AG261" s="205"/>
      <c r="AH261" s="205"/>
      <c r="AI261" s="205"/>
      <c r="AJ261" s="205"/>
      <c r="AK261" s="126"/>
      <c r="AL261" s="126"/>
    </row>
    <row r="262">
      <c r="A262" s="119"/>
      <c r="B262" s="154"/>
      <c r="C262" s="89"/>
      <c r="D262" s="55"/>
      <c r="E262" s="119"/>
      <c r="F262" s="154"/>
      <c r="G262" s="192"/>
      <c r="H262" s="193"/>
      <c r="I262" s="119"/>
      <c r="J262" s="154"/>
      <c r="K262" s="89"/>
      <c r="L262" s="55"/>
      <c r="M262" s="119"/>
      <c r="N262" s="194"/>
      <c r="O262" s="89"/>
      <c r="P262" s="55"/>
      <c r="Q262" s="195"/>
      <c r="R262" s="196"/>
      <c r="S262" s="125"/>
      <c r="T262" s="126"/>
      <c r="U262" s="195"/>
      <c r="V262" s="196"/>
      <c r="W262" s="125"/>
      <c r="X262" s="126"/>
      <c r="Y262" s="119"/>
      <c r="Z262" s="197"/>
      <c r="AA262" s="198"/>
      <c r="AB262" s="199"/>
      <c r="AC262" s="119"/>
      <c r="AD262" s="196"/>
      <c r="AE262" s="200"/>
      <c r="AF262" s="201"/>
      <c r="AG262" s="205"/>
      <c r="AH262" s="205"/>
      <c r="AI262" s="205"/>
      <c r="AJ262" s="205"/>
      <c r="AK262" s="126"/>
      <c r="AL262" s="126"/>
    </row>
    <row r="263">
      <c r="A263" s="119"/>
      <c r="B263" s="154"/>
      <c r="C263" s="89"/>
      <c r="D263" s="55"/>
      <c r="E263" s="119"/>
      <c r="F263" s="154"/>
      <c r="G263" s="192"/>
      <c r="H263" s="193"/>
      <c r="I263" s="119"/>
      <c r="J263" s="154"/>
      <c r="K263" s="89"/>
      <c r="L263" s="55"/>
      <c r="M263" s="119"/>
      <c r="N263" s="194"/>
      <c r="O263" s="89"/>
      <c r="P263" s="55"/>
      <c r="Q263" s="195"/>
      <c r="R263" s="196"/>
      <c r="S263" s="125"/>
      <c r="T263" s="126"/>
      <c r="U263" s="195"/>
      <c r="V263" s="196"/>
      <c r="W263" s="125"/>
      <c r="X263" s="126"/>
      <c r="Y263" s="119"/>
      <c r="Z263" s="197"/>
      <c r="AA263" s="198"/>
      <c r="AB263" s="199"/>
      <c r="AC263" s="119"/>
      <c r="AD263" s="196"/>
      <c r="AE263" s="200"/>
      <c r="AF263" s="201"/>
      <c r="AG263" s="205"/>
      <c r="AH263" s="205"/>
      <c r="AI263" s="205"/>
      <c r="AJ263" s="205"/>
      <c r="AK263" s="126"/>
      <c r="AL263" s="126"/>
    </row>
    <row r="264">
      <c r="A264" s="119"/>
      <c r="B264" s="154"/>
      <c r="C264" s="89"/>
      <c r="D264" s="55"/>
      <c r="E264" s="119"/>
      <c r="F264" s="154"/>
      <c r="G264" s="192"/>
      <c r="H264" s="193"/>
      <c r="I264" s="119"/>
      <c r="J264" s="154"/>
      <c r="K264" s="89"/>
      <c r="L264" s="55"/>
      <c r="M264" s="119"/>
      <c r="N264" s="194"/>
      <c r="O264" s="89"/>
      <c r="P264" s="55"/>
      <c r="Q264" s="195"/>
      <c r="R264" s="196"/>
      <c r="S264" s="125"/>
      <c r="T264" s="126"/>
      <c r="U264" s="195"/>
      <c r="V264" s="196"/>
      <c r="W264" s="125"/>
      <c r="X264" s="126"/>
      <c r="Y264" s="119"/>
      <c r="Z264" s="197"/>
      <c r="AA264" s="198"/>
      <c r="AB264" s="199"/>
      <c r="AC264" s="119"/>
      <c r="AD264" s="196"/>
      <c r="AE264" s="200"/>
      <c r="AF264" s="201"/>
      <c r="AG264" s="205"/>
      <c r="AH264" s="205"/>
      <c r="AI264" s="205"/>
      <c r="AJ264" s="205"/>
      <c r="AK264" s="126"/>
      <c r="AL264" s="126"/>
    </row>
    <row r="265">
      <c r="A265" s="119"/>
      <c r="B265" s="154"/>
      <c r="C265" s="89"/>
      <c r="D265" s="55"/>
      <c r="E265" s="119"/>
      <c r="F265" s="154"/>
      <c r="G265" s="192"/>
      <c r="H265" s="193"/>
      <c r="I265" s="119"/>
      <c r="J265" s="154"/>
      <c r="K265" s="89"/>
      <c r="L265" s="55"/>
      <c r="M265" s="119"/>
      <c r="N265" s="194"/>
      <c r="O265" s="89"/>
      <c r="P265" s="55"/>
      <c r="Q265" s="195"/>
      <c r="R265" s="196"/>
      <c r="S265" s="125"/>
      <c r="T265" s="126"/>
      <c r="U265" s="195"/>
      <c r="V265" s="196"/>
      <c r="W265" s="125"/>
      <c r="X265" s="126"/>
      <c r="Y265" s="119"/>
      <c r="Z265" s="197"/>
      <c r="AA265" s="198"/>
      <c r="AB265" s="199"/>
      <c r="AC265" s="119"/>
      <c r="AD265" s="196"/>
      <c r="AE265" s="200"/>
      <c r="AF265" s="201"/>
      <c r="AG265" s="205"/>
      <c r="AH265" s="205"/>
      <c r="AI265" s="205"/>
      <c r="AJ265" s="205"/>
      <c r="AK265" s="126"/>
      <c r="AL265" s="126"/>
    </row>
    <row r="266">
      <c r="A266" s="119"/>
      <c r="B266" s="154"/>
      <c r="C266" s="89"/>
      <c r="D266" s="55"/>
      <c r="E266" s="119"/>
      <c r="F266" s="154"/>
      <c r="G266" s="192"/>
      <c r="H266" s="193"/>
      <c r="I266" s="119"/>
      <c r="J266" s="154"/>
      <c r="K266" s="89"/>
      <c r="L266" s="55"/>
      <c r="M266" s="119"/>
      <c r="N266" s="194"/>
      <c r="O266" s="89"/>
      <c r="P266" s="55"/>
      <c r="Q266" s="195"/>
      <c r="R266" s="196"/>
      <c r="S266" s="125"/>
      <c r="T266" s="126"/>
      <c r="U266" s="195"/>
      <c r="V266" s="196"/>
      <c r="W266" s="125"/>
      <c r="X266" s="126"/>
      <c r="Y266" s="119"/>
      <c r="Z266" s="197"/>
      <c r="AA266" s="198"/>
      <c r="AB266" s="199"/>
      <c r="AC266" s="119"/>
      <c r="AD266" s="196"/>
      <c r="AE266" s="200"/>
      <c r="AF266" s="201"/>
      <c r="AG266" s="205"/>
      <c r="AH266" s="205"/>
      <c r="AI266" s="205"/>
      <c r="AJ266" s="205"/>
      <c r="AK266" s="126"/>
      <c r="AL266" s="126"/>
    </row>
    <row r="267">
      <c r="A267" s="119"/>
      <c r="B267" s="154"/>
      <c r="C267" s="89"/>
      <c r="D267" s="55"/>
      <c r="E267" s="119"/>
      <c r="F267" s="154"/>
      <c r="G267" s="192"/>
      <c r="H267" s="193"/>
      <c r="I267" s="119"/>
      <c r="J267" s="154"/>
      <c r="K267" s="89"/>
      <c r="L267" s="55"/>
      <c r="M267" s="119"/>
      <c r="N267" s="194"/>
      <c r="O267" s="89"/>
      <c r="P267" s="55"/>
      <c r="Q267" s="195"/>
      <c r="R267" s="196"/>
      <c r="S267" s="125"/>
      <c r="T267" s="126"/>
      <c r="U267" s="195"/>
      <c r="V267" s="196"/>
      <c r="W267" s="125"/>
      <c r="X267" s="126"/>
      <c r="Y267" s="119"/>
      <c r="Z267" s="197"/>
      <c r="AA267" s="198"/>
      <c r="AB267" s="199"/>
      <c r="AC267" s="119"/>
      <c r="AD267" s="196"/>
      <c r="AE267" s="200"/>
      <c r="AF267" s="201"/>
      <c r="AG267" s="205"/>
      <c r="AH267" s="205"/>
      <c r="AI267" s="205"/>
      <c r="AJ267" s="205"/>
      <c r="AK267" s="126"/>
      <c r="AL267" s="126"/>
    </row>
    <row r="268">
      <c r="A268" s="119"/>
      <c r="B268" s="154"/>
      <c r="C268" s="89"/>
      <c r="D268" s="55"/>
      <c r="E268" s="119"/>
      <c r="F268" s="154"/>
      <c r="G268" s="192"/>
      <c r="H268" s="193"/>
      <c r="I268" s="119"/>
      <c r="J268" s="154"/>
      <c r="K268" s="89"/>
      <c r="L268" s="55"/>
      <c r="M268" s="119"/>
      <c r="N268" s="194"/>
      <c r="O268" s="89"/>
      <c r="P268" s="55"/>
      <c r="Q268" s="195"/>
      <c r="R268" s="196"/>
      <c r="S268" s="125"/>
      <c r="T268" s="126"/>
      <c r="U268" s="195"/>
      <c r="V268" s="196"/>
      <c r="W268" s="125"/>
      <c r="X268" s="126"/>
      <c r="Y268" s="119"/>
      <c r="Z268" s="197"/>
      <c r="AA268" s="198"/>
      <c r="AB268" s="199"/>
      <c r="AC268" s="119"/>
      <c r="AD268" s="196"/>
      <c r="AE268" s="200"/>
      <c r="AF268" s="201"/>
      <c r="AG268" s="205"/>
      <c r="AH268" s="205"/>
      <c r="AI268" s="205"/>
      <c r="AJ268" s="205"/>
      <c r="AK268" s="126"/>
      <c r="AL268" s="126"/>
    </row>
    <row r="269">
      <c r="A269" s="119"/>
      <c r="B269" s="154"/>
      <c r="C269" s="89"/>
      <c r="D269" s="55"/>
      <c r="E269" s="119"/>
      <c r="F269" s="154"/>
      <c r="G269" s="192"/>
      <c r="H269" s="193"/>
      <c r="I269" s="119"/>
      <c r="J269" s="154"/>
      <c r="K269" s="89"/>
      <c r="L269" s="55"/>
      <c r="M269" s="119"/>
      <c r="N269" s="194"/>
      <c r="O269" s="89"/>
      <c r="P269" s="55"/>
      <c r="Q269" s="195"/>
      <c r="R269" s="196"/>
      <c r="S269" s="125"/>
      <c r="T269" s="126"/>
      <c r="U269" s="195"/>
      <c r="V269" s="196"/>
      <c r="W269" s="125"/>
      <c r="X269" s="126"/>
      <c r="Y269" s="119"/>
      <c r="Z269" s="197"/>
      <c r="AA269" s="198"/>
      <c r="AB269" s="199"/>
      <c r="AC269" s="119"/>
      <c r="AD269" s="196"/>
      <c r="AE269" s="200"/>
      <c r="AF269" s="201"/>
      <c r="AG269" s="205"/>
      <c r="AH269" s="205"/>
      <c r="AI269" s="205"/>
      <c r="AJ269" s="205"/>
      <c r="AK269" s="126"/>
      <c r="AL269" s="126"/>
    </row>
    <row r="270">
      <c r="A270" s="119"/>
      <c r="B270" s="154"/>
      <c r="C270" s="89"/>
      <c r="D270" s="55"/>
      <c r="E270" s="119"/>
      <c r="F270" s="154"/>
      <c r="G270" s="192"/>
      <c r="H270" s="193"/>
      <c r="I270" s="119"/>
      <c r="J270" s="154"/>
      <c r="K270" s="89"/>
      <c r="L270" s="55"/>
      <c r="M270" s="119"/>
      <c r="N270" s="194"/>
      <c r="O270" s="89"/>
      <c r="P270" s="55"/>
      <c r="Q270" s="195"/>
      <c r="R270" s="196"/>
      <c r="S270" s="125"/>
      <c r="T270" s="126"/>
      <c r="U270" s="195"/>
      <c r="V270" s="196"/>
      <c r="W270" s="125"/>
      <c r="X270" s="126"/>
      <c r="Y270" s="119"/>
      <c r="Z270" s="197"/>
      <c r="AA270" s="198"/>
      <c r="AB270" s="199"/>
      <c r="AC270" s="119"/>
      <c r="AD270" s="196"/>
      <c r="AE270" s="200"/>
      <c r="AF270" s="201"/>
      <c r="AG270" s="205"/>
      <c r="AH270" s="205"/>
      <c r="AI270" s="205"/>
      <c r="AJ270" s="205"/>
      <c r="AK270" s="126"/>
      <c r="AL270" s="126"/>
    </row>
    <row r="271">
      <c r="A271" s="119"/>
      <c r="B271" s="154"/>
      <c r="C271" s="89"/>
      <c r="D271" s="55"/>
      <c r="E271" s="119"/>
      <c r="F271" s="154"/>
      <c r="G271" s="192"/>
      <c r="H271" s="193"/>
      <c r="I271" s="119"/>
      <c r="J271" s="154"/>
      <c r="K271" s="89"/>
      <c r="L271" s="55"/>
      <c r="M271" s="119"/>
      <c r="N271" s="194"/>
      <c r="O271" s="89"/>
      <c r="P271" s="55"/>
      <c r="Q271" s="195"/>
      <c r="R271" s="196"/>
      <c r="S271" s="125"/>
      <c r="T271" s="126"/>
      <c r="U271" s="195"/>
      <c r="V271" s="196"/>
      <c r="W271" s="125"/>
      <c r="X271" s="126"/>
      <c r="Y271" s="119"/>
      <c r="Z271" s="197"/>
      <c r="AA271" s="198"/>
      <c r="AB271" s="199"/>
      <c r="AC271" s="119"/>
      <c r="AD271" s="196"/>
      <c r="AE271" s="200"/>
      <c r="AF271" s="201"/>
      <c r="AG271" s="205"/>
      <c r="AH271" s="205"/>
      <c r="AI271" s="205"/>
      <c r="AJ271" s="205"/>
      <c r="AK271" s="126"/>
      <c r="AL271" s="126"/>
    </row>
    <row r="272">
      <c r="A272" s="119"/>
      <c r="B272" s="154"/>
      <c r="C272" s="89"/>
      <c r="D272" s="55"/>
      <c r="E272" s="119"/>
      <c r="F272" s="154"/>
      <c r="G272" s="192"/>
      <c r="H272" s="193"/>
      <c r="I272" s="119"/>
      <c r="J272" s="154"/>
      <c r="K272" s="89"/>
      <c r="L272" s="55"/>
      <c r="M272" s="119"/>
      <c r="N272" s="194"/>
      <c r="O272" s="89"/>
      <c r="P272" s="55"/>
      <c r="Q272" s="195"/>
      <c r="R272" s="196"/>
      <c r="S272" s="125"/>
      <c r="T272" s="126"/>
      <c r="U272" s="195"/>
      <c r="V272" s="196"/>
      <c r="W272" s="125"/>
      <c r="X272" s="126"/>
      <c r="Y272" s="119"/>
      <c r="Z272" s="197"/>
      <c r="AA272" s="198"/>
      <c r="AB272" s="199"/>
      <c r="AC272" s="119"/>
      <c r="AD272" s="196"/>
      <c r="AE272" s="200"/>
      <c r="AF272" s="201"/>
      <c r="AG272" s="205"/>
      <c r="AH272" s="205"/>
      <c r="AI272" s="205"/>
      <c r="AJ272" s="205"/>
      <c r="AK272" s="126"/>
      <c r="AL272" s="126"/>
    </row>
    <row r="273">
      <c r="A273" s="119"/>
      <c r="B273" s="154"/>
      <c r="C273" s="89"/>
      <c r="D273" s="55"/>
      <c r="E273" s="119"/>
      <c r="F273" s="154"/>
      <c r="G273" s="192"/>
      <c r="H273" s="193"/>
      <c r="I273" s="119"/>
      <c r="J273" s="154"/>
      <c r="K273" s="89"/>
      <c r="L273" s="55"/>
      <c r="M273" s="119"/>
      <c r="N273" s="194"/>
      <c r="O273" s="89"/>
      <c r="P273" s="55"/>
      <c r="Q273" s="195"/>
      <c r="R273" s="196"/>
      <c r="S273" s="125"/>
      <c r="T273" s="126"/>
      <c r="U273" s="195"/>
      <c r="V273" s="196"/>
      <c r="W273" s="125"/>
      <c r="X273" s="126"/>
      <c r="Y273" s="119"/>
      <c r="Z273" s="197"/>
      <c r="AA273" s="198"/>
      <c r="AB273" s="199"/>
      <c r="AC273" s="119"/>
      <c r="AD273" s="196"/>
      <c r="AE273" s="200"/>
      <c r="AF273" s="201"/>
      <c r="AG273" s="205"/>
      <c r="AH273" s="205"/>
      <c r="AI273" s="205"/>
      <c r="AJ273" s="205"/>
      <c r="AK273" s="126"/>
      <c r="AL273" s="126"/>
    </row>
    <row r="274">
      <c r="A274" s="119"/>
      <c r="B274" s="154"/>
      <c r="C274" s="89"/>
      <c r="D274" s="55"/>
      <c r="E274" s="119"/>
      <c r="F274" s="154"/>
      <c r="G274" s="192"/>
      <c r="H274" s="193"/>
      <c r="I274" s="119"/>
      <c r="J274" s="154"/>
      <c r="K274" s="89"/>
      <c r="L274" s="55"/>
      <c r="M274" s="119"/>
      <c r="N274" s="194"/>
      <c r="O274" s="89"/>
      <c r="P274" s="55"/>
      <c r="Q274" s="195"/>
      <c r="R274" s="196"/>
      <c r="S274" s="125"/>
      <c r="T274" s="126"/>
      <c r="U274" s="195"/>
      <c r="V274" s="196"/>
      <c r="W274" s="125"/>
      <c r="X274" s="126"/>
      <c r="Y274" s="119"/>
      <c r="Z274" s="197"/>
      <c r="AA274" s="198"/>
      <c r="AB274" s="199"/>
      <c r="AC274" s="119"/>
      <c r="AD274" s="196"/>
      <c r="AE274" s="200"/>
      <c r="AF274" s="201"/>
      <c r="AG274" s="205"/>
      <c r="AH274" s="205"/>
      <c r="AI274" s="205"/>
      <c r="AJ274" s="205"/>
      <c r="AK274" s="126"/>
      <c r="AL274" s="126"/>
    </row>
    <row r="275">
      <c r="A275" s="119"/>
      <c r="B275" s="154"/>
      <c r="C275" s="89"/>
      <c r="D275" s="55"/>
      <c r="E275" s="119"/>
      <c r="F275" s="154"/>
      <c r="G275" s="192"/>
      <c r="H275" s="193"/>
      <c r="I275" s="119"/>
      <c r="J275" s="154"/>
      <c r="K275" s="89"/>
      <c r="L275" s="55"/>
      <c r="M275" s="119"/>
      <c r="N275" s="194"/>
      <c r="O275" s="89"/>
      <c r="P275" s="55"/>
      <c r="Q275" s="195"/>
      <c r="R275" s="196"/>
      <c r="S275" s="125"/>
      <c r="T275" s="126"/>
      <c r="U275" s="195"/>
      <c r="V275" s="196"/>
      <c r="W275" s="125"/>
      <c r="X275" s="126"/>
      <c r="Y275" s="119"/>
      <c r="Z275" s="197"/>
      <c r="AA275" s="198"/>
      <c r="AB275" s="199"/>
      <c r="AC275" s="119"/>
      <c r="AD275" s="196"/>
      <c r="AE275" s="200"/>
      <c r="AF275" s="201"/>
      <c r="AG275" s="205"/>
      <c r="AH275" s="205"/>
      <c r="AI275" s="205"/>
      <c r="AJ275" s="205"/>
      <c r="AK275" s="126"/>
      <c r="AL275" s="126"/>
    </row>
    <row r="276">
      <c r="A276" s="119"/>
      <c r="B276" s="154"/>
      <c r="C276" s="89"/>
      <c r="D276" s="55"/>
      <c r="E276" s="119"/>
      <c r="F276" s="154"/>
      <c r="G276" s="192"/>
      <c r="H276" s="193"/>
      <c r="I276" s="119"/>
      <c r="J276" s="154"/>
      <c r="K276" s="89"/>
      <c r="L276" s="55"/>
      <c r="M276" s="119"/>
      <c r="N276" s="194"/>
      <c r="O276" s="89"/>
      <c r="P276" s="55"/>
      <c r="Q276" s="195"/>
      <c r="R276" s="196"/>
      <c r="S276" s="125"/>
      <c r="T276" s="126"/>
      <c r="U276" s="195"/>
      <c r="V276" s="196"/>
      <c r="W276" s="125"/>
      <c r="X276" s="126"/>
      <c r="Y276" s="119"/>
      <c r="Z276" s="197"/>
      <c r="AA276" s="198"/>
      <c r="AB276" s="199"/>
      <c r="AC276" s="119"/>
      <c r="AD276" s="196"/>
      <c r="AE276" s="200"/>
      <c r="AF276" s="201"/>
      <c r="AG276" s="205"/>
      <c r="AH276" s="205"/>
      <c r="AI276" s="205"/>
      <c r="AJ276" s="205"/>
      <c r="AK276" s="126"/>
      <c r="AL276" s="126"/>
    </row>
    <row r="277">
      <c r="A277" s="119"/>
      <c r="B277" s="154"/>
      <c r="C277" s="89"/>
      <c r="D277" s="55"/>
      <c r="E277" s="119"/>
      <c r="F277" s="154"/>
      <c r="G277" s="192"/>
      <c r="H277" s="193"/>
      <c r="I277" s="119"/>
      <c r="J277" s="154"/>
      <c r="K277" s="89"/>
      <c r="L277" s="55"/>
      <c r="M277" s="119"/>
      <c r="N277" s="194"/>
      <c r="O277" s="89"/>
      <c r="P277" s="55"/>
      <c r="Q277" s="195"/>
      <c r="R277" s="196"/>
      <c r="S277" s="125"/>
      <c r="T277" s="126"/>
      <c r="U277" s="195"/>
      <c r="V277" s="196"/>
      <c r="W277" s="125"/>
      <c r="X277" s="126"/>
      <c r="Y277" s="119"/>
      <c r="Z277" s="197"/>
      <c r="AA277" s="198"/>
      <c r="AB277" s="199"/>
      <c r="AC277" s="119"/>
      <c r="AD277" s="196"/>
      <c r="AE277" s="200"/>
      <c r="AF277" s="201"/>
      <c r="AG277" s="205"/>
      <c r="AH277" s="205"/>
      <c r="AI277" s="205"/>
      <c r="AJ277" s="205"/>
      <c r="AK277" s="126"/>
      <c r="AL277" s="126"/>
    </row>
    <row r="278">
      <c r="A278" s="119"/>
      <c r="B278" s="154"/>
      <c r="C278" s="89"/>
      <c r="D278" s="55"/>
      <c r="E278" s="119"/>
      <c r="F278" s="154"/>
      <c r="G278" s="192"/>
      <c r="H278" s="193"/>
      <c r="I278" s="119"/>
      <c r="J278" s="154"/>
      <c r="K278" s="89"/>
      <c r="L278" s="55"/>
      <c r="M278" s="119"/>
      <c r="N278" s="194"/>
      <c r="O278" s="89"/>
      <c r="P278" s="55"/>
      <c r="Q278" s="195"/>
      <c r="R278" s="196"/>
      <c r="S278" s="125"/>
      <c r="T278" s="126"/>
      <c r="U278" s="195"/>
      <c r="V278" s="196"/>
      <c r="W278" s="125"/>
      <c r="X278" s="126"/>
      <c r="Y278" s="119"/>
      <c r="Z278" s="197"/>
      <c r="AA278" s="198"/>
      <c r="AB278" s="199"/>
      <c r="AC278" s="119"/>
      <c r="AD278" s="196"/>
      <c r="AE278" s="200"/>
      <c r="AF278" s="201"/>
      <c r="AG278" s="205"/>
      <c r="AH278" s="205"/>
      <c r="AI278" s="205"/>
      <c r="AJ278" s="205"/>
      <c r="AK278" s="126"/>
      <c r="AL278" s="126"/>
    </row>
    <row r="279">
      <c r="A279" s="119"/>
      <c r="B279" s="154"/>
      <c r="C279" s="89"/>
      <c r="D279" s="55"/>
      <c r="E279" s="119"/>
      <c r="F279" s="154"/>
      <c r="G279" s="192"/>
      <c r="H279" s="193"/>
      <c r="I279" s="119"/>
      <c r="J279" s="154"/>
      <c r="K279" s="89"/>
      <c r="L279" s="55"/>
      <c r="M279" s="119"/>
      <c r="N279" s="194"/>
      <c r="O279" s="89"/>
      <c r="P279" s="55"/>
      <c r="Q279" s="195"/>
      <c r="R279" s="196"/>
      <c r="S279" s="125"/>
      <c r="T279" s="126"/>
      <c r="U279" s="195"/>
      <c r="V279" s="196"/>
      <c r="W279" s="125"/>
      <c r="X279" s="126"/>
      <c r="Y279" s="119"/>
      <c r="Z279" s="197"/>
      <c r="AA279" s="198"/>
      <c r="AB279" s="199"/>
      <c r="AC279" s="119"/>
      <c r="AD279" s="196"/>
      <c r="AE279" s="200"/>
      <c r="AF279" s="201"/>
      <c r="AG279" s="205"/>
      <c r="AH279" s="205"/>
      <c r="AI279" s="205"/>
      <c r="AJ279" s="205"/>
      <c r="AK279" s="126"/>
      <c r="AL279" s="126"/>
    </row>
    <row r="280">
      <c r="A280" s="119"/>
      <c r="B280" s="154"/>
      <c r="C280" s="89"/>
      <c r="D280" s="55"/>
      <c r="E280" s="119"/>
      <c r="F280" s="154"/>
      <c r="G280" s="192"/>
      <c r="H280" s="193"/>
      <c r="I280" s="119"/>
      <c r="J280" s="154"/>
      <c r="K280" s="89"/>
      <c r="L280" s="55"/>
      <c r="M280" s="119"/>
      <c r="N280" s="194"/>
      <c r="O280" s="89"/>
      <c r="P280" s="55"/>
      <c r="Q280" s="195"/>
      <c r="R280" s="196"/>
      <c r="S280" s="125"/>
      <c r="T280" s="126"/>
      <c r="U280" s="195"/>
      <c r="V280" s="196"/>
      <c r="W280" s="125"/>
      <c r="X280" s="126"/>
      <c r="Y280" s="119"/>
      <c r="Z280" s="197"/>
      <c r="AA280" s="198"/>
      <c r="AB280" s="199"/>
      <c r="AC280" s="119"/>
      <c r="AD280" s="196"/>
      <c r="AE280" s="200"/>
      <c r="AF280" s="201"/>
      <c r="AG280" s="205"/>
      <c r="AH280" s="205"/>
      <c r="AI280" s="205"/>
      <c r="AJ280" s="205"/>
      <c r="AK280" s="126"/>
      <c r="AL280" s="126"/>
    </row>
    <row r="281">
      <c r="A281" s="119"/>
      <c r="B281" s="154"/>
      <c r="C281" s="89"/>
      <c r="D281" s="55"/>
      <c r="E281" s="119"/>
      <c r="F281" s="154"/>
      <c r="G281" s="192"/>
      <c r="H281" s="193"/>
      <c r="I281" s="119"/>
      <c r="J281" s="154"/>
      <c r="K281" s="89"/>
      <c r="L281" s="55"/>
      <c r="M281" s="119"/>
      <c r="N281" s="194"/>
      <c r="O281" s="89"/>
      <c r="P281" s="55"/>
      <c r="Q281" s="195"/>
      <c r="R281" s="196"/>
      <c r="S281" s="125"/>
      <c r="T281" s="126"/>
      <c r="U281" s="195"/>
      <c r="V281" s="196"/>
      <c r="W281" s="125"/>
      <c r="X281" s="126"/>
      <c r="Y281" s="119"/>
      <c r="Z281" s="197"/>
      <c r="AA281" s="198"/>
      <c r="AB281" s="199"/>
      <c r="AC281" s="119"/>
      <c r="AD281" s="196"/>
      <c r="AE281" s="200"/>
      <c r="AF281" s="201"/>
      <c r="AG281" s="205"/>
      <c r="AH281" s="205"/>
      <c r="AI281" s="205"/>
      <c r="AJ281" s="205"/>
      <c r="AK281" s="126"/>
      <c r="AL281" s="126"/>
    </row>
    <row r="282">
      <c r="A282" s="119"/>
      <c r="B282" s="154"/>
      <c r="C282" s="89"/>
      <c r="D282" s="55"/>
      <c r="E282" s="119"/>
      <c r="F282" s="154"/>
      <c r="G282" s="192"/>
      <c r="H282" s="193"/>
      <c r="I282" s="119"/>
      <c r="J282" s="154"/>
      <c r="K282" s="89"/>
      <c r="L282" s="55"/>
      <c r="M282" s="119"/>
      <c r="N282" s="194"/>
      <c r="O282" s="89"/>
      <c r="P282" s="55"/>
      <c r="Q282" s="195"/>
      <c r="R282" s="196"/>
      <c r="S282" s="125"/>
      <c r="T282" s="126"/>
      <c r="U282" s="195"/>
      <c r="V282" s="196"/>
      <c r="W282" s="125"/>
      <c r="X282" s="126"/>
      <c r="Y282" s="119"/>
      <c r="Z282" s="197"/>
      <c r="AA282" s="198"/>
      <c r="AB282" s="199"/>
      <c r="AC282" s="119"/>
      <c r="AD282" s="196"/>
      <c r="AE282" s="200"/>
      <c r="AF282" s="201"/>
      <c r="AG282" s="205"/>
      <c r="AH282" s="205"/>
      <c r="AI282" s="205"/>
      <c r="AJ282" s="205"/>
      <c r="AK282" s="126"/>
      <c r="AL282" s="126"/>
    </row>
    <row r="283">
      <c r="A283" s="119"/>
      <c r="B283" s="154"/>
      <c r="C283" s="89"/>
      <c r="D283" s="55"/>
      <c r="E283" s="119"/>
      <c r="F283" s="154"/>
      <c r="G283" s="192"/>
      <c r="H283" s="193"/>
      <c r="I283" s="119"/>
      <c r="J283" s="154"/>
      <c r="K283" s="89"/>
      <c r="L283" s="55"/>
      <c r="M283" s="119"/>
      <c r="N283" s="194"/>
      <c r="O283" s="89"/>
      <c r="P283" s="55"/>
      <c r="Q283" s="195"/>
      <c r="R283" s="196"/>
      <c r="S283" s="125"/>
      <c r="T283" s="126"/>
      <c r="U283" s="195"/>
      <c r="V283" s="196"/>
      <c r="W283" s="125"/>
      <c r="X283" s="126"/>
      <c r="Y283" s="119"/>
      <c r="Z283" s="197"/>
      <c r="AA283" s="198"/>
      <c r="AB283" s="199"/>
      <c r="AC283" s="119"/>
      <c r="AD283" s="196"/>
      <c r="AE283" s="200"/>
      <c r="AF283" s="201"/>
      <c r="AG283" s="205"/>
      <c r="AH283" s="205"/>
      <c r="AI283" s="205"/>
      <c r="AJ283" s="205"/>
      <c r="AK283" s="126"/>
      <c r="AL283" s="126"/>
    </row>
    <row r="284">
      <c r="A284" s="119"/>
      <c r="B284" s="154"/>
      <c r="C284" s="89"/>
      <c r="D284" s="55"/>
      <c r="E284" s="119"/>
      <c r="F284" s="154"/>
      <c r="G284" s="192"/>
      <c r="H284" s="193"/>
      <c r="I284" s="119"/>
      <c r="J284" s="154"/>
      <c r="K284" s="89"/>
      <c r="L284" s="55"/>
      <c r="M284" s="119"/>
      <c r="N284" s="194"/>
      <c r="O284" s="89"/>
      <c r="P284" s="55"/>
      <c r="Q284" s="195"/>
      <c r="R284" s="196"/>
      <c r="S284" s="125"/>
      <c r="T284" s="126"/>
      <c r="U284" s="195"/>
      <c r="V284" s="196"/>
      <c r="W284" s="125"/>
      <c r="X284" s="126"/>
      <c r="Y284" s="119"/>
      <c r="Z284" s="197"/>
      <c r="AA284" s="198"/>
      <c r="AB284" s="199"/>
      <c r="AC284" s="119"/>
      <c r="AD284" s="196"/>
      <c r="AE284" s="200"/>
      <c r="AF284" s="201"/>
      <c r="AG284" s="205"/>
      <c r="AH284" s="205"/>
      <c r="AI284" s="205"/>
      <c r="AJ284" s="205"/>
      <c r="AK284" s="126"/>
      <c r="AL284" s="126"/>
    </row>
    <row r="285">
      <c r="A285" s="119"/>
      <c r="B285" s="154"/>
      <c r="C285" s="89"/>
      <c r="D285" s="55"/>
      <c r="E285" s="119"/>
      <c r="F285" s="154"/>
      <c r="G285" s="192"/>
      <c r="H285" s="193"/>
      <c r="I285" s="119"/>
      <c r="J285" s="154"/>
      <c r="K285" s="89"/>
      <c r="L285" s="55"/>
      <c r="M285" s="119"/>
      <c r="N285" s="194"/>
      <c r="O285" s="89"/>
      <c r="P285" s="55"/>
      <c r="Q285" s="195"/>
      <c r="R285" s="196"/>
      <c r="S285" s="125"/>
      <c r="T285" s="126"/>
      <c r="U285" s="195"/>
      <c r="V285" s="196"/>
      <c r="W285" s="125"/>
      <c r="X285" s="126"/>
      <c r="Y285" s="119"/>
      <c r="Z285" s="197"/>
      <c r="AA285" s="198"/>
      <c r="AB285" s="199"/>
      <c r="AC285" s="119"/>
      <c r="AD285" s="196"/>
      <c r="AE285" s="200"/>
      <c r="AF285" s="201"/>
      <c r="AG285" s="205"/>
      <c r="AH285" s="205"/>
      <c r="AI285" s="205"/>
      <c r="AJ285" s="205"/>
      <c r="AK285" s="126"/>
      <c r="AL285" s="126"/>
    </row>
    <row r="286">
      <c r="A286" s="119"/>
      <c r="B286" s="154"/>
      <c r="C286" s="89"/>
      <c r="D286" s="55"/>
      <c r="E286" s="119"/>
      <c r="F286" s="154"/>
      <c r="G286" s="192"/>
      <c r="H286" s="193"/>
      <c r="I286" s="119"/>
      <c r="J286" s="154"/>
      <c r="K286" s="89"/>
      <c r="L286" s="55"/>
      <c r="M286" s="119"/>
      <c r="N286" s="194"/>
      <c r="O286" s="89"/>
      <c r="P286" s="55"/>
      <c r="Q286" s="195"/>
      <c r="R286" s="196"/>
      <c r="S286" s="125"/>
      <c r="T286" s="126"/>
      <c r="U286" s="195"/>
      <c r="V286" s="196"/>
      <c r="W286" s="125"/>
      <c r="X286" s="126"/>
      <c r="Y286" s="119"/>
      <c r="Z286" s="197"/>
      <c r="AA286" s="198"/>
      <c r="AB286" s="199"/>
      <c r="AC286" s="119"/>
      <c r="AD286" s="196"/>
      <c r="AE286" s="200"/>
      <c r="AF286" s="201"/>
      <c r="AG286" s="205"/>
      <c r="AH286" s="205"/>
      <c r="AI286" s="205"/>
      <c r="AJ286" s="205"/>
      <c r="AK286" s="126"/>
      <c r="AL286" s="126"/>
    </row>
    <row r="287">
      <c r="A287" s="119"/>
      <c r="B287" s="154"/>
      <c r="C287" s="89"/>
      <c r="D287" s="55"/>
      <c r="E287" s="119"/>
      <c r="F287" s="154"/>
      <c r="G287" s="192"/>
      <c r="H287" s="193"/>
      <c r="I287" s="119"/>
      <c r="J287" s="154"/>
      <c r="K287" s="89"/>
      <c r="L287" s="55"/>
      <c r="M287" s="119"/>
      <c r="N287" s="194"/>
      <c r="O287" s="89"/>
      <c r="P287" s="55"/>
      <c r="Q287" s="195"/>
      <c r="R287" s="196"/>
      <c r="S287" s="125"/>
      <c r="T287" s="126"/>
      <c r="U287" s="195"/>
      <c r="V287" s="196"/>
      <c r="W287" s="125"/>
      <c r="X287" s="126"/>
      <c r="Y287" s="119"/>
      <c r="Z287" s="197"/>
      <c r="AA287" s="198"/>
      <c r="AB287" s="199"/>
      <c r="AC287" s="119"/>
      <c r="AD287" s="196"/>
      <c r="AE287" s="200"/>
      <c r="AF287" s="201"/>
      <c r="AG287" s="205"/>
      <c r="AH287" s="205"/>
      <c r="AI287" s="205"/>
      <c r="AJ287" s="205"/>
      <c r="AK287" s="126"/>
      <c r="AL287" s="126"/>
    </row>
    <row r="288">
      <c r="A288" s="119"/>
      <c r="B288" s="154"/>
      <c r="C288" s="89"/>
      <c r="D288" s="55"/>
      <c r="E288" s="119"/>
      <c r="F288" s="154"/>
      <c r="G288" s="192"/>
      <c r="H288" s="193"/>
      <c r="I288" s="119"/>
      <c r="J288" s="154"/>
      <c r="K288" s="89"/>
      <c r="L288" s="55"/>
      <c r="M288" s="119"/>
      <c r="N288" s="194"/>
      <c r="O288" s="89"/>
      <c r="P288" s="55"/>
      <c r="Q288" s="195"/>
      <c r="R288" s="196"/>
      <c r="S288" s="125"/>
      <c r="T288" s="126"/>
      <c r="U288" s="195"/>
      <c r="V288" s="196"/>
      <c r="W288" s="125"/>
      <c r="X288" s="126"/>
      <c r="Y288" s="119"/>
      <c r="Z288" s="197"/>
      <c r="AA288" s="198"/>
      <c r="AB288" s="199"/>
      <c r="AC288" s="119"/>
      <c r="AD288" s="196"/>
      <c r="AE288" s="200"/>
      <c r="AF288" s="201"/>
      <c r="AG288" s="205"/>
      <c r="AH288" s="205"/>
      <c r="AI288" s="205"/>
      <c r="AJ288" s="205"/>
      <c r="AK288" s="126"/>
      <c r="AL288" s="126"/>
    </row>
    <row r="289">
      <c r="A289" s="119"/>
      <c r="B289" s="154"/>
      <c r="C289" s="89"/>
      <c r="D289" s="55"/>
      <c r="E289" s="119"/>
      <c r="F289" s="154"/>
      <c r="G289" s="192"/>
      <c r="H289" s="193"/>
      <c r="I289" s="119"/>
      <c r="J289" s="154"/>
      <c r="K289" s="89"/>
      <c r="L289" s="55"/>
      <c r="M289" s="119"/>
      <c r="N289" s="194"/>
      <c r="O289" s="89"/>
      <c r="P289" s="55"/>
      <c r="Q289" s="195"/>
      <c r="R289" s="196"/>
      <c r="S289" s="125"/>
      <c r="T289" s="126"/>
      <c r="U289" s="195"/>
      <c r="V289" s="196"/>
      <c r="W289" s="125"/>
      <c r="X289" s="126"/>
      <c r="Y289" s="119"/>
      <c r="Z289" s="197"/>
      <c r="AA289" s="198"/>
      <c r="AB289" s="199"/>
      <c r="AC289" s="119"/>
      <c r="AD289" s="196"/>
      <c r="AE289" s="200"/>
      <c r="AF289" s="201"/>
      <c r="AG289" s="205"/>
      <c r="AH289" s="205"/>
      <c r="AI289" s="205"/>
      <c r="AJ289" s="205"/>
      <c r="AK289" s="126"/>
      <c r="AL289" s="126"/>
    </row>
    <row r="290">
      <c r="A290" s="119"/>
      <c r="B290" s="154"/>
      <c r="C290" s="89"/>
      <c r="D290" s="55"/>
      <c r="E290" s="119"/>
      <c r="F290" s="154"/>
      <c r="G290" s="192"/>
      <c r="H290" s="193"/>
      <c r="I290" s="119"/>
      <c r="J290" s="154"/>
      <c r="K290" s="89"/>
      <c r="L290" s="55"/>
      <c r="M290" s="119"/>
      <c r="N290" s="194"/>
      <c r="O290" s="89"/>
      <c r="P290" s="55"/>
      <c r="Q290" s="195"/>
      <c r="R290" s="196"/>
      <c r="S290" s="125"/>
      <c r="T290" s="126"/>
      <c r="U290" s="195"/>
      <c r="V290" s="196"/>
      <c r="W290" s="125"/>
      <c r="X290" s="126"/>
      <c r="Y290" s="119"/>
      <c r="Z290" s="197"/>
      <c r="AA290" s="198"/>
      <c r="AB290" s="199"/>
      <c r="AC290" s="119"/>
      <c r="AD290" s="196"/>
      <c r="AE290" s="200"/>
      <c r="AF290" s="201"/>
      <c r="AG290" s="205"/>
      <c r="AH290" s="205"/>
      <c r="AI290" s="205"/>
      <c r="AJ290" s="205"/>
      <c r="AK290" s="126"/>
      <c r="AL290" s="126"/>
    </row>
    <row r="291">
      <c r="A291" s="119"/>
      <c r="B291" s="154"/>
      <c r="C291" s="89"/>
      <c r="D291" s="55"/>
      <c r="E291" s="119"/>
      <c r="F291" s="154"/>
      <c r="G291" s="192"/>
      <c r="H291" s="193"/>
      <c r="I291" s="119"/>
      <c r="J291" s="154"/>
      <c r="K291" s="89"/>
      <c r="L291" s="55"/>
      <c r="M291" s="119"/>
      <c r="N291" s="194"/>
      <c r="O291" s="89"/>
      <c r="P291" s="55"/>
      <c r="Q291" s="195"/>
      <c r="R291" s="196"/>
      <c r="S291" s="125"/>
      <c r="T291" s="126"/>
      <c r="U291" s="195"/>
      <c r="V291" s="196"/>
      <c r="W291" s="125"/>
      <c r="X291" s="126"/>
      <c r="Y291" s="119"/>
      <c r="Z291" s="197"/>
      <c r="AA291" s="198"/>
      <c r="AB291" s="199"/>
      <c r="AC291" s="119"/>
      <c r="AD291" s="196"/>
      <c r="AE291" s="200"/>
      <c r="AF291" s="201"/>
      <c r="AG291" s="205"/>
      <c r="AH291" s="205"/>
      <c r="AI291" s="205"/>
      <c r="AJ291" s="205"/>
      <c r="AK291" s="126"/>
      <c r="AL291" s="126"/>
    </row>
    <row r="292">
      <c r="A292" s="119"/>
      <c r="B292" s="154"/>
      <c r="C292" s="89"/>
      <c r="D292" s="55"/>
      <c r="E292" s="119"/>
      <c r="F292" s="154"/>
      <c r="G292" s="192"/>
      <c r="H292" s="193"/>
      <c r="I292" s="119"/>
      <c r="J292" s="154"/>
      <c r="K292" s="89"/>
      <c r="L292" s="55"/>
      <c r="M292" s="119"/>
      <c r="N292" s="194"/>
      <c r="O292" s="89"/>
      <c r="P292" s="55"/>
      <c r="Q292" s="195"/>
      <c r="R292" s="196"/>
      <c r="S292" s="125"/>
      <c r="T292" s="126"/>
      <c r="U292" s="195"/>
      <c r="V292" s="196"/>
      <c r="W292" s="125"/>
      <c r="X292" s="126"/>
      <c r="Y292" s="119"/>
      <c r="Z292" s="197"/>
      <c r="AA292" s="198"/>
      <c r="AB292" s="199"/>
      <c r="AC292" s="119"/>
      <c r="AD292" s="196"/>
      <c r="AE292" s="200"/>
      <c r="AF292" s="201"/>
      <c r="AG292" s="205"/>
      <c r="AH292" s="205"/>
      <c r="AI292" s="205"/>
      <c r="AJ292" s="205"/>
      <c r="AK292" s="126"/>
      <c r="AL292" s="126"/>
    </row>
    <row r="293">
      <c r="A293" s="119"/>
      <c r="B293" s="154"/>
      <c r="C293" s="89"/>
      <c r="D293" s="55"/>
      <c r="E293" s="119"/>
      <c r="F293" s="154"/>
      <c r="G293" s="192"/>
      <c r="H293" s="193"/>
      <c r="I293" s="119"/>
      <c r="J293" s="154"/>
      <c r="K293" s="89"/>
      <c r="L293" s="55"/>
      <c r="M293" s="119"/>
      <c r="N293" s="194"/>
      <c r="O293" s="89"/>
      <c r="P293" s="55"/>
      <c r="Q293" s="195"/>
      <c r="R293" s="196"/>
      <c r="S293" s="125"/>
      <c r="T293" s="126"/>
      <c r="U293" s="195"/>
      <c r="V293" s="196"/>
      <c r="W293" s="125"/>
      <c r="X293" s="126"/>
      <c r="Y293" s="119"/>
      <c r="Z293" s="197"/>
      <c r="AA293" s="198"/>
      <c r="AB293" s="199"/>
      <c r="AC293" s="119"/>
      <c r="AD293" s="196"/>
      <c r="AE293" s="200"/>
      <c r="AF293" s="201"/>
      <c r="AG293" s="205"/>
      <c r="AH293" s="205"/>
      <c r="AI293" s="205"/>
      <c r="AJ293" s="205"/>
      <c r="AK293" s="126"/>
      <c r="AL293" s="126"/>
    </row>
    <row r="294">
      <c r="A294" s="119"/>
      <c r="B294" s="154"/>
      <c r="C294" s="89"/>
      <c r="D294" s="55"/>
      <c r="E294" s="119"/>
      <c r="F294" s="154"/>
      <c r="G294" s="192"/>
      <c r="H294" s="193"/>
      <c r="I294" s="119"/>
      <c r="J294" s="154"/>
      <c r="K294" s="89"/>
      <c r="L294" s="55"/>
      <c r="M294" s="119"/>
      <c r="N294" s="194"/>
      <c r="O294" s="89"/>
      <c r="P294" s="55"/>
      <c r="Q294" s="195"/>
      <c r="R294" s="196"/>
      <c r="S294" s="125"/>
      <c r="T294" s="126"/>
      <c r="U294" s="195"/>
      <c r="V294" s="196"/>
      <c r="W294" s="125"/>
      <c r="X294" s="126"/>
      <c r="Y294" s="119"/>
      <c r="Z294" s="197"/>
      <c r="AA294" s="198"/>
      <c r="AB294" s="199"/>
      <c r="AC294" s="119"/>
      <c r="AD294" s="196"/>
      <c r="AE294" s="200"/>
      <c r="AF294" s="201"/>
      <c r="AG294" s="205"/>
      <c r="AH294" s="205"/>
      <c r="AI294" s="205"/>
      <c r="AJ294" s="205"/>
      <c r="AK294" s="126"/>
      <c r="AL294" s="126"/>
    </row>
    <row r="295">
      <c r="A295" s="119"/>
      <c r="B295" s="154"/>
      <c r="C295" s="89"/>
      <c r="D295" s="55"/>
      <c r="E295" s="119"/>
      <c r="F295" s="154"/>
      <c r="G295" s="192"/>
      <c r="H295" s="193"/>
      <c r="I295" s="119"/>
      <c r="J295" s="154"/>
      <c r="K295" s="89"/>
      <c r="L295" s="55"/>
      <c r="M295" s="119"/>
      <c r="N295" s="194"/>
      <c r="O295" s="89"/>
      <c r="P295" s="55"/>
      <c r="Q295" s="195"/>
      <c r="R295" s="196"/>
      <c r="S295" s="125"/>
      <c r="T295" s="126"/>
      <c r="U295" s="195"/>
      <c r="V295" s="196"/>
      <c r="W295" s="125"/>
      <c r="X295" s="126"/>
      <c r="Y295" s="119"/>
      <c r="Z295" s="197"/>
      <c r="AA295" s="198"/>
      <c r="AB295" s="199"/>
      <c r="AC295" s="119"/>
      <c r="AD295" s="196"/>
      <c r="AE295" s="200"/>
      <c r="AF295" s="201"/>
      <c r="AG295" s="205"/>
      <c r="AH295" s="205"/>
      <c r="AI295" s="205"/>
      <c r="AJ295" s="205"/>
      <c r="AK295" s="126"/>
      <c r="AL295" s="126"/>
    </row>
    <row r="296">
      <c r="A296" s="119"/>
      <c r="B296" s="154"/>
      <c r="C296" s="89"/>
      <c r="D296" s="55"/>
      <c r="E296" s="119"/>
      <c r="F296" s="154"/>
      <c r="G296" s="192"/>
      <c r="H296" s="193"/>
      <c r="I296" s="119"/>
      <c r="J296" s="154"/>
      <c r="K296" s="89"/>
      <c r="L296" s="55"/>
      <c r="M296" s="119"/>
      <c r="N296" s="194"/>
      <c r="O296" s="89"/>
      <c r="P296" s="55"/>
      <c r="Q296" s="195"/>
      <c r="R296" s="196"/>
      <c r="S296" s="125"/>
      <c r="T296" s="126"/>
      <c r="U296" s="195"/>
      <c r="V296" s="196"/>
      <c r="W296" s="125"/>
      <c r="X296" s="126"/>
      <c r="Y296" s="119"/>
      <c r="Z296" s="197"/>
      <c r="AA296" s="198"/>
      <c r="AB296" s="199"/>
      <c r="AC296" s="119"/>
      <c r="AD296" s="196"/>
      <c r="AE296" s="200"/>
      <c r="AF296" s="201"/>
      <c r="AG296" s="205"/>
      <c r="AH296" s="205"/>
      <c r="AI296" s="205"/>
      <c r="AJ296" s="205"/>
      <c r="AK296" s="126"/>
      <c r="AL296" s="126"/>
    </row>
    <row r="297">
      <c r="A297" s="119"/>
      <c r="B297" s="154"/>
      <c r="C297" s="89"/>
      <c r="D297" s="55"/>
      <c r="E297" s="119"/>
      <c r="F297" s="154"/>
      <c r="G297" s="192"/>
      <c r="H297" s="193"/>
      <c r="I297" s="119"/>
      <c r="J297" s="154"/>
      <c r="K297" s="89"/>
      <c r="L297" s="55"/>
      <c r="M297" s="119"/>
      <c r="N297" s="194"/>
      <c r="O297" s="89"/>
      <c r="P297" s="55"/>
      <c r="Q297" s="195"/>
      <c r="R297" s="196"/>
      <c r="S297" s="125"/>
      <c r="T297" s="126"/>
      <c r="U297" s="195"/>
      <c r="V297" s="196"/>
      <c r="W297" s="125"/>
      <c r="X297" s="126"/>
      <c r="Y297" s="119"/>
      <c r="Z297" s="197"/>
      <c r="AA297" s="198"/>
      <c r="AB297" s="199"/>
      <c r="AC297" s="119"/>
      <c r="AD297" s="196"/>
      <c r="AE297" s="200"/>
      <c r="AF297" s="201"/>
      <c r="AG297" s="205"/>
      <c r="AH297" s="205"/>
      <c r="AI297" s="205"/>
      <c r="AJ297" s="205"/>
      <c r="AK297" s="126"/>
      <c r="AL297" s="126"/>
    </row>
    <row r="298">
      <c r="A298" s="119"/>
      <c r="B298" s="154"/>
      <c r="C298" s="89"/>
      <c r="D298" s="55"/>
      <c r="E298" s="119"/>
      <c r="F298" s="154"/>
      <c r="G298" s="192"/>
      <c r="H298" s="193"/>
      <c r="I298" s="119"/>
      <c r="J298" s="154"/>
      <c r="K298" s="89"/>
      <c r="L298" s="55"/>
      <c r="M298" s="119"/>
      <c r="N298" s="194"/>
      <c r="O298" s="89"/>
      <c r="P298" s="55"/>
      <c r="Q298" s="195"/>
      <c r="R298" s="196"/>
      <c r="S298" s="125"/>
      <c r="T298" s="126"/>
      <c r="U298" s="195"/>
      <c r="V298" s="196"/>
      <c r="W298" s="125"/>
      <c r="X298" s="126"/>
      <c r="Y298" s="119"/>
      <c r="Z298" s="197"/>
      <c r="AA298" s="198"/>
      <c r="AB298" s="199"/>
      <c r="AC298" s="119"/>
      <c r="AD298" s="196"/>
      <c r="AE298" s="200"/>
      <c r="AF298" s="201"/>
      <c r="AG298" s="205"/>
      <c r="AH298" s="205"/>
      <c r="AI298" s="205"/>
      <c r="AJ298" s="205"/>
      <c r="AK298" s="126"/>
      <c r="AL298" s="126"/>
    </row>
    <row r="299">
      <c r="A299" s="119"/>
      <c r="B299" s="154"/>
      <c r="C299" s="89"/>
      <c r="D299" s="55"/>
      <c r="E299" s="119"/>
      <c r="F299" s="154"/>
      <c r="G299" s="192"/>
      <c r="H299" s="193"/>
      <c r="I299" s="119"/>
      <c r="J299" s="154"/>
      <c r="K299" s="89"/>
      <c r="L299" s="55"/>
      <c r="M299" s="119"/>
      <c r="N299" s="194"/>
      <c r="O299" s="89"/>
      <c r="P299" s="55"/>
      <c r="Q299" s="195"/>
      <c r="R299" s="196"/>
      <c r="S299" s="125"/>
      <c r="T299" s="126"/>
      <c r="U299" s="195"/>
      <c r="V299" s="196"/>
      <c r="W299" s="125"/>
      <c r="X299" s="126"/>
      <c r="Y299" s="119"/>
      <c r="Z299" s="197"/>
      <c r="AA299" s="198"/>
      <c r="AB299" s="199"/>
      <c r="AC299" s="119"/>
      <c r="AD299" s="196"/>
      <c r="AE299" s="200"/>
      <c r="AF299" s="201"/>
      <c r="AG299" s="205"/>
      <c r="AH299" s="205"/>
      <c r="AI299" s="205"/>
      <c r="AJ299" s="205"/>
      <c r="AK299" s="126"/>
      <c r="AL299" s="126"/>
    </row>
    <row r="300">
      <c r="A300" s="119"/>
      <c r="B300" s="154"/>
      <c r="C300" s="89"/>
      <c r="D300" s="55"/>
      <c r="E300" s="119"/>
      <c r="F300" s="154"/>
      <c r="G300" s="192"/>
      <c r="H300" s="193"/>
      <c r="I300" s="119"/>
      <c r="J300" s="154"/>
      <c r="K300" s="89"/>
      <c r="L300" s="55"/>
      <c r="M300" s="119"/>
      <c r="N300" s="194"/>
      <c r="O300" s="89"/>
      <c r="P300" s="55"/>
      <c r="Q300" s="195"/>
      <c r="R300" s="196"/>
      <c r="S300" s="125"/>
      <c r="T300" s="126"/>
      <c r="U300" s="195"/>
      <c r="V300" s="196"/>
      <c r="W300" s="125"/>
      <c r="X300" s="126"/>
      <c r="Y300" s="119"/>
      <c r="Z300" s="197"/>
      <c r="AA300" s="198"/>
      <c r="AB300" s="199"/>
      <c r="AC300" s="119"/>
      <c r="AD300" s="196"/>
      <c r="AE300" s="200"/>
      <c r="AF300" s="201"/>
      <c r="AG300" s="205"/>
      <c r="AH300" s="205"/>
      <c r="AI300" s="205"/>
      <c r="AJ300" s="205"/>
      <c r="AK300" s="126"/>
      <c r="AL300" s="126"/>
    </row>
    <row r="301">
      <c r="A301" s="119"/>
      <c r="B301" s="154"/>
      <c r="C301" s="89"/>
      <c r="D301" s="55"/>
      <c r="E301" s="119"/>
      <c r="F301" s="154"/>
      <c r="G301" s="192"/>
      <c r="H301" s="193"/>
      <c r="I301" s="119"/>
      <c r="J301" s="154"/>
      <c r="K301" s="89"/>
      <c r="L301" s="55"/>
      <c r="M301" s="119"/>
      <c r="N301" s="194"/>
      <c r="O301" s="89"/>
      <c r="P301" s="55"/>
      <c r="Q301" s="195"/>
      <c r="R301" s="196"/>
      <c r="S301" s="125"/>
      <c r="T301" s="126"/>
      <c r="U301" s="195"/>
      <c r="V301" s="196"/>
      <c r="W301" s="125"/>
      <c r="X301" s="126"/>
      <c r="Y301" s="119"/>
      <c r="Z301" s="197"/>
      <c r="AA301" s="198"/>
      <c r="AB301" s="199"/>
      <c r="AC301" s="119"/>
      <c r="AD301" s="196"/>
      <c r="AE301" s="200"/>
      <c r="AF301" s="201"/>
      <c r="AG301" s="205"/>
      <c r="AH301" s="205"/>
      <c r="AI301" s="205"/>
      <c r="AJ301" s="205"/>
      <c r="AK301" s="126"/>
      <c r="AL301" s="126"/>
    </row>
    <row r="302">
      <c r="A302" s="119"/>
      <c r="B302" s="154"/>
      <c r="C302" s="89"/>
      <c r="D302" s="55"/>
      <c r="E302" s="119"/>
      <c r="F302" s="154"/>
      <c r="G302" s="192"/>
      <c r="H302" s="193"/>
      <c r="I302" s="119"/>
      <c r="J302" s="154"/>
      <c r="K302" s="89"/>
      <c r="L302" s="55"/>
      <c r="M302" s="119"/>
      <c r="N302" s="194"/>
      <c r="O302" s="89"/>
      <c r="P302" s="55"/>
      <c r="Q302" s="195"/>
      <c r="R302" s="196"/>
      <c r="S302" s="125"/>
      <c r="T302" s="126"/>
      <c r="U302" s="195"/>
      <c r="V302" s="196"/>
      <c r="W302" s="125"/>
      <c r="X302" s="126"/>
      <c r="Y302" s="119"/>
      <c r="Z302" s="197"/>
      <c r="AA302" s="198"/>
      <c r="AB302" s="199"/>
      <c r="AC302" s="119"/>
      <c r="AD302" s="196"/>
      <c r="AE302" s="200"/>
      <c r="AF302" s="201"/>
      <c r="AG302" s="205"/>
      <c r="AH302" s="205"/>
      <c r="AI302" s="205"/>
      <c r="AJ302" s="205"/>
      <c r="AK302" s="126"/>
      <c r="AL302" s="126"/>
    </row>
    <row r="303">
      <c r="A303" s="119"/>
      <c r="B303" s="154"/>
      <c r="C303" s="89"/>
      <c r="D303" s="55"/>
      <c r="E303" s="119"/>
      <c r="F303" s="154"/>
      <c r="G303" s="192"/>
      <c r="H303" s="193"/>
      <c r="I303" s="119"/>
      <c r="J303" s="154"/>
      <c r="K303" s="89"/>
      <c r="L303" s="55"/>
      <c r="M303" s="119"/>
      <c r="N303" s="194"/>
      <c r="O303" s="89"/>
      <c r="P303" s="55"/>
      <c r="Q303" s="195"/>
      <c r="R303" s="196"/>
      <c r="S303" s="125"/>
      <c r="T303" s="126"/>
      <c r="U303" s="195"/>
      <c r="V303" s="196"/>
      <c r="W303" s="125"/>
      <c r="X303" s="126"/>
      <c r="Y303" s="119"/>
      <c r="Z303" s="197"/>
      <c r="AA303" s="198"/>
      <c r="AB303" s="199"/>
      <c r="AC303" s="119"/>
      <c r="AD303" s="196"/>
      <c r="AE303" s="200"/>
      <c r="AF303" s="201"/>
      <c r="AG303" s="205"/>
      <c r="AH303" s="205"/>
      <c r="AI303" s="205"/>
      <c r="AJ303" s="205"/>
      <c r="AK303" s="126"/>
      <c r="AL303" s="126"/>
    </row>
    <row r="304">
      <c r="A304" s="119"/>
      <c r="B304" s="154"/>
      <c r="C304" s="89"/>
      <c r="D304" s="55"/>
      <c r="E304" s="119"/>
      <c r="F304" s="154"/>
      <c r="G304" s="192"/>
      <c r="H304" s="193"/>
      <c r="I304" s="119"/>
      <c r="J304" s="154"/>
      <c r="K304" s="89"/>
      <c r="L304" s="55"/>
      <c r="M304" s="119"/>
      <c r="N304" s="194"/>
      <c r="O304" s="89"/>
      <c r="P304" s="55"/>
      <c r="Q304" s="195"/>
      <c r="R304" s="196"/>
      <c r="S304" s="125"/>
      <c r="T304" s="126"/>
      <c r="U304" s="195"/>
      <c r="V304" s="196"/>
      <c r="W304" s="125"/>
      <c r="X304" s="126"/>
      <c r="Y304" s="119"/>
      <c r="Z304" s="197"/>
      <c r="AA304" s="198"/>
      <c r="AB304" s="199"/>
      <c r="AC304" s="119"/>
      <c r="AD304" s="196"/>
      <c r="AE304" s="200"/>
      <c r="AF304" s="201"/>
      <c r="AG304" s="205"/>
      <c r="AH304" s="205"/>
      <c r="AI304" s="205"/>
      <c r="AJ304" s="205"/>
      <c r="AK304" s="126"/>
      <c r="AL304" s="126"/>
    </row>
    <row r="305">
      <c r="A305" s="119"/>
      <c r="B305" s="154"/>
      <c r="C305" s="89"/>
      <c r="D305" s="55"/>
      <c r="E305" s="119"/>
      <c r="F305" s="154"/>
      <c r="G305" s="192"/>
      <c r="H305" s="193"/>
      <c r="I305" s="119"/>
      <c r="J305" s="154"/>
      <c r="K305" s="89"/>
      <c r="L305" s="55"/>
      <c r="M305" s="119"/>
      <c r="N305" s="194"/>
      <c r="O305" s="89"/>
      <c r="P305" s="55"/>
      <c r="Q305" s="195"/>
      <c r="R305" s="196"/>
      <c r="S305" s="125"/>
      <c r="T305" s="126"/>
      <c r="U305" s="195"/>
      <c r="V305" s="196"/>
      <c r="W305" s="125"/>
      <c r="X305" s="126"/>
      <c r="Y305" s="119"/>
      <c r="Z305" s="197"/>
      <c r="AA305" s="198"/>
      <c r="AB305" s="199"/>
      <c r="AC305" s="119"/>
      <c r="AD305" s="196"/>
      <c r="AE305" s="200"/>
      <c r="AF305" s="201"/>
      <c r="AG305" s="205"/>
      <c r="AH305" s="205"/>
      <c r="AI305" s="205"/>
      <c r="AJ305" s="205"/>
      <c r="AK305" s="126"/>
      <c r="AL305" s="126"/>
    </row>
    <row r="306">
      <c r="A306" s="119"/>
      <c r="B306" s="154"/>
      <c r="C306" s="89"/>
      <c r="D306" s="55"/>
      <c r="E306" s="119"/>
      <c r="F306" s="154"/>
      <c r="G306" s="192"/>
      <c r="H306" s="193"/>
      <c r="I306" s="119"/>
      <c r="J306" s="154"/>
      <c r="K306" s="89"/>
      <c r="L306" s="55"/>
      <c r="M306" s="119"/>
      <c r="N306" s="194"/>
      <c r="O306" s="89"/>
      <c r="P306" s="55"/>
      <c r="Q306" s="195"/>
      <c r="R306" s="196"/>
      <c r="S306" s="125"/>
      <c r="T306" s="126"/>
      <c r="U306" s="195"/>
      <c r="V306" s="196"/>
      <c r="W306" s="125"/>
      <c r="X306" s="126"/>
      <c r="Y306" s="119"/>
      <c r="Z306" s="197"/>
      <c r="AA306" s="198"/>
      <c r="AB306" s="199"/>
      <c r="AC306" s="119"/>
      <c r="AD306" s="196"/>
      <c r="AE306" s="200"/>
      <c r="AF306" s="201"/>
      <c r="AG306" s="205"/>
      <c r="AH306" s="205"/>
      <c r="AI306" s="205"/>
      <c r="AJ306" s="205"/>
      <c r="AK306" s="126"/>
      <c r="AL306" s="126"/>
    </row>
    <row r="307">
      <c r="A307" s="119"/>
      <c r="B307" s="154"/>
      <c r="C307" s="89"/>
      <c r="D307" s="55"/>
      <c r="E307" s="119"/>
      <c r="F307" s="154"/>
      <c r="G307" s="192"/>
      <c r="H307" s="193"/>
      <c r="I307" s="119"/>
      <c r="J307" s="154"/>
      <c r="K307" s="89"/>
      <c r="L307" s="55"/>
      <c r="M307" s="119"/>
      <c r="N307" s="194"/>
      <c r="O307" s="89"/>
      <c r="P307" s="55"/>
      <c r="Q307" s="195"/>
      <c r="R307" s="196"/>
      <c r="S307" s="125"/>
      <c r="T307" s="126"/>
      <c r="U307" s="195"/>
      <c r="V307" s="196"/>
      <c r="W307" s="125"/>
      <c r="X307" s="126"/>
      <c r="Y307" s="119"/>
      <c r="Z307" s="197"/>
      <c r="AA307" s="198"/>
      <c r="AB307" s="199"/>
      <c r="AC307" s="119"/>
      <c r="AD307" s="196"/>
      <c r="AE307" s="200"/>
      <c r="AF307" s="201"/>
      <c r="AG307" s="205"/>
      <c r="AH307" s="205"/>
      <c r="AI307" s="205"/>
      <c r="AJ307" s="205"/>
      <c r="AK307" s="126"/>
      <c r="AL307" s="126"/>
    </row>
    <row r="308">
      <c r="A308" s="119"/>
      <c r="B308" s="154"/>
      <c r="C308" s="89"/>
      <c r="D308" s="55"/>
      <c r="E308" s="119"/>
      <c r="F308" s="154"/>
      <c r="G308" s="192"/>
      <c r="H308" s="193"/>
      <c r="I308" s="119"/>
      <c r="J308" s="154"/>
      <c r="K308" s="89"/>
      <c r="L308" s="55"/>
      <c r="M308" s="119"/>
      <c r="N308" s="194"/>
      <c r="O308" s="89"/>
      <c r="P308" s="55"/>
      <c r="Q308" s="195"/>
      <c r="R308" s="196"/>
      <c r="S308" s="125"/>
      <c r="T308" s="126"/>
      <c r="U308" s="195"/>
      <c r="V308" s="196"/>
      <c r="W308" s="125"/>
      <c r="X308" s="126"/>
      <c r="Y308" s="119"/>
      <c r="Z308" s="197"/>
      <c r="AA308" s="198"/>
      <c r="AB308" s="199"/>
      <c r="AC308" s="119"/>
      <c r="AD308" s="196"/>
      <c r="AE308" s="200"/>
      <c r="AF308" s="201"/>
      <c r="AG308" s="205"/>
      <c r="AH308" s="205"/>
      <c r="AI308" s="205"/>
      <c r="AJ308" s="205"/>
      <c r="AK308" s="126"/>
      <c r="AL308" s="126"/>
    </row>
    <row r="309">
      <c r="A309" s="119"/>
      <c r="B309" s="154"/>
      <c r="C309" s="89"/>
      <c r="D309" s="55"/>
      <c r="E309" s="119"/>
      <c r="F309" s="154"/>
      <c r="G309" s="192"/>
      <c r="H309" s="193"/>
      <c r="I309" s="119"/>
      <c r="J309" s="154"/>
      <c r="K309" s="89"/>
      <c r="L309" s="55"/>
      <c r="M309" s="119"/>
      <c r="N309" s="194"/>
      <c r="O309" s="89"/>
      <c r="P309" s="55"/>
      <c r="Q309" s="195"/>
      <c r="R309" s="196"/>
      <c r="S309" s="125"/>
      <c r="T309" s="126"/>
      <c r="U309" s="195"/>
      <c r="V309" s="196"/>
      <c r="W309" s="125"/>
      <c r="X309" s="126"/>
      <c r="Y309" s="119"/>
      <c r="Z309" s="197"/>
      <c r="AA309" s="198"/>
      <c r="AB309" s="199"/>
      <c r="AC309" s="119"/>
      <c r="AD309" s="196"/>
      <c r="AE309" s="200"/>
      <c r="AF309" s="201"/>
      <c r="AG309" s="205"/>
      <c r="AH309" s="205"/>
      <c r="AI309" s="205"/>
      <c r="AJ309" s="205"/>
      <c r="AK309" s="126"/>
      <c r="AL309" s="126"/>
    </row>
    <row r="310">
      <c r="A310" s="119"/>
      <c r="B310" s="154"/>
      <c r="C310" s="89"/>
      <c r="D310" s="55"/>
      <c r="E310" s="119"/>
      <c r="F310" s="154"/>
      <c r="G310" s="192"/>
      <c r="H310" s="193"/>
      <c r="I310" s="119"/>
      <c r="J310" s="154"/>
      <c r="K310" s="89"/>
      <c r="L310" s="55"/>
      <c r="M310" s="119"/>
      <c r="N310" s="194"/>
      <c r="O310" s="89"/>
      <c r="P310" s="55"/>
      <c r="Q310" s="195"/>
      <c r="R310" s="196"/>
      <c r="S310" s="125"/>
      <c r="T310" s="126"/>
      <c r="U310" s="195"/>
      <c r="V310" s="196"/>
      <c r="W310" s="125"/>
      <c r="X310" s="126"/>
      <c r="Y310" s="119"/>
      <c r="Z310" s="197"/>
      <c r="AA310" s="198"/>
      <c r="AB310" s="199"/>
      <c r="AC310" s="119"/>
      <c r="AD310" s="196"/>
      <c r="AE310" s="200"/>
      <c r="AF310" s="201"/>
      <c r="AG310" s="205"/>
      <c r="AH310" s="205"/>
      <c r="AI310" s="205"/>
      <c r="AJ310" s="205"/>
      <c r="AK310" s="126"/>
      <c r="AL310" s="126"/>
    </row>
    <row r="311">
      <c r="A311" s="119"/>
      <c r="B311" s="154"/>
      <c r="C311" s="89"/>
      <c r="D311" s="55"/>
      <c r="E311" s="119"/>
      <c r="F311" s="154"/>
      <c r="G311" s="192"/>
      <c r="H311" s="193"/>
      <c r="I311" s="119"/>
      <c r="J311" s="154"/>
      <c r="K311" s="89"/>
      <c r="L311" s="55"/>
      <c r="M311" s="119"/>
      <c r="N311" s="194"/>
      <c r="O311" s="89"/>
      <c r="P311" s="55"/>
      <c r="Q311" s="195"/>
      <c r="R311" s="196"/>
      <c r="S311" s="125"/>
      <c r="T311" s="126"/>
      <c r="U311" s="195"/>
      <c r="V311" s="196"/>
      <c r="W311" s="125"/>
      <c r="X311" s="126"/>
      <c r="Y311" s="119"/>
      <c r="Z311" s="197"/>
      <c r="AA311" s="198"/>
      <c r="AB311" s="199"/>
      <c r="AC311" s="119"/>
      <c r="AD311" s="196"/>
      <c r="AE311" s="200"/>
      <c r="AF311" s="201"/>
      <c r="AG311" s="205"/>
      <c r="AH311" s="205"/>
      <c r="AI311" s="205"/>
      <c r="AJ311" s="205"/>
      <c r="AK311" s="126"/>
      <c r="AL311" s="126"/>
    </row>
    <row r="312">
      <c r="A312" s="119"/>
      <c r="B312" s="154"/>
      <c r="C312" s="89"/>
      <c r="D312" s="55"/>
      <c r="E312" s="119"/>
      <c r="F312" s="154"/>
      <c r="G312" s="192"/>
      <c r="H312" s="193"/>
      <c r="I312" s="119"/>
      <c r="J312" s="154"/>
      <c r="K312" s="89"/>
      <c r="L312" s="55"/>
      <c r="M312" s="119"/>
      <c r="N312" s="194"/>
      <c r="O312" s="89"/>
      <c r="P312" s="55"/>
      <c r="Q312" s="195"/>
      <c r="R312" s="196"/>
      <c r="S312" s="125"/>
      <c r="T312" s="126"/>
      <c r="U312" s="195"/>
      <c r="V312" s="196"/>
      <c r="W312" s="125"/>
      <c r="X312" s="126"/>
      <c r="Y312" s="119"/>
      <c r="Z312" s="197"/>
      <c r="AA312" s="198"/>
      <c r="AB312" s="199"/>
      <c r="AC312" s="119"/>
      <c r="AD312" s="196"/>
      <c r="AE312" s="200"/>
      <c r="AF312" s="201"/>
      <c r="AG312" s="205"/>
      <c r="AH312" s="205"/>
      <c r="AI312" s="205"/>
      <c r="AJ312" s="205"/>
      <c r="AK312" s="126"/>
      <c r="AL312" s="126"/>
    </row>
    <row r="313">
      <c r="A313" s="119"/>
      <c r="B313" s="154"/>
      <c r="C313" s="89"/>
      <c r="D313" s="55"/>
      <c r="E313" s="119"/>
      <c r="F313" s="154"/>
      <c r="G313" s="192"/>
      <c r="H313" s="193"/>
      <c r="I313" s="119"/>
      <c r="J313" s="154"/>
      <c r="K313" s="89"/>
      <c r="L313" s="55"/>
      <c r="M313" s="119"/>
      <c r="N313" s="194"/>
      <c r="O313" s="89"/>
      <c r="P313" s="55"/>
      <c r="Q313" s="195"/>
      <c r="R313" s="196"/>
      <c r="S313" s="125"/>
      <c r="T313" s="126"/>
      <c r="U313" s="195"/>
      <c r="V313" s="196"/>
      <c r="W313" s="125"/>
      <c r="X313" s="126"/>
      <c r="Y313" s="119"/>
      <c r="Z313" s="197"/>
      <c r="AA313" s="198"/>
      <c r="AB313" s="199"/>
      <c r="AC313" s="119"/>
      <c r="AD313" s="196"/>
      <c r="AE313" s="200"/>
      <c r="AF313" s="201"/>
      <c r="AG313" s="205"/>
      <c r="AH313" s="205"/>
      <c r="AI313" s="205"/>
      <c r="AJ313" s="205"/>
      <c r="AK313" s="126"/>
      <c r="AL313" s="126"/>
    </row>
    <row r="314">
      <c r="A314" s="119"/>
      <c r="B314" s="154"/>
      <c r="C314" s="89"/>
      <c r="D314" s="55"/>
      <c r="E314" s="119"/>
      <c r="F314" s="154"/>
      <c r="G314" s="192"/>
      <c r="H314" s="193"/>
      <c r="I314" s="119"/>
      <c r="J314" s="154"/>
      <c r="K314" s="89"/>
      <c r="L314" s="55"/>
      <c r="M314" s="119"/>
      <c r="N314" s="194"/>
      <c r="O314" s="89"/>
      <c r="P314" s="55"/>
      <c r="Q314" s="195"/>
      <c r="R314" s="196"/>
      <c r="S314" s="125"/>
      <c r="T314" s="126"/>
      <c r="U314" s="195"/>
      <c r="V314" s="196"/>
      <c r="W314" s="125"/>
      <c r="X314" s="126"/>
      <c r="Y314" s="119"/>
      <c r="Z314" s="197"/>
      <c r="AA314" s="198"/>
      <c r="AB314" s="199"/>
      <c r="AC314" s="119"/>
      <c r="AD314" s="196"/>
      <c r="AE314" s="200"/>
      <c r="AF314" s="201"/>
      <c r="AG314" s="205"/>
      <c r="AH314" s="205"/>
      <c r="AI314" s="205"/>
      <c r="AJ314" s="205"/>
      <c r="AK314" s="126"/>
      <c r="AL314" s="126"/>
    </row>
    <row r="315">
      <c r="A315" s="119"/>
      <c r="B315" s="154"/>
      <c r="C315" s="89"/>
      <c r="D315" s="55"/>
      <c r="E315" s="119"/>
      <c r="F315" s="154"/>
      <c r="G315" s="192"/>
      <c r="H315" s="193"/>
      <c r="I315" s="119"/>
      <c r="J315" s="154"/>
      <c r="K315" s="89"/>
      <c r="L315" s="55"/>
      <c r="M315" s="119"/>
      <c r="N315" s="194"/>
      <c r="O315" s="89"/>
      <c r="P315" s="55"/>
      <c r="Q315" s="195"/>
      <c r="R315" s="196"/>
      <c r="S315" s="125"/>
      <c r="T315" s="126"/>
      <c r="U315" s="195"/>
      <c r="V315" s="196"/>
      <c r="W315" s="125"/>
      <c r="X315" s="126"/>
      <c r="Y315" s="119"/>
      <c r="Z315" s="197"/>
      <c r="AA315" s="198"/>
      <c r="AB315" s="199"/>
      <c r="AC315" s="119"/>
      <c r="AD315" s="196"/>
      <c r="AE315" s="200"/>
      <c r="AF315" s="201"/>
      <c r="AG315" s="205"/>
      <c r="AH315" s="205"/>
      <c r="AI315" s="205"/>
      <c r="AJ315" s="205"/>
      <c r="AK315" s="126"/>
      <c r="AL315" s="126"/>
    </row>
    <row r="316">
      <c r="A316" s="119"/>
      <c r="B316" s="154"/>
      <c r="C316" s="89"/>
      <c r="D316" s="55"/>
      <c r="E316" s="119"/>
      <c r="F316" s="154"/>
      <c r="G316" s="192"/>
      <c r="H316" s="193"/>
      <c r="I316" s="119"/>
      <c r="J316" s="154"/>
      <c r="K316" s="89"/>
      <c r="L316" s="55"/>
      <c r="M316" s="119"/>
      <c r="N316" s="194"/>
      <c r="O316" s="89"/>
      <c r="P316" s="55"/>
      <c r="Q316" s="195"/>
      <c r="R316" s="196"/>
      <c r="S316" s="125"/>
      <c r="T316" s="126"/>
      <c r="U316" s="195"/>
      <c r="V316" s="196"/>
      <c r="W316" s="125"/>
      <c r="X316" s="126"/>
      <c r="Y316" s="119"/>
      <c r="Z316" s="197"/>
      <c r="AA316" s="198"/>
      <c r="AB316" s="199"/>
      <c r="AC316" s="119"/>
      <c r="AD316" s="196"/>
      <c r="AE316" s="200"/>
      <c r="AF316" s="201"/>
      <c r="AG316" s="205"/>
      <c r="AH316" s="205"/>
      <c r="AI316" s="205"/>
      <c r="AJ316" s="205"/>
      <c r="AK316" s="126"/>
      <c r="AL316" s="126"/>
    </row>
    <row r="317">
      <c r="A317" s="119"/>
      <c r="B317" s="154"/>
      <c r="C317" s="89"/>
      <c r="D317" s="55"/>
      <c r="E317" s="119"/>
      <c r="F317" s="154"/>
      <c r="G317" s="192"/>
      <c r="H317" s="193"/>
      <c r="I317" s="119"/>
      <c r="J317" s="154"/>
      <c r="K317" s="89"/>
      <c r="L317" s="55"/>
      <c r="M317" s="119"/>
      <c r="N317" s="194"/>
      <c r="O317" s="89"/>
      <c r="P317" s="55"/>
      <c r="Q317" s="195"/>
      <c r="R317" s="196"/>
      <c r="S317" s="125"/>
      <c r="T317" s="126"/>
      <c r="U317" s="195"/>
      <c r="V317" s="196"/>
      <c r="W317" s="125"/>
      <c r="X317" s="126"/>
      <c r="Y317" s="119"/>
      <c r="Z317" s="197"/>
      <c r="AA317" s="198"/>
      <c r="AB317" s="199"/>
      <c r="AC317" s="119"/>
      <c r="AD317" s="196"/>
      <c r="AE317" s="200"/>
      <c r="AF317" s="201"/>
      <c r="AG317" s="205"/>
      <c r="AH317" s="205"/>
      <c r="AI317" s="205"/>
      <c r="AJ317" s="205"/>
      <c r="AK317" s="126"/>
      <c r="AL317" s="126"/>
    </row>
    <row r="318">
      <c r="A318" s="119"/>
      <c r="B318" s="154"/>
      <c r="C318" s="89"/>
      <c r="D318" s="55"/>
      <c r="E318" s="119"/>
      <c r="F318" s="154"/>
      <c r="G318" s="192"/>
      <c r="H318" s="193"/>
      <c r="I318" s="119"/>
      <c r="J318" s="154"/>
      <c r="K318" s="89"/>
      <c r="L318" s="55"/>
      <c r="M318" s="119"/>
      <c r="N318" s="194"/>
      <c r="O318" s="89"/>
      <c r="P318" s="55"/>
      <c r="Q318" s="195"/>
      <c r="R318" s="196"/>
      <c r="S318" s="125"/>
      <c r="T318" s="126"/>
      <c r="U318" s="195"/>
      <c r="V318" s="196"/>
      <c r="W318" s="125"/>
      <c r="X318" s="126"/>
      <c r="Y318" s="119"/>
      <c r="Z318" s="197"/>
      <c r="AA318" s="198"/>
      <c r="AB318" s="199"/>
      <c r="AC318" s="119"/>
      <c r="AD318" s="196"/>
      <c r="AE318" s="200"/>
      <c r="AF318" s="201"/>
      <c r="AG318" s="205"/>
      <c r="AH318" s="205"/>
      <c r="AI318" s="205"/>
      <c r="AJ318" s="205"/>
      <c r="AK318" s="126"/>
      <c r="AL318" s="126"/>
    </row>
    <row r="319">
      <c r="A319" s="119"/>
      <c r="B319" s="154"/>
      <c r="C319" s="89"/>
      <c r="D319" s="55"/>
      <c r="E319" s="119"/>
      <c r="F319" s="154"/>
      <c r="G319" s="192"/>
      <c r="H319" s="193"/>
      <c r="I319" s="119"/>
      <c r="J319" s="154"/>
      <c r="K319" s="89"/>
      <c r="L319" s="55"/>
      <c r="M319" s="119"/>
      <c r="N319" s="194"/>
      <c r="O319" s="89"/>
      <c r="P319" s="55"/>
      <c r="Q319" s="195"/>
      <c r="R319" s="196"/>
      <c r="S319" s="125"/>
      <c r="T319" s="126"/>
      <c r="U319" s="195"/>
      <c r="V319" s="196"/>
      <c r="W319" s="125"/>
      <c r="X319" s="126"/>
      <c r="Y319" s="119"/>
      <c r="Z319" s="197"/>
      <c r="AA319" s="198"/>
      <c r="AB319" s="199"/>
      <c r="AC319" s="119"/>
      <c r="AD319" s="196"/>
      <c r="AE319" s="200"/>
      <c r="AF319" s="201"/>
      <c r="AG319" s="205"/>
      <c r="AH319" s="205"/>
      <c r="AI319" s="205"/>
      <c r="AJ319" s="205"/>
      <c r="AK319" s="126"/>
      <c r="AL319" s="126"/>
    </row>
    <row r="320">
      <c r="A320" s="119"/>
      <c r="B320" s="154"/>
      <c r="C320" s="89"/>
      <c r="D320" s="55"/>
      <c r="E320" s="119"/>
      <c r="F320" s="154"/>
      <c r="G320" s="192"/>
      <c r="H320" s="193"/>
      <c r="I320" s="119"/>
      <c r="J320" s="154"/>
      <c r="K320" s="89"/>
      <c r="L320" s="55"/>
      <c r="M320" s="119"/>
      <c r="N320" s="194"/>
      <c r="O320" s="89"/>
      <c r="P320" s="55"/>
      <c r="Q320" s="195"/>
      <c r="R320" s="196"/>
      <c r="S320" s="125"/>
      <c r="T320" s="126"/>
      <c r="U320" s="195"/>
      <c r="V320" s="196"/>
      <c r="W320" s="125"/>
      <c r="X320" s="126"/>
      <c r="Y320" s="119"/>
      <c r="Z320" s="197"/>
      <c r="AA320" s="198"/>
      <c r="AB320" s="199"/>
      <c r="AC320" s="119"/>
      <c r="AD320" s="196"/>
      <c r="AE320" s="200"/>
      <c r="AF320" s="201"/>
      <c r="AG320" s="205"/>
      <c r="AH320" s="205"/>
      <c r="AI320" s="205"/>
      <c r="AJ320" s="205"/>
      <c r="AK320" s="126"/>
      <c r="AL320" s="126"/>
    </row>
    <row r="321">
      <c r="A321" s="119"/>
      <c r="B321" s="154"/>
      <c r="C321" s="89"/>
      <c r="D321" s="55"/>
      <c r="E321" s="119"/>
      <c r="F321" s="154"/>
      <c r="G321" s="192"/>
      <c r="H321" s="193"/>
      <c r="I321" s="119"/>
      <c r="J321" s="154"/>
      <c r="K321" s="89"/>
      <c r="L321" s="55"/>
      <c r="M321" s="119"/>
      <c r="N321" s="194"/>
      <c r="O321" s="89"/>
      <c r="P321" s="55"/>
      <c r="Q321" s="195"/>
      <c r="R321" s="196"/>
      <c r="S321" s="125"/>
      <c r="T321" s="126"/>
      <c r="U321" s="195"/>
      <c r="V321" s="196"/>
      <c r="W321" s="125"/>
      <c r="X321" s="126"/>
      <c r="Y321" s="119"/>
      <c r="Z321" s="197"/>
      <c r="AA321" s="198"/>
      <c r="AB321" s="199"/>
      <c r="AC321" s="119"/>
      <c r="AD321" s="196"/>
      <c r="AE321" s="200"/>
      <c r="AF321" s="201"/>
      <c r="AG321" s="205"/>
      <c r="AH321" s="205"/>
      <c r="AI321" s="205"/>
      <c r="AJ321" s="205"/>
      <c r="AK321" s="126"/>
      <c r="AL321" s="126"/>
    </row>
    <row r="322">
      <c r="A322" s="119"/>
      <c r="B322" s="154"/>
      <c r="C322" s="89"/>
      <c r="D322" s="55"/>
      <c r="E322" s="119"/>
      <c r="F322" s="154"/>
      <c r="G322" s="192"/>
      <c r="H322" s="193"/>
      <c r="I322" s="119"/>
      <c r="J322" s="154"/>
      <c r="K322" s="89"/>
      <c r="L322" s="55"/>
      <c r="M322" s="119"/>
      <c r="N322" s="194"/>
      <c r="O322" s="89"/>
      <c r="P322" s="55"/>
      <c r="Q322" s="195"/>
      <c r="R322" s="196"/>
      <c r="S322" s="125"/>
      <c r="T322" s="126"/>
      <c r="U322" s="195"/>
      <c r="V322" s="196"/>
      <c r="W322" s="125"/>
      <c r="X322" s="126"/>
      <c r="Y322" s="119"/>
      <c r="Z322" s="197"/>
      <c r="AA322" s="198"/>
      <c r="AB322" s="199"/>
      <c r="AC322" s="119"/>
      <c r="AD322" s="196"/>
      <c r="AE322" s="200"/>
      <c r="AF322" s="201"/>
      <c r="AG322" s="205"/>
      <c r="AH322" s="205"/>
      <c r="AI322" s="205"/>
      <c r="AJ322" s="205"/>
      <c r="AK322" s="126"/>
      <c r="AL322" s="126"/>
    </row>
    <row r="323">
      <c r="A323" s="119"/>
      <c r="B323" s="154"/>
      <c r="C323" s="89"/>
      <c r="D323" s="55"/>
      <c r="E323" s="119"/>
      <c r="F323" s="154"/>
      <c r="G323" s="192"/>
      <c r="H323" s="193"/>
      <c r="I323" s="119"/>
      <c r="J323" s="154"/>
      <c r="K323" s="89"/>
      <c r="L323" s="55"/>
      <c r="M323" s="119"/>
      <c r="N323" s="194"/>
      <c r="O323" s="89"/>
      <c r="P323" s="55"/>
      <c r="Q323" s="195"/>
      <c r="R323" s="196"/>
      <c r="S323" s="125"/>
      <c r="T323" s="126"/>
      <c r="U323" s="195"/>
      <c r="V323" s="196"/>
      <c r="W323" s="125"/>
      <c r="X323" s="126"/>
      <c r="Y323" s="119"/>
      <c r="Z323" s="197"/>
      <c r="AA323" s="198"/>
      <c r="AB323" s="199"/>
      <c r="AC323" s="119"/>
      <c r="AD323" s="196"/>
      <c r="AE323" s="200"/>
      <c r="AF323" s="201"/>
      <c r="AG323" s="205"/>
      <c r="AH323" s="205"/>
      <c r="AI323" s="205"/>
      <c r="AJ323" s="205"/>
      <c r="AK323" s="126"/>
      <c r="AL323" s="126"/>
    </row>
    <row r="324">
      <c r="A324" s="119"/>
      <c r="B324" s="154"/>
      <c r="C324" s="89"/>
      <c r="D324" s="55"/>
      <c r="E324" s="119"/>
      <c r="F324" s="154"/>
      <c r="G324" s="192"/>
      <c r="H324" s="193"/>
      <c r="I324" s="119"/>
      <c r="J324" s="154"/>
      <c r="K324" s="89"/>
      <c r="L324" s="55"/>
      <c r="M324" s="119"/>
      <c r="N324" s="194"/>
      <c r="O324" s="89"/>
      <c r="P324" s="55"/>
      <c r="Q324" s="195"/>
      <c r="R324" s="196"/>
      <c r="S324" s="125"/>
      <c r="T324" s="126"/>
      <c r="U324" s="195"/>
      <c r="V324" s="196"/>
      <c r="W324" s="125"/>
      <c r="X324" s="126"/>
      <c r="Y324" s="119"/>
      <c r="Z324" s="197"/>
      <c r="AA324" s="198"/>
      <c r="AB324" s="199"/>
      <c r="AC324" s="119"/>
      <c r="AD324" s="196"/>
      <c r="AE324" s="200"/>
      <c r="AF324" s="201"/>
      <c r="AG324" s="205"/>
      <c r="AH324" s="205"/>
      <c r="AI324" s="205"/>
      <c r="AJ324" s="205"/>
      <c r="AK324" s="126"/>
      <c r="AL324" s="126"/>
    </row>
    <row r="325">
      <c r="A325" s="119"/>
      <c r="B325" s="154"/>
      <c r="C325" s="89"/>
      <c r="D325" s="55"/>
      <c r="E325" s="119"/>
      <c r="F325" s="154"/>
      <c r="G325" s="192"/>
      <c r="H325" s="193"/>
      <c r="I325" s="119"/>
      <c r="J325" s="154"/>
      <c r="K325" s="89"/>
      <c r="L325" s="55"/>
      <c r="M325" s="119"/>
      <c r="N325" s="194"/>
      <c r="O325" s="89"/>
      <c r="P325" s="55"/>
      <c r="Q325" s="195"/>
      <c r="R325" s="196"/>
      <c r="S325" s="125"/>
      <c r="T325" s="126"/>
      <c r="U325" s="195"/>
      <c r="V325" s="196"/>
      <c r="W325" s="125"/>
      <c r="X325" s="126"/>
      <c r="Y325" s="119"/>
      <c r="Z325" s="197"/>
      <c r="AA325" s="198"/>
      <c r="AB325" s="199"/>
      <c r="AC325" s="119"/>
      <c r="AD325" s="196"/>
      <c r="AE325" s="200"/>
      <c r="AF325" s="201"/>
      <c r="AG325" s="205"/>
      <c r="AH325" s="205"/>
      <c r="AI325" s="205"/>
      <c r="AJ325" s="205"/>
      <c r="AK325" s="126"/>
      <c r="AL325" s="126"/>
    </row>
    <row r="326">
      <c r="A326" s="119"/>
      <c r="B326" s="154"/>
      <c r="C326" s="89"/>
      <c r="D326" s="55"/>
      <c r="E326" s="119"/>
      <c r="F326" s="154"/>
      <c r="G326" s="192"/>
      <c r="H326" s="193"/>
      <c r="I326" s="119"/>
      <c r="J326" s="154"/>
      <c r="K326" s="89"/>
      <c r="L326" s="55"/>
      <c r="M326" s="119"/>
      <c r="N326" s="194"/>
      <c r="O326" s="89"/>
      <c r="P326" s="55"/>
      <c r="Q326" s="195"/>
      <c r="R326" s="196"/>
      <c r="S326" s="125"/>
      <c r="T326" s="126"/>
      <c r="U326" s="195"/>
      <c r="V326" s="196"/>
      <c r="W326" s="125"/>
      <c r="X326" s="126"/>
      <c r="Y326" s="119"/>
      <c r="Z326" s="197"/>
      <c r="AA326" s="198"/>
      <c r="AB326" s="199"/>
      <c r="AC326" s="119"/>
      <c r="AD326" s="196"/>
      <c r="AE326" s="200"/>
      <c r="AF326" s="201"/>
      <c r="AG326" s="205"/>
      <c r="AH326" s="205"/>
      <c r="AI326" s="205"/>
      <c r="AJ326" s="205"/>
      <c r="AK326" s="126"/>
      <c r="AL326" s="126"/>
    </row>
    <row r="327">
      <c r="A327" s="119"/>
      <c r="B327" s="154"/>
      <c r="C327" s="89"/>
      <c r="D327" s="55"/>
      <c r="E327" s="119"/>
      <c r="F327" s="154"/>
      <c r="G327" s="192"/>
      <c r="H327" s="193"/>
      <c r="I327" s="119"/>
      <c r="J327" s="154"/>
      <c r="K327" s="89"/>
      <c r="L327" s="55"/>
      <c r="M327" s="119"/>
      <c r="N327" s="194"/>
      <c r="O327" s="89"/>
      <c r="P327" s="55"/>
      <c r="Q327" s="195"/>
      <c r="R327" s="196"/>
      <c r="S327" s="125"/>
      <c r="T327" s="126"/>
      <c r="U327" s="195"/>
      <c r="V327" s="196"/>
      <c r="W327" s="125"/>
      <c r="X327" s="126"/>
      <c r="Y327" s="119"/>
      <c r="Z327" s="197"/>
      <c r="AA327" s="198"/>
      <c r="AB327" s="199"/>
      <c r="AC327" s="119"/>
      <c r="AD327" s="196"/>
      <c r="AE327" s="200"/>
      <c r="AF327" s="201"/>
      <c r="AG327" s="205"/>
      <c r="AH327" s="205"/>
      <c r="AI327" s="205"/>
      <c r="AJ327" s="205"/>
      <c r="AK327" s="126"/>
      <c r="AL327" s="126"/>
    </row>
    <row r="328">
      <c r="A328" s="119"/>
      <c r="B328" s="154"/>
      <c r="C328" s="89"/>
      <c r="D328" s="55"/>
      <c r="E328" s="119"/>
      <c r="F328" s="154"/>
      <c r="G328" s="192"/>
      <c r="H328" s="193"/>
      <c r="I328" s="119"/>
      <c r="J328" s="154"/>
      <c r="K328" s="89"/>
      <c r="L328" s="55"/>
      <c r="M328" s="119"/>
      <c r="N328" s="194"/>
      <c r="O328" s="89"/>
      <c r="P328" s="55"/>
      <c r="Q328" s="195"/>
      <c r="R328" s="196"/>
      <c r="S328" s="125"/>
      <c r="T328" s="126"/>
      <c r="U328" s="195"/>
      <c r="V328" s="196"/>
      <c r="W328" s="125"/>
      <c r="X328" s="126"/>
      <c r="Y328" s="119"/>
      <c r="Z328" s="197"/>
      <c r="AA328" s="198"/>
      <c r="AB328" s="199"/>
      <c r="AC328" s="119"/>
      <c r="AD328" s="196"/>
      <c r="AE328" s="200"/>
      <c r="AF328" s="201"/>
      <c r="AG328" s="205"/>
      <c r="AH328" s="205"/>
      <c r="AI328" s="205"/>
      <c r="AJ328" s="205"/>
      <c r="AK328" s="126"/>
      <c r="AL328" s="126"/>
    </row>
    <row r="329">
      <c r="A329" s="119"/>
      <c r="B329" s="154"/>
      <c r="C329" s="89"/>
      <c r="D329" s="55"/>
      <c r="E329" s="119"/>
      <c r="F329" s="154"/>
      <c r="G329" s="192"/>
      <c r="H329" s="193"/>
      <c r="I329" s="119"/>
      <c r="J329" s="154"/>
      <c r="K329" s="89"/>
      <c r="L329" s="55"/>
      <c r="M329" s="119"/>
      <c r="N329" s="194"/>
      <c r="O329" s="89"/>
      <c r="P329" s="55"/>
      <c r="Q329" s="195"/>
      <c r="R329" s="196"/>
      <c r="S329" s="125"/>
      <c r="T329" s="126"/>
      <c r="U329" s="195"/>
      <c r="V329" s="196"/>
      <c r="W329" s="125"/>
      <c r="X329" s="126"/>
      <c r="Y329" s="119"/>
      <c r="Z329" s="197"/>
      <c r="AA329" s="198"/>
      <c r="AB329" s="199"/>
      <c r="AC329" s="119"/>
      <c r="AD329" s="196"/>
      <c r="AE329" s="200"/>
      <c r="AF329" s="201"/>
      <c r="AG329" s="205"/>
      <c r="AH329" s="205"/>
      <c r="AI329" s="205"/>
      <c r="AJ329" s="205"/>
      <c r="AK329" s="126"/>
      <c r="AL329" s="126"/>
    </row>
    <row r="330">
      <c r="A330" s="119"/>
      <c r="B330" s="154"/>
      <c r="C330" s="89"/>
      <c r="D330" s="55"/>
      <c r="E330" s="119"/>
      <c r="F330" s="154"/>
      <c r="G330" s="192"/>
      <c r="H330" s="193"/>
      <c r="I330" s="119"/>
      <c r="J330" s="154"/>
      <c r="K330" s="89"/>
      <c r="L330" s="55"/>
      <c r="M330" s="119"/>
      <c r="N330" s="194"/>
      <c r="O330" s="89"/>
      <c r="P330" s="55"/>
      <c r="Q330" s="195"/>
      <c r="R330" s="196"/>
      <c r="S330" s="125"/>
      <c r="T330" s="126"/>
      <c r="U330" s="195"/>
      <c r="V330" s="196"/>
      <c r="W330" s="125"/>
      <c r="X330" s="126"/>
      <c r="Y330" s="119"/>
      <c r="Z330" s="197"/>
      <c r="AA330" s="198"/>
      <c r="AB330" s="199"/>
      <c r="AC330" s="119"/>
      <c r="AD330" s="196"/>
      <c r="AE330" s="200"/>
      <c r="AF330" s="201"/>
      <c r="AG330" s="205"/>
      <c r="AH330" s="205"/>
      <c r="AI330" s="205"/>
      <c r="AJ330" s="205"/>
      <c r="AK330" s="126"/>
      <c r="AL330" s="126"/>
    </row>
    <row r="331">
      <c r="A331" s="119"/>
      <c r="B331" s="154"/>
      <c r="C331" s="89"/>
      <c r="D331" s="55"/>
      <c r="E331" s="119"/>
      <c r="F331" s="154"/>
      <c r="G331" s="192"/>
      <c r="H331" s="193"/>
      <c r="I331" s="119"/>
      <c r="J331" s="154"/>
      <c r="K331" s="89"/>
      <c r="L331" s="55"/>
      <c r="M331" s="119"/>
      <c r="N331" s="194"/>
      <c r="O331" s="89"/>
      <c r="P331" s="55"/>
      <c r="Q331" s="195"/>
      <c r="R331" s="196"/>
      <c r="S331" s="125"/>
      <c r="T331" s="126"/>
      <c r="U331" s="195"/>
      <c r="V331" s="196"/>
      <c r="W331" s="125"/>
      <c r="X331" s="126"/>
      <c r="Y331" s="119"/>
      <c r="Z331" s="197"/>
      <c r="AA331" s="198"/>
      <c r="AB331" s="199"/>
      <c r="AC331" s="119"/>
      <c r="AD331" s="196"/>
      <c r="AE331" s="200"/>
      <c r="AF331" s="201"/>
      <c r="AG331" s="205"/>
      <c r="AH331" s="205"/>
      <c r="AI331" s="205"/>
      <c r="AJ331" s="205"/>
      <c r="AK331" s="126"/>
      <c r="AL331" s="126"/>
    </row>
    <row r="332">
      <c r="A332" s="119"/>
      <c r="B332" s="154"/>
      <c r="C332" s="89"/>
      <c r="D332" s="55"/>
      <c r="E332" s="119"/>
      <c r="F332" s="154"/>
      <c r="G332" s="192"/>
      <c r="H332" s="193"/>
      <c r="I332" s="119"/>
      <c r="J332" s="154"/>
      <c r="K332" s="89"/>
      <c r="L332" s="55"/>
      <c r="M332" s="119"/>
      <c r="N332" s="194"/>
      <c r="O332" s="89"/>
      <c r="P332" s="55"/>
      <c r="Q332" s="195"/>
      <c r="R332" s="196"/>
      <c r="S332" s="125"/>
      <c r="T332" s="126"/>
      <c r="U332" s="195"/>
      <c r="V332" s="196"/>
      <c r="W332" s="125"/>
      <c r="X332" s="126"/>
      <c r="Y332" s="119"/>
      <c r="Z332" s="197"/>
      <c r="AA332" s="198"/>
      <c r="AB332" s="199"/>
      <c r="AC332" s="119"/>
      <c r="AD332" s="196"/>
      <c r="AE332" s="200"/>
      <c r="AF332" s="201"/>
      <c r="AG332" s="205"/>
      <c r="AH332" s="205"/>
      <c r="AI332" s="205"/>
      <c r="AJ332" s="205"/>
      <c r="AK332" s="126"/>
      <c r="AL332" s="126"/>
    </row>
    <row r="333">
      <c r="A333" s="119"/>
      <c r="B333" s="154"/>
      <c r="C333" s="89"/>
      <c r="D333" s="55"/>
      <c r="E333" s="119"/>
      <c r="F333" s="154"/>
      <c r="G333" s="192"/>
      <c r="H333" s="193"/>
      <c r="I333" s="119"/>
      <c r="J333" s="154"/>
      <c r="K333" s="89"/>
      <c r="L333" s="55"/>
      <c r="M333" s="119"/>
      <c r="N333" s="194"/>
      <c r="O333" s="89"/>
      <c r="P333" s="55"/>
      <c r="Q333" s="195"/>
      <c r="R333" s="196"/>
      <c r="S333" s="125"/>
      <c r="T333" s="126"/>
      <c r="U333" s="195"/>
      <c r="V333" s="196"/>
      <c r="W333" s="125"/>
      <c r="X333" s="126"/>
      <c r="Y333" s="119"/>
      <c r="Z333" s="197"/>
      <c r="AA333" s="198"/>
      <c r="AB333" s="199"/>
      <c r="AC333" s="119"/>
      <c r="AD333" s="196"/>
      <c r="AE333" s="200"/>
      <c r="AF333" s="201"/>
      <c r="AG333" s="205"/>
      <c r="AH333" s="205"/>
      <c r="AI333" s="205"/>
      <c r="AJ333" s="205"/>
      <c r="AK333" s="126"/>
      <c r="AL333" s="126"/>
    </row>
    <row r="334">
      <c r="A334" s="119"/>
      <c r="B334" s="154"/>
      <c r="C334" s="89"/>
      <c r="D334" s="55"/>
      <c r="E334" s="119"/>
      <c r="F334" s="154"/>
      <c r="G334" s="192"/>
      <c r="H334" s="193"/>
      <c r="I334" s="119"/>
      <c r="J334" s="154"/>
      <c r="K334" s="89"/>
      <c r="L334" s="55"/>
      <c r="M334" s="119"/>
      <c r="N334" s="194"/>
      <c r="O334" s="89"/>
      <c r="P334" s="55"/>
      <c r="Q334" s="195"/>
      <c r="R334" s="196"/>
      <c r="S334" s="125"/>
      <c r="T334" s="126"/>
      <c r="U334" s="195"/>
      <c r="V334" s="196"/>
      <c r="W334" s="125"/>
      <c r="X334" s="126"/>
      <c r="Y334" s="119"/>
      <c r="Z334" s="197"/>
      <c r="AA334" s="198"/>
      <c r="AB334" s="199"/>
      <c r="AC334" s="119"/>
      <c r="AD334" s="196"/>
      <c r="AE334" s="200"/>
      <c r="AF334" s="201"/>
      <c r="AG334" s="205"/>
      <c r="AH334" s="205"/>
      <c r="AI334" s="205"/>
      <c r="AJ334" s="205"/>
      <c r="AK334" s="126"/>
      <c r="AL334" s="126"/>
    </row>
    <row r="335">
      <c r="A335" s="119"/>
      <c r="B335" s="154"/>
      <c r="C335" s="89"/>
      <c r="D335" s="55"/>
      <c r="E335" s="119"/>
      <c r="F335" s="154"/>
      <c r="G335" s="192"/>
      <c r="H335" s="193"/>
      <c r="I335" s="119"/>
      <c r="J335" s="154"/>
      <c r="K335" s="89"/>
      <c r="L335" s="55"/>
      <c r="M335" s="119"/>
      <c r="N335" s="194"/>
      <c r="O335" s="89"/>
      <c r="P335" s="55"/>
      <c r="Q335" s="195"/>
      <c r="R335" s="196"/>
      <c r="S335" s="125"/>
      <c r="T335" s="126"/>
      <c r="U335" s="195"/>
      <c r="V335" s="196"/>
      <c r="W335" s="125"/>
      <c r="X335" s="126"/>
      <c r="Y335" s="119"/>
      <c r="Z335" s="197"/>
      <c r="AA335" s="198"/>
      <c r="AB335" s="199"/>
      <c r="AC335" s="119"/>
      <c r="AD335" s="196"/>
      <c r="AE335" s="200"/>
      <c r="AF335" s="201"/>
      <c r="AG335" s="205"/>
      <c r="AH335" s="205"/>
      <c r="AI335" s="205"/>
      <c r="AJ335" s="205"/>
      <c r="AK335" s="126"/>
      <c r="AL335" s="126"/>
    </row>
    <row r="336">
      <c r="A336" s="119"/>
      <c r="B336" s="154"/>
      <c r="C336" s="89"/>
      <c r="D336" s="55"/>
      <c r="E336" s="119"/>
      <c r="F336" s="154"/>
      <c r="G336" s="192"/>
      <c r="H336" s="193"/>
      <c r="I336" s="119"/>
      <c r="J336" s="154"/>
      <c r="K336" s="89"/>
      <c r="L336" s="55"/>
      <c r="M336" s="119"/>
      <c r="N336" s="194"/>
      <c r="O336" s="89"/>
      <c r="P336" s="55"/>
      <c r="Q336" s="195"/>
      <c r="R336" s="196"/>
      <c r="S336" s="125"/>
      <c r="T336" s="126"/>
      <c r="U336" s="195"/>
      <c r="V336" s="196"/>
      <c r="W336" s="125"/>
      <c r="X336" s="126"/>
      <c r="Y336" s="119"/>
      <c r="Z336" s="197"/>
      <c r="AA336" s="198"/>
      <c r="AB336" s="199"/>
      <c r="AC336" s="119"/>
      <c r="AD336" s="196"/>
      <c r="AE336" s="200"/>
      <c r="AF336" s="201"/>
      <c r="AG336" s="205"/>
      <c r="AH336" s="205"/>
      <c r="AI336" s="205"/>
      <c r="AJ336" s="205"/>
      <c r="AK336" s="126"/>
      <c r="AL336" s="126"/>
    </row>
    <row r="337">
      <c r="A337" s="119"/>
      <c r="B337" s="154"/>
      <c r="C337" s="89"/>
      <c r="D337" s="55"/>
      <c r="E337" s="119"/>
      <c r="F337" s="154"/>
      <c r="G337" s="192"/>
      <c r="H337" s="193"/>
      <c r="I337" s="119"/>
      <c r="J337" s="154"/>
      <c r="K337" s="89"/>
      <c r="L337" s="55"/>
      <c r="M337" s="119"/>
      <c r="N337" s="194"/>
      <c r="O337" s="89"/>
      <c r="P337" s="55"/>
      <c r="Q337" s="195"/>
      <c r="R337" s="196"/>
      <c r="S337" s="125"/>
      <c r="T337" s="126"/>
      <c r="U337" s="195"/>
      <c r="V337" s="196"/>
      <c r="W337" s="125"/>
      <c r="X337" s="126"/>
      <c r="Y337" s="119"/>
      <c r="Z337" s="197"/>
      <c r="AA337" s="198"/>
      <c r="AB337" s="199"/>
      <c r="AC337" s="119"/>
      <c r="AD337" s="196"/>
      <c r="AE337" s="200"/>
      <c r="AF337" s="201"/>
      <c r="AG337" s="205"/>
      <c r="AH337" s="205"/>
      <c r="AI337" s="205"/>
      <c r="AJ337" s="205"/>
      <c r="AK337" s="126"/>
      <c r="AL337" s="126"/>
    </row>
    <row r="338">
      <c r="A338" s="119"/>
      <c r="B338" s="154"/>
      <c r="C338" s="89"/>
      <c r="D338" s="55"/>
      <c r="E338" s="119"/>
      <c r="F338" s="154"/>
      <c r="G338" s="192"/>
      <c r="H338" s="193"/>
      <c r="I338" s="119"/>
      <c r="J338" s="154"/>
      <c r="K338" s="89"/>
      <c r="L338" s="55"/>
      <c r="M338" s="119"/>
      <c r="N338" s="194"/>
      <c r="O338" s="89"/>
      <c r="P338" s="55"/>
      <c r="Q338" s="195"/>
      <c r="R338" s="196"/>
      <c r="S338" s="125"/>
      <c r="T338" s="126"/>
      <c r="U338" s="195"/>
      <c r="V338" s="196"/>
      <c r="W338" s="125"/>
      <c r="X338" s="126"/>
      <c r="Y338" s="119"/>
      <c r="Z338" s="197"/>
      <c r="AA338" s="198"/>
      <c r="AB338" s="199"/>
      <c r="AC338" s="119"/>
      <c r="AD338" s="196"/>
      <c r="AE338" s="200"/>
      <c r="AF338" s="201"/>
      <c r="AG338" s="205"/>
      <c r="AH338" s="205"/>
      <c r="AI338" s="205"/>
      <c r="AJ338" s="205"/>
      <c r="AK338" s="126"/>
      <c r="AL338" s="126"/>
    </row>
    <row r="339">
      <c r="A339" s="119"/>
      <c r="B339" s="154"/>
      <c r="C339" s="89"/>
      <c r="D339" s="55"/>
      <c r="E339" s="119"/>
      <c r="F339" s="154"/>
      <c r="G339" s="192"/>
      <c r="H339" s="193"/>
      <c r="I339" s="119"/>
      <c r="J339" s="154"/>
      <c r="K339" s="89"/>
      <c r="L339" s="55"/>
      <c r="M339" s="119"/>
      <c r="N339" s="194"/>
      <c r="O339" s="89"/>
      <c r="P339" s="55"/>
      <c r="Q339" s="195"/>
      <c r="R339" s="196"/>
      <c r="S339" s="125"/>
      <c r="T339" s="126"/>
      <c r="U339" s="195"/>
      <c r="V339" s="196"/>
      <c r="W339" s="125"/>
      <c r="X339" s="126"/>
      <c r="Y339" s="119"/>
      <c r="Z339" s="197"/>
      <c r="AA339" s="198"/>
      <c r="AB339" s="199"/>
      <c r="AC339" s="119"/>
      <c r="AD339" s="196"/>
      <c r="AE339" s="200"/>
      <c r="AF339" s="201"/>
      <c r="AG339" s="205"/>
      <c r="AH339" s="205"/>
      <c r="AI339" s="205"/>
      <c r="AJ339" s="205"/>
      <c r="AK339" s="126"/>
      <c r="AL339" s="126"/>
    </row>
    <row r="340">
      <c r="A340" s="119"/>
      <c r="B340" s="154"/>
      <c r="C340" s="89"/>
      <c r="D340" s="55"/>
      <c r="E340" s="119"/>
      <c r="F340" s="154"/>
      <c r="G340" s="192"/>
      <c r="H340" s="193"/>
      <c r="I340" s="119"/>
      <c r="J340" s="154"/>
      <c r="K340" s="89"/>
      <c r="L340" s="55"/>
      <c r="M340" s="119"/>
      <c r="N340" s="194"/>
      <c r="O340" s="89"/>
      <c r="P340" s="55"/>
      <c r="Q340" s="195"/>
      <c r="R340" s="196"/>
      <c r="S340" s="125"/>
      <c r="T340" s="126"/>
      <c r="U340" s="195"/>
      <c r="V340" s="196"/>
      <c r="W340" s="125"/>
      <c r="X340" s="126"/>
      <c r="Y340" s="119"/>
      <c r="Z340" s="197"/>
      <c r="AA340" s="198"/>
      <c r="AB340" s="199"/>
      <c r="AC340" s="119"/>
      <c r="AD340" s="196"/>
      <c r="AE340" s="200"/>
      <c r="AF340" s="201"/>
      <c r="AG340" s="205"/>
      <c r="AH340" s="205"/>
      <c r="AI340" s="205"/>
      <c r="AJ340" s="205"/>
      <c r="AK340" s="126"/>
      <c r="AL340" s="126"/>
    </row>
    <row r="341">
      <c r="A341" s="119"/>
      <c r="B341" s="154"/>
      <c r="C341" s="89"/>
      <c r="D341" s="55"/>
      <c r="E341" s="119"/>
      <c r="F341" s="154"/>
      <c r="G341" s="192"/>
      <c r="H341" s="193"/>
      <c r="I341" s="119"/>
      <c r="J341" s="154"/>
      <c r="K341" s="89"/>
      <c r="L341" s="55"/>
      <c r="M341" s="119"/>
      <c r="N341" s="194"/>
      <c r="O341" s="89"/>
      <c r="P341" s="55"/>
      <c r="Q341" s="195"/>
      <c r="R341" s="196"/>
      <c r="S341" s="125"/>
      <c r="T341" s="126"/>
      <c r="U341" s="195"/>
      <c r="V341" s="196"/>
      <c r="W341" s="125"/>
      <c r="X341" s="126"/>
      <c r="Y341" s="119"/>
      <c r="Z341" s="197"/>
      <c r="AA341" s="198"/>
      <c r="AB341" s="199"/>
      <c r="AC341" s="119"/>
      <c r="AD341" s="196"/>
      <c r="AE341" s="200"/>
      <c r="AF341" s="201"/>
      <c r="AG341" s="205"/>
      <c r="AH341" s="205"/>
      <c r="AI341" s="205"/>
      <c r="AJ341" s="205"/>
      <c r="AK341" s="126"/>
      <c r="AL341" s="126"/>
    </row>
    <row r="342">
      <c r="A342" s="119"/>
      <c r="B342" s="154"/>
      <c r="C342" s="89"/>
      <c r="D342" s="55"/>
      <c r="E342" s="119"/>
      <c r="F342" s="154"/>
      <c r="G342" s="192"/>
      <c r="H342" s="193"/>
      <c r="I342" s="119"/>
      <c r="J342" s="154"/>
      <c r="K342" s="89"/>
      <c r="L342" s="55"/>
      <c r="M342" s="119"/>
      <c r="N342" s="194"/>
      <c r="O342" s="89"/>
      <c r="P342" s="55"/>
      <c r="Q342" s="195"/>
      <c r="R342" s="196"/>
      <c r="S342" s="125"/>
      <c r="T342" s="126"/>
      <c r="U342" s="195"/>
      <c r="V342" s="196"/>
      <c r="W342" s="125"/>
      <c r="X342" s="126"/>
      <c r="Y342" s="119"/>
      <c r="Z342" s="197"/>
      <c r="AA342" s="198"/>
      <c r="AB342" s="199"/>
      <c r="AC342" s="119"/>
      <c r="AD342" s="196"/>
      <c r="AE342" s="200"/>
      <c r="AF342" s="201"/>
      <c r="AG342" s="205"/>
      <c r="AH342" s="205"/>
      <c r="AI342" s="205"/>
      <c r="AJ342" s="205"/>
      <c r="AK342" s="126"/>
      <c r="AL342" s="126"/>
    </row>
    <row r="343">
      <c r="A343" s="119"/>
      <c r="B343" s="154"/>
      <c r="C343" s="89"/>
      <c r="D343" s="55"/>
      <c r="E343" s="119"/>
      <c r="F343" s="154"/>
      <c r="G343" s="192"/>
      <c r="H343" s="193"/>
      <c r="I343" s="119"/>
      <c r="J343" s="154"/>
      <c r="K343" s="89"/>
      <c r="L343" s="55"/>
      <c r="M343" s="119"/>
      <c r="N343" s="194"/>
      <c r="O343" s="89"/>
      <c r="P343" s="55"/>
      <c r="Q343" s="195"/>
      <c r="R343" s="196"/>
      <c r="S343" s="125"/>
      <c r="T343" s="126"/>
      <c r="U343" s="195"/>
      <c r="V343" s="196"/>
      <c r="W343" s="125"/>
      <c r="X343" s="126"/>
      <c r="Y343" s="119"/>
      <c r="Z343" s="197"/>
      <c r="AA343" s="198"/>
      <c r="AB343" s="199"/>
      <c r="AC343" s="119"/>
      <c r="AD343" s="196"/>
      <c r="AE343" s="200"/>
      <c r="AF343" s="201"/>
      <c r="AG343" s="205"/>
      <c r="AH343" s="205"/>
      <c r="AI343" s="205"/>
      <c r="AJ343" s="205"/>
      <c r="AK343" s="126"/>
      <c r="AL343" s="126"/>
    </row>
    <row r="344">
      <c r="A344" s="119"/>
      <c r="B344" s="154"/>
      <c r="C344" s="89"/>
      <c r="D344" s="55"/>
      <c r="E344" s="119"/>
      <c r="F344" s="154"/>
      <c r="G344" s="192"/>
      <c r="H344" s="193"/>
      <c r="I344" s="119"/>
      <c r="J344" s="154"/>
      <c r="K344" s="89"/>
      <c r="L344" s="55"/>
      <c r="M344" s="119"/>
      <c r="N344" s="194"/>
      <c r="O344" s="89"/>
      <c r="P344" s="55"/>
      <c r="Q344" s="195"/>
      <c r="R344" s="196"/>
      <c r="S344" s="125"/>
      <c r="T344" s="126"/>
      <c r="U344" s="195"/>
      <c r="V344" s="196"/>
      <c r="W344" s="125"/>
      <c r="X344" s="126"/>
      <c r="Y344" s="119"/>
      <c r="Z344" s="197"/>
      <c r="AA344" s="198"/>
      <c r="AB344" s="199"/>
      <c r="AC344" s="119"/>
      <c r="AD344" s="196"/>
      <c r="AE344" s="200"/>
      <c r="AF344" s="201"/>
      <c r="AG344" s="205"/>
      <c r="AH344" s="205"/>
      <c r="AI344" s="205"/>
      <c r="AJ344" s="205"/>
      <c r="AK344" s="126"/>
      <c r="AL344" s="126"/>
    </row>
    <row r="345">
      <c r="A345" s="119"/>
      <c r="B345" s="154"/>
      <c r="C345" s="89"/>
      <c r="D345" s="55"/>
      <c r="E345" s="119"/>
      <c r="F345" s="154"/>
      <c r="G345" s="192"/>
      <c r="H345" s="193"/>
      <c r="I345" s="119"/>
      <c r="J345" s="154"/>
      <c r="K345" s="89"/>
      <c r="L345" s="55"/>
      <c r="M345" s="119"/>
      <c r="N345" s="194"/>
      <c r="O345" s="89"/>
      <c r="P345" s="55"/>
      <c r="Q345" s="195"/>
      <c r="R345" s="196"/>
      <c r="S345" s="125"/>
      <c r="T345" s="126"/>
      <c r="U345" s="195"/>
      <c r="V345" s="196"/>
      <c r="W345" s="125"/>
      <c r="X345" s="126"/>
      <c r="Y345" s="119"/>
      <c r="Z345" s="197"/>
      <c r="AA345" s="198"/>
      <c r="AB345" s="199"/>
      <c r="AC345" s="119"/>
      <c r="AD345" s="196"/>
      <c r="AE345" s="200"/>
      <c r="AF345" s="201"/>
      <c r="AG345" s="205"/>
      <c r="AH345" s="205"/>
      <c r="AI345" s="205"/>
      <c r="AJ345" s="205"/>
      <c r="AK345" s="126"/>
      <c r="AL345" s="126"/>
    </row>
    <row r="346">
      <c r="A346" s="119"/>
      <c r="B346" s="154"/>
      <c r="C346" s="89"/>
      <c r="D346" s="55"/>
      <c r="E346" s="119"/>
      <c r="F346" s="154"/>
      <c r="G346" s="192"/>
      <c r="H346" s="193"/>
      <c r="I346" s="119"/>
      <c r="J346" s="154"/>
      <c r="K346" s="89"/>
      <c r="L346" s="55"/>
      <c r="M346" s="119"/>
      <c r="N346" s="194"/>
      <c r="O346" s="89"/>
      <c r="P346" s="55"/>
      <c r="Q346" s="195"/>
      <c r="R346" s="196"/>
      <c r="S346" s="125"/>
      <c r="T346" s="126"/>
      <c r="U346" s="195"/>
      <c r="V346" s="196"/>
      <c r="W346" s="125"/>
      <c r="X346" s="126"/>
      <c r="Y346" s="119"/>
      <c r="Z346" s="197"/>
      <c r="AA346" s="198"/>
      <c r="AB346" s="199"/>
      <c r="AC346" s="119"/>
      <c r="AD346" s="196"/>
      <c r="AE346" s="200"/>
      <c r="AF346" s="201"/>
      <c r="AG346" s="205"/>
      <c r="AH346" s="205"/>
      <c r="AI346" s="205"/>
      <c r="AJ346" s="205"/>
      <c r="AK346" s="126"/>
      <c r="AL346" s="126"/>
    </row>
    <row r="347">
      <c r="A347" s="119"/>
      <c r="B347" s="154"/>
      <c r="C347" s="89"/>
      <c r="D347" s="55"/>
      <c r="E347" s="119"/>
      <c r="F347" s="154"/>
      <c r="G347" s="192"/>
      <c r="H347" s="193"/>
      <c r="I347" s="119"/>
      <c r="J347" s="154"/>
      <c r="K347" s="89"/>
      <c r="L347" s="55"/>
      <c r="M347" s="119"/>
      <c r="N347" s="194"/>
      <c r="O347" s="89"/>
      <c r="P347" s="55"/>
      <c r="Q347" s="195"/>
      <c r="R347" s="196"/>
      <c r="S347" s="125"/>
      <c r="T347" s="126"/>
      <c r="U347" s="195"/>
      <c r="V347" s="196"/>
      <c r="W347" s="125"/>
      <c r="X347" s="126"/>
      <c r="Y347" s="119"/>
      <c r="Z347" s="197"/>
      <c r="AA347" s="198"/>
      <c r="AB347" s="199"/>
      <c r="AC347" s="119"/>
      <c r="AD347" s="196"/>
      <c r="AE347" s="200"/>
      <c r="AF347" s="201"/>
      <c r="AG347" s="205"/>
      <c r="AH347" s="205"/>
      <c r="AI347" s="205"/>
      <c r="AJ347" s="205"/>
      <c r="AK347" s="126"/>
      <c r="AL347" s="126"/>
    </row>
    <row r="348">
      <c r="A348" s="119"/>
      <c r="B348" s="154"/>
      <c r="C348" s="89"/>
      <c r="D348" s="55"/>
      <c r="E348" s="119"/>
      <c r="F348" s="154"/>
      <c r="G348" s="192"/>
      <c r="H348" s="193"/>
      <c r="I348" s="119"/>
      <c r="J348" s="154"/>
      <c r="K348" s="89"/>
      <c r="L348" s="55"/>
      <c r="M348" s="119"/>
      <c r="N348" s="194"/>
      <c r="O348" s="89"/>
      <c r="P348" s="55"/>
      <c r="Q348" s="195"/>
      <c r="R348" s="196"/>
      <c r="S348" s="125"/>
      <c r="T348" s="126"/>
      <c r="U348" s="195"/>
      <c r="V348" s="196"/>
      <c r="W348" s="125"/>
      <c r="X348" s="126"/>
      <c r="Y348" s="119"/>
      <c r="Z348" s="197"/>
      <c r="AA348" s="198"/>
      <c r="AB348" s="199"/>
      <c r="AC348" s="119"/>
      <c r="AD348" s="196"/>
      <c r="AE348" s="200"/>
      <c r="AF348" s="201"/>
      <c r="AG348" s="205"/>
      <c r="AH348" s="205"/>
      <c r="AI348" s="205"/>
      <c r="AJ348" s="205"/>
      <c r="AK348" s="126"/>
      <c r="AL348" s="126"/>
    </row>
    <row r="349">
      <c r="A349" s="119"/>
      <c r="B349" s="154"/>
      <c r="C349" s="89"/>
      <c r="D349" s="55"/>
      <c r="E349" s="119"/>
      <c r="F349" s="154"/>
      <c r="G349" s="192"/>
      <c r="H349" s="193"/>
      <c r="I349" s="119"/>
      <c r="J349" s="154"/>
      <c r="K349" s="89"/>
      <c r="L349" s="55"/>
      <c r="M349" s="119"/>
      <c r="N349" s="194"/>
      <c r="O349" s="89"/>
      <c r="P349" s="55"/>
      <c r="Q349" s="195"/>
      <c r="R349" s="196"/>
      <c r="S349" s="125"/>
      <c r="T349" s="126"/>
      <c r="U349" s="195"/>
      <c r="V349" s="196"/>
      <c r="W349" s="125"/>
      <c r="X349" s="126"/>
      <c r="Y349" s="119"/>
      <c r="Z349" s="197"/>
      <c r="AA349" s="198"/>
      <c r="AB349" s="199"/>
      <c r="AC349" s="119"/>
      <c r="AD349" s="196"/>
      <c r="AE349" s="200"/>
      <c r="AF349" s="201"/>
      <c r="AG349" s="205"/>
      <c r="AH349" s="205"/>
      <c r="AI349" s="205"/>
      <c r="AJ349" s="205"/>
      <c r="AK349" s="126"/>
      <c r="AL349" s="126"/>
    </row>
    <row r="350">
      <c r="A350" s="119"/>
      <c r="B350" s="154"/>
      <c r="C350" s="89"/>
      <c r="D350" s="55"/>
      <c r="E350" s="119"/>
      <c r="F350" s="154"/>
      <c r="G350" s="192"/>
      <c r="H350" s="193"/>
      <c r="I350" s="119"/>
      <c r="J350" s="154"/>
      <c r="K350" s="89"/>
      <c r="L350" s="55"/>
      <c r="M350" s="119"/>
      <c r="N350" s="194"/>
      <c r="O350" s="89"/>
      <c r="P350" s="55"/>
      <c r="Q350" s="195"/>
      <c r="R350" s="196"/>
      <c r="S350" s="125"/>
      <c r="T350" s="126"/>
      <c r="U350" s="195"/>
      <c r="V350" s="196"/>
      <c r="W350" s="125"/>
      <c r="X350" s="126"/>
      <c r="Y350" s="119"/>
      <c r="Z350" s="197"/>
      <c r="AA350" s="198"/>
      <c r="AB350" s="199"/>
      <c r="AC350" s="119"/>
      <c r="AD350" s="196"/>
      <c r="AE350" s="200"/>
      <c r="AF350" s="201"/>
      <c r="AG350" s="205"/>
      <c r="AH350" s="205"/>
      <c r="AI350" s="205"/>
      <c r="AJ350" s="205"/>
      <c r="AK350" s="126"/>
      <c r="AL350" s="126"/>
    </row>
    <row r="351">
      <c r="A351" s="119"/>
      <c r="B351" s="154"/>
      <c r="C351" s="89"/>
      <c r="D351" s="55"/>
      <c r="E351" s="119"/>
      <c r="F351" s="154"/>
      <c r="G351" s="192"/>
      <c r="H351" s="193"/>
      <c r="I351" s="119"/>
      <c r="J351" s="154"/>
      <c r="K351" s="89"/>
      <c r="L351" s="55"/>
      <c r="M351" s="119"/>
      <c r="N351" s="194"/>
      <c r="O351" s="89"/>
      <c r="P351" s="55"/>
      <c r="Q351" s="195"/>
      <c r="R351" s="196"/>
      <c r="S351" s="125"/>
      <c r="T351" s="126"/>
      <c r="U351" s="195"/>
      <c r="V351" s="196"/>
      <c r="W351" s="125"/>
      <c r="X351" s="126"/>
      <c r="Y351" s="119"/>
      <c r="Z351" s="197"/>
      <c r="AA351" s="198"/>
      <c r="AB351" s="199"/>
      <c r="AC351" s="119"/>
      <c r="AD351" s="196"/>
      <c r="AE351" s="200"/>
      <c r="AF351" s="201"/>
      <c r="AG351" s="205"/>
      <c r="AH351" s="205"/>
      <c r="AI351" s="205"/>
      <c r="AJ351" s="205"/>
      <c r="AK351" s="126"/>
      <c r="AL351" s="126"/>
    </row>
    <row r="352">
      <c r="A352" s="119"/>
      <c r="B352" s="154"/>
      <c r="C352" s="89"/>
      <c r="D352" s="55"/>
      <c r="E352" s="119"/>
      <c r="F352" s="154"/>
      <c r="G352" s="192"/>
      <c r="H352" s="193"/>
      <c r="I352" s="119"/>
      <c r="J352" s="154"/>
      <c r="K352" s="89"/>
      <c r="L352" s="55"/>
      <c r="M352" s="119"/>
      <c r="N352" s="194"/>
      <c r="O352" s="89"/>
      <c r="P352" s="55"/>
      <c r="Q352" s="195"/>
      <c r="R352" s="196"/>
      <c r="S352" s="125"/>
      <c r="T352" s="126"/>
      <c r="U352" s="195"/>
      <c r="V352" s="196"/>
      <c r="W352" s="125"/>
      <c r="X352" s="126"/>
      <c r="Y352" s="119"/>
      <c r="Z352" s="197"/>
      <c r="AA352" s="198"/>
      <c r="AB352" s="199"/>
      <c r="AC352" s="119"/>
      <c r="AD352" s="196"/>
      <c r="AE352" s="200"/>
      <c r="AF352" s="201"/>
      <c r="AG352" s="205"/>
      <c r="AH352" s="205"/>
      <c r="AI352" s="205"/>
      <c r="AJ352" s="205"/>
      <c r="AK352" s="126"/>
      <c r="AL352" s="126"/>
    </row>
    <row r="353">
      <c r="A353" s="119"/>
      <c r="B353" s="154"/>
      <c r="C353" s="89"/>
      <c r="D353" s="55"/>
      <c r="E353" s="119"/>
      <c r="F353" s="154"/>
      <c r="G353" s="192"/>
      <c r="H353" s="193"/>
      <c r="I353" s="119"/>
      <c r="J353" s="154"/>
      <c r="K353" s="89"/>
      <c r="L353" s="55"/>
      <c r="M353" s="119"/>
      <c r="N353" s="194"/>
      <c r="O353" s="89"/>
      <c r="P353" s="55"/>
      <c r="Q353" s="195"/>
      <c r="R353" s="196"/>
      <c r="S353" s="125"/>
      <c r="T353" s="126"/>
      <c r="U353" s="195"/>
      <c r="V353" s="196"/>
      <c r="W353" s="125"/>
      <c r="X353" s="126"/>
      <c r="Y353" s="119"/>
      <c r="Z353" s="197"/>
      <c r="AA353" s="198"/>
      <c r="AB353" s="199"/>
      <c r="AC353" s="119"/>
      <c r="AD353" s="196"/>
      <c r="AE353" s="200"/>
      <c r="AF353" s="201"/>
      <c r="AG353" s="205"/>
      <c r="AH353" s="205"/>
      <c r="AI353" s="205"/>
      <c r="AJ353" s="205"/>
      <c r="AK353" s="126"/>
      <c r="AL353" s="126"/>
    </row>
    <row r="354">
      <c r="A354" s="119"/>
      <c r="B354" s="154"/>
      <c r="C354" s="89"/>
      <c r="D354" s="55"/>
      <c r="E354" s="119"/>
      <c r="F354" s="154"/>
      <c r="G354" s="192"/>
      <c r="H354" s="193"/>
      <c r="I354" s="119"/>
      <c r="J354" s="154"/>
      <c r="K354" s="89"/>
      <c r="L354" s="55"/>
      <c r="M354" s="119"/>
      <c r="N354" s="194"/>
      <c r="O354" s="89"/>
      <c r="P354" s="55"/>
      <c r="Q354" s="195"/>
      <c r="R354" s="196"/>
      <c r="S354" s="125"/>
      <c r="T354" s="126"/>
      <c r="U354" s="195"/>
      <c r="V354" s="196"/>
      <c r="W354" s="125"/>
      <c r="X354" s="126"/>
      <c r="Y354" s="119"/>
      <c r="Z354" s="197"/>
      <c r="AA354" s="198"/>
      <c r="AB354" s="199"/>
      <c r="AC354" s="119"/>
      <c r="AD354" s="196"/>
      <c r="AE354" s="200"/>
      <c r="AF354" s="201"/>
      <c r="AG354" s="205"/>
      <c r="AH354" s="205"/>
      <c r="AI354" s="205"/>
      <c r="AJ354" s="205"/>
      <c r="AK354" s="126"/>
      <c r="AL354" s="126"/>
    </row>
    <row r="355">
      <c r="A355" s="119"/>
      <c r="B355" s="154"/>
      <c r="C355" s="89"/>
      <c r="D355" s="55"/>
      <c r="E355" s="119"/>
      <c r="F355" s="154"/>
      <c r="G355" s="192"/>
      <c r="H355" s="193"/>
      <c r="I355" s="119"/>
      <c r="J355" s="154"/>
      <c r="K355" s="89"/>
      <c r="L355" s="55"/>
      <c r="M355" s="119"/>
      <c r="N355" s="194"/>
      <c r="O355" s="89"/>
      <c r="P355" s="55"/>
      <c r="Q355" s="195"/>
      <c r="R355" s="196"/>
      <c r="S355" s="125"/>
      <c r="T355" s="126"/>
      <c r="U355" s="195"/>
      <c r="V355" s="196"/>
      <c r="W355" s="125"/>
      <c r="X355" s="126"/>
      <c r="Y355" s="119"/>
      <c r="Z355" s="197"/>
      <c r="AA355" s="198"/>
      <c r="AB355" s="199"/>
      <c r="AC355" s="119"/>
      <c r="AD355" s="196"/>
      <c r="AE355" s="200"/>
      <c r="AF355" s="201"/>
      <c r="AG355" s="205"/>
      <c r="AH355" s="205"/>
      <c r="AI355" s="205"/>
      <c r="AJ355" s="205"/>
      <c r="AK355" s="126"/>
      <c r="AL355" s="126"/>
    </row>
    <row r="356">
      <c r="A356" s="119"/>
      <c r="B356" s="154"/>
      <c r="C356" s="89"/>
      <c r="D356" s="55"/>
      <c r="E356" s="119"/>
      <c r="F356" s="154"/>
      <c r="G356" s="192"/>
      <c r="H356" s="193"/>
      <c r="I356" s="119"/>
      <c r="J356" s="154"/>
      <c r="K356" s="89"/>
      <c r="L356" s="55"/>
      <c r="M356" s="119"/>
      <c r="N356" s="194"/>
      <c r="O356" s="89"/>
      <c r="P356" s="55"/>
      <c r="Q356" s="195"/>
      <c r="R356" s="196"/>
      <c r="S356" s="125"/>
      <c r="T356" s="126"/>
      <c r="U356" s="195"/>
      <c r="V356" s="196"/>
      <c r="W356" s="125"/>
      <c r="X356" s="126"/>
      <c r="Y356" s="119"/>
      <c r="Z356" s="197"/>
      <c r="AA356" s="198"/>
      <c r="AB356" s="199"/>
      <c r="AC356" s="119"/>
      <c r="AD356" s="196"/>
      <c r="AE356" s="200"/>
      <c r="AF356" s="201"/>
      <c r="AG356" s="205"/>
      <c r="AH356" s="205"/>
      <c r="AI356" s="205"/>
      <c r="AJ356" s="205"/>
      <c r="AK356" s="126"/>
      <c r="AL356" s="126"/>
    </row>
    <row r="357">
      <c r="A357" s="119"/>
      <c r="B357" s="154"/>
      <c r="C357" s="89"/>
      <c r="D357" s="55"/>
      <c r="E357" s="119"/>
      <c r="F357" s="154"/>
      <c r="G357" s="192"/>
      <c r="H357" s="193"/>
      <c r="I357" s="119"/>
      <c r="J357" s="154"/>
      <c r="K357" s="89"/>
      <c r="L357" s="55"/>
      <c r="M357" s="119"/>
      <c r="N357" s="194"/>
      <c r="O357" s="89"/>
      <c r="P357" s="55"/>
      <c r="Q357" s="195"/>
      <c r="R357" s="196"/>
      <c r="S357" s="125"/>
      <c r="T357" s="126"/>
      <c r="U357" s="195"/>
      <c r="V357" s="196"/>
      <c r="W357" s="125"/>
      <c r="X357" s="126"/>
      <c r="Y357" s="119"/>
      <c r="Z357" s="197"/>
      <c r="AA357" s="198"/>
      <c r="AB357" s="199"/>
      <c r="AC357" s="119"/>
      <c r="AD357" s="196"/>
      <c r="AE357" s="200"/>
      <c r="AF357" s="201"/>
      <c r="AG357" s="205"/>
      <c r="AH357" s="205"/>
      <c r="AI357" s="205"/>
      <c r="AJ357" s="205"/>
      <c r="AK357" s="126"/>
      <c r="AL357" s="126"/>
    </row>
    <row r="358">
      <c r="A358" s="119"/>
      <c r="B358" s="154"/>
      <c r="C358" s="89"/>
      <c r="D358" s="55"/>
      <c r="E358" s="119"/>
      <c r="F358" s="154"/>
      <c r="G358" s="192"/>
      <c r="H358" s="193"/>
      <c r="I358" s="119"/>
      <c r="J358" s="154"/>
      <c r="K358" s="89"/>
      <c r="L358" s="55"/>
      <c r="M358" s="119"/>
      <c r="N358" s="194"/>
      <c r="O358" s="89"/>
      <c r="P358" s="55"/>
      <c r="Q358" s="195"/>
      <c r="R358" s="196"/>
      <c r="S358" s="125"/>
      <c r="T358" s="126"/>
      <c r="U358" s="195"/>
      <c r="V358" s="196"/>
      <c r="W358" s="125"/>
      <c r="X358" s="126"/>
      <c r="Y358" s="119"/>
      <c r="Z358" s="197"/>
      <c r="AA358" s="198"/>
      <c r="AB358" s="199"/>
      <c r="AC358" s="119"/>
      <c r="AD358" s="196"/>
      <c r="AE358" s="200"/>
      <c r="AF358" s="201"/>
      <c r="AG358" s="205"/>
      <c r="AH358" s="205"/>
      <c r="AI358" s="205"/>
      <c r="AJ358" s="205"/>
      <c r="AK358" s="126"/>
      <c r="AL358" s="126"/>
    </row>
    <row r="359">
      <c r="A359" s="119"/>
      <c r="B359" s="154"/>
      <c r="C359" s="89"/>
      <c r="D359" s="55"/>
      <c r="E359" s="119"/>
      <c r="F359" s="154"/>
      <c r="G359" s="192"/>
      <c r="H359" s="193"/>
      <c r="I359" s="119"/>
      <c r="J359" s="154"/>
      <c r="K359" s="89"/>
      <c r="L359" s="55"/>
      <c r="M359" s="119"/>
      <c r="N359" s="194"/>
      <c r="O359" s="89"/>
      <c r="P359" s="55"/>
      <c r="Q359" s="195"/>
      <c r="R359" s="196"/>
      <c r="S359" s="125"/>
      <c r="T359" s="126"/>
      <c r="U359" s="195"/>
      <c r="V359" s="196"/>
      <c r="W359" s="125"/>
      <c r="X359" s="126"/>
      <c r="Y359" s="119"/>
      <c r="Z359" s="197"/>
      <c r="AA359" s="198"/>
      <c r="AB359" s="199"/>
      <c r="AC359" s="119"/>
      <c r="AD359" s="196"/>
      <c r="AE359" s="200"/>
      <c r="AF359" s="201"/>
      <c r="AG359" s="205"/>
      <c r="AH359" s="205"/>
      <c r="AI359" s="205"/>
      <c r="AJ359" s="205"/>
      <c r="AK359" s="126"/>
      <c r="AL359" s="126"/>
    </row>
    <row r="360">
      <c r="A360" s="119"/>
      <c r="B360" s="154"/>
      <c r="C360" s="89"/>
      <c r="D360" s="55"/>
      <c r="E360" s="119"/>
      <c r="F360" s="154"/>
      <c r="G360" s="192"/>
      <c r="H360" s="193"/>
      <c r="I360" s="119"/>
      <c r="J360" s="154"/>
      <c r="K360" s="89"/>
      <c r="L360" s="55"/>
      <c r="M360" s="119"/>
      <c r="N360" s="194"/>
      <c r="O360" s="89"/>
      <c r="P360" s="55"/>
      <c r="Q360" s="195"/>
      <c r="R360" s="196"/>
      <c r="S360" s="125"/>
      <c r="T360" s="126"/>
      <c r="U360" s="195"/>
      <c r="V360" s="196"/>
      <c r="W360" s="125"/>
      <c r="X360" s="126"/>
      <c r="Y360" s="119"/>
      <c r="Z360" s="197"/>
      <c r="AA360" s="198"/>
      <c r="AB360" s="199"/>
      <c r="AC360" s="119"/>
      <c r="AD360" s="196"/>
      <c r="AE360" s="200"/>
      <c r="AF360" s="201"/>
      <c r="AG360" s="205"/>
      <c r="AH360" s="205"/>
      <c r="AI360" s="205"/>
      <c r="AJ360" s="205"/>
      <c r="AK360" s="126"/>
      <c r="AL360" s="126"/>
    </row>
    <row r="361">
      <c r="A361" s="119"/>
      <c r="B361" s="154"/>
      <c r="C361" s="89"/>
      <c r="D361" s="55"/>
      <c r="E361" s="119"/>
      <c r="F361" s="154"/>
      <c r="G361" s="192"/>
      <c r="H361" s="193"/>
      <c r="I361" s="119"/>
      <c r="J361" s="154"/>
      <c r="K361" s="89"/>
      <c r="L361" s="55"/>
      <c r="M361" s="119"/>
      <c r="N361" s="194"/>
      <c r="O361" s="89"/>
      <c r="P361" s="55"/>
      <c r="Q361" s="195"/>
      <c r="R361" s="196"/>
      <c r="S361" s="125"/>
      <c r="T361" s="126"/>
      <c r="U361" s="195"/>
      <c r="V361" s="196"/>
      <c r="W361" s="125"/>
      <c r="X361" s="126"/>
      <c r="Y361" s="119"/>
      <c r="Z361" s="197"/>
      <c r="AA361" s="198"/>
      <c r="AB361" s="199"/>
      <c r="AC361" s="119"/>
      <c r="AD361" s="196"/>
      <c r="AE361" s="200"/>
      <c r="AF361" s="201"/>
      <c r="AG361" s="205"/>
      <c r="AH361" s="205"/>
      <c r="AI361" s="205"/>
      <c r="AJ361" s="205"/>
      <c r="AK361" s="126"/>
      <c r="AL361" s="126"/>
    </row>
    <row r="362">
      <c r="A362" s="119"/>
      <c r="B362" s="154"/>
      <c r="C362" s="89"/>
      <c r="D362" s="55"/>
      <c r="E362" s="119"/>
      <c r="F362" s="154"/>
      <c r="G362" s="192"/>
      <c r="H362" s="193"/>
      <c r="I362" s="119"/>
      <c r="J362" s="154"/>
      <c r="K362" s="89"/>
      <c r="L362" s="55"/>
      <c r="M362" s="119"/>
      <c r="N362" s="194"/>
      <c r="O362" s="89"/>
      <c r="P362" s="55"/>
      <c r="Q362" s="195"/>
      <c r="R362" s="196"/>
      <c r="S362" s="125"/>
      <c r="T362" s="126"/>
      <c r="U362" s="195"/>
      <c r="V362" s="196"/>
      <c r="W362" s="125"/>
      <c r="X362" s="126"/>
      <c r="Y362" s="119"/>
      <c r="Z362" s="197"/>
      <c r="AA362" s="198"/>
      <c r="AB362" s="199"/>
      <c r="AC362" s="119"/>
      <c r="AD362" s="196"/>
      <c r="AE362" s="200"/>
      <c r="AF362" s="201"/>
      <c r="AG362" s="205"/>
      <c r="AH362" s="205"/>
      <c r="AI362" s="205"/>
      <c r="AJ362" s="205"/>
      <c r="AK362" s="126"/>
      <c r="AL362" s="126"/>
    </row>
    <row r="363">
      <c r="A363" s="119"/>
      <c r="B363" s="154"/>
      <c r="C363" s="89"/>
      <c r="D363" s="55"/>
      <c r="E363" s="119"/>
      <c r="F363" s="154"/>
      <c r="G363" s="192"/>
      <c r="H363" s="193"/>
      <c r="I363" s="119"/>
      <c r="J363" s="154"/>
      <c r="K363" s="89"/>
      <c r="L363" s="55"/>
      <c r="M363" s="119"/>
      <c r="N363" s="194"/>
      <c r="O363" s="89"/>
      <c r="P363" s="55"/>
      <c r="Q363" s="195"/>
      <c r="R363" s="196"/>
      <c r="S363" s="125"/>
      <c r="T363" s="126"/>
      <c r="U363" s="195"/>
      <c r="V363" s="196"/>
      <c r="W363" s="125"/>
      <c r="X363" s="126"/>
      <c r="Y363" s="119"/>
      <c r="Z363" s="197"/>
      <c r="AA363" s="198"/>
      <c r="AB363" s="199"/>
      <c r="AC363" s="119"/>
      <c r="AD363" s="196"/>
      <c r="AE363" s="200"/>
      <c r="AF363" s="201"/>
      <c r="AG363" s="205"/>
      <c r="AH363" s="205"/>
      <c r="AI363" s="205"/>
      <c r="AJ363" s="205"/>
      <c r="AK363" s="126"/>
      <c r="AL363" s="126"/>
    </row>
    <row r="364">
      <c r="A364" s="119"/>
      <c r="B364" s="154"/>
      <c r="C364" s="89"/>
      <c r="D364" s="55"/>
      <c r="E364" s="119"/>
      <c r="F364" s="154"/>
      <c r="G364" s="192"/>
      <c r="H364" s="193"/>
      <c r="I364" s="119"/>
      <c r="J364" s="154"/>
      <c r="K364" s="89"/>
      <c r="L364" s="55"/>
      <c r="M364" s="119"/>
      <c r="N364" s="194"/>
      <c r="O364" s="89"/>
      <c r="P364" s="55"/>
      <c r="Q364" s="195"/>
      <c r="R364" s="196"/>
      <c r="S364" s="125"/>
      <c r="T364" s="126"/>
      <c r="U364" s="195"/>
      <c r="V364" s="196"/>
      <c r="W364" s="125"/>
      <c r="X364" s="126"/>
      <c r="Y364" s="119"/>
      <c r="Z364" s="197"/>
      <c r="AA364" s="198"/>
      <c r="AB364" s="199"/>
      <c r="AC364" s="119"/>
      <c r="AD364" s="196"/>
      <c r="AE364" s="200"/>
      <c r="AF364" s="201"/>
      <c r="AG364" s="205"/>
      <c r="AH364" s="205"/>
      <c r="AI364" s="205"/>
      <c r="AJ364" s="205"/>
      <c r="AK364" s="126"/>
      <c r="AL364" s="126"/>
    </row>
    <row r="365">
      <c r="A365" s="119"/>
      <c r="B365" s="154"/>
      <c r="C365" s="89"/>
      <c r="D365" s="55"/>
      <c r="E365" s="119"/>
      <c r="F365" s="154"/>
      <c r="G365" s="192"/>
      <c r="H365" s="193"/>
      <c r="I365" s="119"/>
      <c r="J365" s="154"/>
      <c r="K365" s="89"/>
      <c r="L365" s="55"/>
      <c r="M365" s="119"/>
      <c r="N365" s="194"/>
      <c r="O365" s="89"/>
      <c r="P365" s="55"/>
      <c r="Q365" s="195"/>
      <c r="R365" s="196"/>
      <c r="S365" s="125"/>
      <c r="T365" s="126"/>
      <c r="U365" s="195"/>
      <c r="V365" s="196"/>
      <c r="W365" s="125"/>
      <c r="X365" s="126"/>
      <c r="Y365" s="119"/>
      <c r="Z365" s="197"/>
      <c r="AA365" s="198"/>
      <c r="AB365" s="199"/>
      <c r="AC365" s="119"/>
      <c r="AD365" s="196"/>
      <c r="AE365" s="200"/>
      <c r="AF365" s="201"/>
      <c r="AG365" s="205"/>
      <c r="AH365" s="205"/>
      <c r="AI365" s="205"/>
      <c r="AJ365" s="205"/>
      <c r="AK365" s="126"/>
      <c r="AL365" s="126"/>
    </row>
    <row r="366">
      <c r="A366" s="119"/>
      <c r="B366" s="154"/>
      <c r="C366" s="89"/>
      <c r="D366" s="55"/>
      <c r="E366" s="119"/>
      <c r="F366" s="154"/>
      <c r="G366" s="192"/>
      <c r="H366" s="193"/>
      <c r="I366" s="119"/>
      <c r="J366" s="154"/>
      <c r="K366" s="89"/>
      <c r="L366" s="55"/>
      <c r="M366" s="119"/>
      <c r="N366" s="194"/>
      <c r="O366" s="89"/>
      <c r="P366" s="55"/>
      <c r="Q366" s="195"/>
      <c r="R366" s="196"/>
      <c r="S366" s="125"/>
      <c r="T366" s="126"/>
      <c r="U366" s="195"/>
      <c r="V366" s="196"/>
      <c r="W366" s="125"/>
      <c r="X366" s="126"/>
      <c r="Y366" s="119"/>
      <c r="Z366" s="197"/>
      <c r="AA366" s="198"/>
      <c r="AB366" s="199"/>
      <c r="AC366" s="119"/>
      <c r="AD366" s="196"/>
      <c r="AE366" s="200"/>
      <c r="AF366" s="201"/>
      <c r="AG366" s="205"/>
      <c r="AH366" s="205"/>
      <c r="AI366" s="205"/>
      <c r="AJ366" s="205"/>
      <c r="AK366" s="126"/>
      <c r="AL366" s="126"/>
    </row>
    <row r="367">
      <c r="A367" s="119"/>
      <c r="B367" s="154"/>
      <c r="C367" s="89"/>
      <c r="D367" s="55"/>
      <c r="E367" s="119"/>
      <c r="F367" s="154"/>
      <c r="G367" s="192"/>
      <c r="H367" s="193"/>
      <c r="I367" s="119"/>
      <c r="J367" s="154"/>
      <c r="K367" s="89"/>
      <c r="L367" s="55"/>
      <c r="M367" s="119"/>
      <c r="N367" s="194"/>
      <c r="O367" s="89"/>
      <c r="P367" s="55"/>
      <c r="Q367" s="195"/>
      <c r="R367" s="196"/>
      <c r="S367" s="125"/>
      <c r="T367" s="126"/>
      <c r="U367" s="195"/>
      <c r="V367" s="196"/>
      <c r="W367" s="125"/>
      <c r="X367" s="126"/>
      <c r="Y367" s="119"/>
      <c r="Z367" s="197"/>
      <c r="AA367" s="198"/>
      <c r="AB367" s="199"/>
      <c r="AC367" s="119"/>
      <c r="AD367" s="196"/>
      <c r="AE367" s="200"/>
      <c r="AF367" s="201"/>
      <c r="AG367" s="205"/>
      <c r="AH367" s="205"/>
      <c r="AI367" s="205"/>
      <c r="AJ367" s="205"/>
      <c r="AK367" s="126"/>
      <c r="AL367" s="126"/>
    </row>
    <row r="368">
      <c r="A368" s="119"/>
      <c r="B368" s="154"/>
      <c r="C368" s="89"/>
      <c r="D368" s="55"/>
      <c r="E368" s="119"/>
      <c r="F368" s="154"/>
      <c r="G368" s="192"/>
      <c r="H368" s="193"/>
      <c r="I368" s="119"/>
      <c r="J368" s="154"/>
      <c r="K368" s="89"/>
      <c r="L368" s="55"/>
      <c r="M368" s="119"/>
      <c r="N368" s="194"/>
      <c r="O368" s="89"/>
      <c r="P368" s="55"/>
      <c r="Q368" s="195"/>
      <c r="R368" s="196"/>
      <c r="S368" s="125"/>
      <c r="T368" s="126"/>
      <c r="U368" s="195"/>
      <c r="V368" s="196"/>
      <c r="W368" s="125"/>
      <c r="X368" s="126"/>
      <c r="Y368" s="119"/>
      <c r="Z368" s="197"/>
      <c r="AA368" s="198"/>
      <c r="AB368" s="199"/>
      <c r="AC368" s="119"/>
      <c r="AD368" s="196"/>
      <c r="AE368" s="200"/>
      <c r="AF368" s="201"/>
      <c r="AG368" s="205"/>
      <c r="AH368" s="205"/>
      <c r="AI368" s="205"/>
      <c r="AJ368" s="205"/>
      <c r="AK368" s="126"/>
      <c r="AL368" s="126"/>
    </row>
    <row r="369">
      <c r="A369" s="119"/>
      <c r="B369" s="154"/>
      <c r="C369" s="89"/>
      <c r="D369" s="55"/>
      <c r="E369" s="119"/>
      <c r="F369" s="154"/>
      <c r="G369" s="192"/>
      <c r="H369" s="193"/>
      <c r="I369" s="119"/>
      <c r="J369" s="154"/>
      <c r="K369" s="89"/>
      <c r="L369" s="55"/>
      <c r="M369" s="119"/>
      <c r="N369" s="194"/>
      <c r="O369" s="89"/>
      <c r="P369" s="55"/>
      <c r="Q369" s="195"/>
      <c r="R369" s="196"/>
      <c r="S369" s="125"/>
      <c r="T369" s="126"/>
      <c r="U369" s="195"/>
      <c r="V369" s="196"/>
      <c r="W369" s="125"/>
      <c r="X369" s="126"/>
      <c r="Y369" s="119"/>
      <c r="Z369" s="197"/>
      <c r="AA369" s="198"/>
      <c r="AB369" s="199"/>
      <c r="AC369" s="119"/>
      <c r="AD369" s="196"/>
      <c r="AE369" s="200"/>
      <c r="AF369" s="201"/>
      <c r="AG369" s="205"/>
      <c r="AH369" s="205"/>
      <c r="AI369" s="205"/>
      <c r="AJ369" s="205"/>
      <c r="AK369" s="126"/>
      <c r="AL369" s="126"/>
    </row>
    <row r="370">
      <c r="A370" s="119"/>
      <c r="B370" s="154"/>
      <c r="C370" s="89"/>
      <c r="D370" s="55"/>
      <c r="E370" s="119"/>
      <c r="F370" s="154"/>
      <c r="G370" s="192"/>
      <c r="H370" s="193"/>
      <c r="I370" s="119"/>
      <c r="J370" s="154"/>
      <c r="K370" s="89"/>
      <c r="L370" s="55"/>
      <c r="M370" s="119"/>
      <c r="N370" s="194"/>
      <c r="O370" s="89"/>
      <c r="P370" s="55"/>
      <c r="Q370" s="195"/>
      <c r="R370" s="196"/>
      <c r="S370" s="125"/>
      <c r="T370" s="126"/>
      <c r="U370" s="195"/>
      <c r="V370" s="196"/>
      <c r="W370" s="125"/>
      <c r="X370" s="126"/>
      <c r="Y370" s="119"/>
      <c r="Z370" s="197"/>
      <c r="AA370" s="198"/>
      <c r="AB370" s="199"/>
      <c r="AC370" s="119"/>
      <c r="AD370" s="196"/>
      <c r="AE370" s="200"/>
      <c r="AF370" s="201"/>
      <c r="AG370" s="205"/>
      <c r="AH370" s="205"/>
      <c r="AI370" s="205"/>
      <c r="AJ370" s="205"/>
      <c r="AK370" s="126"/>
      <c r="AL370" s="126"/>
    </row>
    <row r="371">
      <c r="A371" s="119"/>
      <c r="B371" s="154"/>
      <c r="C371" s="89"/>
      <c r="D371" s="55"/>
      <c r="E371" s="119"/>
      <c r="F371" s="154"/>
      <c r="G371" s="192"/>
      <c r="H371" s="193"/>
      <c r="I371" s="119"/>
      <c r="J371" s="154"/>
      <c r="K371" s="89"/>
      <c r="L371" s="55"/>
      <c r="M371" s="119"/>
      <c r="N371" s="194"/>
      <c r="O371" s="89"/>
      <c r="P371" s="55"/>
      <c r="Q371" s="195"/>
      <c r="R371" s="196"/>
      <c r="S371" s="125"/>
      <c r="T371" s="126"/>
      <c r="U371" s="195"/>
      <c r="V371" s="196"/>
      <c r="W371" s="125"/>
      <c r="X371" s="126"/>
      <c r="Y371" s="119"/>
      <c r="Z371" s="197"/>
      <c r="AA371" s="198"/>
      <c r="AB371" s="199"/>
      <c r="AC371" s="119"/>
      <c r="AD371" s="196"/>
      <c r="AE371" s="200"/>
      <c r="AF371" s="201"/>
      <c r="AG371" s="205"/>
      <c r="AH371" s="205"/>
      <c r="AI371" s="205"/>
      <c r="AJ371" s="205"/>
      <c r="AK371" s="126"/>
      <c r="AL371" s="126"/>
    </row>
    <row r="372">
      <c r="A372" s="119"/>
      <c r="B372" s="154"/>
      <c r="C372" s="89"/>
      <c r="D372" s="55"/>
      <c r="E372" s="119"/>
      <c r="F372" s="154"/>
      <c r="G372" s="192"/>
      <c r="H372" s="193"/>
      <c r="I372" s="119"/>
      <c r="J372" s="154"/>
      <c r="K372" s="89"/>
      <c r="L372" s="55"/>
      <c r="M372" s="119"/>
      <c r="N372" s="194"/>
      <c r="O372" s="89"/>
      <c r="P372" s="55"/>
      <c r="Q372" s="195"/>
      <c r="R372" s="196"/>
      <c r="S372" s="125"/>
      <c r="T372" s="126"/>
      <c r="U372" s="195"/>
      <c r="V372" s="196"/>
      <c r="W372" s="125"/>
      <c r="X372" s="126"/>
      <c r="Y372" s="119"/>
      <c r="Z372" s="197"/>
      <c r="AA372" s="198"/>
      <c r="AB372" s="199"/>
      <c r="AC372" s="119"/>
      <c r="AD372" s="196"/>
      <c r="AE372" s="200"/>
      <c r="AF372" s="201"/>
      <c r="AG372" s="205"/>
      <c r="AH372" s="205"/>
      <c r="AI372" s="205"/>
      <c r="AJ372" s="205"/>
      <c r="AK372" s="126"/>
      <c r="AL372" s="126"/>
    </row>
    <row r="373">
      <c r="A373" s="119"/>
      <c r="B373" s="154"/>
      <c r="C373" s="89"/>
      <c r="D373" s="55"/>
      <c r="E373" s="119"/>
      <c r="F373" s="154"/>
      <c r="G373" s="192"/>
      <c r="H373" s="193"/>
      <c r="I373" s="119"/>
      <c r="J373" s="154"/>
      <c r="K373" s="89"/>
      <c r="L373" s="55"/>
      <c r="M373" s="119"/>
      <c r="N373" s="194"/>
      <c r="O373" s="89"/>
      <c r="P373" s="55"/>
      <c r="Q373" s="195"/>
      <c r="R373" s="196"/>
      <c r="S373" s="125"/>
      <c r="T373" s="126"/>
      <c r="U373" s="195"/>
      <c r="V373" s="196"/>
      <c r="W373" s="125"/>
      <c r="X373" s="126"/>
      <c r="Y373" s="119"/>
      <c r="Z373" s="197"/>
      <c r="AA373" s="198"/>
      <c r="AB373" s="199"/>
      <c r="AC373" s="119"/>
      <c r="AD373" s="196"/>
      <c r="AE373" s="200"/>
      <c r="AF373" s="201"/>
      <c r="AG373" s="205"/>
      <c r="AH373" s="205"/>
      <c r="AI373" s="205"/>
      <c r="AJ373" s="205"/>
      <c r="AK373" s="126"/>
      <c r="AL373" s="126"/>
    </row>
    <row r="374">
      <c r="A374" s="119"/>
      <c r="B374" s="154"/>
      <c r="C374" s="89"/>
      <c r="D374" s="55"/>
      <c r="E374" s="119"/>
      <c r="F374" s="154"/>
      <c r="G374" s="192"/>
      <c r="H374" s="193"/>
      <c r="I374" s="119"/>
      <c r="J374" s="154"/>
      <c r="K374" s="89"/>
      <c r="L374" s="55"/>
      <c r="M374" s="119"/>
      <c r="N374" s="194"/>
      <c r="O374" s="89"/>
      <c r="P374" s="55"/>
      <c r="Q374" s="195"/>
      <c r="R374" s="196"/>
      <c r="S374" s="125"/>
      <c r="T374" s="126"/>
      <c r="U374" s="195"/>
      <c r="V374" s="196"/>
      <c r="W374" s="125"/>
      <c r="X374" s="126"/>
      <c r="Y374" s="119"/>
      <c r="Z374" s="197"/>
      <c r="AA374" s="198"/>
      <c r="AB374" s="199"/>
      <c r="AC374" s="119"/>
      <c r="AD374" s="196"/>
      <c r="AE374" s="200"/>
      <c r="AF374" s="201"/>
      <c r="AG374" s="205"/>
      <c r="AH374" s="205"/>
      <c r="AI374" s="205"/>
      <c r="AJ374" s="205"/>
      <c r="AK374" s="126"/>
      <c r="AL374" s="126"/>
    </row>
    <row r="375">
      <c r="A375" s="119"/>
      <c r="B375" s="154"/>
      <c r="C375" s="89"/>
      <c r="D375" s="55"/>
      <c r="E375" s="119"/>
      <c r="F375" s="154"/>
      <c r="G375" s="192"/>
      <c r="H375" s="193"/>
      <c r="I375" s="119"/>
      <c r="J375" s="154"/>
      <c r="K375" s="89"/>
      <c r="L375" s="55"/>
      <c r="M375" s="119"/>
      <c r="N375" s="194"/>
      <c r="O375" s="89"/>
      <c r="P375" s="55"/>
      <c r="Q375" s="195"/>
      <c r="R375" s="196"/>
      <c r="S375" s="125"/>
      <c r="T375" s="126"/>
      <c r="U375" s="195"/>
      <c r="V375" s="196"/>
      <c r="W375" s="125"/>
      <c r="X375" s="126"/>
      <c r="Y375" s="119"/>
      <c r="Z375" s="197"/>
      <c r="AA375" s="198"/>
      <c r="AB375" s="199"/>
      <c r="AC375" s="119"/>
      <c r="AD375" s="196"/>
      <c r="AE375" s="200"/>
      <c r="AF375" s="201"/>
      <c r="AG375" s="205"/>
      <c r="AH375" s="205"/>
      <c r="AI375" s="205"/>
      <c r="AJ375" s="205"/>
      <c r="AK375" s="126"/>
      <c r="AL375" s="126"/>
    </row>
    <row r="376">
      <c r="A376" s="119"/>
      <c r="B376" s="154"/>
      <c r="C376" s="89"/>
      <c r="D376" s="55"/>
      <c r="E376" s="119"/>
      <c r="F376" s="154"/>
      <c r="G376" s="192"/>
      <c r="H376" s="193"/>
      <c r="I376" s="119"/>
      <c r="J376" s="154"/>
      <c r="K376" s="89"/>
      <c r="L376" s="55"/>
      <c r="M376" s="119"/>
      <c r="N376" s="194"/>
      <c r="O376" s="89"/>
      <c r="P376" s="55"/>
      <c r="Q376" s="195"/>
      <c r="R376" s="196"/>
      <c r="S376" s="125"/>
      <c r="T376" s="126"/>
      <c r="U376" s="195"/>
      <c r="V376" s="196"/>
      <c r="W376" s="125"/>
      <c r="X376" s="126"/>
      <c r="Y376" s="119"/>
      <c r="Z376" s="197"/>
      <c r="AA376" s="198"/>
      <c r="AB376" s="199"/>
      <c r="AC376" s="119"/>
      <c r="AD376" s="196"/>
      <c r="AE376" s="200"/>
      <c r="AF376" s="201"/>
      <c r="AG376" s="205"/>
      <c r="AH376" s="205"/>
      <c r="AI376" s="205"/>
      <c r="AJ376" s="205"/>
      <c r="AK376" s="126"/>
      <c r="AL376" s="126"/>
    </row>
    <row r="377">
      <c r="A377" s="119"/>
      <c r="B377" s="154"/>
      <c r="C377" s="89"/>
      <c r="D377" s="55"/>
      <c r="E377" s="119"/>
      <c r="F377" s="154"/>
      <c r="G377" s="192"/>
      <c r="H377" s="193"/>
      <c r="I377" s="119"/>
      <c r="J377" s="154"/>
      <c r="K377" s="89"/>
      <c r="L377" s="55"/>
      <c r="M377" s="119"/>
      <c r="N377" s="194"/>
      <c r="O377" s="89"/>
      <c r="P377" s="55"/>
      <c r="Q377" s="195"/>
      <c r="R377" s="196"/>
      <c r="S377" s="125"/>
      <c r="T377" s="126"/>
      <c r="U377" s="195"/>
      <c r="V377" s="196"/>
      <c r="W377" s="125"/>
      <c r="X377" s="126"/>
      <c r="Y377" s="119"/>
      <c r="Z377" s="197"/>
      <c r="AA377" s="198"/>
      <c r="AB377" s="199"/>
      <c r="AC377" s="119"/>
      <c r="AD377" s="196"/>
      <c r="AE377" s="200"/>
      <c r="AF377" s="201"/>
      <c r="AG377" s="205"/>
      <c r="AH377" s="205"/>
      <c r="AI377" s="205"/>
      <c r="AJ377" s="205"/>
      <c r="AK377" s="126"/>
      <c r="AL377" s="126"/>
    </row>
    <row r="378">
      <c r="A378" s="119"/>
      <c r="B378" s="154"/>
      <c r="C378" s="89"/>
      <c r="D378" s="55"/>
      <c r="E378" s="119"/>
      <c r="F378" s="154"/>
      <c r="G378" s="192"/>
      <c r="H378" s="193"/>
      <c r="I378" s="119"/>
      <c r="J378" s="154"/>
      <c r="K378" s="89"/>
      <c r="L378" s="55"/>
      <c r="M378" s="119"/>
      <c r="N378" s="194"/>
      <c r="O378" s="89"/>
      <c r="P378" s="55"/>
      <c r="Q378" s="195"/>
      <c r="R378" s="196"/>
      <c r="S378" s="125"/>
      <c r="T378" s="126"/>
      <c r="U378" s="195"/>
      <c r="V378" s="196"/>
      <c r="W378" s="125"/>
      <c r="X378" s="126"/>
      <c r="Y378" s="119"/>
      <c r="Z378" s="197"/>
      <c r="AA378" s="198"/>
      <c r="AB378" s="199"/>
      <c r="AC378" s="119"/>
      <c r="AD378" s="196"/>
      <c r="AE378" s="200"/>
      <c r="AF378" s="201"/>
      <c r="AG378" s="205"/>
      <c r="AH378" s="205"/>
      <c r="AI378" s="205"/>
      <c r="AJ378" s="205"/>
      <c r="AK378" s="126"/>
      <c r="AL378" s="126"/>
    </row>
    <row r="379">
      <c r="A379" s="119"/>
      <c r="B379" s="154"/>
      <c r="C379" s="89"/>
      <c r="D379" s="55"/>
      <c r="E379" s="119"/>
      <c r="F379" s="154"/>
      <c r="G379" s="192"/>
      <c r="H379" s="193"/>
      <c r="I379" s="119"/>
      <c r="J379" s="154"/>
      <c r="K379" s="89"/>
      <c r="L379" s="55"/>
      <c r="M379" s="119"/>
      <c r="N379" s="194"/>
      <c r="O379" s="89"/>
      <c r="P379" s="55"/>
      <c r="Q379" s="195"/>
      <c r="R379" s="196"/>
      <c r="S379" s="125"/>
      <c r="T379" s="126"/>
      <c r="U379" s="195"/>
      <c r="V379" s="196"/>
      <c r="W379" s="125"/>
      <c r="X379" s="126"/>
      <c r="Y379" s="119"/>
      <c r="Z379" s="197"/>
      <c r="AA379" s="198"/>
      <c r="AB379" s="199"/>
      <c r="AC379" s="119"/>
      <c r="AD379" s="196"/>
      <c r="AE379" s="200"/>
      <c r="AF379" s="201"/>
      <c r="AG379" s="205"/>
      <c r="AH379" s="205"/>
      <c r="AI379" s="205"/>
      <c r="AJ379" s="205"/>
      <c r="AK379" s="126"/>
      <c r="AL379" s="126"/>
    </row>
    <row r="380">
      <c r="A380" s="119"/>
      <c r="B380" s="154"/>
      <c r="C380" s="89"/>
      <c r="D380" s="55"/>
      <c r="E380" s="119"/>
      <c r="F380" s="154"/>
      <c r="G380" s="192"/>
      <c r="H380" s="193"/>
      <c r="I380" s="119"/>
      <c r="J380" s="154"/>
      <c r="K380" s="89"/>
      <c r="L380" s="55"/>
      <c r="M380" s="119"/>
      <c r="N380" s="194"/>
      <c r="O380" s="89"/>
      <c r="P380" s="55"/>
      <c r="Q380" s="195"/>
      <c r="R380" s="196"/>
      <c r="S380" s="125"/>
      <c r="T380" s="126"/>
      <c r="U380" s="195"/>
      <c r="V380" s="196"/>
      <c r="W380" s="125"/>
      <c r="X380" s="126"/>
      <c r="Y380" s="119"/>
      <c r="Z380" s="197"/>
      <c r="AA380" s="198"/>
      <c r="AB380" s="199"/>
      <c r="AC380" s="119"/>
      <c r="AD380" s="196"/>
      <c r="AE380" s="200"/>
      <c r="AF380" s="201"/>
      <c r="AG380" s="205"/>
      <c r="AH380" s="205"/>
      <c r="AI380" s="205"/>
      <c r="AJ380" s="205"/>
      <c r="AK380" s="126"/>
      <c r="AL380" s="126"/>
    </row>
    <row r="381">
      <c r="A381" s="119"/>
      <c r="B381" s="154"/>
      <c r="C381" s="89"/>
      <c r="D381" s="55"/>
      <c r="E381" s="119"/>
      <c r="F381" s="154"/>
      <c r="G381" s="192"/>
      <c r="H381" s="193"/>
      <c r="I381" s="119"/>
      <c r="J381" s="154"/>
      <c r="K381" s="89"/>
      <c r="L381" s="55"/>
      <c r="M381" s="119"/>
      <c r="N381" s="194"/>
      <c r="O381" s="89"/>
      <c r="P381" s="55"/>
      <c r="Q381" s="195"/>
      <c r="R381" s="196"/>
      <c r="S381" s="125"/>
      <c r="T381" s="126"/>
      <c r="U381" s="195"/>
      <c r="V381" s="196"/>
      <c r="W381" s="125"/>
      <c r="X381" s="126"/>
      <c r="Y381" s="119"/>
      <c r="Z381" s="197"/>
      <c r="AA381" s="198"/>
      <c r="AB381" s="199"/>
      <c r="AC381" s="119"/>
      <c r="AD381" s="196"/>
      <c r="AE381" s="200"/>
      <c r="AF381" s="201"/>
      <c r="AG381" s="205"/>
      <c r="AH381" s="205"/>
      <c r="AI381" s="205"/>
      <c r="AJ381" s="205"/>
      <c r="AK381" s="126"/>
      <c r="AL381" s="126"/>
    </row>
    <row r="382">
      <c r="A382" s="119"/>
      <c r="B382" s="154"/>
      <c r="C382" s="89"/>
      <c r="D382" s="55"/>
      <c r="E382" s="119"/>
      <c r="F382" s="154"/>
      <c r="G382" s="192"/>
      <c r="H382" s="193"/>
      <c r="I382" s="119"/>
      <c r="J382" s="154"/>
      <c r="K382" s="89"/>
      <c r="L382" s="55"/>
      <c r="M382" s="119"/>
      <c r="N382" s="194"/>
      <c r="O382" s="89"/>
      <c r="P382" s="55"/>
      <c r="Q382" s="195"/>
      <c r="R382" s="196"/>
      <c r="S382" s="125"/>
      <c r="T382" s="126"/>
      <c r="U382" s="195"/>
      <c r="V382" s="196"/>
      <c r="W382" s="125"/>
      <c r="X382" s="126"/>
      <c r="Y382" s="119"/>
      <c r="Z382" s="197"/>
      <c r="AA382" s="198"/>
      <c r="AB382" s="199"/>
      <c r="AC382" s="119"/>
      <c r="AD382" s="196"/>
      <c r="AE382" s="200"/>
      <c r="AF382" s="201"/>
      <c r="AG382" s="205"/>
      <c r="AH382" s="205"/>
      <c r="AI382" s="205"/>
      <c r="AJ382" s="205"/>
      <c r="AK382" s="126"/>
      <c r="AL382" s="126"/>
    </row>
    <row r="383">
      <c r="A383" s="119"/>
      <c r="B383" s="154"/>
      <c r="C383" s="89"/>
      <c r="D383" s="55"/>
      <c r="E383" s="119"/>
      <c r="F383" s="154"/>
      <c r="G383" s="192"/>
      <c r="H383" s="193"/>
      <c r="I383" s="119"/>
      <c r="J383" s="154"/>
      <c r="K383" s="89"/>
      <c r="L383" s="55"/>
      <c r="M383" s="119"/>
      <c r="N383" s="194"/>
      <c r="O383" s="89"/>
      <c r="P383" s="55"/>
      <c r="Q383" s="195"/>
      <c r="R383" s="196"/>
      <c r="S383" s="125"/>
      <c r="T383" s="126"/>
      <c r="U383" s="195"/>
      <c r="V383" s="196"/>
      <c r="W383" s="125"/>
      <c r="X383" s="126"/>
      <c r="Y383" s="119"/>
      <c r="Z383" s="197"/>
      <c r="AA383" s="198"/>
      <c r="AB383" s="199"/>
      <c r="AC383" s="119"/>
      <c r="AD383" s="196"/>
      <c r="AE383" s="200"/>
      <c r="AF383" s="201"/>
      <c r="AG383" s="205"/>
      <c r="AH383" s="205"/>
      <c r="AI383" s="205"/>
      <c r="AJ383" s="205"/>
      <c r="AK383" s="126"/>
      <c r="AL383" s="126"/>
    </row>
    <row r="384">
      <c r="A384" s="119"/>
      <c r="B384" s="154"/>
      <c r="C384" s="89"/>
      <c r="D384" s="55"/>
      <c r="E384" s="119"/>
      <c r="F384" s="154"/>
      <c r="G384" s="192"/>
      <c r="H384" s="193"/>
      <c r="I384" s="119"/>
      <c r="J384" s="154"/>
      <c r="K384" s="89"/>
      <c r="L384" s="55"/>
      <c r="M384" s="119"/>
      <c r="N384" s="194"/>
      <c r="O384" s="89"/>
      <c r="P384" s="55"/>
      <c r="Q384" s="195"/>
      <c r="R384" s="196"/>
      <c r="S384" s="125"/>
      <c r="T384" s="126"/>
      <c r="U384" s="195"/>
      <c r="V384" s="196"/>
      <c r="W384" s="125"/>
      <c r="X384" s="126"/>
      <c r="Y384" s="119"/>
      <c r="Z384" s="197"/>
      <c r="AA384" s="198"/>
      <c r="AB384" s="199"/>
      <c r="AC384" s="119"/>
      <c r="AD384" s="196"/>
      <c r="AE384" s="200"/>
      <c r="AF384" s="201"/>
      <c r="AG384" s="205"/>
      <c r="AH384" s="205"/>
      <c r="AI384" s="205"/>
      <c r="AJ384" s="205"/>
      <c r="AK384" s="126"/>
      <c r="AL384" s="126"/>
    </row>
    <row r="385">
      <c r="A385" s="119"/>
      <c r="B385" s="154"/>
      <c r="C385" s="89"/>
      <c r="D385" s="55"/>
      <c r="E385" s="119"/>
      <c r="F385" s="154"/>
      <c r="G385" s="192"/>
      <c r="H385" s="193"/>
      <c r="I385" s="119"/>
      <c r="J385" s="154"/>
      <c r="K385" s="89"/>
      <c r="L385" s="55"/>
      <c r="M385" s="119"/>
      <c r="N385" s="194"/>
      <c r="O385" s="89"/>
      <c r="P385" s="55"/>
      <c r="Q385" s="195"/>
      <c r="R385" s="196"/>
      <c r="S385" s="125"/>
      <c r="T385" s="126"/>
      <c r="U385" s="195"/>
      <c r="V385" s="196"/>
      <c r="W385" s="125"/>
      <c r="X385" s="126"/>
      <c r="Y385" s="119"/>
      <c r="Z385" s="197"/>
      <c r="AA385" s="198"/>
      <c r="AB385" s="199"/>
      <c r="AC385" s="119"/>
      <c r="AD385" s="196"/>
      <c r="AE385" s="200"/>
      <c r="AF385" s="201"/>
      <c r="AG385" s="205"/>
      <c r="AH385" s="205"/>
      <c r="AI385" s="205"/>
      <c r="AJ385" s="205"/>
      <c r="AK385" s="126"/>
      <c r="AL385" s="126"/>
    </row>
    <row r="386">
      <c r="A386" s="119"/>
      <c r="B386" s="154"/>
      <c r="C386" s="89"/>
      <c r="D386" s="55"/>
      <c r="E386" s="119"/>
      <c r="F386" s="154"/>
      <c r="G386" s="192"/>
      <c r="H386" s="193"/>
      <c r="I386" s="119"/>
      <c r="J386" s="154"/>
      <c r="K386" s="89"/>
      <c r="L386" s="55"/>
      <c r="M386" s="119"/>
      <c r="N386" s="194"/>
      <c r="O386" s="89"/>
      <c r="P386" s="55"/>
      <c r="Q386" s="195"/>
      <c r="R386" s="196"/>
      <c r="S386" s="125"/>
      <c r="T386" s="126"/>
      <c r="U386" s="195"/>
      <c r="V386" s="196"/>
      <c r="W386" s="125"/>
      <c r="X386" s="126"/>
      <c r="Y386" s="119"/>
      <c r="Z386" s="197"/>
      <c r="AA386" s="198"/>
      <c r="AB386" s="199"/>
      <c r="AC386" s="119"/>
      <c r="AD386" s="196"/>
      <c r="AE386" s="200"/>
      <c r="AF386" s="201"/>
      <c r="AG386" s="205"/>
      <c r="AH386" s="205"/>
      <c r="AI386" s="205"/>
      <c r="AJ386" s="205"/>
      <c r="AK386" s="126"/>
      <c r="AL386" s="126"/>
    </row>
    <row r="387">
      <c r="A387" s="119"/>
      <c r="B387" s="154"/>
      <c r="C387" s="89"/>
      <c r="D387" s="55"/>
      <c r="E387" s="119"/>
      <c r="F387" s="154"/>
      <c r="G387" s="192"/>
      <c r="H387" s="193"/>
      <c r="I387" s="119"/>
      <c r="J387" s="154"/>
      <c r="K387" s="89"/>
      <c r="L387" s="55"/>
      <c r="M387" s="119"/>
      <c r="N387" s="194"/>
      <c r="O387" s="89"/>
      <c r="P387" s="55"/>
      <c r="Q387" s="195"/>
      <c r="R387" s="196"/>
      <c r="S387" s="125"/>
      <c r="T387" s="126"/>
      <c r="U387" s="195"/>
      <c r="V387" s="196"/>
      <c r="W387" s="125"/>
      <c r="X387" s="126"/>
      <c r="Y387" s="119"/>
      <c r="Z387" s="197"/>
      <c r="AA387" s="198"/>
      <c r="AB387" s="199"/>
      <c r="AC387" s="119"/>
      <c r="AD387" s="196"/>
      <c r="AE387" s="200"/>
      <c r="AF387" s="201"/>
      <c r="AG387" s="205"/>
      <c r="AH387" s="205"/>
      <c r="AI387" s="205"/>
      <c r="AJ387" s="205"/>
      <c r="AK387" s="126"/>
      <c r="AL387" s="126"/>
    </row>
    <row r="388">
      <c r="A388" s="119"/>
      <c r="B388" s="154"/>
      <c r="C388" s="89"/>
      <c r="D388" s="55"/>
      <c r="E388" s="119"/>
      <c r="F388" s="154"/>
      <c r="G388" s="192"/>
      <c r="H388" s="193"/>
      <c r="I388" s="119"/>
      <c r="J388" s="154"/>
      <c r="K388" s="89"/>
      <c r="L388" s="55"/>
      <c r="M388" s="119"/>
      <c r="N388" s="194"/>
      <c r="O388" s="89"/>
      <c r="P388" s="55"/>
      <c r="Q388" s="195"/>
      <c r="R388" s="196"/>
      <c r="S388" s="125"/>
      <c r="T388" s="126"/>
      <c r="U388" s="195"/>
      <c r="V388" s="196"/>
      <c r="W388" s="125"/>
      <c r="X388" s="126"/>
      <c r="Y388" s="119"/>
      <c r="Z388" s="197"/>
      <c r="AA388" s="198"/>
      <c r="AB388" s="199"/>
      <c r="AC388" s="119"/>
      <c r="AD388" s="196"/>
      <c r="AE388" s="200"/>
      <c r="AF388" s="201"/>
      <c r="AG388" s="205"/>
      <c r="AH388" s="205"/>
      <c r="AI388" s="205"/>
      <c r="AJ388" s="205"/>
      <c r="AK388" s="126"/>
      <c r="AL388" s="126"/>
    </row>
    <row r="389">
      <c r="A389" s="119"/>
      <c r="B389" s="154"/>
      <c r="C389" s="89"/>
      <c r="D389" s="55"/>
      <c r="E389" s="119"/>
      <c r="F389" s="154"/>
      <c r="G389" s="192"/>
      <c r="H389" s="193"/>
      <c r="I389" s="119"/>
      <c r="J389" s="154"/>
      <c r="K389" s="89"/>
      <c r="L389" s="55"/>
      <c r="M389" s="119"/>
      <c r="N389" s="194"/>
      <c r="O389" s="89"/>
      <c r="P389" s="55"/>
      <c r="Q389" s="195"/>
      <c r="R389" s="196"/>
      <c r="S389" s="125"/>
      <c r="T389" s="126"/>
      <c r="U389" s="195"/>
      <c r="V389" s="196"/>
      <c r="W389" s="125"/>
      <c r="X389" s="126"/>
      <c r="Y389" s="119"/>
      <c r="Z389" s="197"/>
      <c r="AA389" s="198"/>
      <c r="AB389" s="199"/>
      <c r="AC389" s="119"/>
      <c r="AD389" s="196"/>
      <c r="AE389" s="200"/>
      <c r="AF389" s="201"/>
      <c r="AG389" s="205"/>
      <c r="AH389" s="205"/>
      <c r="AI389" s="205"/>
      <c r="AJ389" s="205"/>
      <c r="AK389" s="126"/>
      <c r="AL389" s="126"/>
    </row>
    <row r="390">
      <c r="A390" s="119"/>
      <c r="B390" s="154"/>
      <c r="C390" s="89"/>
      <c r="D390" s="55"/>
      <c r="E390" s="119"/>
      <c r="F390" s="154"/>
      <c r="G390" s="192"/>
      <c r="H390" s="193"/>
      <c r="I390" s="119"/>
      <c r="J390" s="154"/>
      <c r="K390" s="89"/>
      <c r="L390" s="55"/>
      <c r="M390" s="119"/>
      <c r="N390" s="194"/>
      <c r="O390" s="89"/>
      <c r="P390" s="55"/>
      <c r="Q390" s="195"/>
      <c r="R390" s="196"/>
      <c r="S390" s="125"/>
      <c r="T390" s="126"/>
      <c r="U390" s="195"/>
      <c r="V390" s="196"/>
      <c r="W390" s="125"/>
      <c r="X390" s="126"/>
      <c r="Y390" s="119"/>
      <c r="Z390" s="197"/>
      <c r="AA390" s="198"/>
      <c r="AB390" s="199"/>
      <c r="AC390" s="119"/>
      <c r="AD390" s="196"/>
      <c r="AE390" s="200"/>
      <c r="AF390" s="201"/>
      <c r="AG390" s="205"/>
      <c r="AH390" s="205"/>
      <c r="AI390" s="205"/>
      <c r="AJ390" s="205"/>
      <c r="AK390" s="126"/>
      <c r="AL390" s="126"/>
    </row>
    <row r="391">
      <c r="A391" s="119"/>
      <c r="B391" s="154"/>
      <c r="C391" s="89"/>
      <c r="D391" s="55"/>
      <c r="E391" s="119"/>
      <c r="F391" s="154"/>
      <c r="G391" s="192"/>
      <c r="H391" s="193"/>
      <c r="I391" s="119"/>
      <c r="J391" s="154"/>
      <c r="K391" s="89"/>
      <c r="L391" s="55"/>
      <c r="M391" s="119"/>
      <c r="N391" s="194"/>
      <c r="O391" s="89"/>
      <c r="P391" s="55"/>
      <c r="Q391" s="195"/>
      <c r="R391" s="196"/>
      <c r="S391" s="125"/>
      <c r="T391" s="126"/>
      <c r="U391" s="195"/>
      <c r="V391" s="196"/>
      <c r="W391" s="125"/>
      <c r="X391" s="126"/>
      <c r="Y391" s="119"/>
      <c r="Z391" s="197"/>
      <c r="AA391" s="198"/>
      <c r="AB391" s="199"/>
      <c r="AC391" s="119"/>
      <c r="AD391" s="196"/>
      <c r="AE391" s="200"/>
      <c r="AF391" s="201"/>
      <c r="AG391" s="205"/>
      <c r="AH391" s="205"/>
      <c r="AI391" s="205"/>
      <c r="AJ391" s="205"/>
      <c r="AK391" s="126"/>
      <c r="AL391" s="126"/>
    </row>
    <row r="392">
      <c r="A392" s="119"/>
      <c r="B392" s="154"/>
      <c r="C392" s="89"/>
      <c r="D392" s="55"/>
      <c r="E392" s="119"/>
      <c r="F392" s="154"/>
      <c r="G392" s="192"/>
      <c r="H392" s="193"/>
      <c r="I392" s="119"/>
      <c r="J392" s="154"/>
      <c r="K392" s="89"/>
      <c r="L392" s="55"/>
      <c r="M392" s="119"/>
      <c r="N392" s="194"/>
      <c r="O392" s="89"/>
      <c r="P392" s="55"/>
      <c r="Q392" s="195"/>
      <c r="R392" s="196"/>
      <c r="S392" s="125"/>
      <c r="T392" s="126"/>
      <c r="U392" s="195"/>
      <c r="V392" s="196"/>
      <c r="W392" s="125"/>
      <c r="X392" s="126"/>
      <c r="Y392" s="119"/>
      <c r="Z392" s="197"/>
      <c r="AA392" s="198"/>
      <c r="AB392" s="199"/>
      <c r="AC392" s="119"/>
      <c r="AD392" s="196"/>
      <c r="AE392" s="200"/>
      <c r="AF392" s="201"/>
      <c r="AG392" s="205"/>
      <c r="AH392" s="205"/>
      <c r="AI392" s="205"/>
      <c r="AJ392" s="205"/>
      <c r="AK392" s="126"/>
      <c r="AL392" s="126"/>
    </row>
    <row r="393">
      <c r="A393" s="119"/>
      <c r="B393" s="154"/>
      <c r="C393" s="89"/>
      <c r="D393" s="55"/>
      <c r="E393" s="119"/>
      <c r="F393" s="154"/>
      <c r="G393" s="192"/>
      <c r="H393" s="193"/>
      <c r="I393" s="119"/>
      <c r="J393" s="154"/>
      <c r="K393" s="89"/>
      <c r="L393" s="55"/>
      <c r="M393" s="119"/>
      <c r="N393" s="194"/>
      <c r="O393" s="89"/>
      <c r="P393" s="55"/>
      <c r="Q393" s="195"/>
      <c r="R393" s="196"/>
      <c r="S393" s="125"/>
      <c r="T393" s="126"/>
      <c r="U393" s="195"/>
      <c r="V393" s="196"/>
      <c r="W393" s="125"/>
      <c r="X393" s="126"/>
      <c r="Y393" s="119"/>
      <c r="Z393" s="197"/>
      <c r="AA393" s="198"/>
      <c r="AB393" s="199"/>
      <c r="AC393" s="119"/>
      <c r="AD393" s="196"/>
      <c r="AE393" s="200"/>
      <c r="AF393" s="201"/>
      <c r="AG393" s="205"/>
      <c r="AH393" s="205"/>
      <c r="AI393" s="205"/>
      <c r="AJ393" s="205"/>
      <c r="AK393" s="126"/>
      <c r="AL393" s="126"/>
    </row>
    <row r="394">
      <c r="A394" s="119"/>
      <c r="B394" s="154"/>
      <c r="C394" s="89"/>
      <c r="D394" s="55"/>
      <c r="E394" s="119"/>
      <c r="F394" s="154"/>
      <c r="G394" s="192"/>
      <c r="H394" s="193"/>
      <c r="I394" s="119"/>
      <c r="J394" s="154"/>
      <c r="K394" s="89"/>
      <c r="L394" s="55"/>
      <c r="M394" s="119"/>
      <c r="N394" s="194"/>
      <c r="O394" s="89"/>
      <c r="P394" s="55"/>
      <c r="Q394" s="195"/>
      <c r="R394" s="196"/>
      <c r="S394" s="125"/>
      <c r="T394" s="126"/>
      <c r="U394" s="195"/>
      <c r="V394" s="196"/>
      <c r="W394" s="125"/>
      <c r="X394" s="126"/>
      <c r="Y394" s="119"/>
      <c r="Z394" s="197"/>
      <c r="AA394" s="198"/>
      <c r="AB394" s="199"/>
      <c r="AC394" s="119"/>
      <c r="AD394" s="196"/>
      <c r="AE394" s="200"/>
      <c r="AF394" s="201"/>
      <c r="AG394" s="205"/>
      <c r="AH394" s="205"/>
      <c r="AI394" s="205"/>
      <c r="AJ394" s="205"/>
      <c r="AK394" s="126"/>
      <c r="AL394" s="126"/>
    </row>
    <row r="395">
      <c r="A395" s="119"/>
      <c r="B395" s="154"/>
      <c r="C395" s="89"/>
      <c r="D395" s="55"/>
      <c r="E395" s="119"/>
      <c r="F395" s="154"/>
      <c r="G395" s="192"/>
      <c r="H395" s="193"/>
      <c r="I395" s="119"/>
      <c r="J395" s="154"/>
      <c r="K395" s="89"/>
      <c r="L395" s="55"/>
      <c r="M395" s="119"/>
      <c r="N395" s="194"/>
      <c r="O395" s="89"/>
      <c r="P395" s="55"/>
      <c r="Q395" s="195"/>
      <c r="R395" s="196"/>
      <c r="S395" s="125"/>
      <c r="T395" s="126"/>
      <c r="U395" s="195"/>
      <c r="V395" s="196"/>
      <c r="W395" s="125"/>
      <c r="X395" s="126"/>
      <c r="Y395" s="119"/>
      <c r="Z395" s="197"/>
      <c r="AA395" s="198"/>
      <c r="AB395" s="199"/>
      <c r="AC395" s="119"/>
      <c r="AD395" s="196"/>
      <c r="AE395" s="200"/>
      <c r="AF395" s="201"/>
      <c r="AG395" s="205"/>
      <c r="AH395" s="205"/>
      <c r="AI395" s="205"/>
      <c r="AJ395" s="205"/>
      <c r="AK395" s="126"/>
      <c r="AL395" s="126"/>
    </row>
    <row r="396">
      <c r="A396" s="119"/>
      <c r="B396" s="154"/>
      <c r="C396" s="89"/>
      <c r="D396" s="55"/>
      <c r="E396" s="119"/>
      <c r="F396" s="154"/>
      <c r="G396" s="192"/>
      <c r="H396" s="193"/>
      <c r="I396" s="119"/>
      <c r="J396" s="154"/>
      <c r="K396" s="89"/>
      <c r="L396" s="55"/>
      <c r="M396" s="119"/>
      <c r="N396" s="194"/>
      <c r="O396" s="89"/>
      <c r="P396" s="55"/>
      <c r="Q396" s="195"/>
      <c r="R396" s="196"/>
      <c r="S396" s="125"/>
      <c r="T396" s="126"/>
      <c r="U396" s="195"/>
      <c r="V396" s="196"/>
      <c r="W396" s="125"/>
      <c r="X396" s="126"/>
      <c r="Y396" s="119"/>
      <c r="Z396" s="197"/>
      <c r="AA396" s="198"/>
      <c r="AB396" s="199"/>
      <c r="AC396" s="119"/>
      <c r="AD396" s="196"/>
      <c r="AE396" s="200"/>
      <c r="AF396" s="201"/>
      <c r="AG396" s="205"/>
      <c r="AH396" s="205"/>
      <c r="AI396" s="205"/>
      <c r="AJ396" s="205"/>
      <c r="AK396" s="126"/>
      <c r="AL396" s="126"/>
    </row>
    <row r="397">
      <c r="A397" s="119"/>
      <c r="B397" s="154"/>
      <c r="C397" s="89"/>
      <c r="D397" s="55"/>
      <c r="E397" s="119"/>
      <c r="F397" s="154"/>
      <c r="G397" s="192"/>
      <c r="H397" s="193"/>
      <c r="I397" s="119"/>
      <c r="J397" s="154"/>
      <c r="K397" s="89"/>
      <c r="L397" s="55"/>
      <c r="M397" s="119"/>
      <c r="N397" s="194"/>
      <c r="O397" s="89"/>
      <c r="P397" s="55"/>
      <c r="Q397" s="195"/>
      <c r="R397" s="196"/>
      <c r="S397" s="125"/>
      <c r="T397" s="126"/>
      <c r="U397" s="195"/>
      <c r="V397" s="196"/>
      <c r="W397" s="125"/>
      <c r="X397" s="126"/>
      <c r="Y397" s="119"/>
      <c r="Z397" s="197"/>
      <c r="AA397" s="198"/>
      <c r="AB397" s="199"/>
      <c r="AC397" s="119"/>
      <c r="AD397" s="196"/>
      <c r="AE397" s="200"/>
      <c r="AF397" s="201"/>
      <c r="AG397" s="205"/>
      <c r="AH397" s="205"/>
      <c r="AI397" s="205"/>
      <c r="AJ397" s="205"/>
      <c r="AK397" s="126"/>
      <c r="AL397" s="126"/>
    </row>
    <row r="398">
      <c r="A398" s="119"/>
      <c r="B398" s="154"/>
      <c r="C398" s="89"/>
      <c r="D398" s="55"/>
      <c r="E398" s="119"/>
      <c r="F398" s="154"/>
      <c r="G398" s="192"/>
      <c r="H398" s="193"/>
      <c r="I398" s="119"/>
      <c r="J398" s="154"/>
      <c r="K398" s="89"/>
      <c r="L398" s="55"/>
      <c r="M398" s="119"/>
      <c r="N398" s="194"/>
      <c r="O398" s="89"/>
      <c r="P398" s="55"/>
      <c r="Q398" s="195"/>
      <c r="R398" s="196"/>
      <c r="S398" s="125"/>
      <c r="T398" s="126"/>
      <c r="U398" s="195"/>
      <c r="V398" s="196"/>
      <c r="W398" s="125"/>
      <c r="X398" s="126"/>
      <c r="Y398" s="119"/>
      <c r="Z398" s="197"/>
      <c r="AA398" s="198"/>
      <c r="AB398" s="199"/>
      <c r="AC398" s="119"/>
      <c r="AD398" s="196"/>
      <c r="AE398" s="200"/>
      <c r="AF398" s="201"/>
      <c r="AG398" s="205"/>
      <c r="AH398" s="205"/>
      <c r="AI398" s="205"/>
      <c r="AJ398" s="205"/>
      <c r="AK398" s="126"/>
      <c r="AL398" s="126"/>
    </row>
    <row r="399">
      <c r="A399" s="119"/>
      <c r="B399" s="154"/>
      <c r="C399" s="89"/>
      <c r="D399" s="55"/>
      <c r="E399" s="119"/>
      <c r="F399" s="154"/>
      <c r="G399" s="192"/>
      <c r="H399" s="193"/>
      <c r="I399" s="119"/>
      <c r="J399" s="154"/>
      <c r="K399" s="89"/>
      <c r="L399" s="55"/>
      <c r="M399" s="119"/>
      <c r="N399" s="194"/>
      <c r="O399" s="89"/>
      <c r="P399" s="55"/>
      <c r="Q399" s="195"/>
      <c r="R399" s="196"/>
      <c r="S399" s="125"/>
      <c r="T399" s="126"/>
      <c r="U399" s="195"/>
      <c r="V399" s="196"/>
      <c r="W399" s="125"/>
      <c r="X399" s="126"/>
      <c r="Y399" s="119"/>
      <c r="Z399" s="197"/>
      <c r="AA399" s="198"/>
      <c r="AB399" s="199"/>
      <c r="AC399" s="119"/>
      <c r="AD399" s="196"/>
      <c r="AE399" s="200"/>
      <c r="AF399" s="201"/>
      <c r="AG399" s="205"/>
      <c r="AH399" s="205"/>
      <c r="AI399" s="205"/>
      <c r="AJ399" s="205"/>
      <c r="AK399" s="126"/>
      <c r="AL399" s="126"/>
    </row>
    <row r="400">
      <c r="A400" s="119"/>
      <c r="B400" s="154"/>
      <c r="C400" s="89"/>
      <c r="D400" s="55"/>
      <c r="E400" s="119"/>
      <c r="F400" s="154"/>
      <c r="G400" s="192"/>
      <c r="H400" s="193"/>
      <c r="I400" s="119"/>
      <c r="J400" s="154"/>
      <c r="K400" s="89"/>
      <c r="L400" s="55"/>
      <c r="M400" s="119"/>
      <c r="N400" s="194"/>
      <c r="O400" s="89"/>
      <c r="P400" s="55"/>
      <c r="Q400" s="195"/>
      <c r="R400" s="196"/>
      <c r="S400" s="125"/>
      <c r="T400" s="126"/>
      <c r="U400" s="195"/>
      <c r="V400" s="196"/>
      <c r="W400" s="125"/>
      <c r="X400" s="126"/>
      <c r="Y400" s="119"/>
      <c r="Z400" s="197"/>
      <c r="AA400" s="198"/>
      <c r="AB400" s="199"/>
      <c r="AC400" s="119"/>
      <c r="AD400" s="196"/>
      <c r="AE400" s="200"/>
      <c r="AF400" s="201"/>
      <c r="AG400" s="205"/>
      <c r="AH400" s="205"/>
      <c r="AI400" s="205"/>
      <c r="AJ400" s="205"/>
      <c r="AK400" s="126"/>
      <c r="AL400" s="126"/>
    </row>
    <row r="401">
      <c r="A401" s="119"/>
      <c r="B401" s="154"/>
      <c r="C401" s="89"/>
      <c r="D401" s="55"/>
      <c r="E401" s="119"/>
      <c r="F401" s="154"/>
      <c r="G401" s="192"/>
      <c r="H401" s="193"/>
      <c r="I401" s="119"/>
      <c r="J401" s="154"/>
      <c r="K401" s="89"/>
      <c r="L401" s="55"/>
      <c r="M401" s="119"/>
      <c r="N401" s="194"/>
      <c r="O401" s="89"/>
      <c r="P401" s="55"/>
      <c r="Q401" s="195"/>
      <c r="R401" s="196"/>
      <c r="S401" s="125"/>
      <c r="T401" s="126"/>
      <c r="U401" s="195"/>
      <c r="V401" s="196"/>
      <c r="W401" s="125"/>
      <c r="X401" s="126"/>
      <c r="Y401" s="119"/>
      <c r="Z401" s="197"/>
      <c r="AA401" s="198"/>
      <c r="AB401" s="199"/>
      <c r="AC401" s="119"/>
      <c r="AD401" s="196"/>
      <c r="AE401" s="200"/>
      <c r="AF401" s="201"/>
      <c r="AG401" s="205"/>
      <c r="AH401" s="205"/>
      <c r="AI401" s="205"/>
      <c r="AJ401" s="205"/>
      <c r="AK401" s="126"/>
      <c r="AL401" s="126"/>
    </row>
    <row r="402">
      <c r="A402" s="119"/>
      <c r="B402" s="154"/>
      <c r="C402" s="89"/>
      <c r="D402" s="55"/>
      <c r="E402" s="119"/>
      <c r="F402" s="154"/>
      <c r="G402" s="192"/>
      <c r="H402" s="193"/>
      <c r="I402" s="119"/>
      <c r="J402" s="154"/>
      <c r="K402" s="89"/>
      <c r="L402" s="55"/>
      <c r="M402" s="119"/>
      <c r="N402" s="194"/>
      <c r="O402" s="89"/>
      <c r="P402" s="55"/>
      <c r="Q402" s="195"/>
      <c r="R402" s="196"/>
      <c r="S402" s="125"/>
      <c r="T402" s="126"/>
      <c r="U402" s="195"/>
      <c r="V402" s="196"/>
      <c r="W402" s="125"/>
      <c r="X402" s="126"/>
      <c r="Y402" s="119"/>
      <c r="Z402" s="197"/>
      <c r="AA402" s="198"/>
      <c r="AB402" s="199"/>
      <c r="AC402" s="119"/>
      <c r="AD402" s="196"/>
      <c r="AE402" s="200"/>
      <c r="AF402" s="201"/>
      <c r="AG402" s="205"/>
      <c r="AH402" s="205"/>
      <c r="AI402" s="205"/>
      <c r="AJ402" s="205"/>
      <c r="AK402" s="126"/>
      <c r="AL402" s="126"/>
    </row>
    <row r="403">
      <c r="A403" s="119"/>
      <c r="B403" s="154"/>
      <c r="C403" s="89"/>
      <c r="D403" s="55"/>
      <c r="E403" s="119"/>
      <c r="F403" s="154"/>
      <c r="G403" s="192"/>
      <c r="H403" s="193"/>
      <c r="I403" s="119"/>
      <c r="J403" s="154"/>
      <c r="K403" s="89"/>
      <c r="L403" s="55"/>
      <c r="M403" s="119"/>
      <c r="N403" s="194"/>
      <c r="O403" s="89"/>
      <c r="P403" s="55"/>
      <c r="Q403" s="195"/>
      <c r="R403" s="196"/>
      <c r="S403" s="125"/>
      <c r="T403" s="126"/>
      <c r="U403" s="195"/>
      <c r="V403" s="196"/>
      <c r="W403" s="125"/>
      <c r="X403" s="126"/>
      <c r="Y403" s="119"/>
      <c r="Z403" s="197"/>
      <c r="AA403" s="198"/>
      <c r="AB403" s="199"/>
      <c r="AC403" s="119"/>
      <c r="AD403" s="196"/>
      <c r="AE403" s="200"/>
      <c r="AF403" s="201"/>
      <c r="AG403" s="205"/>
      <c r="AH403" s="205"/>
      <c r="AI403" s="205"/>
      <c r="AJ403" s="205"/>
      <c r="AK403" s="126"/>
      <c r="AL403" s="126"/>
    </row>
    <row r="404">
      <c r="A404" s="119"/>
      <c r="B404" s="154"/>
      <c r="C404" s="89"/>
      <c r="D404" s="55"/>
      <c r="E404" s="119"/>
      <c r="F404" s="154"/>
      <c r="G404" s="192"/>
      <c r="H404" s="193"/>
      <c r="I404" s="119"/>
      <c r="J404" s="154"/>
      <c r="K404" s="89"/>
      <c r="L404" s="55"/>
      <c r="M404" s="119"/>
      <c r="N404" s="194"/>
      <c r="O404" s="89"/>
      <c r="P404" s="55"/>
      <c r="Q404" s="195"/>
      <c r="R404" s="196"/>
      <c r="S404" s="125"/>
      <c r="T404" s="126"/>
      <c r="U404" s="195"/>
      <c r="V404" s="196"/>
      <c r="W404" s="125"/>
      <c r="X404" s="126"/>
      <c r="Y404" s="119"/>
      <c r="Z404" s="197"/>
      <c r="AA404" s="198"/>
      <c r="AB404" s="199"/>
      <c r="AC404" s="119"/>
      <c r="AD404" s="196"/>
      <c r="AE404" s="200"/>
      <c r="AF404" s="201"/>
      <c r="AG404" s="205"/>
      <c r="AH404" s="205"/>
      <c r="AI404" s="205"/>
      <c r="AJ404" s="205"/>
      <c r="AK404" s="126"/>
      <c r="AL404" s="126"/>
    </row>
    <row r="405">
      <c r="A405" s="119"/>
      <c r="B405" s="154"/>
      <c r="C405" s="89"/>
      <c r="D405" s="55"/>
      <c r="E405" s="119"/>
      <c r="F405" s="154"/>
      <c r="G405" s="192"/>
      <c r="H405" s="193"/>
      <c r="I405" s="119"/>
      <c r="J405" s="154"/>
      <c r="K405" s="89"/>
      <c r="L405" s="55"/>
      <c r="M405" s="119"/>
      <c r="N405" s="194"/>
      <c r="O405" s="89"/>
      <c r="P405" s="55"/>
      <c r="Q405" s="195"/>
      <c r="R405" s="196"/>
      <c r="S405" s="125"/>
      <c r="T405" s="126"/>
      <c r="U405" s="195"/>
      <c r="V405" s="196"/>
      <c r="W405" s="125"/>
      <c r="X405" s="126"/>
      <c r="Y405" s="119"/>
      <c r="Z405" s="197"/>
      <c r="AA405" s="198"/>
      <c r="AB405" s="199"/>
      <c r="AC405" s="119"/>
      <c r="AD405" s="196"/>
      <c r="AE405" s="200"/>
      <c r="AF405" s="201"/>
      <c r="AG405" s="205"/>
      <c r="AH405" s="205"/>
      <c r="AI405" s="205"/>
      <c r="AJ405" s="205"/>
      <c r="AK405" s="126"/>
      <c r="AL405" s="126"/>
    </row>
    <row r="406">
      <c r="A406" s="119"/>
      <c r="B406" s="154"/>
      <c r="C406" s="89"/>
      <c r="D406" s="55"/>
      <c r="E406" s="119"/>
      <c r="F406" s="154"/>
      <c r="G406" s="192"/>
      <c r="H406" s="193"/>
      <c r="I406" s="119"/>
      <c r="J406" s="154"/>
      <c r="K406" s="89"/>
      <c r="L406" s="55"/>
      <c r="M406" s="119"/>
      <c r="N406" s="194"/>
      <c r="O406" s="89"/>
      <c r="P406" s="55"/>
      <c r="Q406" s="195"/>
      <c r="R406" s="196"/>
      <c r="S406" s="125"/>
      <c r="T406" s="126"/>
      <c r="U406" s="195"/>
      <c r="V406" s="196"/>
      <c r="W406" s="125"/>
      <c r="X406" s="126"/>
      <c r="Y406" s="119"/>
      <c r="Z406" s="197"/>
      <c r="AA406" s="198"/>
      <c r="AB406" s="199"/>
      <c r="AC406" s="119"/>
      <c r="AD406" s="196"/>
      <c r="AE406" s="200"/>
      <c r="AF406" s="201"/>
      <c r="AG406" s="205"/>
      <c r="AH406" s="205"/>
      <c r="AI406" s="205"/>
      <c r="AJ406" s="205"/>
      <c r="AK406" s="126"/>
      <c r="AL406" s="126"/>
    </row>
    <row r="407">
      <c r="A407" s="119"/>
      <c r="B407" s="154"/>
      <c r="C407" s="89"/>
      <c r="D407" s="55"/>
      <c r="E407" s="119"/>
      <c r="F407" s="154"/>
      <c r="G407" s="192"/>
      <c r="H407" s="193"/>
      <c r="I407" s="119"/>
      <c r="J407" s="154"/>
      <c r="K407" s="89"/>
      <c r="L407" s="55"/>
      <c r="M407" s="119"/>
      <c r="N407" s="194"/>
      <c r="O407" s="89"/>
      <c r="P407" s="55"/>
      <c r="Q407" s="195"/>
      <c r="R407" s="196"/>
      <c r="S407" s="125"/>
      <c r="T407" s="126"/>
      <c r="U407" s="195"/>
      <c r="V407" s="196"/>
      <c r="W407" s="125"/>
      <c r="X407" s="126"/>
      <c r="Y407" s="119"/>
      <c r="Z407" s="197"/>
      <c r="AA407" s="198"/>
      <c r="AB407" s="199"/>
      <c r="AC407" s="119"/>
      <c r="AD407" s="196"/>
      <c r="AE407" s="200"/>
      <c r="AF407" s="201"/>
      <c r="AG407" s="205"/>
      <c r="AH407" s="205"/>
      <c r="AI407" s="205"/>
      <c r="AJ407" s="205"/>
      <c r="AK407" s="126"/>
      <c r="AL407" s="126"/>
    </row>
    <row r="408">
      <c r="A408" s="119"/>
      <c r="B408" s="154"/>
      <c r="C408" s="89"/>
      <c r="D408" s="55"/>
      <c r="E408" s="119"/>
      <c r="F408" s="154"/>
      <c r="G408" s="192"/>
      <c r="H408" s="193"/>
      <c r="I408" s="119"/>
      <c r="J408" s="154"/>
      <c r="K408" s="89"/>
      <c r="L408" s="55"/>
      <c r="M408" s="119"/>
      <c r="N408" s="194"/>
      <c r="O408" s="89"/>
      <c r="P408" s="55"/>
      <c r="Q408" s="195"/>
      <c r="R408" s="196"/>
      <c r="S408" s="125"/>
      <c r="T408" s="126"/>
      <c r="U408" s="195"/>
      <c r="V408" s="196"/>
      <c r="W408" s="125"/>
      <c r="X408" s="126"/>
      <c r="Y408" s="119"/>
      <c r="Z408" s="197"/>
      <c r="AA408" s="198"/>
      <c r="AB408" s="199"/>
      <c r="AC408" s="119"/>
      <c r="AD408" s="196"/>
      <c r="AE408" s="200"/>
      <c r="AF408" s="201"/>
      <c r="AG408" s="205"/>
      <c r="AH408" s="205"/>
      <c r="AI408" s="205"/>
      <c r="AJ408" s="205"/>
      <c r="AK408" s="126"/>
      <c r="AL408" s="126"/>
    </row>
    <row r="409">
      <c r="A409" s="119"/>
      <c r="B409" s="154"/>
      <c r="C409" s="89"/>
      <c r="D409" s="55"/>
      <c r="E409" s="119"/>
      <c r="F409" s="154"/>
      <c r="G409" s="192"/>
      <c r="H409" s="193"/>
      <c r="I409" s="119"/>
      <c r="J409" s="154"/>
      <c r="K409" s="89"/>
      <c r="L409" s="55"/>
      <c r="M409" s="119"/>
      <c r="N409" s="194"/>
      <c r="O409" s="89"/>
      <c r="P409" s="55"/>
      <c r="Q409" s="195"/>
      <c r="R409" s="196"/>
      <c r="S409" s="125"/>
      <c r="T409" s="126"/>
      <c r="U409" s="195"/>
      <c r="V409" s="196"/>
      <c r="W409" s="125"/>
      <c r="X409" s="126"/>
      <c r="Y409" s="119"/>
      <c r="Z409" s="197"/>
      <c r="AA409" s="198"/>
      <c r="AB409" s="199"/>
      <c r="AC409" s="119"/>
      <c r="AD409" s="196"/>
      <c r="AE409" s="200"/>
      <c r="AF409" s="201"/>
      <c r="AG409" s="205"/>
      <c r="AH409" s="205"/>
      <c r="AI409" s="205"/>
      <c r="AJ409" s="205"/>
      <c r="AK409" s="126"/>
      <c r="AL409" s="126"/>
    </row>
    <row r="410">
      <c r="A410" s="119"/>
      <c r="B410" s="154"/>
      <c r="C410" s="89"/>
      <c r="D410" s="55"/>
      <c r="E410" s="119"/>
      <c r="F410" s="154"/>
      <c r="G410" s="192"/>
      <c r="H410" s="193"/>
      <c r="I410" s="119"/>
      <c r="J410" s="154"/>
      <c r="K410" s="89"/>
      <c r="L410" s="55"/>
      <c r="M410" s="119"/>
      <c r="N410" s="194"/>
      <c r="O410" s="89"/>
      <c r="P410" s="55"/>
      <c r="Q410" s="195"/>
      <c r="R410" s="196"/>
      <c r="S410" s="125"/>
      <c r="T410" s="126"/>
      <c r="U410" s="195"/>
      <c r="V410" s="196"/>
      <c r="W410" s="125"/>
      <c r="X410" s="126"/>
      <c r="Y410" s="119"/>
      <c r="Z410" s="197"/>
      <c r="AA410" s="198"/>
      <c r="AB410" s="199"/>
      <c r="AC410" s="119"/>
      <c r="AD410" s="196"/>
      <c r="AE410" s="200"/>
      <c r="AF410" s="201"/>
      <c r="AG410" s="205"/>
      <c r="AH410" s="205"/>
      <c r="AI410" s="205"/>
      <c r="AJ410" s="205"/>
      <c r="AK410" s="126"/>
      <c r="AL410" s="126"/>
    </row>
    <row r="411">
      <c r="A411" s="119"/>
      <c r="B411" s="154"/>
      <c r="C411" s="89"/>
      <c r="D411" s="55"/>
      <c r="E411" s="119"/>
      <c r="F411" s="154"/>
      <c r="G411" s="192"/>
      <c r="H411" s="193"/>
      <c r="I411" s="119"/>
      <c r="J411" s="154"/>
      <c r="K411" s="89"/>
      <c r="L411" s="55"/>
      <c r="M411" s="119"/>
      <c r="N411" s="194"/>
      <c r="O411" s="89"/>
      <c r="P411" s="55"/>
      <c r="Q411" s="195"/>
      <c r="R411" s="196"/>
      <c r="S411" s="125"/>
      <c r="T411" s="126"/>
      <c r="U411" s="195"/>
      <c r="V411" s="196"/>
      <c r="W411" s="125"/>
      <c r="X411" s="126"/>
      <c r="Y411" s="119"/>
      <c r="Z411" s="197"/>
      <c r="AA411" s="198"/>
      <c r="AB411" s="199"/>
      <c r="AC411" s="119"/>
      <c r="AD411" s="196"/>
      <c r="AE411" s="200"/>
      <c r="AF411" s="201"/>
      <c r="AG411" s="205"/>
      <c r="AH411" s="205"/>
      <c r="AI411" s="205"/>
      <c r="AJ411" s="205"/>
      <c r="AK411" s="126"/>
      <c r="AL411" s="126"/>
    </row>
    <row r="412">
      <c r="A412" s="119"/>
      <c r="B412" s="154"/>
      <c r="C412" s="89"/>
      <c r="D412" s="55"/>
      <c r="E412" s="119"/>
      <c r="F412" s="154"/>
      <c r="G412" s="192"/>
      <c r="H412" s="193"/>
      <c r="I412" s="119"/>
      <c r="J412" s="154"/>
      <c r="K412" s="89"/>
      <c r="L412" s="55"/>
      <c r="M412" s="119"/>
      <c r="N412" s="194"/>
      <c r="O412" s="89"/>
      <c r="P412" s="55"/>
      <c r="Q412" s="195"/>
      <c r="R412" s="196"/>
      <c r="S412" s="125"/>
      <c r="T412" s="126"/>
      <c r="U412" s="195"/>
      <c r="V412" s="196"/>
      <c r="W412" s="125"/>
      <c r="X412" s="126"/>
      <c r="Y412" s="119"/>
      <c r="Z412" s="197"/>
      <c r="AA412" s="198"/>
      <c r="AB412" s="199"/>
      <c r="AC412" s="119"/>
      <c r="AD412" s="196"/>
      <c r="AE412" s="200"/>
      <c r="AF412" s="201"/>
      <c r="AG412" s="205"/>
      <c r="AH412" s="205"/>
      <c r="AI412" s="205"/>
      <c r="AJ412" s="205"/>
      <c r="AK412" s="126"/>
      <c r="AL412" s="126"/>
    </row>
    <row r="413">
      <c r="A413" s="119"/>
      <c r="B413" s="154"/>
      <c r="C413" s="89"/>
      <c r="D413" s="55"/>
      <c r="E413" s="119"/>
      <c r="F413" s="154"/>
      <c r="G413" s="192"/>
      <c r="H413" s="193"/>
      <c r="I413" s="119"/>
      <c r="J413" s="154"/>
      <c r="K413" s="89"/>
      <c r="L413" s="55"/>
      <c r="M413" s="119"/>
      <c r="N413" s="194"/>
      <c r="O413" s="89"/>
      <c r="P413" s="55"/>
      <c r="Q413" s="195"/>
      <c r="R413" s="196"/>
      <c r="S413" s="125"/>
      <c r="T413" s="126"/>
      <c r="U413" s="195"/>
      <c r="V413" s="196"/>
      <c r="W413" s="125"/>
      <c r="X413" s="126"/>
      <c r="Y413" s="119"/>
      <c r="Z413" s="197"/>
      <c r="AA413" s="198"/>
      <c r="AB413" s="199"/>
      <c r="AC413" s="119"/>
      <c r="AD413" s="196"/>
      <c r="AE413" s="200"/>
      <c r="AF413" s="201"/>
      <c r="AG413" s="205"/>
      <c r="AH413" s="205"/>
      <c r="AI413" s="205"/>
      <c r="AJ413" s="205"/>
      <c r="AK413" s="126"/>
      <c r="AL413" s="126"/>
    </row>
    <row r="414">
      <c r="A414" s="119"/>
      <c r="B414" s="154"/>
      <c r="C414" s="89"/>
      <c r="D414" s="55"/>
      <c r="E414" s="119"/>
      <c r="F414" s="154"/>
      <c r="G414" s="192"/>
      <c r="H414" s="193"/>
      <c r="I414" s="119"/>
      <c r="J414" s="154"/>
      <c r="K414" s="89"/>
      <c r="L414" s="55"/>
      <c r="M414" s="119"/>
      <c r="N414" s="194"/>
      <c r="O414" s="89"/>
      <c r="P414" s="55"/>
      <c r="Q414" s="195"/>
      <c r="R414" s="196"/>
      <c r="S414" s="125"/>
      <c r="T414" s="126"/>
      <c r="U414" s="195"/>
      <c r="V414" s="196"/>
      <c r="W414" s="125"/>
      <c r="X414" s="126"/>
      <c r="Y414" s="119"/>
      <c r="Z414" s="197"/>
      <c r="AA414" s="198"/>
      <c r="AB414" s="199"/>
      <c r="AC414" s="119"/>
      <c r="AD414" s="196"/>
      <c r="AE414" s="200"/>
      <c r="AF414" s="201"/>
      <c r="AG414" s="205"/>
      <c r="AH414" s="205"/>
      <c r="AI414" s="205"/>
      <c r="AJ414" s="205"/>
      <c r="AK414" s="126"/>
      <c r="AL414" s="126"/>
    </row>
    <row r="415">
      <c r="A415" s="119"/>
      <c r="B415" s="154"/>
      <c r="C415" s="89"/>
      <c r="D415" s="55"/>
      <c r="E415" s="119"/>
      <c r="F415" s="154"/>
      <c r="G415" s="192"/>
      <c r="H415" s="193"/>
      <c r="I415" s="119"/>
      <c r="J415" s="154"/>
      <c r="K415" s="89"/>
      <c r="L415" s="55"/>
      <c r="M415" s="119"/>
      <c r="N415" s="194"/>
      <c r="O415" s="89"/>
      <c r="P415" s="55"/>
      <c r="Q415" s="195"/>
      <c r="R415" s="196"/>
      <c r="S415" s="125"/>
      <c r="T415" s="126"/>
      <c r="U415" s="195"/>
      <c r="V415" s="196"/>
      <c r="W415" s="125"/>
      <c r="X415" s="126"/>
      <c r="Y415" s="119"/>
      <c r="Z415" s="197"/>
      <c r="AA415" s="198"/>
      <c r="AB415" s="199"/>
      <c r="AC415" s="119"/>
      <c r="AD415" s="196"/>
      <c r="AE415" s="200"/>
      <c r="AF415" s="201"/>
      <c r="AG415" s="205"/>
      <c r="AH415" s="205"/>
      <c r="AI415" s="205"/>
      <c r="AJ415" s="205"/>
      <c r="AK415" s="126"/>
      <c r="AL415" s="126"/>
    </row>
    <row r="416">
      <c r="A416" s="119"/>
      <c r="B416" s="154"/>
      <c r="C416" s="89"/>
      <c r="D416" s="55"/>
      <c r="E416" s="119"/>
      <c r="F416" s="154"/>
      <c r="G416" s="192"/>
      <c r="H416" s="193"/>
      <c r="I416" s="119"/>
      <c r="J416" s="154"/>
      <c r="K416" s="89"/>
      <c r="L416" s="55"/>
      <c r="M416" s="119"/>
      <c r="N416" s="194"/>
      <c r="O416" s="89"/>
      <c r="P416" s="55"/>
      <c r="Q416" s="195"/>
      <c r="R416" s="196"/>
      <c r="S416" s="125"/>
      <c r="T416" s="126"/>
      <c r="U416" s="195"/>
      <c r="V416" s="196"/>
      <c r="W416" s="125"/>
      <c r="X416" s="126"/>
      <c r="Y416" s="119"/>
      <c r="Z416" s="197"/>
      <c r="AA416" s="198"/>
      <c r="AB416" s="199"/>
      <c r="AC416" s="119"/>
      <c r="AD416" s="196"/>
      <c r="AE416" s="200"/>
      <c r="AF416" s="201"/>
      <c r="AG416" s="205"/>
      <c r="AH416" s="205"/>
      <c r="AI416" s="205"/>
      <c r="AJ416" s="205"/>
      <c r="AK416" s="126"/>
      <c r="AL416" s="126"/>
    </row>
    <row r="417">
      <c r="A417" s="119"/>
      <c r="B417" s="154"/>
      <c r="C417" s="89"/>
      <c r="D417" s="55"/>
      <c r="E417" s="119"/>
      <c r="F417" s="154"/>
      <c r="G417" s="192"/>
      <c r="H417" s="193"/>
      <c r="I417" s="119"/>
      <c r="J417" s="154"/>
      <c r="K417" s="89"/>
      <c r="L417" s="55"/>
      <c r="M417" s="119"/>
      <c r="N417" s="194"/>
      <c r="O417" s="89"/>
      <c r="P417" s="55"/>
      <c r="Q417" s="195"/>
      <c r="R417" s="196"/>
      <c r="S417" s="125"/>
      <c r="T417" s="126"/>
      <c r="U417" s="195"/>
      <c r="V417" s="196"/>
      <c r="W417" s="125"/>
      <c r="X417" s="126"/>
      <c r="Y417" s="119"/>
      <c r="Z417" s="197"/>
      <c r="AA417" s="198"/>
      <c r="AB417" s="199"/>
      <c r="AC417" s="119"/>
      <c r="AD417" s="196"/>
      <c r="AE417" s="200"/>
      <c r="AF417" s="201"/>
      <c r="AG417" s="205"/>
      <c r="AH417" s="205"/>
      <c r="AI417" s="205"/>
      <c r="AJ417" s="205"/>
      <c r="AK417" s="126"/>
      <c r="AL417" s="126"/>
    </row>
    <row r="418">
      <c r="A418" s="119"/>
      <c r="B418" s="154"/>
      <c r="C418" s="89"/>
      <c r="D418" s="55"/>
      <c r="E418" s="119"/>
      <c r="F418" s="154"/>
      <c r="G418" s="192"/>
      <c r="H418" s="193"/>
      <c r="I418" s="119"/>
      <c r="J418" s="154"/>
      <c r="K418" s="89"/>
      <c r="L418" s="55"/>
      <c r="M418" s="119"/>
      <c r="N418" s="194"/>
      <c r="O418" s="89"/>
      <c r="P418" s="55"/>
      <c r="Q418" s="195"/>
      <c r="R418" s="196"/>
      <c r="S418" s="125"/>
      <c r="T418" s="126"/>
      <c r="U418" s="195"/>
      <c r="V418" s="196"/>
      <c r="W418" s="125"/>
      <c r="X418" s="126"/>
      <c r="Y418" s="119"/>
      <c r="Z418" s="197"/>
      <c r="AA418" s="198"/>
      <c r="AB418" s="199"/>
      <c r="AC418" s="119"/>
      <c r="AD418" s="196"/>
      <c r="AE418" s="200"/>
      <c r="AF418" s="201"/>
      <c r="AG418" s="205"/>
      <c r="AH418" s="205"/>
      <c r="AI418" s="205"/>
      <c r="AJ418" s="205"/>
      <c r="AK418" s="126"/>
      <c r="AL418" s="126"/>
    </row>
    <row r="419">
      <c r="A419" s="119"/>
      <c r="B419" s="154"/>
      <c r="C419" s="89"/>
      <c r="D419" s="55"/>
      <c r="E419" s="119"/>
      <c r="F419" s="154"/>
      <c r="G419" s="192"/>
      <c r="H419" s="193"/>
      <c r="I419" s="119"/>
      <c r="J419" s="154"/>
      <c r="K419" s="89"/>
      <c r="L419" s="55"/>
      <c r="M419" s="119"/>
      <c r="N419" s="194"/>
      <c r="O419" s="89"/>
      <c r="P419" s="55"/>
      <c r="Q419" s="195"/>
      <c r="R419" s="196"/>
      <c r="S419" s="125"/>
      <c r="T419" s="126"/>
      <c r="U419" s="195"/>
      <c r="V419" s="196"/>
      <c r="W419" s="125"/>
      <c r="X419" s="126"/>
      <c r="Y419" s="119"/>
      <c r="Z419" s="197"/>
      <c r="AA419" s="198"/>
      <c r="AB419" s="199"/>
      <c r="AC419" s="119"/>
      <c r="AD419" s="196"/>
      <c r="AE419" s="200"/>
      <c r="AF419" s="201"/>
      <c r="AG419" s="205"/>
      <c r="AH419" s="205"/>
      <c r="AI419" s="205"/>
      <c r="AJ419" s="205"/>
      <c r="AK419" s="126"/>
      <c r="AL419" s="126"/>
    </row>
    <row r="420">
      <c r="A420" s="119"/>
      <c r="B420" s="154"/>
      <c r="C420" s="89"/>
      <c r="D420" s="55"/>
      <c r="E420" s="119"/>
      <c r="F420" s="154"/>
      <c r="G420" s="192"/>
      <c r="H420" s="193"/>
      <c r="I420" s="119"/>
      <c r="J420" s="154"/>
      <c r="K420" s="89"/>
      <c r="L420" s="55"/>
      <c r="M420" s="119"/>
      <c r="N420" s="194"/>
      <c r="O420" s="89"/>
      <c r="P420" s="55"/>
      <c r="Q420" s="195"/>
      <c r="R420" s="196"/>
      <c r="S420" s="125"/>
      <c r="T420" s="126"/>
      <c r="U420" s="195"/>
      <c r="V420" s="196"/>
      <c r="W420" s="125"/>
      <c r="X420" s="126"/>
      <c r="Y420" s="119"/>
      <c r="Z420" s="197"/>
      <c r="AA420" s="198"/>
      <c r="AB420" s="199"/>
      <c r="AC420" s="119"/>
      <c r="AD420" s="196"/>
      <c r="AE420" s="200"/>
      <c r="AF420" s="201"/>
      <c r="AG420" s="205"/>
      <c r="AH420" s="205"/>
      <c r="AI420" s="205"/>
      <c r="AJ420" s="205"/>
      <c r="AK420" s="126"/>
      <c r="AL420" s="126"/>
    </row>
    <row r="421">
      <c r="A421" s="119"/>
      <c r="B421" s="154"/>
      <c r="C421" s="89"/>
      <c r="D421" s="55"/>
      <c r="E421" s="119"/>
      <c r="F421" s="154"/>
      <c r="G421" s="192"/>
      <c r="H421" s="193"/>
      <c r="I421" s="119"/>
      <c r="J421" s="154"/>
      <c r="K421" s="89"/>
      <c r="L421" s="55"/>
      <c r="M421" s="119"/>
      <c r="N421" s="194"/>
      <c r="O421" s="89"/>
      <c r="P421" s="55"/>
      <c r="Q421" s="195"/>
      <c r="R421" s="196"/>
      <c r="S421" s="125"/>
      <c r="T421" s="126"/>
      <c r="U421" s="195"/>
      <c r="V421" s="196"/>
      <c r="W421" s="125"/>
      <c r="X421" s="126"/>
      <c r="Y421" s="119"/>
      <c r="Z421" s="197"/>
      <c r="AA421" s="198"/>
      <c r="AB421" s="199"/>
      <c r="AC421" s="119"/>
      <c r="AD421" s="196"/>
      <c r="AE421" s="200"/>
      <c r="AF421" s="201"/>
      <c r="AG421" s="205"/>
      <c r="AH421" s="205"/>
      <c r="AI421" s="205"/>
      <c r="AJ421" s="205"/>
      <c r="AK421" s="126"/>
      <c r="AL421" s="126"/>
    </row>
    <row r="422">
      <c r="A422" s="119"/>
      <c r="B422" s="154"/>
      <c r="C422" s="89"/>
      <c r="D422" s="55"/>
      <c r="E422" s="119"/>
      <c r="F422" s="154"/>
      <c r="G422" s="192"/>
      <c r="H422" s="193"/>
      <c r="I422" s="119"/>
      <c r="J422" s="154"/>
      <c r="K422" s="89"/>
      <c r="L422" s="55"/>
      <c r="M422" s="119"/>
      <c r="N422" s="194"/>
      <c r="O422" s="89"/>
      <c r="P422" s="55"/>
      <c r="Q422" s="195"/>
      <c r="R422" s="196"/>
      <c r="S422" s="125"/>
      <c r="T422" s="126"/>
      <c r="U422" s="195"/>
      <c r="V422" s="196"/>
      <c r="W422" s="125"/>
      <c r="X422" s="126"/>
      <c r="Y422" s="119"/>
      <c r="Z422" s="197"/>
      <c r="AA422" s="198"/>
      <c r="AB422" s="199"/>
      <c r="AC422" s="119"/>
      <c r="AD422" s="196"/>
      <c r="AE422" s="200"/>
      <c r="AF422" s="201"/>
      <c r="AG422" s="205"/>
      <c r="AH422" s="205"/>
      <c r="AI422" s="205"/>
      <c r="AJ422" s="205"/>
      <c r="AK422" s="126"/>
      <c r="AL422" s="126"/>
    </row>
    <row r="423">
      <c r="A423" s="119"/>
      <c r="B423" s="154"/>
      <c r="C423" s="89"/>
      <c r="D423" s="55"/>
      <c r="E423" s="119"/>
      <c r="F423" s="154"/>
      <c r="G423" s="192"/>
      <c r="H423" s="193"/>
      <c r="I423" s="119"/>
      <c r="J423" s="154"/>
      <c r="K423" s="89"/>
      <c r="L423" s="55"/>
      <c r="M423" s="119"/>
      <c r="N423" s="194"/>
      <c r="O423" s="89"/>
      <c r="P423" s="55"/>
      <c r="Q423" s="195"/>
      <c r="R423" s="196"/>
      <c r="S423" s="125"/>
      <c r="T423" s="126"/>
      <c r="U423" s="195"/>
      <c r="V423" s="196"/>
      <c r="W423" s="125"/>
      <c r="X423" s="126"/>
      <c r="Y423" s="119"/>
      <c r="Z423" s="197"/>
      <c r="AA423" s="198"/>
      <c r="AB423" s="199"/>
      <c r="AC423" s="119"/>
      <c r="AD423" s="196"/>
      <c r="AE423" s="200"/>
      <c r="AF423" s="201"/>
      <c r="AG423" s="205"/>
      <c r="AH423" s="205"/>
      <c r="AI423" s="205"/>
      <c r="AJ423" s="205"/>
      <c r="AK423" s="126"/>
      <c r="AL423" s="126"/>
    </row>
    <row r="424">
      <c r="A424" s="119"/>
      <c r="B424" s="154"/>
      <c r="C424" s="89"/>
      <c r="D424" s="55"/>
      <c r="E424" s="119"/>
      <c r="F424" s="154"/>
      <c r="G424" s="192"/>
      <c r="H424" s="193"/>
      <c r="I424" s="119"/>
      <c r="J424" s="154"/>
      <c r="K424" s="89"/>
      <c r="L424" s="55"/>
      <c r="M424" s="119"/>
      <c r="N424" s="194"/>
      <c r="O424" s="89"/>
      <c r="P424" s="55"/>
      <c r="Q424" s="195"/>
      <c r="R424" s="196"/>
      <c r="S424" s="125"/>
      <c r="T424" s="126"/>
      <c r="U424" s="195"/>
      <c r="V424" s="196"/>
      <c r="W424" s="125"/>
      <c r="X424" s="126"/>
      <c r="Y424" s="119"/>
      <c r="Z424" s="197"/>
      <c r="AA424" s="198"/>
      <c r="AB424" s="199"/>
      <c r="AC424" s="119"/>
      <c r="AD424" s="196"/>
      <c r="AE424" s="200"/>
      <c r="AF424" s="201"/>
      <c r="AG424" s="205"/>
      <c r="AH424" s="205"/>
      <c r="AI424" s="205"/>
      <c r="AJ424" s="205"/>
      <c r="AK424" s="126"/>
      <c r="AL424" s="126"/>
    </row>
    <row r="425">
      <c r="A425" s="119"/>
      <c r="B425" s="154"/>
      <c r="C425" s="89"/>
      <c r="D425" s="55"/>
      <c r="E425" s="119"/>
      <c r="F425" s="154"/>
      <c r="G425" s="192"/>
      <c r="H425" s="193"/>
      <c r="I425" s="119"/>
      <c r="J425" s="154"/>
      <c r="K425" s="89"/>
      <c r="L425" s="55"/>
      <c r="M425" s="119"/>
      <c r="N425" s="194"/>
      <c r="O425" s="89"/>
      <c r="P425" s="55"/>
      <c r="Q425" s="195"/>
      <c r="R425" s="196"/>
      <c r="S425" s="125"/>
      <c r="T425" s="126"/>
      <c r="U425" s="195"/>
      <c r="V425" s="196"/>
      <c r="W425" s="125"/>
      <c r="X425" s="126"/>
      <c r="Y425" s="119"/>
      <c r="Z425" s="197"/>
      <c r="AA425" s="198"/>
      <c r="AB425" s="199"/>
      <c r="AC425" s="119"/>
      <c r="AD425" s="196"/>
      <c r="AE425" s="200"/>
      <c r="AF425" s="201"/>
      <c r="AG425" s="205"/>
      <c r="AH425" s="205"/>
      <c r="AI425" s="205"/>
      <c r="AJ425" s="205"/>
      <c r="AK425" s="126"/>
      <c r="AL425" s="126"/>
    </row>
    <row r="426">
      <c r="A426" s="119"/>
      <c r="B426" s="154"/>
      <c r="C426" s="89"/>
      <c r="D426" s="55"/>
      <c r="E426" s="119"/>
      <c r="F426" s="154"/>
      <c r="G426" s="192"/>
      <c r="H426" s="193"/>
      <c r="I426" s="119"/>
      <c r="J426" s="154"/>
      <c r="K426" s="89"/>
      <c r="L426" s="55"/>
      <c r="M426" s="119"/>
      <c r="N426" s="194"/>
      <c r="O426" s="89"/>
      <c r="P426" s="55"/>
      <c r="Q426" s="195"/>
      <c r="R426" s="196"/>
      <c r="S426" s="125"/>
      <c r="T426" s="126"/>
      <c r="U426" s="195"/>
      <c r="V426" s="196"/>
      <c r="W426" s="125"/>
      <c r="X426" s="126"/>
      <c r="Y426" s="119"/>
      <c r="Z426" s="197"/>
      <c r="AA426" s="198"/>
      <c r="AB426" s="199"/>
      <c r="AC426" s="119"/>
      <c r="AD426" s="196"/>
      <c r="AE426" s="200"/>
      <c r="AF426" s="201"/>
      <c r="AG426" s="205"/>
      <c r="AH426" s="205"/>
      <c r="AI426" s="205"/>
      <c r="AJ426" s="205"/>
      <c r="AK426" s="126"/>
      <c r="AL426" s="126"/>
    </row>
    <row r="427">
      <c r="A427" s="119"/>
      <c r="B427" s="154"/>
      <c r="C427" s="89"/>
      <c r="D427" s="55"/>
      <c r="E427" s="119"/>
      <c r="F427" s="154"/>
      <c r="G427" s="192"/>
      <c r="H427" s="193"/>
      <c r="I427" s="119"/>
      <c r="J427" s="154"/>
      <c r="K427" s="89"/>
      <c r="L427" s="55"/>
      <c r="M427" s="119"/>
      <c r="N427" s="194"/>
      <c r="O427" s="89"/>
      <c r="P427" s="55"/>
      <c r="Q427" s="195"/>
      <c r="R427" s="196"/>
      <c r="S427" s="125"/>
      <c r="T427" s="126"/>
      <c r="U427" s="195"/>
      <c r="V427" s="196"/>
      <c r="W427" s="125"/>
      <c r="X427" s="126"/>
      <c r="Y427" s="119"/>
      <c r="Z427" s="197"/>
      <c r="AA427" s="198"/>
      <c r="AB427" s="199"/>
      <c r="AC427" s="119"/>
      <c r="AD427" s="196"/>
      <c r="AE427" s="200"/>
      <c r="AF427" s="201"/>
      <c r="AG427" s="205"/>
      <c r="AH427" s="205"/>
      <c r="AI427" s="205"/>
      <c r="AJ427" s="205"/>
      <c r="AK427" s="126"/>
      <c r="AL427" s="126"/>
    </row>
    <row r="428">
      <c r="A428" s="119"/>
      <c r="B428" s="154"/>
      <c r="C428" s="89"/>
      <c r="D428" s="55"/>
      <c r="E428" s="119"/>
      <c r="F428" s="154"/>
      <c r="G428" s="192"/>
      <c r="H428" s="193"/>
      <c r="I428" s="119"/>
      <c r="J428" s="154"/>
      <c r="K428" s="89"/>
      <c r="L428" s="55"/>
      <c r="M428" s="119"/>
      <c r="N428" s="194"/>
      <c r="O428" s="89"/>
      <c r="P428" s="55"/>
      <c r="Q428" s="195"/>
      <c r="R428" s="196"/>
      <c r="S428" s="125"/>
      <c r="T428" s="126"/>
      <c r="U428" s="195"/>
      <c r="V428" s="196"/>
      <c r="W428" s="125"/>
      <c r="X428" s="126"/>
      <c r="Y428" s="119"/>
      <c r="Z428" s="197"/>
      <c r="AA428" s="198"/>
      <c r="AB428" s="199"/>
      <c r="AC428" s="119"/>
      <c r="AD428" s="196"/>
      <c r="AE428" s="200"/>
      <c r="AF428" s="201"/>
      <c r="AG428" s="205"/>
      <c r="AH428" s="205"/>
      <c r="AI428" s="205"/>
      <c r="AJ428" s="205"/>
      <c r="AK428" s="126"/>
      <c r="AL428" s="126"/>
    </row>
    <row r="429">
      <c r="A429" s="119"/>
      <c r="B429" s="154"/>
      <c r="C429" s="89"/>
      <c r="D429" s="55"/>
      <c r="E429" s="119"/>
      <c r="F429" s="154"/>
      <c r="G429" s="192"/>
      <c r="H429" s="193"/>
      <c r="I429" s="119"/>
      <c r="J429" s="154"/>
      <c r="K429" s="89"/>
      <c r="L429" s="55"/>
      <c r="M429" s="119"/>
      <c r="N429" s="194"/>
      <c r="O429" s="89"/>
      <c r="P429" s="55"/>
      <c r="Q429" s="195"/>
      <c r="R429" s="196"/>
      <c r="S429" s="125"/>
      <c r="T429" s="126"/>
      <c r="U429" s="195"/>
      <c r="V429" s="196"/>
      <c r="W429" s="125"/>
      <c r="X429" s="126"/>
      <c r="Y429" s="119"/>
      <c r="Z429" s="197"/>
      <c r="AA429" s="198"/>
      <c r="AB429" s="199"/>
      <c r="AC429" s="119"/>
      <c r="AD429" s="196"/>
      <c r="AE429" s="200"/>
      <c r="AF429" s="201"/>
      <c r="AG429" s="205"/>
      <c r="AH429" s="205"/>
      <c r="AI429" s="205"/>
      <c r="AJ429" s="205"/>
      <c r="AK429" s="126"/>
      <c r="AL429" s="126"/>
    </row>
    <row r="430">
      <c r="A430" s="119"/>
      <c r="B430" s="154"/>
      <c r="C430" s="89"/>
      <c r="D430" s="55"/>
      <c r="E430" s="119"/>
      <c r="F430" s="154"/>
      <c r="G430" s="192"/>
      <c r="H430" s="193"/>
      <c r="I430" s="119"/>
      <c r="J430" s="154"/>
      <c r="K430" s="89"/>
      <c r="L430" s="55"/>
      <c r="M430" s="119"/>
      <c r="N430" s="194"/>
      <c r="O430" s="89"/>
      <c r="P430" s="55"/>
      <c r="Q430" s="195"/>
      <c r="R430" s="196"/>
      <c r="S430" s="125"/>
      <c r="T430" s="126"/>
      <c r="U430" s="195"/>
      <c r="V430" s="196"/>
      <c r="W430" s="125"/>
      <c r="X430" s="126"/>
      <c r="Y430" s="119"/>
      <c r="Z430" s="197"/>
      <c r="AA430" s="198"/>
      <c r="AB430" s="199"/>
      <c r="AC430" s="119"/>
      <c r="AD430" s="196"/>
      <c r="AE430" s="200"/>
      <c r="AF430" s="201"/>
      <c r="AG430" s="205"/>
      <c r="AH430" s="205"/>
      <c r="AI430" s="205"/>
      <c r="AJ430" s="205"/>
      <c r="AK430" s="126"/>
      <c r="AL430" s="126"/>
    </row>
    <row r="431">
      <c r="A431" s="119"/>
      <c r="B431" s="154"/>
      <c r="C431" s="89"/>
      <c r="D431" s="55"/>
      <c r="E431" s="119"/>
      <c r="F431" s="154"/>
      <c r="G431" s="192"/>
      <c r="H431" s="193"/>
      <c r="I431" s="119"/>
      <c r="J431" s="154"/>
      <c r="K431" s="89"/>
      <c r="L431" s="55"/>
      <c r="M431" s="119"/>
      <c r="N431" s="194"/>
      <c r="O431" s="89"/>
      <c r="P431" s="55"/>
      <c r="Q431" s="195"/>
      <c r="R431" s="196"/>
      <c r="S431" s="125"/>
      <c r="T431" s="126"/>
      <c r="U431" s="195"/>
      <c r="V431" s="196"/>
      <c r="W431" s="125"/>
      <c r="X431" s="126"/>
      <c r="Y431" s="119"/>
      <c r="Z431" s="197"/>
      <c r="AA431" s="198"/>
      <c r="AB431" s="199"/>
      <c r="AC431" s="119"/>
      <c r="AD431" s="196"/>
      <c r="AE431" s="200"/>
      <c r="AF431" s="201"/>
      <c r="AG431" s="205"/>
      <c r="AH431" s="205"/>
      <c r="AI431" s="205"/>
      <c r="AJ431" s="205"/>
      <c r="AK431" s="126"/>
      <c r="AL431" s="126"/>
    </row>
    <row r="432">
      <c r="A432" s="119"/>
      <c r="B432" s="154"/>
      <c r="C432" s="89"/>
      <c r="D432" s="55"/>
      <c r="E432" s="119"/>
      <c r="F432" s="154"/>
      <c r="G432" s="192"/>
      <c r="H432" s="193"/>
      <c r="I432" s="119"/>
      <c r="J432" s="154"/>
      <c r="K432" s="89"/>
      <c r="L432" s="55"/>
      <c r="M432" s="119"/>
      <c r="N432" s="194"/>
      <c r="O432" s="89"/>
      <c r="P432" s="55"/>
      <c r="Q432" s="195"/>
      <c r="R432" s="196"/>
      <c r="S432" s="125"/>
      <c r="T432" s="126"/>
      <c r="U432" s="195"/>
      <c r="V432" s="196"/>
      <c r="W432" s="125"/>
      <c r="X432" s="126"/>
      <c r="Y432" s="119"/>
      <c r="Z432" s="197"/>
      <c r="AA432" s="198"/>
      <c r="AB432" s="199"/>
      <c r="AC432" s="119"/>
      <c r="AD432" s="196"/>
      <c r="AE432" s="200"/>
      <c r="AF432" s="201"/>
      <c r="AG432" s="205"/>
      <c r="AH432" s="205"/>
      <c r="AI432" s="205"/>
      <c r="AJ432" s="205"/>
      <c r="AK432" s="126"/>
      <c r="AL432" s="126"/>
    </row>
    <row r="433">
      <c r="A433" s="119"/>
      <c r="B433" s="154"/>
      <c r="C433" s="89"/>
      <c r="D433" s="55"/>
      <c r="E433" s="119"/>
      <c r="F433" s="154"/>
      <c r="G433" s="192"/>
      <c r="H433" s="193"/>
      <c r="I433" s="119"/>
      <c r="J433" s="154"/>
      <c r="K433" s="89"/>
      <c r="L433" s="55"/>
      <c r="M433" s="119"/>
      <c r="N433" s="194"/>
      <c r="O433" s="89"/>
      <c r="P433" s="55"/>
      <c r="Q433" s="195"/>
      <c r="R433" s="196"/>
      <c r="S433" s="125"/>
      <c r="T433" s="126"/>
      <c r="U433" s="195"/>
      <c r="V433" s="196"/>
      <c r="W433" s="125"/>
      <c r="X433" s="126"/>
      <c r="Y433" s="119"/>
      <c r="Z433" s="197"/>
      <c r="AA433" s="198"/>
      <c r="AB433" s="199"/>
      <c r="AC433" s="119"/>
      <c r="AD433" s="196"/>
      <c r="AE433" s="200"/>
      <c r="AF433" s="201"/>
      <c r="AG433" s="205"/>
      <c r="AH433" s="205"/>
      <c r="AI433" s="205"/>
      <c r="AJ433" s="205"/>
      <c r="AK433" s="126"/>
      <c r="AL433" s="126"/>
    </row>
    <row r="434">
      <c r="A434" s="119"/>
      <c r="B434" s="154"/>
      <c r="C434" s="89"/>
      <c r="D434" s="55"/>
      <c r="E434" s="119"/>
      <c r="F434" s="154"/>
      <c r="G434" s="192"/>
      <c r="H434" s="193"/>
      <c r="I434" s="119"/>
      <c r="J434" s="154"/>
      <c r="K434" s="89"/>
      <c r="L434" s="55"/>
      <c r="M434" s="119"/>
      <c r="N434" s="194"/>
      <c r="O434" s="89"/>
      <c r="P434" s="55"/>
      <c r="Q434" s="195"/>
      <c r="R434" s="196"/>
      <c r="S434" s="125"/>
      <c r="T434" s="126"/>
      <c r="U434" s="195"/>
      <c r="V434" s="196"/>
      <c r="W434" s="125"/>
      <c r="X434" s="126"/>
      <c r="Y434" s="119"/>
      <c r="Z434" s="197"/>
      <c r="AA434" s="198"/>
      <c r="AB434" s="199"/>
      <c r="AC434" s="119"/>
      <c r="AD434" s="196"/>
      <c r="AE434" s="200"/>
      <c r="AF434" s="201"/>
      <c r="AG434" s="205"/>
      <c r="AH434" s="205"/>
      <c r="AI434" s="205"/>
      <c r="AJ434" s="205"/>
      <c r="AK434" s="126"/>
      <c r="AL434" s="126"/>
    </row>
    <row r="435">
      <c r="A435" s="119"/>
      <c r="B435" s="154"/>
      <c r="C435" s="89"/>
      <c r="D435" s="55"/>
      <c r="E435" s="119"/>
      <c r="F435" s="154"/>
      <c r="G435" s="192"/>
      <c r="H435" s="193"/>
      <c r="I435" s="119"/>
      <c r="J435" s="154"/>
      <c r="K435" s="89"/>
      <c r="L435" s="55"/>
      <c r="M435" s="119"/>
      <c r="N435" s="194"/>
      <c r="O435" s="89"/>
      <c r="P435" s="55"/>
      <c r="Q435" s="195"/>
      <c r="R435" s="196"/>
      <c r="S435" s="125"/>
      <c r="T435" s="126"/>
      <c r="U435" s="195"/>
      <c r="V435" s="196"/>
      <c r="W435" s="125"/>
      <c r="X435" s="126"/>
      <c r="Y435" s="119"/>
      <c r="Z435" s="197"/>
      <c r="AA435" s="198"/>
      <c r="AB435" s="199"/>
      <c r="AC435" s="119"/>
      <c r="AD435" s="196"/>
      <c r="AE435" s="200"/>
      <c r="AF435" s="201"/>
      <c r="AG435" s="205"/>
      <c r="AH435" s="205"/>
      <c r="AI435" s="205"/>
      <c r="AJ435" s="205"/>
      <c r="AK435" s="126"/>
      <c r="AL435" s="126"/>
    </row>
    <row r="436">
      <c r="A436" s="119"/>
      <c r="B436" s="154"/>
      <c r="C436" s="89"/>
      <c r="D436" s="55"/>
      <c r="E436" s="119"/>
      <c r="F436" s="154"/>
      <c r="G436" s="192"/>
      <c r="H436" s="193"/>
      <c r="I436" s="119"/>
      <c r="J436" s="154"/>
      <c r="K436" s="89"/>
      <c r="L436" s="55"/>
      <c r="M436" s="119"/>
      <c r="N436" s="194"/>
      <c r="O436" s="89"/>
      <c r="P436" s="55"/>
      <c r="Q436" s="195"/>
      <c r="R436" s="196"/>
      <c r="S436" s="125"/>
      <c r="T436" s="126"/>
      <c r="U436" s="195"/>
      <c r="V436" s="196"/>
      <c r="W436" s="125"/>
      <c r="X436" s="126"/>
      <c r="Y436" s="119"/>
      <c r="Z436" s="197"/>
      <c r="AA436" s="198"/>
      <c r="AB436" s="199"/>
      <c r="AC436" s="119"/>
      <c r="AD436" s="196"/>
      <c r="AE436" s="200"/>
      <c r="AF436" s="201"/>
      <c r="AG436" s="205"/>
      <c r="AH436" s="205"/>
      <c r="AI436" s="205"/>
      <c r="AJ436" s="205"/>
      <c r="AK436" s="126"/>
      <c r="AL436" s="126"/>
    </row>
    <row r="437">
      <c r="A437" s="119"/>
      <c r="B437" s="154"/>
      <c r="C437" s="89"/>
      <c r="D437" s="55"/>
      <c r="E437" s="119"/>
      <c r="F437" s="154"/>
      <c r="G437" s="192"/>
      <c r="H437" s="193"/>
      <c r="I437" s="119"/>
      <c r="J437" s="154"/>
      <c r="K437" s="89"/>
      <c r="L437" s="55"/>
      <c r="M437" s="119"/>
      <c r="N437" s="194"/>
      <c r="O437" s="89"/>
      <c r="P437" s="55"/>
      <c r="Q437" s="195"/>
      <c r="R437" s="196"/>
      <c r="S437" s="125"/>
      <c r="T437" s="126"/>
      <c r="U437" s="195"/>
      <c r="V437" s="196"/>
      <c r="W437" s="125"/>
      <c r="X437" s="126"/>
      <c r="Y437" s="119"/>
      <c r="Z437" s="197"/>
      <c r="AA437" s="198"/>
      <c r="AB437" s="199"/>
      <c r="AC437" s="119"/>
      <c r="AD437" s="196"/>
      <c r="AE437" s="200"/>
      <c r="AF437" s="201"/>
      <c r="AG437" s="205"/>
      <c r="AH437" s="205"/>
      <c r="AI437" s="205"/>
      <c r="AJ437" s="205"/>
      <c r="AK437" s="126"/>
      <c r="AL437" s="126"/>
    </row>
    <row r="438">
      <c r="A438" s="119"/>
      <c r="B438" s="154"/>
      <c r="C438" s="89"/>
      <c r="D438" s="55"/>
      <c r="E438" s="119"/>
      <c r="F438" s="154"/>
      <c r="G438" s="192"/>
      <c r="H438" s="193"/>
      <c r="I438" s="119"/>
      <c r="J438" s="154"/>
      <c r="K438" s="89"/>
      <c r="L438" s="55"/>
      <c r="M438" s="119"/>
      <c r="N438" s="194"/>
      <c r="O438" s="89"/>
      <c r="P438" s="55"/>
      <c r="Q438" s="195"/>
      <c r="R438" s="196"/>
      <c r="S438" s="125"/>
      <c r="T438" s="126"/>
      <c r="U438" s="195"/>
      <c r="V438" s="196"/>
      <c r="W438" s="125"/>
      <c r="X438" s="126"/>
      <c r="Y438" s="119"/>
      <c r="Z438" s="197"/>
      <c r="AA438" s="198"/>
      <c r="AB438" s="199"/>
      <c r="AC438" s="119"/>
      <c r="AD438" s="196"/>
      <c r="AE438" s="200"/>
      <c r="AF438" s="201"/>
      <c r="AG438" s="205"/>
      <c r="AH438" s="205"/>
      <c r="AI438" s="205"/>
      <c r="AJ438" s="205"/>
      <c r="AK438" s="126"/>
      <c r="AL438" s="126"/>
    </row>
    <row r="439">
      <c r="A439" s="119"/>
      <c r="B439" s="154"/>
      <c r="C439" s="89"/>
      <c r="D439" s="55"/>
      <c r="E439" s="119"/>
      <c r="F439" s="154"/>
      <c r="G439" s="192"/>
      <c r="H439" s="193"/>
      <c r="I439" s="119"/>
      <c r="J439" s="154"/>
      <c r="K439" s="89"/>
      <c r="L439" s="55"/>
      <c r="M439" s="119"/>
      <c r="N439" s="194"/>
      <c r="O439" s="89"/>
      <c r="P439" s="55"/>
      <c r="Q439" s="195"/>
      <c r="R439" s="196"/>
      <c r="S439" s="125"/>
      <c r="T439" s="126"/>
      <c r="U439" s="195"/>
      <c r="V439" s="196"/>
      <c r="W439" s="125"/>
      <c r="X439" s="126"/>
      <c r="Y439" s="119"/>
      <c r="Z439" s="197"/>
      <c r="AA439" s="198"/>
      <c r="AB439" s="199"/>
      <c r="AC439" s="119"/>
      <c r="AD439" s="196"/>
      <c r="AE439" s="200"/>
      <c r="AF439" s="201"/>
      <c r="AG439" s="205"/>
      <c r="AH439" s="205"/>
      <c r="AI439" s="205"/>
      <c r="AJ439" s="205"/>
      <c r="AK439" s="126"/>
      <c r="AL439" s="126"/>
    </row>
    <row r="440">
      <c r="A440" s="119"/>
      <c r="B440" s="154"/>
      <c r="C440" s="89"/>
      <c r="D440" s="55"/>
      <c r="E440" s="119"/>
      <c r="F440" s="154"/>
      <c r="G440" s="192"/>
      <c r="H440" s="193"/>
      <c r="I440" s="119"/>
      <c r="J440" s="154"/>
      <c r="K440" s="89"/>
      <c r="L440" s="55"/>
      <c r="M440" s="119"/>
      <c r="N440" s="194"/>
      <c r="O440" s="89"/>
      <c r="P440" s="55"/>
      <c r="Q440" s="195"/>
      <c r="R440" s="196"/>
      <c r="S440" s="125"/>
      <c r="T440" s="126"/>
      <c r="U440" s="195"/>
      <c r="V440" s="196"/>
      <c r="W440" s="125"/>
      <c r="X440" s="126"/>
      <c r="Y440" s="119"/>
      <c r="Z440" s="197"/>
      <c r="AA440" s="198"/>
      <c r="AB440" s="199"/>
      <c r="AC440" s="119"/>
      <c r="AD440" s="196"/>
      <c r="AE440" s="200"/>
      <c r="AF440" s="201"/>
      <c r="AG440" s="205"/>
      <c r="AH440" s="205"/>
      <c r="AI440" s="205"/>
      <c r="AJ440" s="205"/>
      <c r="AK440" s="126"/>
      <c r="AL440" s="126"/>
    </row>
    <row r="441">
      <c r="A441" s="119"/>
      <c r="B441" s="154"/>
      <c r="C441" s="89"/>
      <c r="D441" s="55"/>
      <c r="E441" s="119"/>
      <c r="F441" s="154"/>
      <c r="G441" s="192"/>
      <c r="H441" s="193"/>
      <c r="I441" s="119"/>
      <c r="J441" s="154"/>
      <c r="K441" s="89"/>
      <c r="L441" s="55"/>
      <c r="M441" s="119"/>
      <c r="N441" s="194"/>
      <c r="O441" s="89"/>
      <c r="P441" s="55"/>
      <c r="Q441" s="195"/>
      <c r="R441" s="196"/>
      <c r="S441" s="125"/>
      <c r="T441" s="126"/>
      <c r="U441" s="195"/>
      <c r="V441" s="196"/>
      <c r="W441" s="125"/>
      <c r="X441" s="126"/>
      <c r="Y441" s="119"/>
      <c r="Z441" s="197"/>
      <c r="AA441" s="198"/>
      <c r="AB441" s="199"/>
      <c r="AC441" s="119"/>
      <c r="AD441" s="196"/>
      <c r="AE441" s="200"/>
      <c r="AF441" s="201"/>
      <c r="AG441" s="205"/>
      <c r="AH441" s="205"/>
      <c r="AI441" s="205"/>
      <c r="AJ441" s="205"/>
      <c r="AK441" s="126"/>
      <c r="AL441" s="126"/>
    </row>
    <row r="442">
      <c r="A442" s="119"/>
      <c r="B442" s="154"/>
      <c r="C442" s="89"/>
      <c r="D442" s="55"/>
      <c r="E442" s="119"/>
      <c r="F442" s="154"/>
      <c r="G442" s="192"/>
      <c r="H442" s="193"/>
      <c r="I442" s="119"/>
      <c r="J442" s="154"/>
      <c r="K442" s="89"/>
      <c r="L442" s="55"/>
      <c r="M442" s="119"/>
      <c r="N442" s="194"/>
      <c r="O442" s="89"/>
      <c r="P442" s="55"/>
      <c r="Q442" s="195"/>
      <c r="R442" s="196"/>
      <c r="S442" s="125"/>
      <c r="T442" s="126"/>
      <c r="U442" s="195"/>
      <c r="V442" s="196"/>
      <c r="W442" s="125"/>
      <c r="X442" s="126"/>
      <c r="Y442" s="119"/>
      <c r="Z442" s="197"/>
      <c r="AA442" s="198"/>
      <c r="AB442" s="199"/>
      <c r="AC442" s="119"/>
      <c r="AD442" s="196"/>
      <c r="AE442" s="200"/>
      <c r="AF442" s="201"/>
      <c r="AG442" s="205"/>
      <c r="AH442" s="205"/>
      <c r="AI442" s="205"/>
      <c r="AJ442" s="205"/>
      <c r="AK442" s="126"/>
      <c r="AL442" s="126"/>
    </row>
    <row r="443">
      <c r="A443" s="119"/>
      <c r="B443" s="154"/>
      <c r="C443" s="89"/>
      <c r="D443" s="55"/>
      <c r="E443" s="119"/>
      <c r="F443" s="154"/>
      <c r="G443" s="192"/>
      <c r="H443" s="193"/>
      <c r="I443" s="119"/>
      <c r="J443" s="154"/>
      <c r="K443" s="89"/>
      <c r="L443" s="55"/>
      <c r="M443" s="119"/>
      <c r="N443" s="194"/>
      <c r="O443" s="89"/>
      <c r="P443" s="55"/>
      <c r="Q443" s="195"/>
      <c r="R443" s="196"/>
      <c r="S443" s="125"/>
      <c r="T443" s="126"/>
      <c r="U443" s="195"/>
      <c r="V443" s="196"/>
      <c r="W443" s="125"/>
      <c r="X443" s="126"/>
      <c r="Y443" s="119"/>
      <c r="Z443" s="197"/>
      <c r="AA443" s="198"/>
      <c r="AB443" s="199"/>
      <c r="AC443" s="119"/>
      <c r="AD443" s="196"/>
      <c r="AE443" s="200"/>
      <c r="AF443" s="201"/>
      <c r="AG443" s="205"/>
      <c r="AH443" s="205"/>
      <c r="AI443" s="205"/>
      <c r="AJ443" s="205"/>
      <c r="AK443" s="126"/>
      <c r="AL443" s="126"/>
    </row>
    <row r="444">
      <c r="A444" s="119"/>
      <c r="B444" s="154"/>
      <c r="C444" s="89"/>
      <c r="D444" s="55"/>
      <c r="E444" s="119"/>
      <c r="F444" s="154"/>
      <c r="G444" s="192"/>
      <c r="H444" s="193"/>
      <c r="I444" s="119"/>
      <c r="J444" s="154"/>
      <c r="K444" s="89"/>
      <c r="L444" s="55"/>
      <c r="M444" s="119"/>
      <c r="N444" s="194"/>
      <c r="O444" s="89"/>
      <c r="P444" s="55"/>
      <c r="Q444" s="195"/>
      <c r="R444" s="196"/>
      <c r="S444" s="125"/>
      <c r="T444" s="126"/>
      <c r="U444" s="195"/>
      <c r="V444" s="196"/>
      <c r="W444" s="125"/>
      <c r="X444" s="126"/>
      <c r="Y444" s="119"/>
      <c r="Z444" s="197"/>
      <c r="AA444" s="198"/>
      <c r="AB444" s="199"/>
      <c r="AC444" s="119"/>
      <c r="AD444" s="196"/>
      <c r="AE444" s="200"/>
      <c r="AF444" s="201"/>
      <c r="AG444" s="205"/>
      <c r="AH444" s="205"/>
      <c r="AI444" s="205"/>
      <c r="AJ444" s="205"/>
      <c r="AK444" s="126"/>
      <c r="AL444" s="126"/>
    </row>
    <row r="445">
      <c r="A445" s="119"/>
      <c r="B445" s="154"/>
      <c r="C445" s="89"/>
      <c r="D445" s="55"/>
      <c r="E445" s="119"/>
      <c r="F445" s="154"/>
      <c r="G445" s="192"/>
      <c r="H445" s="193"/>
      <c r="I445" s="119"/>
      <c r="J445" s="154"/>
      <c r="K445" s="89"/>
      <c r="L445" s="55"/>
      <c r="M445" s="119"/>
      <c r="N445" s="194"/>
      <c r="O445" s="89"/>
      <c r="P445" s="55"/>
      <c r="Q445" s="195"/>
      <c r="R445" s="196"/>
      <c r="S445" s="125"/>
      <c r="T445" s="126"/>
      <c r="U445" s="195"/>
      <c r="V445" s="196"/>
      <c r="W445" s="125"/>
      <c r="X445" s="126"/>
      <c r="Y445" s="119"/>
      <c r="Z445" s="197"/>
      <c r="AA445" s="198"/>
      <c r="AB445" s="199"/>
      <c r="AC445" s="119"/>
      <c r="AD445" s="196"/>
      <c r="AE445" s="200"/>
      <c r="AF445" s="201"/>
      <c r="AG445" s="205"/>
      <c r="AH445" s="205"/>
      <c r="AI445" s="205"/>
      <c r="AJ445" s="205"/>
      <c r="AK445" s="126"/>
      <c r="AL445" s="126"/>
    </row>
    <row r="446">
      <c r="A446" s="119"/>
      <c r="B446" s="154"/>
      <c r="C446" s="89"/>
      <c r="D446" s="55"/>
      <c r="E446" s="119"/>
      <c r="F446" s="154"/>
      <c r="G446" s="192"/>
      <c r="H446" s="193"/>
      <c r="I446" s="119"/>
      <c r="J446" s="154"/>
      <c r="K446" s="89"/>
      <c r="L446" s="55"/>
      <c r="M446" s="119"/>
      <c r="N446" s="194"/>
      <c r="O446" s="89"/>
      <c r="P446" s="55"/>
      <c r="Q446" s="195"/>
      <c r="R446" s="196"/>
      <c r="S446" s="125"/>
      <c r="T446" s="126"/>
      <c r="U446" s="195"/>
      <c r="V446" s="196"/>
      <c r="W446" s="125"/>
      <c r="X446" s="126"/>
      <c r="Y446" s="119"/>
      <c r="Z446" s="197"/>
      <c r="AA446" s="198"/>
      <c r="AB446" s="199"/>
      <c r="AC446" s="119"/>
      <c r="AD446" s="196"/>
      <c r="AE446" s="200"/>
      <c r="AF446" s="201"/>
      <c r="AG446" s="205"/>
      <c r="AH446" s="205"/>
      <c r="AI446" s="205"/>
      <c r="AJ446" s="205"/>
      <c r="AK446" s="126"/>
      <c r="AL446" s="126"/>
    </row>
    <row r="447">
      <c r="A447" s="119"/>
      <c r="B447" s="154"/>
      <c r="C447" s="89"/>
      <c r="D447" s="55"/>
      <c r="E447" s="119"/>
      <c r="F447" s="154"/>
      <c r="G447" s="192"/>
      <c r="H447" s="193"/>
      <c r="I447" s="119"/>
      <c r="J447" s="154"/>
      <c r="K447" s="89"/>
      <c r="L447" s="55"/>
      <c r="M447" s="119"/>
      <c r="N447" s="194"/>
      <c r="O447" s="89"/>
      <c r="P447" s="55"/>
      <c r="Q447" s="195"/>
      <c r="R447" s="196"/>
      <c r="S447" s="125"/>
      <c r="T447" s="126"/>
      <c r="U447" s="195"/>
      <c r="V447" s="196"/>
      <c r="W447" s="125"/>
      <c r="X447" s="126"/>
      <c r="Y447" s="119"/>
      <c r="Z447" s="197"/>
      <c r="AA447" s="198"/>
      <c r="AB447" s="199"/>
      <c r="AC447" s="119"/>
      <c r="AD447" s="196"/>
      <c r="AE447" s="200"/>
      <c r="AF447" s="201"/>
      <c r="AG447" s="205"/>
      <c r="AH447" s="205"/>
      <c r="AI447" s="205"/>
      <c r="AJ447" s="205"/>
      <c r="AK447" s="126"/>
      <c r="AL447" s="126"/>
    </row>
    <row r="448">
      <c r="A448" s="119"/>
      <c r="B448" s="154"/>
      <c r="C448" s="89"/>
      <c r="D448" s="55"/>
      <c r="E448" s="119"/>
      <c r="F448" s="154"/>
      <c r="G448" s="192"/>
      <c r="H448" s="193"/>
      <c r="I448" s="119"/>
      <c r="J448" s="154"/>
      <c r="K448" s="89"/>
      <c r="L448" s="55"/>
      <c r="M448" s="119"/>
      <c r="N448" s="194"/>
      <c r="O448" s="89"/>
      <c r="P448" s="55"/>
      <c r="Q448" s="195"/>
      <c r="R448" s="196"/>
      <c r="S448" s="125"/>
      <c r="T448" s="126"/>
      <c r="U448" s="195"/>
      <c r="V448" s="196"/>
      <c r="W448" s="125"/>
      <c r="X448" s="126"/>
      <c r="Y448" s="119"/>
      <c r="Z448" s="197"/>
      <c r="AA448" s="198"/>
      <c r="AB448" s="199"/>
      <c r="AC448" s="119"/>
      <c r="AD448" s="196"/>
      <c r="AE448" s="200"/>
      <c r="AF448" s="201"/>
      <c r="AG448" s="205"/>
      <c r="AH448" s="205"/>
      <c r="AI448" s="205"/>
      <c r="AJ448" s="205"/>
      <c r="AK448" s="126"/>
      <c r="AL448" s="126"/>
    </row>
    <row r="449">
      <c r="A449" s="119"/>
      <c r="B449" s="154"/>
      <c r="C449" s="89"/>
      <c r="D449" s="55"/>
      <c r="E449" s="119"/>
      <c r="F449" s="154"/>
      <c r="G449" s="192"/>
      <c r="H449" s="193"/>
      <c r="I449" s="119"/>
      <c r="J449" s="154"/>
      <c r="K449" s="89"/>
      <c r="L449" s="55"/>
      <c r="M449" s="119"/>
      <c r="N449" s="194"/>
      <c r="O449" s="89"/>
      <c r="P449" s="55"/>
      <c r="Q449" s="195"/>
      <c r="R449" s="196"/>
      <c r="S449" s="125"/>
      <c r="T449" s="126"/>
      <c r="U449" s="195"/>
      <c r="V449" s="196"/>
      <c r="W449" s="125"/>
      <c r="X449" s="126"/>
      <c r="Y449" s="119"/>
      <c r="Z449" s="197"/>
      <c r="AA449" s="198"/>
      <c r="AB449" s="199"/>
      <c r="AC449" s="119"/>
      <c r="AD449" s="196"/>
      <c r="AE449" s="200"/>
      <c r="AF449" s="201"/>
      <c r="AG449" s="205"/>
      <c r="AH449" s="205"/>
      <c r="AI449" s="205"/>
      <c r="AJ449" s="205"/>
      <c r="AK449" s="126"/>
      <c r="AL449" s="126"/>
    </row>
    <row r="450">
      <c r="A450" s="119"/>
      <c r="B450" s="154"/>
      <c r="C450" s="89"/>
      <c r="D450" s="55"/>
      <c r="E450" s="119"/>
      <c r="F450" s="154"/>
      <c r="G450" s="192"/>
      <c r="H450" s="193"/>
      <c r="I450" s="119"/>
      <c r="J450" s="154"/>
      <c r="K450" s="89"/>
      <c r="L450" s="55"/>
      <c r="M450" s="119"/>
      <c r="N450" s="194"/>
      <c r="O450" s="89"/>
      <c r="P450" s="55"/>
      <c r="Q450" s="195"/>
      <c r="R450" s="196"/>
      <c r="S450" s="125"/>
      <c r="T450" s="126"/>
      <c r="U450" s="195"/>
      <c r="V450" s="196"/>
      <c r="W450" s="125"/>
      <c r="X450" s="126"/>
      <c r="Y450" s="119"/>
      <c r="Z450" s="197"/>
      <c r="AA450" s="198"/>
      <c r="AB450" s="199"/>
      <c r="AC450" s="119"/>
      <c r="AD450" s="196"/>
      <c r="AE450" s="200"/>
      <c r="AF450" s="201"/>
      <c r="AG450" s="205"/>
      <c r="AH450" s="205"/>
      <c r="AI450" s="205"/>
      <c r="AJ450" s="205"/>
      <c r="AK450" s="126"/>
      <c r="AL450" s="126"/>
    </row>
    <row r="451">
      <c r="A451" s="119"/>
      <c r="B451" s="154"/>
      <c r="C451" s="89"/>
      <c r="D451" s="55"/>
      <c r="E451" s="119"/>
      <c r="F451" s="154"/>
      <c r="G451" s="192"/>
      <c r="H451" s="193"/>
      <c r="I451" s="119"/>
      <c r="J451" s="154"/>
      <c r="K451" s="89"/>
      <c r="L451" s="55"/>
      <c r="M451" s="119"/>
      <c r="N451" s="194"/>
      <c r="O451" s="89"/>
      <c r="P451" s="55"/>
      <c r="Q451" s="195"/>
      <c r="R451" s="196"/>
      <c r="S451" s="125"/>
      <c r="T451" s="126"/>
      <c r="U451" s="195"/>
      <c r="V451" s="196"/>
      <c r="W451" s="125"/>
      <c r="X451" s="126"/>
      <c r="Y451" s="119"/>
      <c r="Z451" s="197"/>
      <c r="AA451" s="198"/>
      <c r="AB451" s="199"/>
      <c r="AC451" s="119"/>
      <c r="AD451" s="196"/>
      <c r="AE451" s="200"/>
      <c r="AF451" s="201"/>
      <c r="AG451" s="205"/>
      <c r="AH451" s="205"/>
      <c r="AI451" s="205"/>
      <c r="AJ451" s="205"/>
      <c r="AK451" s="126"/>
      <c r="AL451" s="126"/>
    </row>
    <row r="452">
      <c r="A452" s="119"/>
      <c r="B452" s="154"/>
      <c r="C452" s="89"/>
      <c r="D452" s="55"/>
      <c r="E452" s="119"/>
      <c r="F452" s="154"/>
      <c r="G452" s="192"/>
      <c r="H452" s="193"/>
      <c r="I452" s="119"/>
      <c r="J452" s="154"/>
      <c r="K452" s="89"/>
      <c r="L452" s="55"/>
      <c r="M452" s="119"/>
      <c r="N452" s="194"/>
      <c r="O452" s="89"/>
      <c r="P452" s="55"/>
      <c r="Q452" s="195"/>
      <c r="R452" s="196"/>
      <c r="S452" s="125"/>
      <c r="T452" s="126"/>
      <c r="U452" s="195"/>
      <c r="V452" s="196"/>
      <c r="W452" s="125"/>
      <c r="X452" s="126"/>
      <c r="Y452" s="119"/>
      <c r="Z452" s="197"/>
      <c r="AA452" s="198"/>
      <c r="AB452" s="199"/>
      <c r="AC452" s="119"/>
      <c r="AD452" s="196"/>
      <c r="AE452" s="200"/>
      <c r="AF452" s="201"/>
      <c r="AG452" s="205"/>
      <c r="AH452" s="205"/>
      <c r="AI452" s="205"/>
      <c r="AJ452" s="205"/>
      <c r="AK452" s="126"/>
      <c r="AL452" s="126"/>
    </row>
    <row r="453">
      <c r="A453" s="119"/>
      <c r="B453" s="154"/>
      <c r="C453" s="89"/>
      <c r="D453" s="55"/>
      <c r="E453" s="119"/>
      <c r="F453" s="154"/>
      <c r="G453" s="192"/>
      <c r="H453" s="193"/>
      <c r="I453" s="119"/>
      <c r="J453" s="154"/>
      <c r="K453" s="89"/>
      <c r="L453" s="55"/>
      <c r="M453" s="119"/>
      <c r="N453" s="194"/>
      <c r="O453" s="89"/>
      <c r="P453" s="55"/>
      <c r="Q453" s="195"/>
      <c r="R453" s="196"/>
      <c r="S453" s="125"/>
      <c r="T453" s="126"/>
      <c r="U453" s="195"/>
      <c r="V453" s="196"/>
      <c r="W453" s="125"/>
      <c r="X453" s="126"/>
      <c r="Y453" s="119"/>
      <c r="Z453" s="197"/>
      <c r="AA453" s="198"/>
      <c r="AB453" s="199"/>
      <c r="AC453" s="119"/>
      <c r="AD453" s="196"/>
      <c r="AE453" s="200"/>
      <c r="AF453" s="201"/>
      <c r="AG453" s="205"/>
      <c r="AH453" s="205"/>
      <c r="AI453" s="205"/>
      <c r="AJ453" s="205"/>
      <c r="AK453" s="126"/>
      <c r="AL453" s="126"/>
    </row>
    <row r="454">
      <c r="A454" s="119"/>
      <c r="B454" s="154"/>
      <c r="C454" s="89"/>
      <c r="D454" s="55"/>
      <c r="E454" s="119"/>
      <c r="F454" s="154"/>
      <c r="G454" s="192"/>
      <c r="H454" s="193"/>
      <c r="I454" s="119"/>
      <c r="J454" s="154"/>
      <c r="K454" s="89"/>
      <c r="L454" s="55"/>
      <c r="M454" s="119"/>
      <c r="N454" s="194"/>
      <c r="O454" s="89"/>
      <c r="P454" s="55"/>
      <c r="Q454" s="195"/>
      <c r="R454" s="196"/>
      <c r="S454" s="125"/>
      <c r="T454" s="126"/>
      <c r="U454" s="195"/>
      <c r="V454" s="196"/>
      <c r="W454" s="125"/>
      <c r="X454" s="126"/>
      <c r="Y454" s="119"/>
      <c r="Z454" s="197"/>
      <c r="AA454" s="198"/>
      <c r="AB454" s="199"/>
      <c r="AC454" s="119"/>
      <c r="AD454" s="196"/>
      <c r="AE454" s="200"/>
      <c r="AF454" s="201"/>
      <c r="AG454" s="205"/>
      <c r="AH454" s="205"/>
      <c r="AI454" s="205"/>
      <c r="AJ454" s="205"/>
      <c r="AK454" s="126"/>
      <c r="AL454" s="126"/>
    </row>
    <row r="455">
      <c r="A455" s="119"/>
      <c r="B455" s="154"/>
      <c r="C455" s="89"/>
      <c r="D455" s="55"/>
      <c r="E455" s="119"/>
      <c r="F455" s="154"/>
      <c r="G455" s="192"/>
      <c r="H455" s="193"/>
      <c r="I455" s="119"/>
      <c r="J455" s="154"/>
      <c r="K455" s="89"/>
      <c r="L455" s="55"/>
      <c r="M455" s="119"/>
      <c r="N455" s="194"/>
      <c r="O455" s="89"/>
      <c r="P455" s="55"/>
      <c r="Q455" s="195"/>
      <c r="R455" s="196"/>
      <c r="S455" s="125"/>
      <c r="T455" s="126"/>
      <c r="U455" s="195"/>
      <c r="V455" s="196"/>
      <c r="W455" s="125"/>
      <c r="X455" s="126"/>
      <c r="Y455" s="119"/>
      <c r="Z455" s="197"/>
      <c r="AA455" s="198"/>
      <c r="AB455" s="199"/>
      <c r="AC455" s="119"/>
      <c r="AD455" s="196"/>
      <c r="AE455" s="200"/>
      <c r="AF455" s="201"/>
      <c r="AG455" s="205"/>
      <c r="AH455" s="205"/>
      <c r="AI455" s="205"/>
      <c r="AJ455" s="205"/>
      <c r="AK455" s="126"/>
      <c r="AL455" s="126"/>
    </row>
    <row r="456">
      <c r="A456" s="119"/>
      <c r="B456" s="154"/>
      <c r="C456" s="89"/>
      <c r="D456" s="55"/>
      <c r="E456" s="119"/>
      <c r="F456" s="154"/>
      <c r="G456" s="192"/>
      <c r="H456" s="193"/>
      <c r="I456" s="119"/>
      <c r="J456" s="154"/>
      <c r="K456" s="89"/>
      <c r="L456" s="55"/>
      <c r="M456" s="119"/>
      <c r="N456" s="194"/>
      <c r="O456" s="89"/>
      <c r="P456" s="55"/>
      <c r="Q456" s="195"/>
      <c r="R456" s="196"/>
      <c r="S456" s="125"/>
      <c r="T456" s="126"/>
      <c r="U456" s="195"/>
      <c r="V456" s="196"/>
      <c r="W456" s="125"/>
      <c r="X456" s="126"/>
      <c r="Y456" s="119"/>
      <c r="Z456" s="197"/>
      <c r="AA456" s="198"/>
      <c r="AB456" s="199"/>
      <c r="AC456" s="119"/>
      <c r="AD456" s="196"/>
      <c r="AE456" s="200"/>
      <c r="AF456" s="201"/>
      <c r="AG456" s="205"/>
      <c r="AH456" s="205"/>
      <c r="AI456" s="205"/>
      <c r="AJ456" s="205"/>
      <c r="AK456" s="126"/>
      <c r="AL456" s="126"/>
    </row>
    <row r="457">
      <c r="A457" s="119"/>
      <c r="B457" s="154"/>
      <c r="C457" s="89"/>
      <c r="D457" s="55"/>
      <c r="E457" s="119"/>
      <c r="F457" s="154"/>
      <c r="G457" s="192"/>
      <c r="H457" s="193"/>
      <c r="I457" s="119"/>
      <c r="J457" s="154"/>
      <c r="K457" s="89"/>
      <c r="L457" s="55"/>
      <c r="M457" s="119"/>
      <c r="N457" s="194"/>
      <c r="O457" s="89"/>
      <c r="P457" s="55"/>
      <c r="Q457" s="195"/>
      <c r="R457" s="196"/>
      <c r="S457" s="125"/>
      <c r="T457" s="126"/>
      <c r="U457" s="195"/>
      <c r="V457" s="196"/>
      <c r="W457" s="125"/>
      <c r="X457" s="126"/>
      <c r="Y457" s="119"/>
      <c r="Z457" s="197"/>
      <c r="AA457" s="198"/>
      <c r="AB457" s="199"/>
      <c r="AC457" s="119"/>
      <c r="AD457" s="196"/>
      <c r="AE457" s="200"/>
      <c r="AF457" s="201"/>
      <c r="AG457" s="205"/>
      <c r="AH457" s="205"/>
      <c r="AI457" s="205"/>
      <c r="AJ457" s="205"/>
      <c r="AK457" s="126"/>
      <c r="AL457" s="126"/>
    </row>
    <row r="458">
      <c r="A458" s="119"/>
      <c r="B458" s="154"/>
      <c r="C458" s="89"/>
      <c r="D458" s="55"/>
      <c r="E458" s="119"/>
      <c r="F458" s="154"/>
      <c r="G458" s="192"/>
      <c r="H458" s="193"/>
      <c r="I458" s="119"/>
      <c r="J458" s="154"/>
      <c r="K458" s="89"/>
      <c r="L458" s="55"/>
      <c r="M458" s="119"/>
      <c r="N458" s="194"/>
      <c r="O458" s="89"/>
      <c r="P458" s="55"/>
      <c r="Q458" s="195"/>
      <c r="R458" s="196"/>
      <c r="S458" s="125"/>
      <c r="T458" s="126"/>
      <c r="U458" s="195"/>
      <c r="V458" s="196"/>
      <c r="W458" s="125"/>
      <c r="X458" s="126"/>
      <c r="Y458" s="119"/>
      <c r="Z458" s="197"/>
      <c r="AA458" s="198"/>
      <c r="AB458" s="199"/>
      <c r="AC458" s="119"/>
      <c r="AD458" s="196"/>
      <c r="AE458" s="200"/>
      <c r="AF458" s="201"/>
      <c r="AG458" s="205"/>
      <c r="AH458" s="205"/>
      <c r="AI458" s="205"/>
      <c r="AJ458" s="205"/>
      <c r="AK458" s="126"/>
      <c r="AL458" s="126"/>
    </row>
    <row r="459">
      <c r="A459" s="119"/>
      <c r="B459" s="154"/>
      <c r="C459" s="89"/>
      <c r="D459" s="55"/>
      <c r="E459" s="119"/>
      <c r="F459" s="154"/>
      <c r="G459" s="192"/>
      <c r="H459" s="193"/>
      <c r="I459" s="119"/>
      <c r="J459" s="154"/>
      <c r="K459" s="89"/>
      <c r="L459" s="55"/>
      <c r="M459" s="119"/>
      <c r="N459" s="194"/>
      <c r="O459" s="89"/>
      <c r="P459" s="55"/>
      <c r="Q459" s="195"/>
      <c r="R459" s="196"/>
      <c r="S459" s="125"/>
      <c r="T459" s="126"/>
      <c r="U459" s="195"/>
      <c r="V459" s="196"/>
      <c r="W459" s="125"/>
      <c r="X459" s="126"/>
      <c r="Y459" s="119"/>
      <c r="Z459" s="197"/>
      <c r="AA459" s="198"/>
      <c r="AB459" s="199"/>
      <c r="AC459" s="119"/>
      <c r="AD459" s="196"/>
      <c r="AE459" s="200"/>
      <c r="AF459" s="201"/>
      <c r="AG459" s="205"/>
      <c r="AH459" s="205"/>
      <c r="AI459" s="205"/>
      <c r="AJ459" s="205"/>
      <c r="AK459" s="126"/>
      <c r="AL459" s="126"/>
    </row>
    <row r="460">
      <c r="A460" s="119"/>
      <c r="B460" s="154"/>
      <c r="C460" s="89"/>
      <c r="D460" s="55"/>
      <c r="E460" s="119"/>
      <c r="F460" s="154"/>
      <c r="G460" s="192"/>
      <c r="H460" s="193"/>
      <c r="I460" s="119"/>
      <c r="J460" s="154"/>
      <c r="K460" s="89"/>
      <c r="L460" s="55"/>
      <c r="M460" s="119"/>
      <c r="N460" s="194"/>
      <c r="O460" s="89"/>
      <c r="P460" s="55"/>
      <c r="Q460" s="195"/>
      <c r="R460" s="196"/>
      <c r="S460" s="125"/>
      <c r="T460" s="126"/>
      <c r="U460" s="195"/>
      <c r="V460" s="196"/>
      <c r="W460" s="125"/>
      <c r="X460" s="126"/>
      <c r="Y460" s="119"/>
      <c r="Z460" s="197"/>
      <c r="AA460" s="198"/>
      <c r="AB460" s="199"/>
      <c r="AC460" s="119"/>
      <c r="AD460" s="196"/>
      <c r="AE460" s="200"/>
      <c r="AF460" s="201"/>
      <c r="AG460" s="205"/>
      <c r="AH460" s="205"/>
      <c r="AI460" s="205"/>
      <c r="AJ460" s="205"/>
      <c r="AK460" s="126"/>
      <c r="AL460" s="126"/>
    </row>
    <row r="461">
      <c r="A461" s="119"/>
      <c r="B461" s="154"/>
      <c r="C461" s="89"/>
      <c r="D461" s="55"/>
      <c r="E461" s="119"/>
      <c r="F461" s="154"/>
      <c r="G461" s="192"/>
      <c r="H461" s="193"/>
      <c r="I461" s="119"/>
      <c r="J461" s="154"/>
      <c r="K461" s="89"/>
      <c r="L461" s="55"/>
      <c r="M461" s="119"/>
      <c r="N461" s="194"/>
      <c r="O461" s="89"/>
      <c r="P461" s="55"/>
      <c r="Q461" s="195"/>
      <c r="R461" s="196"/>
      <c r="S461" s="125"/>
      <c r="T461" s="126"/>
      <c r="U461" s="195"/>
      <c r="V461" s="196"/>
      <c r="W461" s="125"/>
      <c r="X461" s="126"/>
      <c r="Y461" s="119"/>
      <c r="Z461" s="197"/>
      <c r="AA461" s="198"/>
      <c r="AB461" s="199"/>
      <c r="AC461" s="119"/>
      <c r="AD461" s="196"/>
      <c r="AE461" s="200"/>
      <c r="AF461" s="201"/>
      <c r="AG461" s="205"/>
      <c r="AH461" s="205"/>
      <c r="AI461" s="205"/>
      <c r="AJ461" s="205"/>
      <c r="AK461" s="126"/>
      <c r="AL461" s="126"/>
    </row>
    <row r="462">
      <c r="A462" s="119"/>
      <c r="B462" s="154"/>
      <c r="C462" s="89"/>
      <c r="D462" s="55"/>
      <c r="E462" s="119"/>
      <c r="F462" s="154"/>
      <c r="G462" s="192"/>
      <c r="H462" s="193"/>
      <c r="I462" s="119"/>
      <c r="J462" s="154"/>
      <c r="K462" s="89"/>
      <c r="L462" s="55"/>
      <c r="M462" s="119"/>
      <c r="N462" s="194"/>
      <c r="O462" s="89"/>
      <c r="P462" s="55"/>
      <c r="Q462" s="195"/>
      <c r="R462" s="196"/>
      <c r="S462" s="125"/>
      <c r="T462" s="126"/>
      <c r="U462" s="195"/>
      <c r="V462" s="196"/>
      <c r="W462" s="125"/>
      <c r="X462" s="126"/>
      <c r="Y462" s="119"/>
      <c r="Z462" s="197"/>
      <c r="AA462" s="198"/>
      <c r="AB462" s="199"/>
      <c r="AC462" s="119"/>
      <c r="AD462" s="196"/>
      <c r="AE462" s="200"/>
      <c r="AF462" s="201"/>
      <c r="AG462" s="205"/>
      <c r="AH462" s="205"/>
      <c r="AI462" s="205"/>
      <c r="AJ462" s="205"/>
      <c r="AK462" s="126"/>
      <c r="AL462" s="126"/>
    </row>
    <row r="463">
      <c r="A463" s="119"/>
      <c r="B463" s="154"/>
      <c r="C463" s="89"/>
      <c r="D463" s="55"/>
      <c r="E463" s="119"/>
      <c r="F463" s="154"/>
      <c r="G463" s="192"/>
      <c r="H463" s="193"/>
      <c r="I463" s="119"/>
      <c r="J463" s="154"/>
      <c r="K463" s="89"/>
      <c r="L463" s="55"/>
      <c r="M463" s="119"/>
      <c r="N463" s="194"/>
      <c r="O463" s="89"/>
      <c r="P463" s="55"/>
      <c r="Q463" s="195"/>
      <c r="R463" s="196"/>
      <c r="S463" s="125"/>
      <c r="T463" s="126"/>
      <c r="U463" s="195"/>
      <c r="V463" s="196"/>
      <c r="W463" s="125"/>
      <c r="X463" s="126"/>
      <c r="Y463" s="119"/>
      <c r="Z463" s="197"/>
      <c r="AA463" s="198"/>
      <c r="AB463" s="199"/>
      <c r="AC463" s="119"/>
      <c r="AD463" s="196"/>
      <c r="AE463" s="200"/>
      <c r="AF463" s="201"/>
      <c r="AG463" s="205"/>
      <c r="AH463" s="205"/>
      <c r="AI463" s="205"/>
      <c r="AJ463" s="205"/>
      <c r="AK463" s="126"/>
      <c r="AL463" s="126"/>
    </row>
    <row r="464">
      <c r="A464" s="119"/>
      <c r="B464" s="154"/>
      <c r="C464" s="89"/>
      <c r="D464" s="55"/>
      <c r="E464" s="119"/>
      <c r="F464" s="154"/>
      <c r="G464" s="192"/>
      <c r="H464" s="193"/>
      <c r="I464" s="119"/>
      <c r="J464" s="154"/>
      <c r="K464" s="89"/>
      <c r="L464" s="55"/>
      <c r="M464" s="119"/>
      <c r="N464" s="194"/>
      <c r="O464" s="89"/>
      <c r="P464" s="55"/>
      <c r="Q464" s="195"/>
      <c r="R464" s="196"/>
      <c r="S464" s="125"/>
      <c r="T464" s="126"/>
      <c r="U464" s="195"/>
      <c r="V464" s="196"/>
      <c r="W464" s="125"/>
      <c r="X464" s="126"/>
      <c r="Y464" s="119"/>
      <c r="Z464" s="197"/>
      <c r="AA464" s="198"/>
      <c r="AB464" s="199"/>
      <c r="AC464" s="119"/>
      <c r="AD464" s="196"/>
      <c r="AE464" s="200"/>
      <c r="AF464" s="201"/>
      <c r="AG464" s="205"/>
      <c r="AH464" s="205"/>
      <c r="AI464" s="205"/>
      <c r="AJ464" s="205"/>
      <c r="AK464" s="126"/>
      <c r="AL464" s="126"/>
    </row>
    <row r="465">
      <c r="A465" s="119"/>
      <c r="B465" s="154"/>
      <c r="C465" s="89"/>
      <c r="D465" s="55"/>
      <c r="E465" s="119"/>
      <c r="F465" s="154"/>
      <c r="G465" s="192"/>
      <c r="H465" s="193"/>
      <c r="I465" s="119"/>
      <c r="J465" s="154"/>
      <c r="K465" s="89"/>
      <c r="L465" s="55"/>
      <c r="M465" s="119"/>
      <c r="N465" s="194"/>
      <c r="O465" s="89"/>
      <c r="P465" s="55"/>
      <c r="Q465" s="195"/>
      <c r="R465" s="196"/>
      <c r="S465" s="125"/>
      <c r="T465" s="126"/>
      <c r="U465" s="195"/>
      <c r="V465" s="196"/>
      <c r="W465" s="125"/>
      <c r="X465" s="126"/>
      <c r="Y465" s="119"/>
      <c r="Z465" s="197"/>
      <c r="AA465" s="198"/>
      <c r="AB465" s="199"/>
      <c r="AC465" s="119"/>
      <c r="AD465" s="196"/>
      <c r="AE465" s="200"/>
      <c r="AF465" s="201"/>
      <c r="AG465" s="205"/>
      <c r="AH465" s="205"/>
      <c r="AI465" s="205"/>
      <c r="AJ465" s="205"/>
      <c r="AK465" s="126"/>
      <c r="AL465" s="126"/>
    </row>
    <row r="466">
      <c r="A466" s="119"/>
      <c r="B466" s="154"/>
      <c r="C466" s="89"/>
      <c r="D466" s="55"/>
      <c r="E466" s="119"/>
      <c r="F466" s="154"/>
      <c r="G466" s="192"/>
      <c r="H466" s="193"/>
      <c r="I466" s="119"/>
      <c r="J466" s="154"/>
      <c r="K466" s="89"/>
      <c r="L466" s="55"/>
      <c r="M466" s="119"/>
      <c r="N466" s="194"/>
      <c r="O466" s="89"/>
      <c r="P466" s="55"/>
      <c r="Q466" s="195"/>
      <c r="R466" s="196"/>
      <c r="S466" s="125"/>
      <c r="T466" s="126"/>
      <c r="U466" s="195"/>
      <c r="V466" s="196"/>
      <c r="W466" s="125"/>
      <c r="X466" s="126"/>
      <c r="Y466" s="119"/>
      <c r="Z466" s="197"/>
      <c r="AA466" s="198"/>
      <c r="AB466" s="199"/>
      <c r="AC466" s="119"/>
      <c r="AD466" s="196"/>
      <c r="AE466" s="200"/>
      <c r="AF466" s="201"/>
      <c r="AG466" s="205"/>
      <c r="AH466" s="205"/>
      <c r="AI466" s="205"/>
      <c r="AJ466" s="205"/>
      <c r="AK466" s="126"/>
      <c r="AL466" s="126"/>
    </row>
    <row r="467">
      <c r="A467" s="119"/>
      <c r="B467" s="154"/>
      <c r="C467" s="89"/>
      <c r="D467" s="55"/>
      <c r="E467" s="119"/>
      <c r="F467" s="154"/>
      <c r="G467" s="192"/>
      <c r="H467" s="193"/>
      <c r="I467" s="119"/>
      <c r="J467" s="154"/>
      <c r="K467" s="89"/>
      <c r="L467" s="55"/>
      <c r="M467" s="119"/>
      <c r="N467" s="194"/>
      <c r="O467" s="89"/>
      <c r="P467" s="55"/>
      <c r="Q467" s="195"/>
      <c r="R467" s="196"/>
      <c r="S467" s="125"/>
      <c r="T467" s="126"/>
      <c r="U467" s="195"/>
      <c r="V467" s="196"/>
      <c r="W467" s="125"/>
      <c r="X467" s="126"/>
      <c r="Y467" s="119"/>
      <c r="Z467" s="197"/>
      <c r="AA467" s="198"/>
      <c r="AB467" s="199"/>
      <c r="AC467" s="119"/>
      <c r="AD467" s="196"/>
      <c r="AE467" s="200"/>
      <c r="AF467" s="201"/>
      <c r="AG467" s="205"/>
      <c r="AH467" s="205"/>
      <c r="AI467" s="205"/>
      <c r="AJ467" s="205"/>
      <c r="AK467" s="126"/>
      <c r="AL467" s="126"/>
    </row>
    <row r="468">
      <c r="A468" s="119"/>
      <c r="B468" s="154"/>
      <c r="C468" s="89"/>
      <c r="D468" s="55"/>
      <c r="E468" s="119"/>
      <c r="F468" s="154"/>
      <c r="G468" s="192"/>
      <c r="H468" s="193"/>
      <c r="I468" s="119"/>
      <c r="J468" s="154"/>
      <c r="K468" s="89"/>
      <c r="L468" s="55"/>
      <c r="M468" s="119"/>
      <c r="N468" s="194"/>
      <c r="O468" s="89"/>
      <c r="P468" s="55"/>
      <c r="Q468" s="195"/>
      <c r="R468" s="196"/>
      <c r="S468" s="125"/>
      <c r="T468" s="126"/>
      <c r="U468" s="195"/>
      <c r="V468" s="196"/>
      <c r="W468" s="125"/>
      <c r="X468" s="126"/>
      <c r="Y468" s="119"/>
      <c r="Z468" s="197"/>
      <c r="AA468" s="198"/>
      <c r="AB468" s="199"/>
      <c r="AC468" s="119"/>
      <c r="AD468" s="196"/>
      <c r="AE468" s="200"/>
      <c r="AF468" s="201"/>
      <c r="AG468" s="205"/>
      <c r="AH468" s="205"/>
      <c r="AI468" s="205"/>
      <c r="AJ468" s="205"/>
      <c r="AK468" s="126"/>
      <c r="AL468" s="126"/>
    </row>
    <row r="469">
      <c r="A469" s="119"/>
      <c r="B469" s="154"/>
      <c r="C469" s="89"/>
      <c r="D469" s="55"/>
      <c r="E469" s="119"/>
      <c r="F469" s="154"/>
      <c r="G469" s="192"/>
      <c r="H469" s="193"/>
      <c r="I469" s="119"/>
      <c r="J469" s="154"/>
      <c r="K469" s="89"/>
      <c r="L469" s="55"/>
      <c r="M469" s="119"/>
      <c r="N469" s="194"/>
      <c r="O469" s="89"/>
      <c r="P469" s="55"/>
      <c r="Q469" s="195"/>
      <c r="R469" s="196"/>
      <c r="S469" s="125"/>
      <c r="T469" s="126"/>
      <c r="U469" s="195"/>
      <c r="V469" s="196"/>
      <c r="W469" s="125"/>
      <c r="X469" s="126"/>
      <c r="Y469" s="119"/>
      <c r="Z469" s="197"/>
      <c r="AA469" s="198"/>
      <c r="AB469" s="199"/>
      <c r="AC469" s="119"/>
      <c r="AD469" s="196"/>
      <c r="AE469" s="200"/>
      <c r="AF469" s="201"/>
      <c r="AG469" s="205"/>
      <c r="AH469" s="205"/>
      <c r="AI469" s="205"/>
      <c r="AJ469" s="205"/>
      <c r="AK469" s="126"/>
      <c r="AL469" s="126"/>
    </row>
    <row r="470">
      <c r="A470" s="119"/>
      <c r="B470" s="154"/>
      <c r="C470" s="89"/>
      <c r="D470" s="55"/>
      <c r="E470" s="119"/>
      <c r="F470" s="154"/>
      <c r="G470" s="192"/>
      <c r="H470" s="193"/>
      <c r="I470" s="119"/>
      <c r="J470" s="154"/>
      <c r="K470" s="89"/>
      <c r="L470" s="55"/>
      <c r="M470" s="119"/>
      <c r="N470" s="194"/>
      <c r="O470" s="89"/>
      <c r="P470" s="55"/>
      <c r="Q470" s="195"/>
      <c r="R470" s="196"/>
      <c r="S470" s="125"/>
      <c r="T470" s="126"/>
      <c r="U470" s="195"/>
      <c r="V470" s="196"/>
      <c r="W470" s="125"/>
      <c r="X470" s="126"/>
      <c r="Y470" s="119"/>
      <c r="Z470" s="197"/>
      <c r="AA470" s="198"/>
      <c r="AB470" s="199"/>
      <c r="AC470" s="119"/>
      <c r="AD470" s="196"/>
      <c r="AE470" s="200"/>
      <c r="AF470" s="201"/>
      <c r="AG470" s="205"/>
      <c r="AH470" s="205"/>
      <c r="AI470" s="205"/>
      <c r="AJ470" s="205"/>
      <c r="AK470" s="126"/>
      <c r="AL470" s="126"/>
    </row>
    <row r="471">
      <c r="A471" s="119"/>
      <c r="B471" s="154"/>
      <c r="C471" s="89"/>
      <c r="D471" s="55"/>
      <c r="E471" s="119"/>
      <c r="F471" s="154"/>
      <c r="G471" s="192"/>
      <c r="H471" s="193"/>
      <c r="I471" s="119"/>
      <c r="J471" s="154"/>
      <c r="K471" s="89"/>
      <c r="L471" s="55"/>
      <c r="M471" s="119"/>
      <c r="N471" s="194"/>
      <c r="O471" s="89"/>
      <c r="P471" s="55"/>
      <c r="Q471" s="195"/>
      <c r="R471" s="196"/>
      <c r="S471" s="125"/>
      <c r="T471" s="126"/>
      <c r="U471" s="195"/>
      <c r="V471" s="196"/>
      <c r="W471" s="125"/>
      <c r="X471" s="126"/>
      <c r="Y471" s="119"/>
      <c r="Z471" s="197"/>
      <c r="AA471" s="198"/>
      <c r="AB471" s="199"/>
      <c r="AC471" s="119"/>
      <c r="AD471" s="196"/>
      <c r="AE471" s="200"/>
      <c r="AF471" s="201"/>
      <c r="AG471" s="205"/>
      <c r="AH471" s="205"/>
      <c r="AI471" s="205"/>
      <c r="AJ471" s="205"/>
      <c r="AK471" s="126"/>
      <c r="AL471" s="126"/>
    </row>
    <row r="472">
      <c r="A472" s="119"/>
      <c r="B472" s="154"/>
      <c r="C472" s="89"/>
      <c r="D472" s="55"/>
      <c r="E472" s="119"/>
      <c r="F472" s="154"/>
      <c r="G472" s="192"/>
      <c r="H472" s="193"/>
      <c r="I472" s="119"/>
      <c r="J472" s="154"/>
      <c r="K472" s="89"/>
      <c r="L472" s="55"/>
      <c r="M472" s="119"/>
      <c r="N472" s="194"/>
      <c r="O472" s="89"/>
      <c r="P472" s="55"/>
      <c r="Q472" s="195"/>
      <c r="R472" s="196"/>
      <c r="S472" s="125"/>
      <c r="T472" s="126"/>
      <c r="U472" s="195"/>
      <c r="V472" s="196"/>
      <c r="W472" s="125"/>
      <c r="X472" s="126"/>
      <c r="Y472" s="119"/>
      <c r="Z472" s="197"/>
      <c r="AA472" s="198"/>
      <c r="AB472" s="199"/>
      <c r="AC472" s="119"/>
      <c r="AD472" s="196"/>
      <c r="AE472" s="200"/>
      <c r="AF472" s="201"/>
      <c r="AG472" s="205"/>
      <c r="AH472" s="205"/>
      <c r="AI472" s="205"/>
      <c r="AJ472" s="205"/>
      <c r="AK472" s="126"/>
      <c r="AL472" s="126"/>
    </row>
    <row r="473">
      <c r="A473" s="119"/>
      <c r="B473" s="154"/>
      <c r="C473" s="89"/>
      <c r="D473" s="55"/>
      <c r="E473" s="119"/>
      <c r="F473" s="154"/>
      <c r="G473" s="192"/>
      <c r="H473" s="193"/>
      <c r="I473" s="119"/>
      <c r="J473" s="154"/>
      <c r="K473" s="89"/>
      <c r="L473" s="55"/>
      <c r="M473" s="119"/>
      <c r="N473" s="194"/>
      <c r="O473" s="89"/>
      <c r="P473" s="55"/>
      <c r="Q473" s="195"/>
      <c r="R473" s="196"/>
      <c r="S473" s="125"/>
      <c r="T473" s="126"/>
      <c r="U473" s="195"/>
      <c r="V473" s="196"/>
      <c r="W473" s="125"/>
      <c r="X473" s="126"/>
      <c r="Y473" s="119"/>
      <c r="Z473" s="197"/>
      <c r="AA473" s="198"/>
      <c r="AB473" s="199"/>
      <c r="AC473" s="119"/>
      <c r="AD473" s="196"/>
      <c r="AE473" s="200"/>
      <c r="AF473" s="201"/>
      <c r="AG473" s="205"/>
      <c r="AH473" s="205"/>
      <c r="AI473" s="205"/>
      <c r="AJ473" s="205"/>
      <c r="AK473" s="126"/>
      <c r="AL473" s="126"/>
    </row>
    <row r="474">
      <c r="A474" s="119"/>
      <c r="B474" s="154"/>
      <c r="C474" s="89"/>
      <c r="D474" s="55"/>
      <c r="E474" s="119"/>
      <c r="F474" s="154"/>
      <c r="G474" s="192"/>
      <c r="H474" s="193"/>
      <c r="I474" s="119"/>
      <c r="J474" s="154"/>
      <c r="K474" s="89"/>
      <c r="L474" s="55"/>
      <c r="M474" s="119"/>
      <c r="N474" s="194"/>
      <c r="O474" s="89"/>
      <c r="P474" s="55"/>
      <c r="Q474" s="195"/>
      <c r="R474" s="196"/>
      <c r="S474" s="125"/>
      <c r="T474" s="126"/>
      <c r="U474" s="195"/>
      <c r="V474" s="196"/>
      <c r="W474" s="125"/>
      <c r="X474" s="126"/>
      <c r="Y474" s="119"/>
      <c r="Z474" s="197"/>
      <c r="AA474" s="198"/>
      <c r="AB474" s="199"/>
      <c r="AC474" s="119"/>
      <c r="AD474" s="196"/>
      <c r="AE474" s="200"/>
      <c r="AF474" s="201"/>
      <c r="AG474" s="205"/>
      <c r="AH474" s="205"/>
      <c r="AI474" s="205"/>
      <c r="AJ474" s="205"/>
      <c r="AK474" s="126"/>
      <c r="AL474" s="126"/>
    </row>
    <row r="475">
      <c r="A475" s="119"/>
      <c r="B475" s="154"/>
      <c r="C475" s="89"/>
      <c r="D475" s="55"/>
      <c r="E475" s="119"/>
      <c r="F475" s="154"/>
      <c r="G475" s="192"/>
      <c r="H475" s="193"/>
      <c r="I475" s="119"/>
      <c r="J475" s="154"/>
      <c r="K475" s="89"/>
      <c r="L475" s="55"/>
      <c r="M475" s="119"/>
      <c r="N475" s="194"/>
      <c r="O475" s="89"/>
      <c r="P475" s="55"/>
      <c r="Q475" s="195"/>
      <c r="R475" s="196"/>
      <c r="S475" s="125"/>
      <c r="T475" s="126"/>
      <c r="U475" s="195"/>
      <c r="V475" s="196"/>
      <c r="W475" s="125"/>
      <c r="X475" s="126"/>
      <c r="Y475" s="119"/>
      <c r="Z475" s="197"/>
      <c r="AA475" s="198"/>
      <c r="AB475" s="199"/>
      <c r="AC475" s="119"/>
      <c r="AD475" s="196"/>
      <c r="AE475" s="200"/>
      <c r="AF475" s="201"/>
      <c r="AG475" s="205"/>
      <c r="AH475" s="205"/>
      <c r="AI475" s="205"/>
      <c r="AJ475" s="205"/>
      <c r="AK475" s="126"/>
      <c r="AL475" s="126"/>
    </row>
    <row r="476">
      <c r="A476" s="119"/>
      <c r="B476" s="154"/>
      <c r="C476" s="89"/>
      <c r="D476" s="55"/>
      <c r="E476" s="119"/>
      <c r="F476" s="154"/>
      <c r="G476" s="192"/>
      <c r="H476" s="193"/>
      <c r="I476" s="119"/>
      <c r="J476" s="154"/>
      <c r="K476" s="89"/>
      <c r="L476" s="55"/>
      <c r="M476" s="119"/>
      <c r="N476" s="194"/>
      <c r="O476" s="89"/>
      <c r="P476" s="55"/>
      <c r="Q476" s="195"/>
      <c r="R476" s="196"/>
      <c r="S476" s="125"/>
      <c r="T476" s="126"/>
      <c r="U476" s="195"/>
      <c r="V476" s="196"/>
      <c r="W476" s="125"/>
      <c r="X476" s="126"/>
      <c r="Y476" s="119"/>
      <c r="Z476" s="197"/>
      <c r="AA476" s="198"/>
      <c r="AB476" s="199"/>
      <c r="AC476" s="119"/>
      <c r="AD476" s="196"/>
      <c r="AE476" s="200"/>
      <c r="AF476" s="201"/>
      <c r="AG476" s="205"/>
      <c r="AH476" s="205"/>
      <c r="AI476" s="205"/>
      <c r="AJ476" s="205"/>
      <c r="AK476" s="126"/>
      <c r="AL476" s="126"/>
    </row>
    <row r="477">
      <c r="A477" s="119"/>
      <c r="B477" s="154"/>
      <c r="C477" s="89"/>
      <c r="D477" s="55"/>
      <c r="E477" s="119"/>
      <c r="F477" s="154"/>
      <c r="G477" s="192"/>
      <c r="H477" s="193"/>
      <c r="I477" s="119"/>
      <c r="J477" s="154"/>
      <c r="K477" s="89"/>
      <c r="L477" s="55"/>
      <c r="M477" s="119"/>
      <c r="N477" s="194"/>
      <c r="O477" s="89"/>
      <c r="P477" s="55"/>
      <c r="Q477" s="195"/>
      <c r="R477" s="196"/>
      <c r="S477" s="125"/>
      <c r="T477" s="126"/>
      <c r="U477" s="195"/>
      <c r="V477" s="196"/>
      <c r="W477" s="125"/>
      <c r="X477" s="126"/>
      <c r="Y477" s="119"/>
      <c r="Z477" s="197"/>
      <c r="AA477" s="198"/>
      <c r="AB477" s="199"/>
      <c r="AC477" s="119"/>
      <c r="AD477" s="196"/>
      <c r="AE477" s="200"/>
      <c r="AF477" s="201"/>
      <c r="AG477" s="205"/>
      <c r="AH477" s="205"/>
      <c r="AI477" s="205"/>
      <c r="AJ477" s="205"/>
      <c r="AK477" s="126"/>
      <c r="AL477" s="126"/>
    </row>
    <row r="478">
      <c r="A478" s="119"/>
      <c r="B478" s="154"/>
      <c r="C478" s="89"/>
      <c r="D478" s="55"/>
      <c r="E478" s="119"/>
      <c r="F478" s="154"/>
      <c r="G478" s="192"/>
      <c r="H478" s="193"/>
      <c r="I478" s="119"/>
      <c r="J478" s="154"/>
      <c r="K478" s="89"/>
      <c r="L478" s="55"/>
      <c r="M478" s="119"/>
      <c r="N478" s="194"/>
      <c r="O478" s="89"/>
      <c r="P478" s="55"/>
      <c r="Q478" s="195"/>
      <c r="R478" s="196"/>
      <c r="S478" s="125"/>
      <c r="T478" s="126"/>
      <c r="U478" s="195"/>
      <c r="V478" s="196"/>
      <c r="W478" s="125"/>
      <c r="X478" s="126"/>
      <c r="Y478" s="119"/>
      <c r="Z478" s="197"/>
      <c r="AA478" s="198"/>
      <c r="AB478" s="199"/>
      <c r="AC478" s="119"/>
      <c r="AD478" s="196"/>
      <c r="AE478" s="200"/>
      <c r="AF478" s="201"/>
      <c r="AG478" s="205"/>
      <c r="AH478" s="205"/>
      <c r="AI478" s="205"/>
      <c r="AJ478" s="205"/>
      <c r="AK478" s="126"/>
      <c r="AL478" s="126"/>
    </row>
    <row r="479">
      <c r="A479" s="119"/>
      <c r="B479" s="154"/>
      <c r="C479" s="89"/>
      <c r="D479" s="55"/>
      <c r="E479" s="119"/>
      <c r="F479" s="154"/>
      <c r="G479" s="192"/>
      <c r="H479" s="193"/>
      <c r="I479" s="119"/>
      <c r="J479" s="154"/>
      <c r="K479" s="89"/>
      <c r="L479" s="55"/>
      <c r="M479" s="119"/>
      <c r="N479" s="194"/>
      <c r="O479" s="89"/>
      <c r="P479" s="55"/>
      <c r="Q479" s="195"/>
      <c r="R479" s="196"/>
      <c r="S479" s="125"/>
      <c r="T479" s="126"/>
      <c r="U479" s="195"/>
      <c r="V479" s="196"/>
      <c r="W479" s="125"/>
      <c r="X479" s="126"/>
      <c r="Y479" s="119"/>
      <c r="Z479" s="197"/>
      <c r="AA479" s="198"/>
      <c r="AB479" s="199"/>
      <c r="AC479" s="119"/>
      <c r="AD479" s="196"/>
      <c r="AE479" s="200"/>
      <c r="AF479" s="201"/>
      <c r="AG479" s="205"/>
      <c r="AH479" s="205"/>
      <c r="AI479" s="205"/>
      <c r="AJ479" s="205"/>
      <c r="AK479" s="126"/>
      <c r="AL479" s="126"/>
    </row>
    <row r="480">
      <c r="A480" s="119"/>
      <c r="B480" s="154"/>
      <c r="C480" s="89"/>
      <c r="D480" s="55"/>
      <c r="E480" s="119"/>
      <c r="F480" s="154"/>
      <c r="G480" s="192"/>
      <c r="H480" s="193"/>
      <c r="I480" s="119"/>
      <c r="J480" s="154"/>
      <c r="K480" s="89"/>
      <c r="L480" s="55"/>
      <c r="M480" s="119"/>
      <c r="N480" s="194"/>
      <c r="O480" s="89"/>
      <c r="P480" s="55"/>
      <c r="Q480" s="195"/>
      <c r="R480" s="196"/>
      <c r="S480" s="125"/>
      <c r="T480" s="126"/>
      <c r="U480" s="195"/>
      <c r="V480" s="196"/>
      <c r="W480" s="125"/>
      <c r="X480" s="126"/>
      <c r="Y480" s="119"/>
      <c r="Z480" s="197"/>
      <c r="AA480" s="198"/>
      <c r="AB480" s="199"/>
      <c r="AC480" s="119"/>
      <c r="AD480" s="196"/>
      <c r="AE480" s="200"/>
      <c r="AF480" s="201"/>
      <c r="AG480" s="205"/>
      <c r="AH480" s="205"/>
      <c r="AI480" s="205"/>
      <c r="AJ480" s="205"/>
      <c r="AK480" s="126"/>
      <c r="AL480" s="126"/>
    </row>
    <row r="481">
      <c r="A481" s="119"/>
      <c r="B481" s="154"/>
      <c r="C481" s="89"/>
      <c r="D481" s="55"/>
      <c r="E481" s="119"/>
      <c r="F481" s="154"/>
      <c r="G481" s="192"/>
      <c r="H481" s="193"/>
      <c r="I481" s="119"/>
      <c r="J481" s="154"/>
      <c r="K481" s="89"/>
      <c r="L481" s="55"/>
      <c r="M481" s="119"/>
      <c r="N481" s="194"/>
      <c r="O481" s="89"/>
      <c r="P481" s="55"/>
      <c r="Q481" s="195"/>
      <c r="R481" s="196"/>
      <c r="S481" s="125"/>
      <c r="T481" s="126"/>
      <c r="U481" s="195"/>
      <c r="V481" s="196"/>
      <c r="W481" s="125"/>
      <c r="X481" s="126"/>
      <c r="Y481" s="119"/>
      <c r="Z481" s="197"/>
      <c r="AA481" s="198"/>
      <c r="AB481" s="199"/>
      <c r="AC481" s="119"/>
      <c r="AD481" s="196"/>
      <c r="AE481" s="200"/>
      <c r="AF481" s="201"/>
      <c r="AG481" s="205"/>
      <c r="AH481" s="205"/>
      <c r="AI481" s="205"/>
      <c r="AJ481" s="205"/>
      <c r="AK481" s="126"/>
      <c r="AL481" s="126"/>
    </row>
    <row r="482">
      <c r="A482" s="119"/>
      <c r="B482" s="154"/>
      <c r="C482" s="89"/>
      <c r="D482" s="55"/>
      <c r="E482" s="119"/>
      <c r="F482" s="154"/>
      <c r="G482" s="192"/>
      <c r="H482" s="193"/>
      <c r="I482" s="119"/>
      <c r="J482" s="154"/>
      <c r="K482" s="89"/>
      <c r="L482" s="55"/>
      <c r="M482" s="119"/>
      <c r="N482" s="194"/>
      <c r="O482" s="89"/>
      <c r="P482" s="55"/>
      <c r="Q482" s="195"/>
      <c r="R482" s="196"/>
      <c r="S482" s="125"/>
      <c r="T482" s="126"/>
      <c r="U482" s="195"/>
      <c r="V482" s="196"/>
      <c r="W482" s="125"/>
      <c r="X482" s="126"/>
      <c r="Y482" s="119"/>
      <c r="Z482" s="197"/>
      <c r="AA482" s="198"/>
      <c r="AB482" s="199"/>
      <c r="AC482" s="119"/>
      <c r="AD482" s="196"/>
      <c r="AE482" s="200"/>
      <c r="AF482" s="201"/>
      <c r="AG482" s="205"/>
      <c r="AH482" s="205"/>
      <c r="AI482" s="205"/>
      <c r="AJ482" s="205"/>
      <c r="AK482" s="126"/>
      <c r="AL482" s="126"/>
    </row>
    <row r="483">
      <c r="A483" s="119"/>
      <c r="B483" s="154"/>
      <c r="C483" s="89"/>
      <c r="D483" s="55"/>
      <c r="E483" s="119"/>
      <c r="F483" s="154"/>
      <c r="G483" s="192"/>
      <c r="H483" s="193"/>
      <c r="I483" s="119"/>
      <c r="J483" s="154"/>
      <c r="K483" s="89"/>
      <c r="L483" s="55"/>
      <c r="M483" s="119"/>
      <c r="N483" s="194"/>
      <c r="O483" s="89"/>
      <c r="P483" s="55"/>
      <c r="Q483" s="195"/>
      <c r="R483" s="196"/>
      <c r="S483" s="125"/>
      <c r="T483" s="126"/>
      <c r="U483" s="195"/>
      <c r="V483" s="196"/>
      <c r="W483" s="125"/>
      <c r="X483" s="126"/>
      <c r="Y483" s="119"/>
      <c r="Z483" s="197"/>
      <c r="AA483" s="198"/>
      <c r="AB483" s="199"/>
      <c r="AC483" s="119"/>
      <c r="AD483" s="196"/>
      <c r="AE483" s="200"/>
      <c r="AF483" s="201"/>
      <c r="AG483" s="205"/>
      <c r="AH483" s="205"/>
      <c r="AI483" s="205"/>
      <c r="AJ483" s="205"/>
      <c r="AK483" s="126"/>
      <c r="AL483" s="126"/>
    </row>
    <row r="484">
      <c r="A484" s="119"/>
      <c r="B484" s="154"/>
      <c r="C484" s="89"/>
      <c r="D484" s="55"/>
      <c r="E484" s="119"/>
      <c r="F484" s="154"/>
      <c r="G484" s="192"/>
      <c r="H484" s="193"/>
      <c r="I484" s="119"/>
      <c r="J484" s="154"/>
      <c r="K484" s="89"/>
      <c r="L484" s="55"/>
      <c r="M484" s="119"/>
      <c r="N484" s="194"/>
      <c r="O484" s="89"/>
      <c r="P484" s="55"/>
      <c r="Q484" s="195"/>
      <c r="R484" s="196"/>
      <c r="S484" s="125"/>
      <c r="T484" s="126"/>
      <c r="U484" s="195"/>
      <c r="V484" s="196"/>
      <c r="W484" s="125"/>
      <c r="X484" s="126"/>
      <c r="Y484" s="119"/>
      <c r="Z484" s="197"/>
      <c r="AA484" s="198"/>
      <c r="AB484" s="199"/>
      <c r="AC484" s="119"/>
      <c r="AD484" s="196"/>
      <c r="AE484" s="200"/>
      <c r="AF484" s="201"/>
      <c r="AG484" s="205"/>
      <c r="AH484" s="205"/>
      <c r="AI484" s="205"/>
      <c r="AJ484" s="205"/>
      <c r="AK484" s="126"/>
      <c r="AL484" s="126"/>
    </row>
    <row r="485">
      <c r="A485" s="119"/>
      <c r="B485" s="154"/>
      <c r="C485" s="89"/>
      <c r="D485" s="55"/>
      <c r="E485" s="119"/>
      <c r="F485" s="154"/>
      <c r="G485" s="192"/>
      <c r="H485" s="193"/>
      <c r="I485" s="119"/>
      <c r="J485" s="154"/>
      <c r="K485" s="89"/>
      <c r="L485" s="55"/>
      <c r="M485" s="119"/>
      <c r="N485" s="194"/>
      <c r="O485" s="89"/>
      <c r="P485" s="55"/>
      <c r="Q485" s="195"/>
      <c r="R485" s="196"/>
      <c r="S485" s="125"/>
      <c r="T485" s="126"/>
      <c r="U485" s="195"/>
      <c r="V485" s="196"/>
      <c r="W485" s="125"/>
      <c r="X485" s="126"/>
      <c r="Y485" s="119"/>
      <c r="Z485" s="197"/>
      <c r="AA485" s="198"/>
      <c r="AB485" s="199"/>
      <c r="AC485" s="119"/>
      <c r="AD485" s="196"/>
      <c r="AE485" s="200"/>
      <c r="AF485" s="201"/>
      <c r="AG485" s="205"/>
      <c r="AH485" s="205"/>
      <c r="AI485" s="205"/>
      <c r="AJ485" s="205"/>
      <c r="AK485" s="126"/>
      <c r="AL485" s="126"/>
    </row>
    <row r="486">
      <c r="A486" s="119"/>
      <c r="B486" s="154"/>
      <c r="C486" s="89"/>
      <c r="D486" s="55"/>
      <c r="E486" s="119"/>
      <c r="F486" s="154"/>
      <c r="G486" s="192"/>
      <c r="H486" s="193"/>
      <c r="I486" s="119"/>
      <c r="J486" s="154"/>
      <c r="K486" s="89"/>
      <c r="L486" s="55"/>
      <c r="M486" s="119"/>
      <c r="N486" s="194"/>
      <c r="O486" s="89"/>
      <c r="P486" s="55"/>
      <c r="Q486" s="195"/>
      <c r="R486" s="196"/>
      <c r="S486" s="125"/>
      <c r="T486" s="126"/>
      <c r="U486" s="195"/>
      <c r="V486" s="196"/>
      <c r="W486" s="125"/>
      <c r="X486" s="126"/>
      <c r="Y486" s="119"/>
      <c r="Z486" s="197"/>
      <c r="AA486" s="198"/>
      <c r="AB486" s="199"/>
      <c r="AC486" s="119"/>
      <c r="AD486" s="196"/>
      <c r="AE486" s="200"/>
      <c r="AF486" s="201"/>
      <c r="AG486" s="205"/>
      <c r="AH486" s="205"/>
      <c r="AI486" s="205"/>
      <c r="AJ486" s="205"/>
      <c r="AK486" s="126"/>
      <c r="AL486" s="126"/>
    </row>
    <row r="487">
      <c r="A487" s="119"/>
      <c r="B487" s="154"/>
      <c r="C487" s="89"/>
      <c r="D487" s="55"/>
      <c r="E487" s="119"/>
      <c r="F487" s="154"/>
      <c r="G487" s="192"/>
      <c r="H487" s="193"/>
      <c r="I487" s="119"/>
      <c r="J487" s="154"/>
      <c r="K487" s="89"/>
      <c r="L487" s="55"/>
      <c r="M487" s="119"/>
      <c r="N487" s="194"/>
      <c r="O487" s="89"/>
      <c r="P487" s="55"/>
      <c r="Q487" s="195"/>
      <c r="R487" s="196"/>
      <c r="S487" s="125"/>
      <c r="T487" s="126"/>
      <c r="U487" s="195"/>
      <c r="V487" s="196"/>
      <c r="W487" s="125"/>
      <c r="X487" s="126"/>
      <c r="Y487" s="119"/>
      <c r="Z487" s="197"/>
      <c r="AA487" s="198"/>
      <c r="AB487" s="199"/>
      <c r="AC487" s="119"/>
      <c r="AD487" s="196"/>
      <c r="AE487" s="200"/>
      <c r="AF487" s="201"/>
      <c r="AG487" s="205"/>
      <c r="AH487" s="205"/>
      <c r="AI487" s="205"/>
      <c r="AJ487" s="205"/>
      <c r="AK487" s="126"/>
      <c r="AL487" s="126"/>
    </row>
    <row r="488">
      <c r="A488" s="119"/>
      <c r="B488" s="154"/>
      <c r="C488" s="89"/>
      <c r="D488" s="55"/>
      <c r="E488" s="119"/>
      <c r="F488" s="154"/>
      <c r="G488" s="192"/>
      <c r="H488" s="193"/>
      <c r="I488" s="119"/>
      <c r="J488" s="154"/>
      <c r="K488" s="89"/>
      <c r="L488" s="55"/>
      <c r="M488" s="119"/>
      <c r="N488" s="194"/>
      <c r="O488" s="89"/>
      <c r="P488" s="55"/>
      <c r="Q488" s="195"/>
      <c r="R488" s="196"/>
      <c r="S488" s="125"/>
      <c r="T488" s="126"/>
      <c r="U488" s="195"/>
      <c r="V488" s="196"/>
      <c r="W488" s="125"/>
      <c r="X488" s="126"/>
      <c r="Y488" s="119"/>
      <c r="Z488" s="197"/>
      <c r="AA488" s="198"/>
      <c r="AB488" s="199"/>
      <c r="AC488" s="119"/>
      <c r="AD488" s="196"/>
      <c r="AE488" s="200"/>
      <c r="AF488" s="201"/>
      <c r="AG488" s="205"/>
      <c r="AH488" s="205"/>
      <c r="AI488" s="205"/>
      <c r="AJ488" s="205"/>
      <c r="AK488" s="126"/>
      <c r="AL488" s="126"/>
    </row>
    <row r="489">
      <c r="A489" s="119"/>
      <c r="B489" s="154"/>
      <c r="C489" s="89"/>
      <c r="D489" s="55"/>
      <c r="E489" s="119"/>
      <c r="F489" s="154"/>
      <c r="G489" s="192"/>
      <c r="H489" s="193"/>
      <c r="I489" s="119"/>
      <c r="J489" s="154"/>
      <c r="K489" s="89"/>
      <c r="L489" s="55"/>
      <c r="M489" s="119"/>
      <c r="N489" s="194"/>
      <c r="O489" s="89"/>
      <c r="P489" s="55"/>
      <c r="Q489" s="195"/>
      <c r="R489" s="196"/>
      <c r="S489" s="125"/>
      <c r="T489" s="126"/>
      <c r="U489" s="195"/>
      <c r="V489" s="196"/>
      <c r="W489" s="125"/>
      <c r="X489" s="126"/>
      <c r="Y489" s="119"/>
      <c r="Z489" s="197"/>
      <c r="AA489" s="198"/>
      <c r="AB489" s="199"/>
      <c r="AC489" s="119"/>
      <c r="AD489" s="196"/>
      <c r="AE489" s="200"/>
      <c r="AF489" s="201"/>
      <c r="AG489" s="205"/>
      <c r="AH489" s="205"/>
      <c r="AI489" s="205"/>
      <c r="AJ489" s="205"/>
      <c r="AK489" s="126"/>
      <c r="AL489" s="126"/>
    </row>
    <row r="490">
      <c r="A490" s="119"/>
      <c r="B490" s="154"/>
      <c r="C490" s="89"/>
      <c r="D490" s="55"/>
      <c r="E490" s="119"/>
      <c r="F490" s="154"/>
      <c r="G490" s="192"/>
      <c r="H490" s="193"/>
      <c r="I490" s="119"/>
      <c r="J490" s="154"/>
      <c r="K490" s="89"/>
      <c r="L490" s="55"/>
      <c r="M490" s="119"/>
      <c r="N490" s="194"/>
      <c r="O490" s="89"/>
      <c r="P490" s="55"/>
      <c r="Q490" s="195"/>
      <c r="R490" s="196"/>
      <c r="S490" s="125"/>
      <c r="T490" s="126"/>
      <c r="U490" s="195"/>
      <c r="V490" s="196"/>
      <c r="W490" s="125"/>
      <c r="X490" s="126"/>
      <c r="Y490" s="119"/>
      <c r="Z490" s="197"/>
      <c r="AA490" s="198"/>
      <c r="AB490" s="199"/>
      <c r="AC490" s="119"/>
      <c r="AD490" s="196"/>
      <c r="AE490" s="200"/>
      <c r="AF490" s="201"/>
      <c r="AG490" s="205"/>
      <c r="AH490" s="205"/>
      <c r="AI490" s="205"/>
      <c r="AJ490" s="205"/>
      <c r="AK490" s="126"/>
      <c r="AL490" s="126"/>
    </row>
    <row r="491">
      <c r="A491" s="119"/>
      <c r="B491" s="154"/>
      <c r="C491" s="89"/>
      <c r="D491" s="55"/>
      <c r="E491" s="119"/>
      <c r="F491" s="154"/>
      <c r="G491" s="192"/>
      <c r="H491" s="193"/>
      <c r="I491" s="119"/>
      <c r="J491" s="154"/>
      <c r="K491" s="89"/>
      <c r="L491" s="55"/>
      <c r="M491" s="119"/>
      <c r="N491" s="194"/>
      <c r="O491" s="89"/>
      <c r="P491" s="55"/>
      <c r="Q491" s="195"/>
      <c r="R491" s="196"/>
      <c r="S491" s="125"/>
      <c r="T491" s="126"/>
      <c r="U491" s="195"/>
      <c r="V491" s="196"/>
      <c r="W491" s="125"/>
      <c r="X491" s="126"/>
      <c r="Y491" s="119"/>
      <c r="Z491" s="197"/>
      <c r="AA491" s="198"/>
      <c r="AB491" s="199"/>
      <c r="AC491" s="119"/>
      <c r="AD491" s="196"/>
      <c r="AE491" s="200"/>
      <c r="AF491" s="201"/>
      <c r="AG491" s="205"/>
      <c r="AH491" s="205"/>
      <c r="AI491" s="205"/>
      <c r="AJ491" s="205"/>
      <c r="AK491" s="126"/>
      <c r="AL491" s="126"/>
    </row>
    <row r="492">
      <c r="A492" s="119"/>
      <c r="B492" s="154"/>
      <c r="C492" s="89"/>
      <c r="D492" s="55"/>
      <c r="E492" s="119"/>
      <c r="F492" s="154"/>
      <c r="G492" s="192"/>
      <c r="H492" s="193"/>
      <c r="I492" s="119"/>
      <c r="J492" s="154"/>
      <c r="K492" s="89"/>
      <c r="L492" s="55"/>
      <c r="M492" s="119"/>
      <c r="N492" s="194"/>
      <c r="O492" s="89"/>
      <c r="P492" s="55"/>
      <c r="Q492" s="195"/>
      <c r="R492" s="196"/>
      <c r="S492" s="125"/>
      <c r="T492" s="126"/>
      <c r="U492" s="195"/>
      <c r="V492" s="196"/>
      <c r="W492" s="125"/>
      <c r="X492" s="126"/>
      <c r="Y492" s="119"/>
      <c r="Z492" s="197"/>
      <c r="AA492" s="198"/>
      <c r="AB492" s="199"/>
      <c r="AC492" s="119"/>
      <c r="AD492" s="196"/>
      <c r="AE492" s="200"/>
      <c r="AF492" s="201"/>
      <c r="AG492" s="205"/>
      <c r="AH492" s="205"/>
      <c r="AI492" s="205"/>
      <c r="AJ492" s="205"/>
      <c r="AK492" s="126"/>
      <c r="AL492" s="126"/>
    </row>
    <row r="493">
      <c r="A493" s="119"/>
      <c r="B493" s="154"/>
      <c r="C493" s="89"/>
      <c r="D493" s="55"/>
      <c r="E493" s="119"/>
      <c r="F493" s="154"/>
      <c r="G493" s="192"/>
      <c r="H493" s="193"/>
      <c r="I493" s="119"/>
      <c r="J493" s="154"/>
      <c r="K493" s="89"/>
      <c r="L493" s="55"/>
      <c r="M493" s="119"/>
      <c r="N493" s="194"/>
      <c r="O493" s="89"/>
      <c r="P493" s="55"/>
      <c r="Q493" s="195"/>
      <c r="R493" s="196"/>
      <c r="S493" s="125"/>
      <c r="T493" s="126"/>
      <c r="U493" s="195"/>
      <c r="V493" s="196"/>
      <c r="W493" s="125"/>
      <c r="X493" s="126"/>
      <c r="Y493" s="119"/>
      <c r="Z493" s="197"/>
      <c r="AA493" s="198"/>
      <c r="AB493" s="199"/>
      <c r="AC493" s="119"/>
      <c r="AD493" s="196"/>
      <c r="AE493" s="200"/>
      <c r="AF493" s="201"/>
      <c r="AG493" s="205"/>
      <c r="AH493" s="205"/>
      <c r="AI493" s="205"/>
      <c r="AJ493" s="205"/>
      <c r="AK493" s="126"/>
      <c r="AL493" s="126"/>
    </row>
    <row r="494">
      <c r="A494" s="119"/>
      <c r="B494" s="154"/>
      <c r="C494" s="89"/>
      <c r="D494" s="55"/>
      <c r="E494" s="119"/>
      <c r="F494" s="154"/>
      <c r="G494" s="192"/>
      <c r="H494" s="193"/>
      <c r="I494" s="119"/>
      <c r="J494" s="154"/>
      <c r="K494" s="89"/>
      <c r="L494" s="55"/>
      <c r="M494" s="119"/>
      <c r="N494" s="194"/>
      <c r="O494" s="89"/>
      <c r="P494" s="55"/>
      <c r="Q494" s="195"/>
      <c r="R494" s="196"/>
      <c r="S494" s="125"/>
      <c r="T494" s="126"/>
      <c r="U494" s="195"/>
      <c r="V494" s="196"/>
      <c r="W494" s="125"/>
      <c r="X494" s="126"/>
      <c r="Y494" s="119"/>
      <c r="Z494" s="197"/>
      <c r="AA494" s="198"/>
      <c r="AB494" s="199"/>
      <c r="AC494" s="119"/>
      <c r="AD494" s="196"/>
      <c r="AE494" s="200"/>
      <c r="AF494" s="201"/>
      <c r="AG494" s="205"/>
      <c r="AH494" s="205"/>
      <c r="AI494" s="205"/>
      <c r="AJ494" s="205"/>
      <c r="AK494" s="126"/>
      <c r="AL494" s="126"/>
    </row>
    <row r="495">
      <c r="A495" s="119"/>
      <c r="B495" s="154"/>
      <c r="C495" s="89"/>
      <c r="D495" s="55"/>
      <c r="E495" s="119"/>
      <c r="F495" s="154"/>
      <c r="G495" s="192"/>
      <c r="H495" s="193"/>
      <c r="I495" s="119"/>
      <c r="J495" s="154"/>
      <c r="K495" s="89"/>
      <c r="L495" s="55"/>
      <c r="M495" s="119"/>
      <c r="N495" s="194"/>
      <c r="O495" s="89"/>
      <c r="P495" s="55"/>
      <c r="Q495" s="195"/>
      <c r="R495" s="196"/>
      <c r="S495" s="125"/>
      <c r="T495" s="126"/>
      <c r="U495" s="195"/>
      <c r="V495" s="196"/>
      <c r="W495" s="125"/>
      <c r="X495" s="126"/>
      <c r="Y495" s="119"/>
      <c r="Z495" s="197"/>
      <c r="AA495" s="198"/>
      <c r="AB495" s="199"/>
      <c r="AC495" s="119"/>
      <c r="AD495" s="196"/>
      <c r="AE495" s="200"/>
      <c r="AF495" s="201"/>
      <c r="AG495" s="205"/>
      <c r="AH495" s="205"/>
      <c r="AI495" s="205"/>
      <c r="AJ495" s="205"/>
      <c r="AK495" s="126"/>
      <c r="AL495" s="126"/>
    </row>
    <row r="496">
      <c r="A496" s="119"/>
      <c r="B496" s="154"/>
      <c r="C496" s="89"/>
      <c r="D496" s="55"/>
      <c r="E496" s="119"/>
      <c r="F496" s="154"/>
      <c r="G496" s="192"/>
      <c r="H496" s="193"/>
      <c r="I496" s="119"/>
      <c r="J496" s="154"/>
      <c r="K496" s="89"/>
      <c r="L496" s="55"/>
      <c r="M496" s="119"/>
      <c r="N496" s="194"/>
      <c r="O496" s="89"/>
      <c r="P496" s="55"/>
      <c r="Q496" s="195"/>
      <c r="R496" s="196"/>
      <c r="S496" s="125"/>
      <c r="T496" s="126"/>
      <c r="U496" s="195"/>
      <c r="V496" s="196"/>
      <c r="W496" s="125"/>
      <c r="X496" s="126"/>
      <c r="Y496" s="119"/>
      <c r="Z496" s="197"/>
      <c r="AA496" s="198"/>
      <c r="AB496" s="199"/>
      <c r="AC496" s="119"/>
      <c r="AD496" s="196"/>
      <c r="AE496" s="200"/>
      <c r="AF496" s="201"/>
      <c r="AG496" s="205"/>
      <c r="AH496" s="205"/>
      <c r="AI496" s="205"/>
      <c r="AJ496" s="205"/>
      <c r="AK496" s="126"/>
      <c r="AL496" s="126"/>
    </row>
    <row r="497">
      <c r="A497" s="119"/>
      <c r="B497" s="154"/>
      <c r="C497" s="89"/>
      <c r="D497" s="55"/>
      <c r="E497" s="119"/>
      <c r="F497" s="154"/>
      <c r="G497" s="192"/>
      <c r="H497" s="193"/>
      <c r="I497" s="119"/>
      <c r="J497" s="154"/>
      <c r="K497" s="89"/>
      <c r="L497" s="55"/>
      <c r="M497" s="119"/>
      <c r="N497" s="194"/>
      <c r="O497" s="89"/>
      <c r="P497" s="55"/>
      <c r="Q497" s="195"/>
      <c r="R497" s="196"/>
      <c r="S497" s="125"/>
      <c r="T497" s="126"/>
      <c r="U497" s="195"/>
      <c r="V497" s="196"/>
      <c r="W497" s="125"/>
      <c r="X497" s="126"/>
      <c r="Y497" s="119"/>
      <c r="Z497" s="197"/>
      <c r="AA497" s="198"/>
      <c r="AB497" s="199"/>
      <c r="AC497" s="119"/>
      <c r="AD497" s="196"/>
      <c r="AE497" s="200"/>
      <c r="AF497" s="201"/>
      <c r="AG497" s="205"/>
      <c r="AH497" s="205"/>
      <c r="AI497" s="205"/>
      <c r="AJ497" s="205"/>
      <c r="AK497" s="126"/>
      <c r="AL497" s="126"/>
    </row>
    <row r="498">
      <c r="A498" s="119"/>
      <c r="B498" s="154"/>
      <c r="C498" s="89"/>
      <c r="D498" s="55"/>
      <c r="E498" s="119"/>
      <c r="F498" s="154"/>
      <c r="G498" s="192"/>
      <c r="H498" s="193"/>
      <c r="I498" s="119"/>
      <c r="J498" s="154"/>
      <c r="K498" s="89"/>
      <c r="L498" s="55"/>
      <c r="M498" s="119"/>
      <c r="N498" s="194"/>
      <c r="O498" s="89"/>
      <c r="P498" s="55"/>
      <c r="Q498" s="195"/>
      <c r="R498" s="196"/>
      <c r="S498" s="125"/>
      <c r="T498" s="126"/>
      <c r="U498" s="195"/>
      <c r="V498" s="196"/>
      <c r="W498" s="125"/>
      <c r="X498" s="126"/>
      <c r="Y498" s="119"/>
      <c r="Z498" s="197"/>
      <c r="AA498" s="198"/>
      <c r="AB498" s="199"/>
      <c r="AC498" s="119"/>
      <c r="AD498" s="196"/>
      <c r="AE498" s="200"/>
      <c r="AF498" s="201"/>
      <c r="AG498" s="205"/>
      <c r="AH498" s="205"/>
      <c r="AI498" s="205"/>
      <c r="AJ498" s="205"/>
      <c r="AK498" s="126"/>
      <c r="AL498" s="126"/>
    </row>
    <row r="499">
      <c r="A499" s="119"/>
      <c r="B499" s="154"/>
      <c r="C499" s="89"/>
      <c r="D499" s="55"/>
      <c r="E499" s="119"/>
      <c r="F499" s="154"/>
      <c r="G499" s="192"/>
      <c r="H499" s="193"/>
      <c r="I499" s="119"/>
      <c r="J499" s="154"/>
      <c r="K499" s="89"/>
      <c r="L499" s="55"/>
      <c r="M499" s="119"/>
      <c r="N499" s="194"/>
      <c r="O499" s="89"/>
      <c r="P499" s="55"/>
      <c r="Q499" s="195"/>
      <c r="R499" s="196"/>
      <c r="S499" s="125"/>
      <c r="T499" s="126"/>
      <c r="U499" s="195"/>
      <c r="V499" s="196"/>
      <c r="W499" s="125"/>
      <c r="X499" s="126"/>
      <c r="Y499" s="119"/>
      <c r="Z499" s="197"/>
      <c r="AA499" s="198"/>
      <c r="AB499" s="199"/>
      <c r="AC499" s="119"/>
      <c r="AD499" s="196"/>
      <c r="AE499" s="200"/>
      <c r="AF499" s="201"/>
      <c r="AG499" s="205"/>
      <c r="AH499" s="205"/>
      <c r="AI499" s="205"/>
      <c r="AJ499" s="205"/>
      <c r="AK499" s="126"/>
      <c r="AL499" s="126"/>
    </row>
    <row r="500">
      <c r="A500" s="119"/>
      <c r="B500" s="154"/>
      <c r="C500" s="89"/>
      <c r="D500" s="55"/>
      <c r="E500" s="119"/>
      <c r="F500" s="154"/>
      <c r="G500" s="192"/>
      <c r="H500" s="193"/>
      <c r="I500" s="119"/>
      <c r="J500" s="154"/>
      <c r="K500" s="89"/>
      <c r="L500" s="55"/>
      <c r="M500" s="119"/>
      <c r="N500" s="194"/>
      <c r="O500" s="89"/>
      <c r="P500" s="55"/>
      <c r="Q500" s="195"/>
      <c r="R500" s="196"/>
      <c r="S500" s="125"/>
      <c r="T500" s="126"/>
      <c r="U500" s="195"/>
      <c r="V500" s="196"/>
      <c r="W500" s="125"/>
      <c r="X500" s="126"/>
      <c r="Y500" s="119"/>
      <c r="Z500" s="197"/>
      <c r="AA500" s="198"/>
      <c r="AB500" s="199"/>
      <c r="AC500" s="119"/>
      <c r="AD500" s="196"/>
      <c r="AE500" s="200"/>
      <c r="AF500" s="201"/>
      <c r="AG500" s="205"/>
      <c r="AH500" s="205"/>
      <c r="AI500" s="205"/>
      <c r="AJ500" s="205"/>
      <c r="AK500" s="126"/>
      <c r="AL500" s="126"/>
    </row>
    <row r="501">
      <c r="A501" s="119"/>
      <c r="B501" s="154"/>
      <c r="C501" s="89"/>
      <c r="D501" s="55"/>
      <c r="E501" s="119"/>
      <c r="F501" s="154"/>
      <c r="G501" s="192"/>
      <c r="H501" s="193"/>
      <c r="I501" s="119"/>
      <c r="J501" s="154"/>
      <c r="K501" s="89"/>
      <c r="L501" s="55"/>
      <c r="M501" s="119"/>
      <c r="N501" s="194"/>
      <c r="O501" s="89"/>
      <c r="P501" s="55"/>
      <c r="Q501" s="195"/>
      <c r="R501" s="196"/>
      <c r="S501" s="125"/>
      <c r="T501" s="126"/>
      <c r="U501" s="195"/>
      <c r="V501" s="196"/>
      <c r="W501" s="125"/>
      <c r="X501" s="126"/>
      <c r="Y501" s="119"/>
      <c r="Z501" s="197"/>
      <c r="AA501" s="198"/>
      <c r="AB501" s="199"/>
      <c r="AC501" s="119"/>
      <c r="AD501" s="196"/>
      <c r="AE501" s="200"/>
      <c r="AF501" s="201"/>
      <c r="AG501" s="205"/>
      <c r="AH501" s="205"/>
      <c r="AI501" s="205"/>
      <c r="AJ501" s="205"/>
      <c r="AK501" s="126"/>
      <c r="AL501" s="126"/>
    </row>
    <row r="502">
      <c r="A502" s="119"/>
      <c r="B502" s="154"/>
      <c r="C502" s="89"/>
      <c r="D502" s="55"/>
      <c r="E502" s="119"/>
      <c r="F502" s="154"/>
      <c r="G502" s="192"/>
      <c r="H502" s="193"/>
      <c r="I502" s="119"/>
      <c r="J502" s="154"/>
      <c r="K502" s="89"/>
      <c r="L502" s="55"/>
      <c r="M502" s="119"/>
      <c r="N502" s="194"/>
      <c r="O502" s="89"/>
      <c r="P502" s="55"/>
      <c r="Q502" s="195"/>
      <c r="R502" s="196"/>
      <c r="S502" s="125"/>
      <c r="T502" s="126"/>
      <c r="U502" s="195"/>
      <c r="V502" s="196"/>
      <c r="W502" s="125"/>
      <c r="X502" s="126"/>
      <c r="Y502" s="119"/>
      <c r="Z502" s="197"/>
      <c r="AA502" s="198"/>
      <c r="AB502" s="199"/>
      <c r="AC502" s="119"/>
      <c r="AD502" s="196"/>
      <c r="AE502" s="200"/>
      <c r="AF502" s="201"/>
      <c r="AG502" s="205"/>
      <c r="AH502" s="205"/>
      <c r="AI502" s="205"/>
      <c r="AJ502" s="205"/>
      <c r="AK502" s="126"/>
      <c r="AL502" s="126"/>
    </row>
    <row r="503">
      <c r="A503" s="119"/>
      <c r="B503" s="154"/>
      <c r="C503" s="89"/>
      <c r="D503" s="55"/>
      <c r="E503" s="119"/>
      <c r="F503" s="154"/>
      <c r="G503" s="192"/>
      <c r="H503" s="193"/>
      <c r="I503" s="119"/>
      <c r="J503" s="154"/>
      <c r="K503" s="89"/>
      <c r="L503" s="55"/>
      <c r="M503" s="119"/>
      <c r="N503" s="194"/>
      <c r="O503" s="89"/>
      <c r="P503" s="55"/>
      <c r="Q503" s="195"/>
      <c r="R503" s="196"/>
      <c r="S503" s="125"/>
      <c r="T503" s="126"/>
      <c r="U503" s="195"/>
      <c r="V503" s="196"/>
      <c r="W503" s="125"/>
      <c r="X503" s="126"/>
      <c r="Y503" s="119"/>
      <c r="Z503" s="197"/>
      <c r="AA503" s="198"/>
      <c r="AB503" s="199"/>
      <c r="AC503" s="119"/>
      <c r="AD503" s="196"/>
      <c r="AE503" s="200"/>
      <c r="AF503" s="201"/>
      <c r="AG503" s="205"/>
      <c r="AH503" s="205"/>
      <c r="AI503" s="205"/>
      <c r="AJ503" s="205"/>
      <c r="AK503" s="126"/>
      <c r="AL503" s="126"/>
    </row>
    <row r="504">
      <c r="A504" s="119"/>
      <c r="B504" s="154"/>
      <c r="C504" s="89"/>
      <c r="D504" s="55"/>
      <c r="E504" s="119"/>
      <c r="F504" s="154"/>
      <c r="G504" s="192"/>
      <c r="H504" s="193"/>
      <c r="I504" s="119"/>
      <c r="J504" s="154"/>
      <c r="K504" s="89"/>
      <c r="L504" s="55"/>
      <c r="M504" s="119"/>
      <c r="N504" s="194"/>
      <c r="O504" s="89"/>
      <c r="P504" s="55"/>
      <c r="Q504" s="195"/>
      <c r="R504" s="196"/>
      <c r="S504" s="125"/>
      <c r="T504" s="126"/>
      <c r="U504" s="195"/>
      <c r="V504" s="196"/>
      <c r="W504" s="125"/>
      <c r="X504" s="126"/>
      <c r="Y504" s="119"/>
      <c r="Z504" s="197"/>
      <c r="AA504" s="198"/>
      <c r="AB504" s="199"/>
      <c r="AC504" s="119"/>
      <c r="AD504" s="196"/>
      <c r="AE504" s="200"/>
      <c r="AF504" s="201"/>
      <c r="AG504" s="205"/>
      <c r="AH504" s="205"/>
      <c r="AI504" s="205"/>
      <c r="AJ504" s="205"/>
      <c r="AK504" s="126"/>
      <c r="AL504" s="126"/>
    </row>
    <row r="505">
      <c r="A505" s="119"/>
      <c r="B505" s="154"/>
      <c r="C505" s="89"/>
      <c r="D505" s="55"/>
      <c r="E505" s="119"/>
      <c r="F505" s="154"/>
      <c r="G505" s="192"/>
      <c r="H505" s="193"/>
      <c r="I505" s="119"/>
      <c r="J505" s="154"/>
      <c r="K505" s="89"/>
      <c r="L505" s="55"/>
      <c r="M505" s="119"/>
      <c r="N505" s="194"/>
      <c r="O505" s="89"/>
      <c r="P505" s="55"/>
      <c r="Q505" s="195"/>
      <c r="R505" s="196"/>
      <c r="S505" s="125"/>
      <c r="T505" s="126"/>
      <c r="U505" s="195"/>
      <c r="V505" s="196"/>
      <c r="W505" s="125"/>
      <c r="X505" s="126"/>
      <c r="Y505" s="119"/>
      <c r="Z505" s="197"/>
      <c r="AA505" s="198"/>
      <c r="AB505" s="199"/>
      <c r="AC505" s="119"/>
      <c r="AD505" s="196"/>
      <c r="AE505" s="200"/>
      <c r="AF505" s="201"/>
      <c r="AG505" s="205"/>
      <c r="AH505" s="205"/>
      <c r="AI505" s="205"/>
      <c r="AJ505" s="205"/>
      <c r="AK505" s="126"/>
      <c r="AL505" s="126"/>
    </row>
    <row r="506">
      <c r="A506" s="119"/>
      <c r="B506" s="154"/>
      <c r="C506" s="89"/>
      <c r="D506" s="55"/>
      <c r="E506" s="119"/>
      <c r="F506" s="154"/>
      <c r="G506" s="192"/>
      <c r="H506" s="193"/>
      <c r="I506" s="119"/>
      <c r="J506" s="154"/>
      <c r="K506" s="89"/>
      <c r="L506" s="55"/>
      <c r="M506" s="119"/>
      <c r="N506" s="194"/>
      <c r="O506" s="89"/>
      <c r="P506" s="55"/>
      <c r="Q506" s="195"/>
      <c r="R506" s="196"/>
      <c r="S506" s="125"/>
      <c r="T506" s="126"/>
      <c r="U506" s="195"/>
      <c r="V506" s="196"/>
      <c r="W506" s="125"/>
      <c r="X506" s="126"/>
      <c r="Y506" s="119"/>
      <c r="Z506" s="197"/>
      <c r="AA506" s="198"/>
      <c r="AB506" s="199"/>
      <c r="AC506" s="119"/>
      <c r="AD506" s="196"/>
      <c r="AE506" s="200"/>
      <c r="AF506" s="201"/>
      <c r="AG506" s="205"/>
      <c r="AH506" s="205"/>
      <c r="AI506" s="205"/>
      <c r="AJ506" s="205"/>
      <c r="AK506" s="126"/>
      <c r="AL506" s="126"/>
    </row>
    <row r="507">
      <c r="A507" s="119"/>
      <c r="B507" s="154"/>
      <c r="C507" s="89"/>
      <c r="D507" s="55"/>
      <c r="E507" s="119"/>
      <c r="F507" s="154"/>
      <c r="G507" s="192"/>
      <c r="H507" s="193"/>
      <c r="I507" s="119"/>
      <c r="J507" s="154"/>
      <c r="K507" s="89"/>
      <c r="L507" s="55"/>
      <c r="M507" s="119"/>
      <c r="N507" s="194"/>
      <c r="O507" s="89"/>
      <c r="P507" s="55"/>
      <c r="Q507" s="195"/>
      <c r="R507" s="196"/>
      <c r="S507" s="125"/>
      <c r="T507" s="126"/>
      <c r="U507" s="195"/>
      <c r="V507" s="196"/>
      <c r="W507" s="125"/>
      <c r="X507" s="126"/>
      <c r="Y507" s="119"/>
      <c r="Z507" s="197"/>
      <c r="AA507" s="198"/>
      <c r="AB507" s="199"/>
      <c r="AC507" s="119"/>
      <c r="AD507" s="196"/>
      <c r="AE507" s="200"/>
      <c r="AF507" s="201"/>
      <c r="AG507" s="205"/>
      <c r="AH507" s="205"/>
      <c r="AI507" s="205"/>
      <c r="AJ507" s="205"/>
      <c r="AK507" s="126"/>
      <c r="AL507" s="126"/>
    </row>
    <row r="508">
      <c r="A508" s="119"/>
      <c r="B508" s="154"/>
      <c r="C508" s="89"/>
      <c r="D508" s="55"/>
      <c r="E508" s="119"/>
      <c r="F508" s="154"/>
      <c r="G508" s="192"/>
      <c r="H508" s="193"/>
      <c r="I508" s="119"/>
      <c r="J508" s="154"/>
      <c r="K508" s="89"/>
      <c r="L508" s="55"/>
      <c r="M508" s="119"/>
      <c r="N508" s="194"/>
      <c r="O508" s="89"/>
      <c r="P508" s="55"/>
      <c r="Q508" s="195"/>
      <c r="R508" s="196"/>
      <c r="S508" s="125"/>
      <c r="T508" s="126"/>
      <c r="U508" s="195"/>
      <c r="V508" s="196"/>
      <c r="W508" s="125"/>
      <c r="X508" s="126"/>
      <c r="Y508" s="119"/>
      <c r="Z508" s="197"/>
      <c r="AA508" s="198"/>
      <c r="AB508" s="199"/>
      <c r="AC508" s="119"/>
      <c r="AD508" s="196"/>
      <c r="AE508" s="200"/>
      <c r="AF508" s="201"/>
      <c r="AG508" s="205"/>
      <c r="AH508" s="205"/>
      <c r="AI508" s="205"/>
      <c r="AJ508" s="205"/>
      <c r="AK508" s="126"/>
      <c r="AL508" s="126"/>
    </row>
    <row r="509">
      <c r="A509" s="119"/>
      <c r="B509" s="154"/>
      <c r="C509" s="89"/>
      <c r="D509" s="55"/>
      <c r="E509" s="119"/>
      <c r="F509" s="154"/>
      <c r="G509" s="192"/>
      <c r="H509" s="193"/>
      <c r="I509" s="119"/>
      <c r="J509" s="154"/>
      <c r="K509" s="89"/>
      <c r="L509" s="55"/>
      <c r="M509" s="119"/>
      <c r="N509" s="194"/>
      <c r="O509" s="89"/>
      <c r="P509" s="55"/>
      <c r="Q509" s="195"/>
      <c r="R509" s="196"/>
      <c r="S509" s="125"/>
      <c r="T509" s="126"/>
      <c r="U509" s="195"/>
      <c r="V509" s="196"/>
      <c r="W509" s="125"/>
      <c r="X509" s="126"/>
      <c r="Y509" s="119"/>
      <c r="Z509" s="197"/>
      <c r="AA509" s="198"/>
      <c r="AB509" s="199"/>
      <c r="AC509" s="119"/>
      <c r="AD509" s="196"/>
      <c r="AE509" s="200"/>
      <c r="AF509" s="201"/>
      <c r="AG509" s="205"/>
      <c r="AH509" s="205"/>
      <c r="AI509" s="205"/>
      <c r="AJ509" s="205"/>
      <c r="AK509" s="126"/>
      <c r="AL509" s="126"/>
    </row>
    <row r="510">
      <c r="A510" s="119"/>
      <c r="B510" s="154"/>
      <c r="C510" s="89"/>
      <c r="D510" s="55"/>
      <c r="E510" s="119"/>
      <c r="F510" s="154"/>
      <c r="G510" s="192"/>
      <c r="H510" s="193"/>
      <c r="I510" s="119"/>
      <c r="J510" s="154"/>
      <c r="K510" s="89"/>
      <c r="L510" s="55"/>
      <c r="M510" s="119"/>
      <c r="N510" s="194"/>
      <c r="O510" s="89"/>
      <c r="P510" s="55"/>
      <c r="Q510" s="195"/>
      <c r="R510" s="196"/>
      <c r="S510" s="125"/>
      <c r="T510" s="126"/>
      <c r="U510" s="195"/>
      <c r="V510" s="196"/>
      <c r="W510" s="125"/>
      <c r="X510" s="126"/>
      <c r="Y510" s="119"/>
      <c r="Z510" s="197"/>
      <c r="AA510" s="198"/>
      <c r="AB510" s="199"/>
      <c r="AC510" s="119"/>
      <c r="AD510" s="196"/>
      <c r="AE510" s="200"/>
      <c r="AF510" s="201"/>
      <c r="AG510" s="205"/>
      <c r="AH510" s="205"/>
      <c r="AI510" s="205"/>
      <c r="AJ510" s="205"/>
      <c r="AK510" s="126"/>
      <c r="AL510" s="126"/>
    </row>
    <row r="511">
      <c r="A511" s="119"/>
      <c r="B511" s="154"/>
      <c r="C511" s="89"/>
      <c r="D511" s="55"/>
      <c r="E511" s="119"/>
      <c r="F511" s="154"/>
      <c r="G511" s="192"/>
      <c r="H511" s="193"/>
      <c r="I511" s="119"/>
      <c r="J511" s="154"/>
      <c r="K511" s="89"/>
      <c r="L511" s="55"/>
      <c r="M511" s="119"/>
      <c r="N511" s="194"/>
      <c r="O511" s="89"/>
      <c r="P511" s="55"/>
      <c r="Q511" s="195"/>
      <c r="R511" s="196"/>
      <c r="S511" s="125"/>
      <c r="T511" s="126"/>
      <c r="U511" s="195"/>
      <c r="V511" s="196"/>
      <c r="W511" s="125"/>
      <c r="X511" s="126"/>
      <c r="Y511" s="119"/>
      <c r="Z511" s="197"/>
      <c r="AA511" s="198"/>
      <c r="AB511" s="199"/>
      <c r="AC511" s="119"/>
      <c r="AD511" s="196"/>
      <c r="AE511" s="200"/>
      <c r="AF511" s="201"/>
      <c r="AG511" s="205"/>
      <c r="AH511" s="205"/>
      <c r="AI511" s="205"/>
      <c r="AJ511" s="205"/>
      <c r="AK511" s="126"/>
      <c r="AL511" s="126"/>
    </row>
    <row r="512">
      <c r="A512" s="119"/>
      <c r="B512" s="154"/>
      <c r="C512" s="89"/>
      <c r="D512" s="55"/>
      <c r="E512" s="119"/>
      <c r="F512" s="154"/>
      <c r="G512" s="192"/>
      <c r="H512" s="193"/>
      <c r="I512" s="119"/>
      <c r="J512" s="154"/>
      <c r="K512" s="89"/>
      <c r="L512" s="55"/>
      <c r="M512" s="119"/>
      <c r="N512" s="194"/>
      <c r="O512" s="89"/>
      <c r="P512" s="55"/>
      <c r="Q512" s="195"/>
      <c r="R512" s="196"/>
      <c r="S512" s="125"/>
      <c r="T512" s="126"/>
      <c r="U512" s="195"/>
      <c r="V512" s="196"/>
      <c r="W512" s="125"/>
      <c r="X512" s="126"/>
      <c r="Y512" s="119"/>
      <c r="Z512" s="197"/>
      <c r="AA512" s="198"/>
      <c r="AB512" s="199"/>
      <c r="AC512" s="119"/>
      <c r="AD512" s="196"/>
      <c r="AE512" s="200"/>
      <c r="AF512" s="201"/>
      <c r="AG512" s="205"/>
      <c r="AH512" s="205"/>
      <c r="AI512" s="205"/>
      <c r="AJ512" s="205"/>
      <c r="AK512" s="126"/>
      <c r="AL512" s="126"/>
    </row>
    <row r="513">
      <c r="A513" s="119"/>
      <c r="B513" s="154"/>
      <c r="C513" s="89"/>
      <c r="D513" s="55"/>
      <c r="E513" s="119"/>
      <c r="F513" s="154"/>
      <c r="G513" s="192"/>
      <c r="H513" s="193"/>
      <c r="I513" s="119"/>
      <c r="J513" s="154"/>
      <c r="K513" s="89"/>
      <c r="L513" s="55"/>
      <c r="M513" s="119"/>
      <c r="N513" s="194"/>
      <c r="O513" s="89"/>
      <c r="P513" s="55"/>
      <c r="Q513" s="195"/>
      <c r="R513" s="196"/>
      <c r="S513" s="125"/>
      <c r="T513" s="126"/>
      <c r="U513" s="195"/>
      <c r="V513" s="196"/>
      <c r="W513" s="125"/>
      <c r="X513" s="126"/>
      <c r="Y513" s="119"/>
      <c r="Z513" s="197"/>
      <c r="AA513" s="198"/>
      <c r="AB513" s="199"/>
      <c r="AC513" s="119"/>
      <c r="AD513" s="196"/>
      <c r="AE513" s="200"/>
      <c r="AF513" s="201"/>
      <c r="AG513" s="205"/>
      <c r="AH513" s="205"/>
      <c r="AI513" s="205"/>
      <c r="AJ513" s="205"/>
      <c r="AK513" s="126"/>
      <c r="AL513" s="126"/>
    </row>
    <row r="514">
      <c r="A514" s="119"/>
      <c r="B514" s="154"/>
      <c r="C514" s="89"/>
      <c r="D514" s="55"/>
      <c r="E514" s="119"/>
      <c r="F514" s="154"/>
      <c r="G514" s="192"/>
      <c r="H514" s="193"/>
      <c r="I514" s="119"/>
      <c r="J514" s="154"/>
      <c r="K514" s="89"/>
      <c r="L514" s="55"/>
      <c r="M514" s="119"/>
      <c r="N514" s="194"/>
      <c r="O514" s="89"/>
      <c r="P514" s="55"/>
      <c r="Q514" s="195"/>
      <c r="R514" s="196"/>
      <c r="S514" s="125"/>
      <c r="T514" s="126"/>
      <c r="U514" s="195"/>
      <c r="V514" s="196"/>
      <c r="W514" s="125"/>
      <c r="X514" s="126"/>
      <c r="Y514" s="119"/>
      <c r="Z514" s="197"/>
      <c r="AA514" s="198"/>
      <c r="AB514" s="199"/>
      <c r="AC514" s="119"/>
      <c r="AD514" s="196"/>
      <c r="AE514" s="200"/>
      <c r="AF514" s="201"/>
      <c r="AG514" s="205"/>
      <c r="AH514" s="205"/>
      <c r="AI514" s="205"/>
      <c r="AJ514" s="205"/>
      <c r="AK514" s="126"/>
      <c r="AL514" s="126"/>
    </row>
    <row r="515">
      <c r="A515" s="119"/>
      <c r="B515" s="154"/>
      <c r="C515" s="89"/>
      <c r="D515" s="55"/>
      <c r="E515" s="119"/>
      <c r="F515" s="154"/>
      <c r="G515" s="192"/>
      <c r="H515" s="193"/>
      <c r="I515" s="119"/>
      <c r="J515" s="154"/>
      <c r="K515" s="89"/>
      <c r="L515" s="55"/>
      <c r="M515" s="119"/>
      <c r="N515" s="194"/>
      <c r="O515" s="89"/>
      <c r="P515" s="55"/>
      <c r="Q515" s="195"/>
      <c r="R515" s="196"/>
      <c r="S515" s="125"/>
      <c r="T515" s="126"/>
      <c r="U515" s="195"/>
      <c r="V515" s="196"/>
      <c r="W515" s="125"/>
      <c r="X515" s="126"/>
      <c r="Y515" s="119"/>
      <c r="Z515" s="197"/>
      <c r="AA515" s="198"/>
      <c r="AB515" s="199"/>
      <c r="AC515" s="119"/>
      <c r="AD515" s="196"/>
      <c r="AE515" s="200"/>
      <c r="AF515" s="201"/>
      <c r="AG515" s="205"/>
      <c r="AH515" s="205"/>
      <c r="AI515" s="205"/>
      <c r="AJ515" s="205"/>
      <c r="AK515" s="126"/>
      <c r="AL515" s="126"/>
    </row>
    <row r="516">
      <c r="A516" s="119"/>
      <c r="B516" s="154"/>
      <c r="C516" s="89"/>
      <c r="D516" s="55"/>
      <c r="E516" s="119"/>
      <c r="F516" s="154"/>
      <c r="G516" s="192"/>
      <c r="H516" s="193"/>
      <c r="I516" s="119"/>
      <c r="J516" s="154"/>
      <c r="K516" s="89"/>
      <c r="L516" s="55"/>
      <c r="M516" s="119"/>
      <c r="N516" s="194"/>
      <c r="O516" s="89"/>
      <c r="P516" s="55"/>
      <c r="Q516" s="195"/>
      <c r="R516" s="196"/>
      <c r="S516" s="125"/>
      <c r="T516" s="126"/>
      <c r="U516" s="195"/>
      <c r="V516" s="196"/>
      <c r="W516" s="125"/>
      <c r="X516" s="126"/>
      <c r="Y516" s="119"/>
      <c r="Z516" s="197"/>
      <c r="AA516" s="198"/>
      <c r="AB516" s="199"/>
      <c r="AC516" s="119"/>
      <c r="AD516" s="196"/>
      <c r="AE516" s="200"/>
      <c r="AF516" s="201"/>
      <c r="AG516" s="205"/>
      <c r="AH516" s="205"/>
      <c r="AI516" s="205"/>
      <c r="AJ516" s="205"/>
      <c r="AK516" s="126"/>
      <c r="AL516" s="126"/>
    </row>
    <row r="517">
      <c r="A517" s="119"/>
      <c r="B517" s="154"/>
      <c r="C517" s="89"/>
      <c r="D517" s="55"/>
      <c r="E517" s="119"/>
      <c r="F517" s="154"/>
      <c r="G517" s="192"/>
      <c r="H517" s="193"/>
      <c r="I517" s="119"/>
      <c r="J517" s="154"/>
      <c r="K517" s="89"/>
      <c r="L517" s="55"/>
      <c r="M517" s="119"/>
      <c r="N517" s="194"/>
      <c r="O517" s="89"/>
      <c r="P517" s="55"/>
      <c r="Q517" s="195"/>
      <c r="R517" s="196"/>
      <c r="S517" s="125"/>
      <c r="T517" s="126"/>
      <c r="U517" s="195"/>
      <c r="V517" s="196"/>
      <c r="W517" s="125"/>
      <c r="X517" s="126"/>
      <c r="Y517" s="119"/>
      <c r="Z517" s="197"/>
      <c r="AA517" s="198"/>
      <c r="AB517" s="199"/>
      <c r="AC517" s="119"/>
      <c r="AD517" s="196"/>
      <c r="AE517" s="200"/>
      <c r="AF517" s="201"/>
      <c r="AG517" s="205"/>
      <c r="AH517" s="205"/>
      <c r="AI517" s="205"/>
      <c r="AJ517" s="205"/>
      <c r="AK517" s="126"/>
      <c r="AL517" s="126"/>
    </row>
    <row r="518">
      <c r="A518" s="119"/>
      <c r="B518" s="154"/>
      <c r="C518" s="89"/>
      <c r="D518" s="55"/>
      <c r="E518" s="119"/>
      <c r="F518" s="154"/>
      <c r="G518" s="192"/>
      <c r="H518" s="193"/>
      <c r="I518" s="119"/>
      <c r="J518" s="154"/>
      <c r="K518" s="89"/>
      <c r="L518" s="55"/>
      <c r="M518" s="119"/>
      <c r="N518" s="194"/>
      <c r="O518" s="89"/>
      <c r="P518" s="55"/>
      <c r="Q518" s="195"/>
      <c r="R518" s="196"/>
      <c r="S518" s="125"/>
      <c r="T518" s="126"/>
      <c r="U518" s="195"/>
      <c r="V518" s="196"/>
      <c r="W518" s="125"/>
      <c r="X518" s="126"/>
      <c r="Y518" s="119"/>
      <c r="Z518" s="197"/>
      <c r="AA518" s="198"/>
      <c r="AB518" s="199"/>
      <c r="AC518" s="119"/>
      <c r="AD518" s="196"/>
      <c r="AE518" s="200"/>
      <c r="AF518" s="201"/>
      <c r="AG518" s="205"/>
      <c r="AH518" s="205"/>
      <c r="AI518" s="205"/>
      <c r="AJ518" s="205"/>
      <c r="AK518" s="126"/>
      <c r="AL518" s="126"/>
    </row>
    <row r="519">
      <c r="A519" s="119"/>
      <c r="B519" s="154"/>
      <c r="C519" s="89"/>
      <c r="D519" s="55"/>
      <c r="E519" s="119"/>
      <c r="F519" s="154"/>
      <c r="G519" s="192"/>
      <c r="H519" s="193"/>
      <c r="I519" s="119"/>
      <c r="J519" s="154"/>
      <c r="K519" s="89"/>
      <c r="L519" s="55"/>
      <c r="M519" s="119"/>
      <c r="N519" s="194"/>
      <c r="O519" s="89"/>
      <c r="P519" s="55"/>
      <c r="Q519" s="195"/>
      <c r="R519" s="196"/>
      <c r="S519" s="125"/>
      <c r="T519" s="126"/>
      <c r="U519" s="195"/>
      <c r="V519" s="196"/>
      <c r="W519" s="125"/>
      <c r="X519" s="126"/>
      <c r="Y519" s="119"/>
      <c r="Z519" s="197"/>
      <c r="AA519" s="198"/>
      <c r="AB519" s="199"/>
      <c r="AC519" s="119"/>
      <c r="AD519" s="196"/>
      <c r="AE519" s="200"/>
      <c r="AF519" s="201"/>
      <c r="AG519" s="205"/>
      <c r="AH519" s="205"/>
      <c r="AI519" s="205"/>
      <c r="AJ519" s="205"/>
      <c r="AK519" s="126"/>
      <c r="AL519" s="126"/>
    </row>
    <row r="520">
      <c r="A520" s="119"/>
      <c r="B520" s="154"/>
      <c r="C520" s="89"/>
      <c r="D520" s="55"/>
      <c r="E520" s="119"/>
      <c r="F520" s="154"/>
      <c r="G520" s="192"/>
      <c r="H520" s="193"/>
      <c r="I520" s="119"/>
      <c r="J520" s="154"/>
      <c r="K520" s="89"/>
      <c r="L520" s="55"/>
      <c r="M520" s="119"/>
      <c r="N520" s="194"/>
      <c r="O520" s="89"/>
      <c r="P520" s="55"/>
      <c r="Q520" s="195"/>
      <c r="R520" s="196"/>
      <c r="S520" s="125"/>
      <c r="T520" s="126"/>
      <c r="U520" s="195"/>
      <c r="V520" s="196"/>
      <c r="W520" s="125"/>
      <c r="X520" s="126"/>
      <c r="Y520" s="119"/>
      <c r="Z520" s="197"/>
      <c r="AA520" s="198"/>
      <c r="AB520" s="199"/>
      <c r="AC520" s="119"/>
      <c r="AD520" s="196"/>
      <c r="AE520" s="200"/>
      <c r="AF520" s="201"/>
      <c r="AG520" s="205"/>
      <c r="AH520" s="205"/>
      <c r="AI520" s="205"/>
      <c r="AJ520" s="205"/>
      <c r="AK520" s="126"/>
      <c r="AL520" s="126"/>
    </row>
    <row r="521">
      <c r="A521" s="119"/>
      <c r="B521" s="154"/>
      <c r="C521" s="89"/>
      <c r="D521" s="55"/>
      <c r="E521" s="119"/>
      <c r="F521" s="154"/>
      <c r="G521" s="192"/>
      <c r="H521" s="193"/>
      <c r="I521" s="119"/>
      <c r="J521" s="154"/>
      <c r="K521" s="89"/>
      <c r="L521" s="55"/>
      <c r="M521" s="119"/>
      <c r="N521" s="194"/>
      <c r="O521" s="89"/>
      <c r="P521" s="55"/>
      <c r="Q521" s="195"/>
      <c r="R521" s="196"/>
      <c r="S521" s="125"/>
      <c r="T521" s="126"/>
      <c r="U521" s="195"/>
      <c r="V521" s="196"/>
      <c r="W521" s="125"/>
      <c r="X521" s="126"/>
      <c r="Y521" s="119"/>
      <c r="Z521" s="197"/>
      <c r="AA521" s="198"/>
      <c r="AB521" s="199"/>
      <c r="AC521" s="119"/>
      <c r="AD521" s="196"/>
      <c r="AE521" s="200"/>
      <c r="AF521" s="201"/>
      <c r="AG521" s="205"/>
      <c r="AH521" s="205"/>
      <c r="AI521" s="205"/>
      <c r="AJ521" s="205"/>
      <c r="AK521" s="126"/>
      <c r="AL521" s="126"/>
    </row>
    <row r="522">
      <c r="A522" s="119"/>
      <c r="B522" s="154"/>
      <c r="C522" s="89"/>
      <c r="D522" s="55"/>
      <c r="E522" s="119"/>
      <c r="F522" s="154"/>
      <c r="G522" s="192"/>
      <c r="H522" s="193"/>
      <c r="I522" s="119"/>
      <c r="J522" s="154"/>
      <c r="K522" s="89"/>
      <c r="L522" s="55"/>
      <c r="M522" s="119"/>
      <c r="N522" s="194"/>
      <c r="O522" s="89"/>
      <c r="P522" s="55"/>
      <c r="Q522" s="195"/>
      <c r="R522" s="196"/>
      <c r="S522" s="125"/>
      <c r="T522" s="126"/>
      <c r="U522" s="195"/>
      <c r="V522" s="196"/>
      <c r="W522" s="125"/>
      <c r="X522" s="126"/>
      <c r="Y522" s="119"/>
      <c r="Z522" s="197"/>
      <c r="AA522" s="198"/>
      <c r="AB522" s="199"/>
      <c r="AC522" s="119"/>
      <c r="AD522" s="196"/>
      <c r="AE522" s="200"/>
      <c r="AF522" s="201"/>
      <c r="AG522" s="205"/>
      <c r="AH522" s="205"/>
      <c r="AI522" s="205"/>
      <c r="AJ522" s="205"/>
      <c r="AK522" s="126"/>
      <c r="AL522" s="126"/>
    </row>
    <row r="523">
      <c r="A523" s="119"/>
      <c r="B523" s="154"/>
      <c r="C523" s="89"/>
      <c r="D523" s="55"/>
      <c r="E523" s="119"/>
      <c r="F523" s="154"/>
      <c r="G523" s="192"/>
      <c r="H523" s="193"/>
      <c r="I523" s="119"/>
      <c r="J523" s="154"/>
      <c r="K523" s="89"/>
      <c r="L523" s="55"/>
      <c r="M523" s="119"/>
      <c r="N523" s="194"/>
      <c r="O523" s="89"/>
      <c r="P523" s="55"/>
      <c r="Q523" s="195"/>
      <c r="R523" s="196"/>
      <c r="S523" s="125"/>
      <c r="T523" s="126"/>
      <c r="U523" s="195"/>
      <c r="V523" s="196"/>
      <c r="W523" s="125"/>
      <c r="X523" s="126"/>
      <c r="Y523" s="119"/>
      <c r="Z523" s="197"/>
      <c r="AA523" s="198"/>
      <c r="AB523" s="199"/>
      <c r="AC523" s="119"/>
      <c r="AD523" s="196"/>
      <c r="AE523" s="200"/>
      <c r="AF523" s="201"/>
      <c r="AG523" s="205"/>
      <c r="AH523" s="205"/>
      <c r="AI523" s="205"/>
      <c r="AJ523" s="205"/>
      <c r="AK523" s="126"/>
      <c r="AL523" s="126"/>
    </row>
    <row r="524">
      <c r="A524" s="119"/>
      <c r="B524" s="154"/>
      <c r="C524" s="89"/>
      <c r="D524" s="55"/>
      <c r="E524" s="119"/>
      <c r="F524" s="154"/>
      <c r="G524" s="192"/>
      <c r="H524" s="193"/>
      <c r="I524" s="119"/>
      <c r="J524" s="154"/>
      <c r="K524" s="89"/>
      <c r="L524" s="55"/>
      <c r="M524" s="119"/>
      <c r="N524" s="194"/>
      <c r="O524" s="89"/>
      <c r="P524" s="55"/>
      <c r="Q524" s="195"/>
      <c r="R524" s="196"/>
      <c r="S524" s="125"/>
      <c r="T524" s="126"/>
      <c r="U524" s="195"/>
      <c r="V524" s="196"/>
      <c r="W524" s="125"/>
      <c r="X524" s="126"/>
      <c r="Y524" s="119"/>
      <c r="Z524" s="197"/>
      <c r="AA524" s="198"/>
      <c r="AB524" s="199"/>
      <c r="AC524" s="119"/>
      <c r="AD524" s="196"/>
      <c r="AE524" s="200"/>
      <c r="AF524" s="201"/>
      <c r="AG524" s="205"/>
      <c r="AH524" s="205"/>
      <c r="AI524" s="205"/>
      <c r="AJ524" s="205"/>
      <c r="AK524" s="126"/>
      <c r="AL524" s="126"/>
    </row>
    <row r="525">
      <c r="A525" s="119"/>
      <c r="B525" s="154"/>
      <c r="C525" s="89"/>
      <c r="D525" s="55"/>
      <c r="E525" s="119"/>
      <c r="F525" s="154"/>
      <c r="G525" s="192"/>
      <c r="H525" s="193"/>
      <c r="I525" s="119"/>
      <c r="J525" s="154"/>
      <c r="K525" s="89"/>
      <c r="L525" s="55"/>
      <c r="M525" s="119"/>
      <c r="N525" s="194"/>
      <c r="O525" s="89"/>
      <c r="P525" s="55"/>
      <c r="Q525" s="195"/>
      <c r="R525" s="196"/>
      <c r="S525" s="125"/>
      <c r="T525" s="126"/>
      <c r="U525" s="195"/>
      <c r="V525" s="196"/>
      <c r="W525" s="125"/>
      <c r="X525" s="126"/>
      <c r="Y525" s="119"/>
      <c r="Z525" s="197"/>
      <c r="AA525" s="198"/>
      <c r="AB525" s="199"/>
      <c r="AC525" s="119"/>
      <c r="AD525" s="196"/>
      <c r="AE525" s="200"/>
      <c r="AF525" s="201"/>
      <c r="AG525" s="205"/>
      <c r="AH525" s="205"/>
      <c r="AI525" s="205"/>
      <c r="AJ525" s="205"/>
      <c r="AK525" s="126"/>
      <c r="AL525" s="126"/>
    </row>
    <row r="526">
      <c r="A526" s="119"/>
      <c r="B526" s="154"/>
      <c r="C526" s="89"/>
      <c r="D526" s="55"/>
      <c r="E526" s="119"/>
      <c r="F526" s="154"/>
      <c r="G526" s="192"/>
      <c r="H526" s="193"/>
      <c r="I526" s="119"/>
      <c r="J526" s="154"/>
      <c r="K526" s="89"/>
      <c r="L526" s="55"/>
      <c r="M526" s="119"/>
      <c r="N526" s="194"/>
      <c r="O526" s="89"/>
      <c r="P526" s="55"/>
      <c r="Q526" s="195"/>
      <c r="R526" s="196"/>
      <c r="S526" s="125"/>
      <c r="T526" s="126"/>
      <c r="U526" s="195"/>
      <c r="V526" s="196"/>
      <c r="W526" s="125"/>
      <c r="X526" s="126"/>
      <c r="Y526" s="119"/>
      <c r="Z526" s="197"/>
      <c r="AA526" s="198"/>
      <c r="AB526" s="199"/>
      <c r="AC526" s="119"/>
      <c r="AD526" s="196"/>
      <c r="AE526" s="200"/>
      <c r="AF526" s="201"/>
      <c r="AG526" s="205"/>
      <c r="AH526" s="205"/>
      <c r="AI526" s="205"/>
      <c r="AJ526" s="205"/>
      <c r="AK526" s="126"/>
      <c r="AL526" s="126"/>
    </row>
    <row r="527">
      <c r="A527" s="119"/>
      <c r="B527" s="154"/>
      <c r="C527" s="89"/>
      <c r="D527" s="55"/>
      <c r="E527" s="119"/>
      <c r="F527" s="154"/>
      <c r="G527" s="192"/>
      <c r="H527" s="193"/>
      <c r="I527" s="119"/>
      <c r="J527" s="154"/>
      <c r="K527" s="89"/>
      <c r="L527" s="55"/>
      <c r="M527" s="119"/>
      <c r="N527" s="194"/>
      <c r="O527" s="89"/>
      <c r="P527" s="55"/>
      <c r="Q527" s="195"/>
      <c r="R527" s="196"/>
      <c r="S527" s="125"/>
      <c r="T527" s="126"/>
      <c r="U527" s="195"/>
      <c r="V527" s="196"/>
      <c r="W527" s="125"/>
      <c r="X527" s="126"/>
      <c r="Y527" s="119"/>
      <c r="Z527" s="197"/>
      <c r="AA527" s="198"/>
      <c r="AB527" s="199"/>
      <c r="AC527" s="119"/>
      <c r="AD527" s="196"/>
      <c r="AE527" s="200"/>
      <c r="AF527" s="201"/>
      <c r="AG527" s="205"/>
      <c r="AH527" s="205"/>
      <c r="AI527" s="205"/>
      <c r="AJ527" s="205"/>
      <c r="AK527" s="126"/>
      <c r="AL527" s="126"/>
    </row>
    <row r="528">
      <c r="A528" s="119"/>
      <c r="B528" s="154"/>
      <c r="C528" s="89"/>
      <c r="D528" s="55"/>
      <c r="E528" s="119"/>
      <c r="F528" s="154"/>
      <c r="G528" s="192"/>
      <c r="H528" s="193"/>
      <c r="I528" s="119"/>
      <c r="J528" s="154"/>
      <c r="K528" s="89"/>
      <c r="L528" s="55"/>
      <c r="M528" s="119"/>
      <c r="N528" s="194"/>
      <c r="O528" s="89"/>
      <c r="P528" s="55"/>
      <c r="Q528" s="195"/>
      <c r="R528" s="196"/>
      <c r="S528" s="125"/>
      <c r="T528" s="126"/>
      <c r="U528" s="195"/>
      <c r="V528" s="196"/>
      <c r="W528" s="125"/>
      <c r="X528" s="126"/>
      <c r="Y528" s="119"/>
      <c r="Z528" s="197"/>
      <c r="AA528" s="198"/>
      <c r="AB528" s="199"/>
      <c r="AC528" s="119"/>
      <c r="AD528" s="196"/>
      <c r="AE528" s="200"/>
      <c r="AF528" s="201"/>
      <c r="AG528" s="205"/>
      <c r="AH528" s="205"/>
      <c r="AI528" s="205"/>
      <c r="AJ528" s="205"/>
      <c r="AK528" s="126"/>
      <c r="AL528" s="126"/>
    </row>
    <row r="529">
      <c r="A529" s="119"/>
      <c r="B529" s="154"/>
      <c r="C529" s="89"/>
      <c r="D529" s="55"/>
      <c r="E529" s="119"/>
      <c r="F529" s="154"/>
      <c r="G529" s="192"/>
      <c r="H529" s="193"/>
      <c r="I529" s="119"/>
      <c r="J529" s="154"/>
      <c r="K529" s="89"/>
      <c r="L529" s="55"/>
      <c r="M529" s="119"/>
      <c r="N529" s="194"/>
      <c r="O529" s="89"/>
      <c r="P529" s="55"/>
      <c r="Q529" s="195"/>
      <c r="R529" s="196"/>
      <c r="S529" s="125"/>
      <c r="T529" s="126"/>
      <c r="U529" s="195"/>
      <c r="V529" s="196"/>
      <c r="W529" s="125"/>
      <c r="X529" s="126"/>
      <c r="Y529" s="119"/>
      <c r="Z529" s="197"/>
      <c r="AA529" s="198"/>
      <c r="AB529" s="199"/>
      <c r="AC529" s="119"/>
      <c r="AD529" s="196"/>
      <c r="AE529" s="200"/>
      <c r="AF529" s="201"/>
      <c r="AG529" s="205"/>
      <c r="AH529" s="205"/>
      <c r="AI529" s="205"/>
      <c r="AJ529" s="205"/>
      <c r="AK529" s="126"/>
      <c r="AL529" s="126"/>
    </row>
    <row r="530">
      <c r="A530" s="119"/>
      <c r="B530" s="154"/>
      <c r="C530" s="89"/>
      <c r="D530" s="55"/>
      <c r="E530" s="119"/>
      <c r="F530" s="154"/>
      <c r="G530" s="192"/>
      <c r="H530" s="193"/>
      <c r="I530" s="119"/>
      <c r="J530" s="154"/>
      <c r="K530" s="89"/>
      <c r="L530" s="55"/>
      <c r="M530" s="119"/>
      <c r="N530" s="194"/>
      <c r="O530" s="89"/>
      <c r="P530" s="55"/>
      <c r="Q530" s="195"/>
      <c r="R530" s="196"/>
      <c r="S530" s="125"/>
      <c r="T530" s="126"/>
      <c r="U530" s="195"/>
      <c r="V530" s="196"/>
      <c r="W530" s="125"/>
      <c r="X530" s="126"/>
      <c r="Y530" s="119"/>
      <c r="Z530" s="197"/>
      <c r="AA530" s="198"/>
      <c r="AB530" s="199"/>
      <c r="AC530" s="119"/>
      <c r="AD530" s="196"/>
      <c r="AE530" s="200"/>
      <c r="AF530" s="201"/>
      <c r="AG530" s="205"/>
      <c r="AH530" s="205"/>
      <c r="AI530" s="205"/>
      <c r="AJ530" s="205"/>
      <c r="AK530" s="126"/>
      <c r="AL530" s="126"/>
    </row>
    <row r="531">
      <c r="A531" s="119"/>
      <c r="B531" s="154"/>
      <c r="C531" s="89"/>
      <c r="D531" s="55"/>
      <c r="E531" s="119"/>
      <c r="F531" s="154"/>
      <c r="G531" s="192"/>
      <c r="H531" s="193"/>
      <c r="I531" s="119"/>
      <c r="J531" s="154"/>
      <c r="K531" s="89"/>
      <c r="L531" s="55"/>
      <c r="M531" s="119"/>
      <c r="N531" s="194"/>
      <c r="O531" s="89"/>
      <c r="P531" s="55"/>
      <c r="Q531" s="195"/>
      <c r="R531" s="196"/>
      <c r="S531" s="125"/>
      <c r="T531" s="126"/>
      <c r="U531" s="195"/>
      <c r="V531" s="196"/>
      <c r="W531" s="125"/>
      <c r="X531" s="126"/>
      <c r="Y531" s="119"/>
      <c r="Z531" s="197"/>
      <c r="AA531" s="198"/>
      <c r="AB531" s="199"/>
      <c r="AC531" s="119"/>
      <c r="AD531" s="196"/>
      <c r="AE531" s="200"/>
      <c r="AF531" s="201"/>
      <c r="AG531" s="205"/>
      <c r="AH531" s="205"/>
      <c r="AI531" s="205"/>
      <c r="AJ531" s="205"/>
      <c r="AK531" s="126"/>
      <c r="AL531" s="126"/>
    </row>
    <row r="532">
      <c r="A532" s="119"/>
      <c r="B532" s="154"/>
      <c r="C532" s="89"/>
      <c r="D532" s="55"/>
      <c r="E532" s="119"/>
      <c r="F532" s="154"/>
      <c r="G532" s="192"/>
      <c r="H532" s="193"/>
      <c r="I532" s="119"/>
      <c r="J532" s="154"/>
      <c r="K532" s="89"/>
      <c r="L532" s="55"/>
      <c r="M532" s="119"/>
      <c r="N532" s="194"/>
      <c r="O532" s="89"/>
      <c r="P532" s="55"/>
      <c r="Q532" s="195"/>
      <c r="R532" s="196"/>
      <c r="S532" s="125"/>
      <c r="T532" s="126"/>
      <c r="U532" s="195"/>
      <c r="V532" s="196"/>
      <c r="W532" s="125"/>
      <c r="X532" s="126"/>
      <c r="Y532" s="119"/>
      <c r="Z532" s="197"/>
      <c r="AA532" s="198"/>
      <c r="AB532" s="199"/>
      <c r="AC532" s="119"/>
      <c r="AD532" s="196"/>
      <c r="AE532" s="200"/>
      <c r="AF532" s="201"/>
      <c r="AG532" s="205"/>
      <c r="AH532" s="205"/>
      <c r="AI532" s="205"/>
      <c r="AJ532" s="205"/>
      <c r="AK532" s="126"/>
      <c r="AL532" s="126"/>
    </row>
    <row r="533">
      <c r="A533" s="119"/>
      <c r="B533" s="154"/>
      <c r="C533" s="89"/>
      <c r="D533" s="55"/>
      <c r="E533" s="119"/>
      <c r="F533" s="154"/>
      <c r="G533" s="192"/>
      <c r="H533" s="193"/>
      <c r="I533" s="119"/>
      <c r="J533" s="154"/>
      <c r="K533" s="89"/>
      <c r="L533" s="55"/>
      <c r="M533" s="119"/>
      <c r="N533" s="194"/>
      <c r="O533" s="89"/>
      <c r="P533" s="55"/>
      <c r="Q533" s="195"/>
      <c r="R533" s="196"/>
      <c r="S533" s="125"/>
      <c r="T533" s="126"/>
      <c r="U533" s="195"/>
      <c r="V533" s="196"/>
      <c r="W533" s="125"/>
      <c r="X533" s="126"/>
      <c r="Y533" s="119"/>
      <c r="Z533" s="197"/>
      <c r="AA533" s="198"/>
      <c r="AB533" s="199"/>
      <c r="AC533" s="119"/>
      <c r="AD533" s="196"/>
      <c r="AE533" s="200"/>
      <c r="AF533" s="201"/>
      <c r="AG533" s="205"/>
      <c r="AH533" s="205"/>
      <c r="AI533" s="205"/>
      <c r="AJ533" s="205"/>
      <c r="AK533" s="126"/>
      <c r="AL533" s="126"/>
    </row>
    <row r="534">
      <c r="A534" s="119"/>
      <c r="B534" s="154"/>
      <c r="C534" s="89"/>
      <c r="D534" s="55"/>
      <c r="E534" s="119"/>
      <c r="F534" s="154"/>
      <c r="G534" s="192"/>
      <c r="H534" s="193"/>
      <c r="I534" s="119"/>
      <c r="J534" s="154"/>
      <c r="K534" s="89"/>
      <c r="L534" s="55"/>
      <c r="M534" s="119"/>
      <c r="N534" s="194"/>
      <c r="O534" s="89"/>
      <c r="P534" s="55"/>
      <c r="Q534" s="195"/>
      <c r="R534" s="196"/>
      <c r="S534" s="125"/>
      <c r="T534" s="126"/>
      <c r="U534" s="195"/>
      <c r="V534" s="196"/>
      <c r="W534" s="125"/>
      <c r="X534" s="126"/>
      <c r="Y534" s="119"/>
      <c r="Z534" s="197"/>
      <c r="AA534" s="198"/>
      <c r="AB534" s="199"/>
      <c r="AC534" s="119"/>
      <c r="AD534" s="196"/>
      <c r="AE534" s="200"/>
      <c r="AF534" s="201"/>
      <c r="AG534" s="205"/>
      <c r="AH534" s="205"/>
      <c r="AI534" s="205"/>
      <c r="AJ534" s="205"/>
      <c r="AK534" s="126"/>
      <c r="AL534" s="126"/>
    </row>
    <row r="535">
      <c r="A535" s="119"/>
      <c r="B535" s="154"/>
      <c r="C535" s="89"/>
      <c r="D535" s="55"/>
      <c r="E535" s="119"/>
      <c r="F535" s="154"/>
      <c r="G535" s="192"/>
      <c r="H535" s="193"/>
      <c r="I535" s="119"/>
      <c r="J535" s="154"/>
      <c r="K535" s="89"/>
      <c r="L535" s="55"/>
      <c r="M535" s="119"/>
      <c r="N535" s="194"/>
      <c r="O535" s="89"/>
      <c r="P535" s="55"/>
      <c r="Q535" s="195"/>
      <c r="R535" s="196"/>
      <c r="S535" s="125"/>
      <c r="T535" s="126"/>
      <c r="U535" s="195"/>
      <c r="V535" s="196"/>
      <c r="W535" s="125"/>
      <c r="X535" s="126"/>
      <c r="Y535" s="119"/>
      <c r="Z535" s="197"/>
      <c r="AA535" s="198"/>
      <c r="AB535" s="199"/>
      <c r="AC535" s="119"/>
      <c r="AD535" s="196"/>
      <c r="AE535" s="200"/>
      <c r="AF535" s="201"/>
      <c r="AG535" s="205"/>
      <c r="AH535" s="205"/>
      <c r="AI535" s="205"/>
      <c r="AJ535" s="205"/>
      <c r="AK535" s="126"/>
      <c r="AL535" s="126"/>
    </row>
    <row r="536">
      <c r="A536" s="119"/>
      <c r="B536" s="154"/>
      <c r="C536" s="89"/>
      <c r="D536" s="55"/>
      <c r="E536" s="119"/>
      <c r="F536" s="154"/>
      <c r="G536" s="192"/>
      <c r="H536" s="193"/>
      <c r="I536" s="119"/>
      <c r="J536" s="154"/>
      <c r="K536" s="89"/>
      <c r="L536" s="55"/>
      <c r="M536" s="119"/>
      <c r="N536" s="194"/>
      <c r="O536" s="89"/>
      <c r="P536" s="55"/>
      <c r="Q536" s="195"/>
      <c r="R536" s="196"/>
      <c r="S536" s="125"/>
      <c r="T536" s="126"/>
      <c r="U536" s="195"/>
      <c r="V536" s="196"/>
      <c r="W536" s="125"/>
      <c r="X536" s="126"/>
      <c r="Y536" s="119"/>
      <c r="Z536" s="197"/>
      <c r="AA536" s="198"/>
      <c r="AB536" s="199"/>
      <c r="AC536" s="119"/>
      <c r="AD536" s="196"/>
      <c r="AE536" s="200"/>
      <c r="AF536" s="201"/>
      <c r="AG536" s="205"/>
      <c r="AH536" s="205"/>
      <c r="AI536" s="205"/>
      <c r="AJ536" s="205"/>
      <c r="AK536" s="126"/>
      <c r="AL536" s="126"/>
    </row>
    <row r="537">
      <c r="A537" s="119"/>
      <c r="B537" s="154"/>
      <c r="C537" s="89"/>
      <c r="D537" s="55"/>
      <c r="E537" s="119"/>
      <c r="F537" s="154"/>
      <c r="G537" s="192"/>
      <c r="H537" s="193"/>
      <c r="I537" s="119"/>
      <c r="J537" s="154"/>
      <c r="K537" s="89"/>
      <c r="L537" s="55"/>
      <c r="M537" s="119"/>
      <c r="N537" s="194"/>
      <c r="O537" s="89"/>
      <c r="P537" s="55"/>
      <c r="Q537" s="195"/>
      <c r="R537" s="196"/>
      <c r="S537" s="125"/>
      <c r="T537" s="126"/>
      <c r="U537" s="195"/>
      <c r="V537" s="196"/>
      <c r="W537" s="125"/>
      <c r="X537" s="126"/>
      <c r="Y537" s="119"/>
      <c r="Z537" s="197"/>
      <c r="AA537" s="198"/>
      <c r="AB537" s="199"/>
      <c r="AC537" s="119"/>
      <c r="AD537" s="196"/>
      <c r="AE537" s="200"/>
      <c r="AF537" s="201"/>
      <c r="AG537" s="205"/>
      <c r="AH537" s="205"/>
      <c r="AI537" s="205"/>
      <c r="AJ537" s="205"/>
      <c r="AK537" s="126"/>
      <c r="AL537" s="126"/>
    </row>
    <row r="538">
      <c r="A538" s="119"/>
      <c r="B538" s="154"/>
      <c r="C538" s="89"/>
      <c r="D538" s="55"/>
      <c r="E538" s="119"/>
      <c r="F538" s="154"/>
      <c r="G538" s="192"/>
      <c r="H538" s="193"/>
      <c r="I538" s="119"/>
      <c r="J538" s="154"/>
      <c r="K538" s="89"/>
      <c r="L538" s="55"/>
      <c r="M538" s="119"/>
      <c r="N538" s="194"/>
      <c r="O538" s="89"/>
      <c r="P538" s="55"/>
      <c r="Q538" s="195"/>
      <c r="R538" s="196"/>
      <c r="S538" s="125"/>
      <c r="T538" s="126"/>
      <c r="U538" s="195"/>
      <c r="V538" s="196"/>
      <c r="W538" s="125"/>
      <c r="X538" s="126"/>
      <c r="Y538" s="119"/>
      <c r="Z538" s="197"/>
      <c r="AA538" s="198"/>
      <c r="AB538" s="199"/>
      <c r="AC538" s="119"/>
      <c r="AD538" s="196"/>
      <c r="AE538" s="200"/>
      <c r="AF538" s="201"/>
      <c r="AG538" s="205"/>
      <c r="AH538" s="205"/>
      <c r="AI538" s="205"/>
      <c r="AJ538" s="205"/>
      <c r="AK538" s="126"/>
      <c r="AL538" s="126"/>
    </row>
    <row r="539">
      <c r="A539" s="119"/>
      <c r="B539" s="154"/>
      <c r="C539" s="89"/>
      <c r="D539" s="55"/>
      <c r="E539" s="119"/>
      <c r="F539" s="154"/>
      <c r="G539" s="192"/>
      <c r="H539" s="193"/>
      <c r="I539" s="119"/>
      <c r="J539" s="154"/>
      <c r="K539" s="89"/>
      <c r="L539" s="55"/>
      <c r="M539" s="119"/>
      <c r="N539" s="194"/>
      <c r="O539" s="89"/>
      <c r="P539" s="55"/>
      <c r="Q539" s="195"/>
      <c r="R539" s="196"/>
      <c r="S539" s="125"/>
      <c r="T539" s="126"/>
      <c r="U539" s="195"/>
      <c r="V539" s="196"/>
      <c r="W539" s="125"/>
      <c r="X539" s="126"/>
      <c r="Y539" s="119"/>
      <c r="Z539" s="197"/>
      <c r="AA539" s="198"/>
      <c r="AB539" s="199"/>
      <c r="AC539" s="119"/>
      <c r="AD539" s="196"/>
      <c r="AE539" s="200"/>
      <c r="AF539" s="201"/>
      <c r="AG539" s="205"/>
      <c r="AH539" s="205"/>
      <c r="AI539" s="205"/>
      <c r="AJ539" s="205"/>
      <c r="AK539" s="126"/>
      <c r="AL539" s="126"/>
    </row>
    <row r="540">
      <c r="A540" s="119"/>
      <c r="B540" s="154"/>
      <c r="C540" s="89"/>
      <c r="D540" s="55"/>
      <c r="E540" s="119"/>
      <c r="F540" s="154"/>
      <c r="G540" s="192"/>
      <c r="H540" s="193"/>
      <c r="I540" s="119"/>
      <c r="J540" s="154"/>
      <c r="K540" s="89"/>
      <c r="L540" s="55"/>
      <c r="M540" s="119"/>
      <c r="N540" s="194"/>
      <c r="O540" s="89"/>
      <c r="P540" s="55"/>
      <c r="Q540" s="195"/>
      <c r="R540" s="196"/>
      <c r="S540" s="125"/>
      <c r="T540" s="126"/>
      <c r="U540" s="195"/>
      <c r="V540" s="196"/>
      <c r="W540" s="125"/>
      <c r="X540" s="126"/>
      <c r="Y540" s="119"/>
      <c r="Z540" s="197"/>
      <c r="AA540" s="198"/>
      <c r="AB540" s="199"/>
      <c r="AC540" s="119"/>
      <c r="AD540" s="196"/>
      <c r="AE540" s="200"/>
      <c r="AF540" s="201"/>
      <c r="AG540" s="205"/>
      <c r="AH540" s="205"/>
      <c r="AI540" s="205"/>
      <c r="AJ540" s="205"/>
      <c r="AK540" s="126"/>
      <c r="AL540" s="126"/>
    </row>
    <row r="541">
      <c r="A541" s="119"/>
      <c r="B541" s="154"/>
      <c r="C541" s="89"/>
      <c r="D541" s="55"/>
      <c r="E541" s="119"/>
      <c r="F541" s="154"/>
      <c r="G541" s="192"/>
      <c r="H541" s="193"/>
      <c r="I541" s="119"/>
      <c r="J541" s="154"/>
      <c r="K541" s="89"/>
      <c r="L541" s="55"/>
      <c r="M541" s="119"/>
      <c r="N541" s="194"/>
      <c r="O541" s="89"/>
      <c r="P541" s="55"/>
      <c r="Q541" s="195"/>
      <c r="R541" s="196"/>
      <c r="S541" s="125"/>
      <c r="T541" s="126"/>
      <c r="U541" s="195"/>
      <c r="V541" s="196"/>
      <c r="W541" s="125"/>
      <c r="X541" s="126"/>
      <c r="Y541" s="119"/>
      <c r="Z541" s="197"/>
      <c r="AA541" s="198"/>
      <c r="AB541" s="199"/>
      <c r="AC541" s="119"/>
      <c r="AD541" s="196"/>
      <c r="AE541" s="200"/>
      <c r="AF541" s="201"/>
      <c r="AG541" s="205"/>
      <c r="AH541" s="205"/>
      <c r="AI541" s="205"/>
      <c r="AJ541" s="205"/>
      <c r="AK541" s="126"/>
      <c r="AL541" s="126"/>
    </row>
    <row r="542">
      <c r="A542" s="119"/>
      <c r="B542" s="154"/>
      <c r="C542" s="89"/>
      <c r="D542" s="55"/>
      <c r="E542" s="119"/>
      <c r="F542" s="154"/>
      <c r="G542" s="192"/>
      <c r="H542" s="193"/>
      <c r="I542" s="119"/>
      <c r="J542" s="154"/>
      <c r="K542" s="89"/>
      <c r="L542" s="55"/>
      <c r="M542" s="119"/>
      <c r="N542" s="194"/>
      <c r="O542" s="89"/>
      <c r="P542" s="55"/>
      <c r="Q542" s="195"/>
      <c r="R542" s="196"/>
      <c r="S542" s="125"/>
      <c r="T542" s="126"/>
      <c r="U542" s="195"/>
      <c r="V542" s="196"/>
      <c r="W542" s="125"/>
      <c r="X542" s="126"/>
      <c r="Y542" s="119"/>
      <c r="Z542" s="197"/>
      <c r="AA542" s="198"/>
      <c r="AB542" s="199"/>
      <c r="AC542" s="119"/>
      <c r="AD542" s="196"/>
      <c r="AE542" s="200"/>
      <c r="AF542" s="201"/>
      <c r="AG542" s="205"/>
      <c r="AH542" s="205"/>
      <c r="AI542" s="205"/>
      <c r="AJ542" s="205"/>
      <c r="AK542" s="126"/>
      <c r="AL542" s="126"/>
    </row>
    <row r="543">
      <c r="A543" s="119"/>
      <c r="B543" s="154"/>
      <c r="C543" s="89"/>
      <c r="D543" s="55"/>
      <c r="E543" s="119"/>
      <c r="F543" s="154"/>
      <c r="G543" s="192"/>
      <c r="H543" s="193"/>
      <c r="I543" s="119"/>
      <c r="J543" s="154"/>
      <c r="K543" s="89"/>
      <c r="L543" s="55"/>
      <c r="M543" s="119"/>
      <c r="N543" s="194"/>
      <c r="O543" s="89"/>
      <c r="P543" s="55"/>
      <c r="Q543" s="195"/>
      <c r="R543" s="196"/>
      <c r="S543" s="125"/>
      <c r="T543" s="126"/>
      <c r="U543" s="195"/>
      <c r="V543" s="196"/>
      <c r="W543" s="125"/>
      <c r="X543" s="126"/>
      <c r="Y543" s="119"/>
      <c r="Z543" s="197"/>
      <c r="AA543" s="198"/>
      <c r="AB543" s="199"/>
      <c r="AC543" s="119"/>
      <c r="AD543" s="196"/>
      <c r="AE543" s="200"/>
      <c r="AF543" s="201"/>
      <c r="AG543" s="205"/>
      <c r="AH543" s="205"/>
      <c r="AI543" s="205"/>
      <c r="AJ543" s="205"/>
      <c r="AK543" s="126"/>
      <c r="AL543" s="126"/>
    </row>
    <row r="544">
      <c r="A544" s="119"/>
      <c r="B544" s="154"/>
      <c r="C544" s="89"/>
      <c r="D544" s="55"/>
      <c r="E544" s="119"/>
      <c r="F544" s="154"/>
      <c r="G544" s="192"/>
      <c r="H544" s="193"/>
      <c r="I544" s="119"/>
      <c r="J544" s="154"/>
      <c r="K544" s="89"/>
      <c r="L544" s="55"/>
      <c r="M544" s="119"/>
      <c r="N544" s="194"/>
      <c r="O544" s="89"/>
      <c r="P544" s="55"/>
      <c r="Q544" s="195"/>
      <c r="R544" s="196"/>
      <c r="S544" s="125"/>
      <c r="T544" s="126"/>
      <c r="U544" s="195"/>
      <c r="V544" s="196"/>
      <c r="W544" s="125"/>
      <c r="X544" s="126"/>
      <c r="Y544" s="119"/>
      <c r="Z544" s="197"/>
      <c r="AA544" s="198"/>
      <c r="AB544" s="199"/>
      <c r="AC544" s="119"/>
      <c r="AD544" s="196"/>
      <c r="AE544" s="200"/>
      <c r="AF544" s="201"/>
      <c r="AG544" s="205"/>
      <c r="AH544" s="205"/>
      <c r="AI544" s="205"/>
      <c r="AJ544" s="205"/>
      <c r="AK544" s="126"/>
      <c r="AL544" s="126"/>
    </row>
    <row r="545">
      <c r="A545" s="119"/>
      <c r="B545" s="154"/>
      <c r="C545" s="89"/>
      <c r="D545" s="55"/>
      <c r="E545" s="119"/>
      <c r="F545" s="154"/>
      <c r="G545" s="192"/>
      <c r="H545" s="193"/>
      <c r="I545" s="119"/>
      <c r="J545" s="154"/>
      <c r="K545" s="89"/>
      <c r="L545" s="55"/>
      <c r="M545" s="119"/>
      <c r="N545" s="194"/>
      <c r="O545" s="89"/>
      <c r="P545" s="55"/>
      <c r="Q545" s="195"/>
      <c r="R545" s="196"/>
      <c r="S545" s="125"/>
      <c r="T545" s="126"/>
      <c r="U545" s="195"/>
      <c r="V545" s="196"/>
      <c r="W545" s="125"/>
      <c r="X545" s="126"/>
      <c r="Y545" s="119"/>
      <c r="Z545" s="197"/>
      <c r="AA545" s="198"/>
      <c r="AB545" s="199"/>
      <c r="AC545" s="119"/>
      <c r="AD545" s="196"/>
      <c r="AE545" s="200"/>
      <c r="AF545" s="201"/>
      <c r="AG545" s="205"/>
      <c r="AH545" s="205"/>
      <c r="AI545" s="205"/>
      <c r="AJ545" s="205"/>
      <c r="AK545" s="126"/>
      <c r="AL545" s="126"/>
    </row>
    <row r="546">
      <c r="A546" s="119"/>
      <c r="B546" s="154"/>
      <c r="C546" s="89"/>
      <c r="D546" s="55"/>
      <c r="E546" s="119"/>
      <c r="F546" s="154"/>
      <c r="G546" s="192"/>
      <c r="H546" s="193"/>
      <c r="I546" s="119"/>
      <c r="J546" s="154"/>
      <c r="K546" s="89"/>
      <c r="L546" s="55"/>
      <c r="M546" s="119"/>
      <c r="N546" s="194"/>
      <c r="O546" s="89"/>
      <c r="P546" s="55"/>
      <c r="Q546" s="195"/>
      <c r="R546" s="196"/>
      <c r="S546" s="125"/>
      <c r="T546" s="126"/>
      <c r="U546" s="195"/>
      <c r="V546" s="196"/>
      <c r="W546" s="125"/>
      <c r="X546" s="126"/>
      <c r="Y546" s="119"/>
      <c r="Z546" s="197"/>
      <c r="AA546" s="198"/>
      <c r="AB546" s="199"/>
      <c r="AC546" s="119"/>
      <c r="AD546" s="196"/>
      <c r="AE546" s="200"/>
      <c r="AF546" s="201"/>
      <c r="AG546" s="205"/>
      <c r="AH546" s="205"/>
      <c r="AI546" s="205"/>
      <c r="AJ546" s="205"/>
      <c r="AK546" s="126"/>
      <c r="AL546" s="126"/>
    </row>
    <row r="547">
      <c r="A547" s="119"/>
      <c r="B547" s="154"/>
      <c r="C547" s="89"/>
      <c r="D547" s="55"/>
      <c r="E547" s="119"/>
      <c r="F547" s="154"/>
      <c r="G547" s="192"/>
      <c r="H547" s="193"/>
      <c r="I547" s="119"/>
      <c r="J547" s="154"/>
      <c r="K547" s="89"/>
      <c r="L547" s="55"/>
      <c r="M547" s="119"/>
      <c r="N547" s="194"/>
      <c r="O547" s="89"/>
      <c r="P547" s="55"/>
      <c r="Q547" s="195"/>
      <c r="R547" s="196"/>
      <c r="S547" s="125"/>
      <c r="T547" s="126"/>
      <c r="U547" s="195"/>
      <c r="V547" s="196"/>
      <c r="W547" s="125"/>
      <c r="X547" s="126"/>
      <c r="Y547" s="119"/>
      <c r="Z547" s="197"/>
      <c r="AA547" s="198"/>
      <c r="AB547" s="199"/>
      <c r="AC547" s="119"/>
      <c r="AD547" s="196"/>
      <c r="AE547" s="200"/>
      <c r="AF547" s="201"/>
      <c r="AG547" s="205"/>
      <c r="AH547" s="205"/>
      <c r="AI547" s="205"/>
      <c r="AJ547" s="205"/>
      <c r="AK547" s="126"/>
      <c r="AL547" s="126"/>
    </row>
    <row r="548">
      <c r="A548" s="119"/>
      <c r="B548" s="154"/>
      <c r="C548" s="89"/>
      <c r="D548" s="55"/>
      <c r="E548" s="119"/>
      <c r="F548" s="154"/>
      <c r="G548" s="192"/>
      <c r="H548" s="193"/>
      <c r="I548" s="119"/>
      <c r="J548" s="154"/>
      <c r="K548" s="89"/>
      <c r="L548" s="55"/>
      <c r="M548" s="119"/>
      <c r="N548" s="194"/>
      <c r="O548" s="89"/>
      <c r="P548" s="55"/>
      <c r="Q548" s="195"/>
      <c r="R548" s="196"/>
      <c r="S548" s="125"/>
      <c r="T548" s="126"/>
      <c r="U548" s="195"/>
      <c r="V548" s="196"/>
      <c r="W548" s="125"/>
      <c r="X548" s="126"/>
      <c r="Y548" s="119"/>
      <c r="Z548" s="197"/>
      <c r="AA548" s="198"/>
      <c r="AB548" s="199"/>
      <c r="AC548" s="119"/>
      <c r="AD548" s="196"/>
      <c r="AE548" s="200"/>
      <c r="AF548" s="201"/>
      <c r="AG548" s="205"/>
      <c r="AH548" s="205"/>
      <c r="AI548" s="205"/>
      <c r="AJ548" s="205"/>
      <c r="AK548" s="126"/>
      <c r="AL548" s="126"/>
    </row>
    <row r="549">
      <c r="A549" s="119"/>
      <c r="B549" s="154"/>
      <c r="C549" s="89"/>
      <c r="D549" s="55"/>
      <c r="E549" s="119"/>
      <c r="F549" s="154"/>
      <c r="G549" s="192"/>
      <c r="H549" s="193"/>
      <c r="I549" s="119"/>
      <c r="J549" s="154"/>
      <c r="K549" s="89"/>
      <c r="L549" s="55"/>
      <c r="M549" s="119"/>
      <c r="N549" s="194"/>
      <c r="O549" s="89"/>
      <c r="P549" s="55"/>
      <c r="Q549" s="195"/>
      <c r="R549" s="196"/>
      <c r="S549" s="125"/>
      <c r="T549" s="126"/>
      <c r="U549" s="195"/>
      <c r="V549" s="196"/>
      <c r="W549" s="125"/>
      <c r="X549" s="126"/>
      <c r="Y549" s="119"/>
      <c r="Z549" s="197"/>
      <c r="AA549" s="198"/>
      <c r="AB549" s="199"/>
      <c r="AC549" s="119"/>
      <c r="AD549" s="196"/>
      <c r="AE549" s="200"/>
      <c r="AF549" s="201"/>
      <c r="AG549" s="205"/>
      <c r="AH549" s="205"/>
      <c r="AI549" s="205"/>
      <c r="AJ549" s="205"/>
      <c r="AK549" s="126"/>
      <c r="AL549" s="126"/>
    </row>
    <row r="550">
      <c r="A550" s="119"/>
      <c r="B550" s="154"/>
      <c r="C550" s="89"/>
      <c r="D550" s="55"/>
      <c r="E550" s="119"/>
      <c r="F550" s="154"/>
      <c r="G550" s="192"/>
      <c r="H550" s="193"/>
      <c r="I550" s="119"/>
      <c r="J550" s="154"/>
      <c r="K550" s="89"/>
      <c r="L550" s="55"/>
      <c r="M550" s="119"/>
      <c r="N550" s="194"/>
      <c r="O550" s="89"/>
      <c r="P550" s="55"/>
      <c r="Q550" s="195"/>
      <c r="R550" s="196"/>
      <c r="S550" s="125"/>
      <c r="T550" s="126"/>
      <c r="U550" s="195"/>
      <c r="V550" s="196"/>
      <c r="W550" s="125"/>
      <c r="X550" s="126"/>
      <c r="Y550" s="119"/>
      <c r="Z550" s="197"/>
      <c r="AA550" s="198"/>
      <c r="AB550" s="199"/>
      <c r="AC550" s="119"/>
      <c r="AD550" s="196"/>
      <c r="AE550" s="200"/>
      <c r="AF550" s="201"/>
      <c r="AG550" s="205"/>
      <c r="AH550" s="205"/>
      <c r="AI550" s="205"/>
      <c r="AJ550" s="205"/>
      <c r="AK550" s="126"/>
      <c r="AL550" s="126"/>
    </row>
    <row r="551">
      <c r="A551" s="119"/>
      <c r="B551" s="154"/>
      <c r="C551" s="89"/>
      <c r="D551" s="55"/>
      <c r="E551" s="119"/>
      <c r="F551" s="154"/>
      <c r="G551" s="192"/>
      <c r="H551" s="193"/>
      <c r="I551" s="119"/>
      <c r="J551" s="154"/>
      <c r="K551" s="89"/>
      <c r="L551" s="55"/>
      <c r="M551" s="119"/>
      <c r="N551" s="194"/>
      <c r="O551" s="89"/>
      <c r="P551" s="55"/>
      <c r="Q551" s="195"/>
      <c r="R551" s="196"/>
      <c r="S551" s="125"/>
      <c r="T551" s="126"/>
      <c r="U551" s="195"/>
      <c r="V551" s="196"/>
      <c r="W551" s="125"/>
      <c r="X551" s="126"/>
      <c r="Y551" s="119"/>
      <c r="Z551" s="197"/>
      <c r="AA551" s="198"/>
      <c r="AB551" s="199"/>
      <c r="AC551" s="119"/>
      <c r="AD551" s="196"/>
      <c r="AE551" s="200"/>
      <c r="AF551" s="201"/>
      <c r="AG551" s="205"/>
      <c r="AH551" s="205"/>
      <c r="AI551" s="205"/>
      <c r="AJ551" s="205"/>
      <c r="AK551" s="126"/>
      <c r="AL551" s="126"/>
    </row>
    <row r="552">
      <c r="A552" s="119"/>
      <c r="B552" s="154"/>
      <c r="C552" s="89"/>
      <c r="D552" s="55"/>
      <c r="E552" s="119"/>
      <c r="F552" s="154"/>
      <c r="G552" s="192"/>
      <c r="H552" s="193"/>
      <c r="I552" s="119"/>
      <c r="J552" s="154"/>
      <c r="K552" s="89"/>
      <c r="L552" s="55"/>
      <c r="M552" s="119"/>
      <c r="N552" s="194"/>
      <c r="O552" s="89"/>
      <c r="P552" s="55"/>
      <c r="Q552" s="195"/>
      <c r="R552" s="196"/>
      <c r="S552" s="125"/>
      <c r="T552" s="126"/>
      <c r="U552" s="195"/>
      <c r="V552" s="196"/>
      <c r="W552" s="125"/>
      <c r="X552" s="126"/>
      <c r="Y552" s="119"/>
      <c r="Z552" s="197"/>
      <c r="AA552" s="198"/>
      <c r="AB552" s="199"/>
      <c r="AC552" s="119"/>
      <c r="AD552" s="196"/>
      <c r="AE552" s="200"/>
      <c r="AF552" s="201"/>
      <c r="AG552" s="205"/>
      <c r="AH552" s="205"/>
      <c r="AI552" s="205"/>
      <c r="AJ552" s="205"/>
      <c r="AK552" s="126"/>
      <c r="AL552" s="126"/>
    </row>
    <row r="553">
      <c r="A553" s="119"/>
      <c r="B553" s="154"/>
      <c r="C553" s="89"/>
      <c r="D553" s="55"/>
      <c r="E553" s="119"/>
      <c r="F553" s="154"/>
      <c r="G553" s="192"/>
      <c r="H553" s="193"/>
      <c r="I553" s="119"/>
      <c r="J553" s="154"/>
      <c r="K553" s="89"/>
      <c r="L553" s="55"/>
      <c r="M553" s="119"/>
      <c r="N553" s="194"/>
      <c r="O553" s="89"/>
      <c r="P553" s="55"/>
      <c r="Q553" s="195"/>
      <c r="R553" s="196"/>
      <c r="S553" s="125"/>
      <c r="T553" s="126"/>
      <c r="U553" s="195"/>
      <c r="V553" s="196"/>
      <c r="W553" s="125"/>
      <c r="X553" s="126"/>
      <c r="Y553" s="119"/>
      <c r="Z553" s="197"/>
      <c r="AA553" s="198"/>
      <c r="AB553" s="199"/>
      <c r="AC553" s="119"/>
      <c r="AD553" s="196"/>
      <c r="AE553" s="200"/>
      <c r="AF553" s="201"/>
      <c r="AG553" s="205"/>
      <c r="AH553" s="205"/>
      <c r="AI553" s="205"/>
      <c r="AJ553" s="205"/>
      <c r="AK553" s="126"/>
      <c r="AL553" s="126"/>
    </row>
    <row r="554">
      <c r="A554" s="119"/>
      <c r="B554" s="154"/>
      <c r="C554" s="89"/>
      <c r="D554" s="55"/>
      <c r="E554" s="119"/>
      <c r="F554" s="154"/>
      <c r="G554" s="192"/>
      <c r="H554" s="193"/>
      <c r="I554" s="119"/>
      <c r="J554" s="154"/>
      <c r="K554" s="89"/>
      <c r="L554" s="55"/>
      <c r="M554" s="119"/>
      <c r="N554" s="194"/>
      <c r="O554" s="89"/>
      <c r="P554" s="55"/>
      <c r="Q554" s="195"/>
      <c r="R554" s="196"/>
      <c r="S554" s="125"/>
      <c r="T554" s="126"/>
      <c r="U554" s="195"/>
      <c r="V554" s="196"/>
      <c r="W554" s="125"/>
      <c r="X554" s="126"/>
      <c r="Y554" s="119"/>
      <c r="Z554" s="197"/>
      <c r="AA554" s="198"/>
      <c r="AB554" s="199"/>
      <c r="AC554" s="119"/>
      <c r="AD554" s="196"/>
      <c r="AE554" s="200"/>
      <c r="AF554" s="201"/>
      <c r="AG554" s="205"/>
      <c r="AH554" s="205"/>
      <c r="AI554" s="205"/>
      <c r="AJ554" s="205"/>
      <c r="AK554" s="126"/>
      <c r="AL554" s="126"/>
    </row>
    <row r="555">
      <c r="A555" s="119"/>
      <c r="B555" s="154"/>
      <c r="C555" s="89"/>
      <c r="D555" s="55"/>
      <c r="E555" s="119"/>
      <c r="F555" s="154"/>
      <c r="G555" s="192"/>
      <c r="H555" s="193"/>
      <c r="I555" s="119"/>
      <c r="J555" s="154"/>
      <c r="K555" s="89"/>
      <c r="L555" s="55"/>
      <c r="M555" s="119"/>
      <c r="N555" s="194"/>
      <c r="O555" s="89"/>
      <c r="P555" s="55"/>
      <c r="Q555" s="195"/>
      <c r="R555" s="196"/>
      <c r="S555" s="125"/>
      <c r="T555" s="126"/>
      <c r="U555" s="195"/>
      <c r="V555" s="196"/>
      <c r="W555" s="125"/>
      <c r="X555" s="126"/>
      <c r="Y555" s="119"/>
      <c r="Z555" s="197"/>
      <c r="AA555" s="198"/>
      <c r="AB555" s="199"/>
      <c r="AC555" s="119"/>
      <c r="AD555" s="196"/>
      <c r="AE555" s="200"/>
      <c r="AF555" s="201"/>
      <c r="AG555" s="205"/>
      <c r="AH555" s="205"/>
      <c r="AI555" s="205"/>
      <c r="AJ555" s="205"/>
      <c r="AK555" s="126"/>
      <c r="AL555" s="126"/>
    </row>
    <row r="556">
      <c r="A556" s="119"/>
      <c r="B556" s="154"/>
      <c r="C556" s="89"/>
      <c r="D556" s="55"/>
      <c r="E556" s="119"/>
      <c r="F556" s="154"/>
      <c r="G556" s="192"/>
      <c r="H556" s="193"/>
      <c r="I556" s="119"/>
      <c r="J556" s="154"/>
      <c r="K556" s="89"/>
      <c r="L556" s="55"/>
      <c r="M556" s="119"/>
      <c r="N556" s="194"/>
      <c r="O556" s="89"/>
      <c r="P556" s="55"/>
      <c r="Q556" s="195"/>
      <c r="R556" s="196"/>
      <c r="S556" s="125"/>
      <c r="T556" s="126"/>
      <c r="U556" s="195"/>
      <c r="V556" s="196"/>
      <c r="W556" s="125"/>
      <c r="X556" s="126"/>
      <c r="Y556" s="119"/>
      <c r="Z556" s="197"/>
      <c r="AA556" s="198"/>
      <c r="AB556" s="199"/>
      <c r="AC556" s="119"/>
      <c r="AD556" s="196"/>
      <c r="AE556" s="200"/>
      <c r="AF556" s="201"/>
      <c r="AG556" s="205"/>
      <c r="AH556" s="205"/>
      <c r="AI556" s="205"/>
      <c r="AJ556" s="205"/>
      <c r="AK556" s="126"/>
      <c r="AL556" s="126"/>
    </row>
    <row r="557">
      <c r="A557" s="119"/>
      <c r="B557" s="154"/>
      <c r="C557" s="89"/>
      <c r="D557" s="55"/>
      <c r="E557" s="119"/>
      <c r="F557" s="154"/>
      <c r="G557" s="192"/>
      <c r="H557" s="193"/>
      <c r="I557" s="119"/>
      <c r="J557" s="154"/>
      <c r="K557" s="89"/>
      <c r="L557" s="55"/>
      <c r="M557" s="119"/>
      <c r="N557" s="194"/>
      <c r="O557" s="89"/>
      <c r="P557" s="55"/>
      <c r="Q557" s="195"/>
      <c r="R557" s="196"/>
      <c r="S557" s="125"/>
      <c r="T557" s="126"/>
      <c r="U557" s="195"/>
      <c r="V557" s="196"/>
      <c r="W557" s="125"/>
      <c r="X557" s="126"/>
      <c r="Y557" s="119"/>
      <c r="Z557" s="197"/>
      <c r="AA557" s="198"/>
      <c r="AB557" s="199"/>
      <c r="AC557" s="119"/>
      <c r="AD557" s="196"/>
      <c r="AE557" s="200"/>
      <c r="AF557" s="201"/>
      <c r="AG557" s="205"/>
      <c r="AH557" s="205"/>
      <c r="AI557" s="205"/>
      <c r="AJ557" s="205"/>
      <c r="AK557" s="126"/>
      <c r="AL557" s="126"/>
    </row>
    <row r="558">
      <c r="A558" s="119"/>
      <c r="B558" s="154"/>
      <c r="C558" s="89"/>
      <c r="D558" s="55"/>
      <c r="E558" s="119"/>
      <c r="F558" s="154"/>
      <c r="G558" s="192"/>
      <c r="H558" s="193"/>
      <c r="I558" s="119"/>
      <c r="J558" s="154"/>
      <c r="K558" s="89"/>
      <c r="L558" s="55"/>
      <c r="M558" s="119"/>
      <c r="N558" s="194"/>
      <c r="O558" s="89"/>
      <c r="P558" s="55"/>
      <c r="Q558" s="195"/>
      <c r="R558" s="196"/>
      <c r="S558" s="125"/>
      <c r="T558" s="126"/>
      <c r="U558" s="195"/>
      <c r="V558" s="196"/>
      <c r="W558" s="125"/>
      <c r="X558" s="126"/>
      <c r="Y558" s="119"/>
      <c r="Z558" s="197"/>
      <c r="AA558" s="198"/>
      <c r="AB558" s="199"/>
      <c r="AC558" s="119"/>
      <c r="AD558" s="196"/>
      <c r="AE558" s="200"/>
      <c r="AF558" s="201"/>
      <c r="AG558" s="205"/>
      <c r="AH558" s="205"/>
      <c r="AI558" s="205"/>
      <c r="AJ558" s="205"/>
      <c r="AK558" s="126"/>
      <c r="AL558" s="126"/>
    </row>
    <row r="559">
      <c r="A559" s="119"/>
      <c r="B559" s="154"/>
      <c r="C559" s="89"/>
      <c r="D559" s="55"/>
      <c r="E559" s="119"/>
      <c r="F559" s="154"/>
      <c r="G559" s="192"/>
      <c r="H559" s="193"/>
      <c r="I559" s="119"/>
      <c r="J559" s="154"/>
      <c r="K559" s="89"/>
      <c r="L559" s="55"/>
      <c r="M559" s="119"/>
      <c r="N559" s="194"/>
      <c r="O559" s="89"/>
      <c r="P559" s="55"/>
      <c r="Q559" s="195"/>
      <c r="R559" s="196"/>
      <c r="S559" s="125"/>
      <c r="T559" s="126"/>
      <c r="U559" s="195"/>
      <c r="V559" s="196"/>
      <c r="W559" s="125"/>
      <c r="X559" s="126"/>
      <c r="Y559" s="119"/>
      <c r="Z559" s="197"/>
      <c r="AA559" s="198"/>
      <c r="AB559" s="199"/>
      <c r="AC559" s="119"/>
      <c r="AD559" s="196"/>
      <c r="AE559" s="200"/>
      <c r="AF559" s="201"/>
      <c r="AG559" s="205"/>
      <c r="AH559" s="205"/>
      <c r="AI559" s="205"/>
      <c r="AJ559" s="205"/>
      <c r="AK559" s="126"/>
      <c r="AL559" s="126"/>
    </row>
    <row r="560">
      <c r="A560" s="119"/>
      <c r="B560" s="154"/>
      <c r="C560" s="89"/>
      <c r="D560" s="55"/>
      <c r="E560" s="119"/>
      <c r="F560" s="154"/>
      <c r="G560" s="192"/>
      <c r="H560" s="193"/>
      <c r="I560" s="119"/>
      <c r="J560" s="154"/>
      <c r="K560" s="89"/>
      <c r="L560" s="55"/>
      <c r="M560" s="119"/>
      <c r="N560" s="194"/>
      <c r="O560" s="89"/>
      <c r="P560" s="55"/>
      <c r="Q560" s="195"/>
      <c r="R560" s="196"/>
      <c r="S560" s="125"/>
      <c r="T560" s="126"/>
      <c r="U560" s="195"/>
      <c r="V560" s="196"/>
      <c r="W560" s="125"/>
      <c r="X560" s="126"/>
      <c r="Y560" s="119"/>
      <c r="Z560" s="197"/>
      <c r="AA560" s="198"/>
      <c r="AB560" s="199"/>
      <c r="AC560" s="119"/>
      <c r="AD560" s="196"/>
      <c r="AE560" s="200"/>
      <c r="AF560" s="201"/>
      <c r="AG560" s="205"/>
      <c r="AH560" s="205"/>
      <c r="AI560" s="205"/>
      <c r="AJ560" s="205"/>
      <c r="AK560" s="126"/>
      <c r="AL560" s="126"/>
    </row>
    <row r="561">
      <c r="A561" s="119"/>
      <c r="B561" s="154"/>
      <c r="C561" s="89"/>
      <c r="D561" s="55"/>
      <c r="E561" s="119"/>
      <c r="F561" s="154"/>
      <c r="G561" s="192"/>
      <c r="H561" s="193"/>
      <c r="I561" s="119"/>
      <c r="J561" s="154"/>
      <c r="K561" s="89"/>
      <c r="L561" s="55"/>
      <c r="M561" s="119"/>
      <c r="N561" s="194"/>
      <c r="O561" s="89"/>
      <c r="P561" s="55"/>
      <c r="Q561" s="195"/>
      <c r="R561" s="196"/>
      <c r="S561" s="125"/>
      <c r="T561" s="126"/>
      <c r="U561" s="195"/>
      <c r="V561" s="196"/>
      <c r="W561" s="125"/>
      <c r="X561" s="126"/>
      <c r="Y561" s="119"/>
      <c r="Z561" s="197"/>
      <c r="AA561" s="198"/>
      <c r="AB561" s="199"/>
      <c r="AC561" s="119"/>
      <c r="AD561" s="196"/>
      <c r="AE561" s="200"/>
      <c r="AF561" s="201"/>
      <c r="AG561" s="205"/>
      <c r="AH561" s="205"/>
      <c r="AI561" s="205"/>
      <c r="AJ561" s="205"/>
      <c r="AK561" s="126"/>
      <c r="AL561" s="126"/>
    </row>
    <row r="562">
      <c r="A562" s="119"/>
      <c r="B562" s="154"/>
      <c r="C562" s="89"/>
      <c r="D562" s="55"/>
      <c r="E562" s="119"/>
      <c r="F562" s="154"/>
      <c r="G562" s="192"/>
      <c r="H562" s="193"/>
      <c r="I562" s="119"/>
      <c r="J562" s="154"/>
      <c r="K562" s="89"/>
      <c r="L562" s="55"/>
      <c r="M562" s="119"/>
      <c r="N562" s="194"/>
      <c r="O562" s="89"/>
      <c r="P562" s="55"/>
      <c r="Q562" s="195"/>
      <c r="R562" s="196"/>
      <c r="S562" s="125"/>
      <c r="T562" s="126"/>
      <c r="U562" s="195"/>
      <c r="V562" s="196"/>
      <c r="W562" s="125"/>
      <c r="X562" s="126"/>
      <c r="Y562" s="119"/>
      <c r="Z562" s="197"/>
      <c r="AA562" s="198"/>
      <c r="AB562" s="199"/>
      <c r="AC562" s="119"/>
      <c r="AD562" s="196"/>
      <c r="AE562" s="200"/>
      <c r="AF562" s="201"/>
      <c r="AG562" s="205"/>
      <c r="AH562" s="205"/>
      <c r="AI562" s="205"/>
      <c r="AJ562" s="205"/>
      <c r="AK562" s="126"/>
      <c r="AL562" s="126"/>
    </row>
    <row r="563">
      <c r="A563" s="119"/>
      <c r="B563" s="154"/>
      <c r="C563" s="89"/>
      <c r="D563" s="55"/>
      <c r="E563" s="119"/>
      <c r="F563" s="154"/>
      <c r="G563" s="192"/>
      <c r="H563" s="193"/>
      <c r="I563" s="119"/>
      <c r="J563" s="154"/>
      <c r="K563" s="89"/>
      <c r="L563" s="55"/>
      <c r="M563" s="119"/>
      <c r="N563" s="194"/>
      <c r="O563" s="89"/>
      <c r="P563" s="55"/>
      <c r="Q563" s="195"/>
      <c r="R563" s="196"/>
      <c r="S563" s="125"/>
      <c r="T563" s="126"/>
      <c r="U563" s="195"/>
      <c r="V563" s="196"/>
      <c r="W563" s="125"/>
      <c r="X563" s="126"/>
      <c r="Y563" s="119"/>
      <c r="Z563" s="197"/>
      <c r="AA563" s="198"/>
      <c r="AB563" s="199"/>
      <c r="AC563" s="119"/>
      <c r="AD563" s="196"/>
      <c r="AE563" s="200"/>
      <c r="AF563" s="201"/>
      <c r="AG563" s="205"/>
      <c r="AH563" s="205"/>
      <c r="AI563" s="205"/>
      <c r="AJ563" s="205"/>
      <c r="AK563" s="126"/>
      <c r="AL563" s="126"/>
    </row>
    <row r="564">
      <c r="A564" s="119"/>
      <c r="B564" s="154"/>
      <c r="C564" s="89"/>
      <c r="D564" s="55"/>
      <c r="E564" s="119"/>
      <c r="F564" s="154"/>
      <c r="G564" s="192"/>
      <c r="H564" s="193"/>
      <c r="I564" s="119"/>
      <c r="J564" s="154"/>
      <c r="K564" s="89"/>
      <c r="L564" s="55"/>
      <c r="M564" s="119"/>
      <c r="N564" s="194"/>
      <c r="O564" s="89"/>
      <c r="P564" s="55"/>
      <c r="Q564" s="195"/>
      <c r="R564" s="196"/>
      <c r="S564" s="125"/>
      <c r="T564" s="126"/>
      <c r="U564" s="195"/>
      <c r="V564" s="196"/>
      <c r="W564" s="125"/>
      <c r="X564" s="126"/>
      <c r="Y564" s="119"/>
      <c r="Z564" s="197"/>
      <c r="AA564" s="198"/>
      <c r="AB564" s="199"/>
      <c r="AC564" s="119"/>
      <c r="AD564" s="196"/>
      <c r="AE564" s="200"/>
      <c r="AF564" s="201"/>
      <c r="AG564" s="205"/>
      <c r="AH564" s="205"/>
      <c r="AI564" s="205"/>
      <c r="AJ564" s="205"/>
      <c r="AK564" s="126"/>
      <c r="AL564" s="126"/>
    </row>
    <row r="565">
      <c r="A565" s="119"/>
      <c r="B565" s="154"/>
      <c r="C565" s="89"/>
      <c r="D565" s="55"/>
      <c r="E565" s="119"/>
      <c r="F565" s="154"/>
      <c r="G565" s="192"/>
      <c r="H565" s="193"/>
      <c r="I565" s="119"/>
      <c r="J565" s="154"/>
      <c r="K565" s="89"/>
      <c r="L565" s="55"/>
      <c r="M565" s="119"/>
      <c r="N565" s="194"/>
      <c r="O565" s="89"/>
      <c r="P565" s="55"/>
      <c r="Q565" s="195"/>
      <c r="R565" s="196"/>
      <c r="S565" s="125"/>
      <c r="T565" s="126"/>
      <c r="U565" s="195"/>
      <c r="V565" s="196"/>
      <c r="W565" s="125"/>
      <c r="X565" s="126"/>
      <c r="Y565" s="119"/>
      <c r="Z565" s="197"/>
      <c r="AA565" s="198"/>
      <c r="AB565" s="199"/>
      <c r="AC565" s="119"/>
      <c r="AD565" s="196"/>
      <c r="AE565" s="200"/>
      <c r="AF565" s="201"/>
      <c r="AG565" s="205"/>
      <c r="AH565" s="205"/>
      <c r="AI565" s="205"/>
      <c r="AJ565" s="205"/>
      <c r="AK565" s="126"/>
      <c r="AL565" s="126"/>
    </row>
    <row r="566">
      <c r="A566" s="119"/>
      <c r="B566" s="154"/>
      <c r="C566" s="89"/>
      <c r="D566" s="55"/>
      <c r="E566" s="119"/>
      <c r="F566" s="154"/>
      <c r="G566" s="192"/>
      <c r="H566" s="193"/>
      <c r="I566" s="119"/>
      <c r="J566" s="154"/>
      <c r="K566" s="89"/>
      <c r="L566" s="55"/>
      <c r="M566" s="119"/>
      <c r="N566" s="194"/>
      <c r="O566" s="89"/>
      <c r="P566" s="55"/>
      <c r="Q566" s="195"/>
      <c r="R566" s="196"/>
      <c r="S566" s="125"/>
      <c r="T566" s="126"/>
      <c r="U566" s="195"/>
      <c r="V566" s="196"/>
      <c r="W566" s="125"/>
      <c r="X566" s="126"/>
      <c r="Y566" s="119"/>
      <c r="Z566" s="197"/>
      <c r="AA566" s="198"/>
      <c r="AB566" s="199"/>
      <c r="AC566" s="119"/>
      <c r="AD566" s="196"/>
      <c r="AE566" s="200"/>
      <c r="AF566" s="201"/>
      <c r="AG566" s="205"/>
      <c r="AH566" s="205"/>
      <c r="AI566" s="205"/>
      <c r="AJ566" s="205"/>
      <c r="AK566" s="126"/>
      <c r="AL566" s="126"/>
    </row>
    <row r="567">
      <c r="A567" s="119"/>
      <c r="B567" s="154"/>
      <c r="C567" s="89"/>
      <c r="D567" s="55"/>
      <c r="E567" s="119"/>
      <c r="F567" s="154"/>
      <c r="G567" s="192"/>
      <c r="H567" s="193"/>
      <c r="I567" s="119"/>
      <c r="J567" s="154"/>
      <c r="K567" s="89"/>
      <c r="L567" s="55"/>
      <c r="M567" s="119"/>
      <c r="N567" s="194"/>
      <c r="O567" s="89"/>
      <c r="P567" s="55"/>
      <c r="Q567" s="195"/>
      <c r="R567" s="196"/>
      <c r="S567" s="125"/>
      <c r="T567" s="126"/>
      <c r="U567" s="195"/>
      <c r="V567" s="196"/>
      <c r="W567" s="125"/>
      <c r="X567" s="126"/>
      <c r="Y567" s="119"/>
      <c r="Z567" s="197"/>
      <c r="AA567" s="198"/>
      <c r="AB567" s="199"/>
      <c r="AC567" s="119"/>
      <c r="AD567" s="196"/>
      <c r="AE567" s="200"/>
      <c r="AF567" s="201"/>
      <c r="AG567" s="205"/>
      <c r="AH567" s="205"/>
      <c r="AI567" s="205"/>
      <c r="AJ567" s="205"/>
      <c r="AK567" s="126"/>
      <c r="AL567" s="126"/>
    </row>
    <row r="568">
      <c r="A568" s="119"/>
      <c r="B568" s="154"/>
      <c r="C568" s="89"/>
      <c r="D568" s="55"/>
      <c r="E568" s="119"/>
      <c r="F568" s="154"/>
      <c r="G568" s="192"/>
      <c r="H568" s="193"/>
      <c r="I568" s="119"/>
      <c r="J568" s="154"/>
      <c r="K568" s="89"/>
      <c r="L568" s="55"/>
      <c r="M568" s="119"/>
      <c r="N568" s="194"/>
      <c r="O568" s="89"/>
      <c r="P568" s="55"/>
      <c r="Q568" s="195"/>
      <c r="R568" s="196"/>
      <c r="S568" s="125"/>
      <c r="T568" s="126"/>
      <c r="U568" s="195"/>
      <c r="V568" s="196"/>
      <c r="W568" s="125"/>
      <c r="X568" s="126"/>
      <c r="Y568" s="119"/>
      <c r="Z568" s="197"/>
      <c r="AA568" s="198"/>
      <c r="AB568" s="199"/>
      <c r="AC568" s="119"/>
      <c r="AD568" s="196"/>
      <c r="AE568" s="200"/>
      <c r="AF568" s="201"/>
      <c r="AG568" s="205"/>
      <c r="AH568" s="205"/>
      <c r="AI568" s="205"/>
      <c r="AJ568" s="205"/>
      <c r="AK568" s="126"/>
      <c r="AL568" s="126"/>
    </row>
    <row r="569">
      <c r="A569" s="119"/>
      <c r="B569" s="154"/>
      <c r="C569" s="89"/>
      <c r="D569" s="55"/>
      <c r="E569" s="119"/>
      <c r="F569" s="154"/>
      <c r="G569" s="192"/>
      <c r="H569" s="193"/>
      <c r="I569" s="119"/>
      <c r="J569" s="154"/>
      <c r="K569" s="89"/>
      <c r="L569" s="55"/>
      <c r="M569" s="119"/>
      <c r="N569" s="194"/>
      <c r="O569" s="89"/>
      <c r="P569" s="55"/>
      <c r="Q569" s="195"/>
      <c r="R569" s="196"/>
      <c r="S569" s="125"/>
      <c r="T569" s="126"/>
      <c r="U569" s="195"/>
      <c r="V569" s="196"/>
      <c r="W569" s="125"/>
      <c r="X569" s="126"/>
      <c r="Y569" s="119"/>
      <c r="Z569" s="197"/>
      <c r="AA569" s="198"/>
      <c r="AB569" s="199"/>
      <c r="AC569" s="119"/>
      <c r="AD569" s="196"/>
      <c r="AE569" s="200"/>
      <c r="AF569" s="201"/>
      <c r="AG569" s="205"/>
      <c r="AH569" s="205"/>
      <c r="AI569" s="205"/>
      <c r="AJ569" s="205"/>
      <c r="AK569" s="126"/>
      <c r="AL569" s="126"/>
    </row>
    <row r="570">
      <c r="A570" s="119"/>
      <c r="B570" s="154"/>
      <c r="C570" s="89"/>
      <c r="D570" s="55"/>
      <c r="E570" s="119"/>
      <c r="F570" s="154"/>
      <c r="G570" s="192"/>
      <c r="H570" s="193"/>
      <c r="I570" s="119"/>
      <c r="J570" s="154"/>
      <c r="K570" s="89"/>
      <c r="L570" s="55"/>
      <c r="M570" s="119"/>
      <c r="N570" s="194"/>
      <c r="O570" s="89"/>
      <c r="P570" s="55"/>
      <c r="Q570" s="195"/>
      <c r="R570" s="196"/>
      <c r="S570" s="125"/>
      <c r="T570" s="126"/>
      <c r="U570" s="195"/>
      <c r="V570" s="196"/>
      <c r="W570" s="125"/>
      <c r="X570" s="126"/>
      <c r="Y570" s="119"/>
      <c r="Z570" s="197"/>
      <c r="AA570" s="198"/>
      <c r="AB570" s="199"/>
      <c r="AC570" s="119"/>
      <c r="AD570" s="196"/>
      <c r="AE570" s="200"/>
      <c r="AF570" s="201"/>
      <c r="AG570" s="205"/>
      <c r="AH570" s="205"/>
      <c r="AI570" s="205"/>
      <c r="AJ570" s="205"/>
      <c r="AK570" s="126"/>
      <c r="AL570" s="126"/>
    </row>
    <row r="571">
      <c r="A571" s="119"/>
      <c r="B571" s="154"/>
      <c r="C571" s="89"/>
      <c r="D571" s="55"/>
      <c r="E571" s="119"/>
      <c r="F571" s="154"/>
      <c r="G571" s="192"/>
      <c r="H571" s="193"/>
      <c r="I571" s="119"/>
      <c r="J571" s="154"/>
      <c r="K571" s="89"/>
      <c r="L571" s="55"/>
      <c r="M571" s="119"/>
      <c r="N571" s="194"/>
      <c r="O571" s="89"/>
      <c r="P571" s="55"/>
      <c r="Q571" s="195"/>
      <c r="R571" s="196"/>
      <c r="S571" s="125"/>
      <c r="T571" s="126"/>
      <c r="U571" s="195"/>
      <c r="V571" s="196"/>
      <c r="W571" s="125"/>
      <c r="X571" s="126"/>
      <c r="Y571" s="119"/>
      <c r="Z571" s="197"/>
      <c r="AA571" s="198"/>
      <c r="AB571" s="199"/>
      <c r="AC571" s="119"/>
      <c r="AD571" s="196"/>
      <c r="AE571" s="200"/>
      <c r="AF571" s="201"/>
      <c r="AG571" s="205"/>
      <c r="AH571" s="205"/>
      <c r="AI571" s="205"/>
      <c r="AJ571" s="205"/>
      <c r="AK571" s="126"/>
      <c r="AL571" s="126"/>
    </row>
    <row r="572">
      <c r="A572" s="119"/>
      <c r="B572" s="154"/>
      <c r="C572" s="89"/>
      <c r="D572" s="55"/>
      <c r="E572" s="119"/>
      <c r="F572" s="154"/>
      <c r="G572" s="192"/>
      <c r="H572" s="193"/>
      <c r="I572" s="119"/>
      <c r="J572" s="154"/>
      <c r="K572" s="89"/>
      <c r="L572" s="55"/>
      <c r="M572" s="119"/>
      <c r="N572" s="194"/>
      <c r="O572" s="89"/>
      <c r="P572" s="55"/>
      <c r="Q572" s="195"/>
      <c r="R572" s="196"/>
      <c r="S572" s="125"/>
      <c r="T572" s="126"/>
      <c r="U572" s="195"/>
      <c r="V572" s="196"/>
      <c r="W572" s="125"/>
      <c r="X572" s="126"/>
      <c r="Y572" s="119"/>
      <c r="Z572" s="197"/>
      <c r="AA572" s="198"/>
      <c r="AB572" s="199"/>
      <c r="AC572" s="119"/>
      <c r="AD572" s="196"/>
      <c r="AE572" s="200"/>
      <c r="AF572" s="201"/>
      <c r="AG572" s="205"/>
      <c r="AH572" s="205"/>
      <c r="AI572" s="205"/>
      <c r="AJ572" s="205"/>
      <c r="AK572" s="126"/>
      <c r="AL572" s="126"/>
    </row>
    <row r="573">
      <c r="A573" s="119"/>
      <c r="B573" s="154"/>
      <c r="C573" s="89"/>
      <c r="D573" s="55"/>
      <c r="E573" s="119"/>
      <c r="F573" s="154"/>
      <c r="G573" s="192"/>
      <c r="H573" s="193"/>
      <c r="I573" s="119"/>
      <c r="J573" s="154"/>
      <c r="K573" s="89"/>
      <c r="L573" s="55"/>
      <c r="M573" s="119"/>
      <c r="N573" s="194"/>
      <c r="O573" s="89"/>
      <c r="P573" s="55"/>
      <c r="Q573" s="195"/>
      <c r="R573" s="196"/>
      <c r="S573" s="125"/>
      <c r="T573" s="126"/>
      <c r="U573" s="195"/>
      <c r="V573" s="196"/>
      <c r="W573" s="125"/>
      <c r="X573" s="126"/>
      <c r="Y573" s="119"/>
      <c r="Z573" s="197"/>
      <c r="AA573" s="198"/>
      <c r="AB573" s="199"/>
      <c r="AC573" s="119"/>
      <c r="AD573" s="196"/>
      <c r="AE573" s="200"/>
      <c r="AF573" s="201"/>
      <c r="AG573" s="205"/>
      <c r="AH573" s="205"/>
      <c r="AI573" s="205"/>
      <c r="AJ573" s="205"/>
      <c r="AK573" s="126"/>
      <c r="AL573" s="126"/>
    </row>
    <row r="574">
      <c r="A574" s="119"/>
      <c r="B574" s="154"/>
      <c r="C574" s="89"/>
      <c r="D574" s="55"/>
      <c r="E574" s="119"/>
      <c r="F574" s="154"/>
      <c r="G574" s="192"/>
      <c r="H574" s="193"/>
      <c r="I574" s="119"/>
      <c r="J574" s="154"/>
      <c r="K574" s="89"/>
      <c r="L574" s="55"/>
      <c r="M574" s="119"/>
      <c r="N574" s="194"/>
      <c r="O574" s="89"/>
      <c r="P574" s="55"/>
      <c r="Q574" s="195"/>
      <c r="R574" s="196"/>
      <c r="S574" s="125"/>
      <c r="T574" s="126"/>
      <c r="U574" s="195"/>
      <c r="V574" s="196"/>
      <c r="W574" s="125"/>
      <c r="X574" s="126"/>
      <c r="Y574" s="119"/>
      <c r="Z574" s="197"/>
      <c r="AA574" s="198"/>
      <c r="AB574" s="199"/>
      <c r="AC574" s="119"/>
      <c r="AD574" s="196"/>
      <c r="AE574" s="200"/>
      <c r="AF574" s="201"/>
      <c r="AG574" s="205"/>
      <c r="AH574" s="205"/>
      <c r="AI574" s="205"/>
      <c r="AJ574" s="205"/>
      <c r="AK574" s="126"/>
      <c r="AL574" s="126"/>
    </row>
    <row r="575">
      <c r="A575" s="119"/>
      <c r="B575" s="154"/>
      <c r="C575" s="89"/>
      <c r="D575" s="55"/>
      <c r="E575" s="119"/>
      <c r="F575" s="154"/>
      <c r="G575" s="192"/>
      <c r="H575" s="193"/>
      <c r="I575" s="119"/>
      <c r="J575" s="154"/>
      <c r="K575" s="89"/>
      <c r="L575" s="55"/>
      <c r="M575" s="119"/>
      <c r="N575" s="194"/>
      <c r="O575" s="89"/>
      <c r="P575" s="55"/>
      <c r="Q575" s="195"/>
      <c r="R575" s="196"/>
      <c r="S575" s="125"/>
      <c r="T575" s="126"/>
      <c r="U575" s="195"/>
      <c r="V575" s="196"/>
      <c r="W575" s="125"/>
      <c r="X575" s="126"/>
      <c r="Y575" s="119"/>
      <c r="Z575" s="197"/>
      <c r="AA575" s="198"/>
      <c r="AB575" s="199"/>
      <c r="AC575" s="119"/>
      <c r="AD575" s="196"/>
      <c r="AE575" s="200"/>
      <c r="AF575" s="201"/>
      <c r="AG575" s="205"/>
      <c r="AH575" s="205"/>
      <c r="AI575" s="205"/>
      <c r="AJ575" s="205"/>
      <c r="AK575" s="126"/>
      <c r="AL575" s="126"/>
    </row>
    <row r="576">
      <c r="A576" s="119"/>
      <c r="B576" s="154"/>
      <c r="C576" s="89"/>
      <c r="D576" s="55"/>
      <c r="E576" s="119"/>
      <c r="F576" s="154"/>
      <c r="G576" s="192"/>
      <c r="H576" s="193"/>
      <c r="I576" s="119"/>
      <c r="J576" s="154"/>
      <c r="K576" s="89"/>
      <c r="L576" s="55"/>
      <c r="M576" s="119"/>
      <c r="N576" s="194"/>
      <c r="O576" s="89"/>
      <c r="P576" s="55"/>
      <c r="Q576" s="195"/>
      <c r="R576" s="196"/>
      <c r="S576" s="125"/>
      <c r="T576" s="126"/>
      <c r="U576" s="195"/>
      <c r="V576" s="196"/>
      <c r="W576" s="125"/>
      <c r="X576" s="126"/>
      <c r="Y576" s="119"/>
      <c r="Z576" s="197"/>
      <c r="AA576" s="198"/>
      <c r="AB576" s="199"/>
      <c r="AC576" s="119"/>
      <c r="AD576" s="196"/>
      <c r="AE576" s="200"/>
      <c r="AF576" s="201"/>
      <c r="AG576" s="205"/>
      <c r="AH576" s="205"/>
      <c r="AI576" s="205"/>
      <c r="AJ576" s="205"/>
      <c r="AK576" s="126"/>
      <c r="AL576" s="126"/>
    </row>
    <row r="577">
      <c r="A577" s="119"/>
      <c r="B577" s="154"/>
      <c r="C577" s="89"/>
      <c r="D577" s="55"/>
      <c r="E577" s="119"/>
      <c r="F577" s="154"/>
      <c r="G577" s="192"/>
      <c r="H577" s="193"/>
      <c r="I577" s="119"/>
      <c r="J577" s="154"/>
      <c r="K577" s="89"/>
      <c r="L577" s="55"/>
      <c r="M577" s="119"/>
      <c r="N577" s="194"/>
      <c r="O577" s="89"/>
      <c r="P577" s="55"/>
      <c r="Q577" s="195"/>
      <c r="R577" s="196"/>
      <c r="S577" s="125"/>
      <c r="T577" s="126"/>
      <c r="U577" s="195"/>
      <c r="V577" s="196"/>
      <c r="W577" s="125"/>
      <c r="X577" s="126"/>
      <c r="Y577" s="119"/>
      <c r="Z577" s="197"/>
      <c r="AA577" s="198"/>
      <c r="AB577" s="199"/>
      <c r="AC577" s="119"/>
      <c r="AD577" s="196"/>
      <c r="AE577" s="200"/>
      <c r="AF577" s="201"/>
      <c r="AG577" s="205"/>
      <c r="AH577" s="205"/>
      <c r="AI577" s="205"/>
      <c r="AJ577" s="205"/>
      <c r="AK577" s="126"/>
      <c r="AL577" s="126"/>
    </row>
    <row r="578">
      <c r="A578" s="119"/>
      <c r="B578" s="154"/>
      <c r="C578" s="89"/>
      <c r="D578" s="55"/>
      <c r="E578" s="119"/>
      <c r="F578" s="154"/>
      <c r="G578" s="192"/>
      <c r="H578" s="193"/>
      <c r="I578" s="119"/>
      <c r="J578" s="154"/>
      <c r="K578" s="89"/>
      <c r="L578" s="55"/>
      <c r="M578" s="119"/>
      <c r="N578" s="194"/>
      <c r="O578" s="89"/>
      <c r="P578" s="55"/>
      <c r="Q578" s="195"/>
      <c r="R578" s="196"/>
      <c r="S578" s="125"/>
      <c r="T578" s="126"/>
      <c r="U578" s="195"/>
      <c r="V578" s="196"/>
      <c r="W578" s="125"/>
      <c r="X578" s="126"/>
      <c r="Y578" s="119"/>
      <c r="Z578" s="197"/>
      <c r="AA578" s="198"/>
      <c r="AB578" s="199"/>
      <c r="AC578" s="119"/>
      <c r="AD578" s="196"/>
      <c r="AE578" s="200"/>
      <c r="AF578" s="201"/>
      <c r="AG578" s="205"/>
      <c r="AH578" s="205"/>
      <c r="AI578" s="205"/>
      <c r="AJ578" s="205"/>
      <c r="AK578" s="126"/>
      <c r="AL578" s="126"/>
    </row>
    <row r="579">
      <c r="A579" s="119"/>
      <c r="B579" s="154"/>
      <c r="C579" s="89"/>
      <c r="D579" s="55"/>
      <c r="E579" s="119"/>
      <c r="F579" s="154"/>
      <c r="G579" s="192"/>
      <c r="H579" s="193"/>
      <c r="I579" s="119"/>
      <c r="J579" s="154"/>
      <c r="K579" s="89"/>
      <c r="L579" s="55"/>
      <c r="M579" s="119"/>
      <c r="N579" s="194"/>
      <c r="O579" s="89"/>
      <c r="P579" s="55"/>
      <c r="Q579" s="195"/>
      <c r="R579" s="196"/>
      <c r="S579" s="125"/>
      <c r="T579" s="126"/>
      <c r="U579" s="195"/>
      <c r="V579" s="196"/>
      <c r="W579" s="125"/>
      <c r="X579" s="126"/>
      <c r="Y579" s="119"/>
      <c r="Z579" s="197"/>
      <c r="AA579" s="198"/>
      <c r="AB579" s="199"/>
      <c r="AC579" s="119"/>
      <c r="AD579" s="196"/>
      <c r="AE579" s="200"/>
      <c r="AF579" s="201"/>
      <c r="AG579" s="205"/>
      <c r="AH579" s="205"/>
      <c r="AI579" s="205"/>
      <c r="AJ579" s="205"/>
      <c r="AK579" s="126"/>
      <c r="AL579" s="126"/>
    </row>
    <row r="580">
      <c r="A580" s="119"/>
      <c r="B580" s="154"/>
      <c r="C580" s="89"/>
      <c r="D580" s="55"/>
      <c r="E580" s="119"/>
      <c r="F580" s="154"/>
      <c r="G580" s="192"/>
      <c r="H580" s="193"/>
      <c r="I580" s="119"/>
      <c r="J580" s="154"/>
      <c r="K580" s="89"/>
      <c r="L580" s="55"/>
      <c r="M580" s="119"/>
      <c r="N580" s="194"/>
      <c r="O580" s="89"/>
      <c r="P580" s="55"/>
      <c r="Q580" s="195"/>
      <c r="R580" s="196"/>
      <c r="S580" s="125"/>
      <c r="T580" s="126"/>
      <c r="U580" s="195"/>
      <c r="V580" s="196"/>
      <c r="W580" s="125"/>
      <c r="X580" s="126"/>
      <c r="Y580" s="119"/>
      <c r="Z580" s="197"/>
      <c r="AA580" s="198"/>
      <c r="AB580" s="199"/>
      <c r="AC580" s="119"/>
      <c r="AD580" s="196"/>
      <c r="AE580" s="200"/>
      <c r="AF580" s="201"/>
      <c r="AG580" s="205"/>
      <c r="AH580" s="205"/>
      <c r="AI580" s="205"/>
      <c r="AJ580" s="205"/>
      <c r="AK580" s="126"/>
      <c r="AL580" s="126"/>
    </row>
    <row r="581">
      <c r="A581" s="119"/>
      <c r="B581" s="154"/>
      <c r="C581" s="89"/>
      <c r="D581" s="55"/>
      <c r="E581" s="119"/>
      <c r="F581" s="154"/>
      <c r="G581" s="192"/>
      <c r="H581" s="193"/>
      <c r="I581" s="119"/>
      <c r="J581" s="154"/>
      <c r="K581" s="89"/>
      <c r="L581" s="55"/>
      <c r="M581" s="119"/>
      <c r="N581" s="194"/>
      <c r="O581" s="89"/>
      <c r="P581" s="55"/>
      <c r="Q581" s="195"/>
      <c r="R581" s="196"/>
      <c r="S581" s="125"/>
      <c r="T581" s="126"/>
      <c r="U581" s="195"/>
      <c r="V581" s="196"/>
      <c r="W581" s="125"/>
      <c r="X581" s="126"/>
      <c r="Y581" s="119"/>
      <c r="Z581" s="197"/>
      <c r="AA581" s="198"/>
      <c r="AB581" s="199"/>
      <c r="AC581" s="119"/>
      <c r="AD581" s="196"/>
      <c r="AE581" s="200"/>
      <c r="AF581" s="201"/>
      <c r="AG581" s="205"/>
      <c r="AH581" s="205"/>
      <c r="AI581" s="205"/>
      <c r="AJ581" s="205"/>
      <c r="AK581" s="126"/>
      <c r="AL581" s="126"/>
    </row>
    <row r="582">
      <c r="A582" s="119"/>
      <c r="B582" s="154"/>
      <c r="C582" s="89"/>
      <c r="D582" s="55"/>
      <c r="E582" s="119"/>
      <c r="F582" s="154"/>
      <c r="G582" s="192"/>
      <c r="H582" s="193"/>
      <c r="I582" s="119"/>
      <c r="J582" s="154"/>
      <c r="K582" s="89"/>
      <c r="L582" s="55"/>
      <c r="M582" s="119"/>
      <c r="N582" s="194"/>
      <c r="O582" s="89"/>
      <c r="P582" s="55"/>
      <c r="Q582" s="195"/>
      <c r="R582" s="196"/>
      <c r="S582" s="125"/>
      <c r="T582" s="126"/>
      <c r="U582" s="195"/>
      <c r="V582" s="196"/>
      <c r="W582" s="125"/>
      <c r="X582" s="126"/>
      <c r="Y582" s="119"/>
      <c r="Z582" s="197"/>
      <c r="AA582" s="198"/>
      <c r="AB582" s="199"/>
      <c r="AC582" s="119"/>
      <c r="AD582" s="196"/>
      <c r="AE582" s="200"/>
      <c r="AF582" s="201"/>
      <c r="AG582" s="205"/>
      <c r="AH582" s="205"/>
      <c r="AI582" s="205"/>
      <c r="AJ582" s="205"/>
      <c r="AK582" s="126"/>
      <c r="AL582" s="126"/>
    </row>
    <row r="583">
      <c r="A583" s="119"/>
      <c r="B583" s="154"/>
      <c r="C583" s="89"/>
      <c r="D583" s="55"/>
      <c r="E583" s="119"/>
      <c r="F583" s="154"/>
      <c r="G583" s="192"/>
      <c r="H583" s="193"/>
      <c r="I583" s="119"/>
      <c r="J583" s="154"/>
      <c r="K583" s="89"/>
      <c r="L583" s="55"/>
      <c r="M583" s="119"/>
      <c r="N583" s="194"/>
      <c r="O583" s="89"/>
      <c r="P583" s="55"/>
      <c r="Q583" s="195"/>
      <c r="R583" s="196"/>
      <c r="S583" s="125"/>
      <c r="T583" s="126"/>
      <c r="U583" s="195"/>
      <c r="V583" s="196"/>
      <c r="W583" s="125"/>
      <c r="X583" s="126"/>
      <c r="Y583" s="119"/>
      <c r="Z583" s="197"/>
      <c r="AA583" s="198"/>
      <c r="AB583" s="199"/>
      <c r="AC583" s="119"/>
      <c r="AD583" s="196"/>
      <c r="AE583" s="200"/>
      <c r="AF583" s="201"/>
      <c r="AG583" s="205"/>
      <c r="AH583" s="205"/>
      <c r="AI583" s="205"/>
      <c r="AJ583" s="205"/>
      <c r="AK583" s="126"/>
      <c r="AL583" s="126"/>
    </row>
    <row r="584">
      <c r="A584" s="119"/>
      <c r="B584" s="154"/>
      <c r="C584" s="89"/>
      <c r="D584" s="55"/>
      <c r="E584" s="119"/>
      <c r="F584" s="154"/>
      <c r="G584" s="192"/>
      <c r="H584" s="193"/>
      <c r="I584" s="119"/>
      <c r="J584" s="154"/>
      <c r="K584" s="89"/>
      <c r="L584" s="55"/>
      <c r="M584" s="119"/>
      <c r="N584" s="194"/>
      <c r="O584" s="89"/>
      <c r="P584" s="55"/>
      <c r="Q584" s="195"/>
      <c r="R584" s="196"/>
      <c r="S584" s="125"/>
      <c r="T584" s="126"/>
      <c r="U584" s="195"/>
      <c r="V584" s="196"/>
      <c r="W584" s="125"/>
      <c r="X584" s="126"/>
      <c r="Y584" s="119"/>
      <c r="Z584" s="197"/>
      <c r="AA584" s="198"/>
      <c r="AB584" s="199"/>
      <c r="AC584" s="119"/>
      <c r="AD584" s="196"/>
      <c r="AE584" s="200"/>
      <c r="AF584" s="201"/>
      <c r="AG584" s="205"/>
      <c r="AH584" s="205"/>
      <c r="AI584" s="205"/>
      <c r="AJ584" s="205"/>
      <c r="AK584" s="126"/>
      <c r="AL584" s="126"/>
    </row>
    <row r="585">
      <c r="A585" s="119"/>
      <c r="B585" s="154"/>
      <c r="C585" s="89"/>
      <c r="D585" s="55"/>
      <c r="E585" s="119"/>
      <c r="F585" s="154"/>
      <c r="G585" s="192"/>
      <c r="H585" s="193"/>
      <c r="I585" s="119"/>
      <c r="J585" s="154"/>
      <c r="K585" s="89"/>
      <c r="L585" s="55"/>
      <c r="M585" s="119"/>
      <c r="N585" s="194"/>
      <c r="O585" s="89"/>
      <c r="P585" s="55"/>
      <c r="Q585" s="195"/>
      <c r="R585" s="196"/>
      <c r="S585" s="125"/>
      <c r="T585" s="126"/>
      <c r="U585" s="195"/>
      <c r="V585" s="196"/>
      <c r="W585" s="125"/>
      <c r="X585" s="126"/>
      <c r="Y585" s="119"/>
      <c r="Z585" s="197"/>
      <c r="AA585" s="198"/>
      <c r="AB585" s="199"/>
      <c r="AC585" s="119"/>
      <c r="AD585" s="196"/>
      <c r="AE585" s="200"/>
      <c r="AF585" s="201"/>
      <c r="AG585" s="205"/>
      <c r="AH585" s="205"/>
      <c r="AI585" s="205"/>
      <c r="AJ585" s="205"/>
      <c r="AK585" s="126"/>
      <c r="AL585" s="126"/>
    </row>
    <row r="586">
      <c r="A586" s="119"/>
      <c r="B586" s="154"/>
      <c r="C586" s="89"/>
      <c r="D586" s="55"/>
      <c r="E586" s="119"/>
      <c r="F586" s="154"/>
      <c r="G586" s="192"/>
      <c r="H586" s="193"/>
      <c r="I586" s="119"/>
      <c r="J586" s="154"/>
      <c r="K586" s="89"/>
      <c r="L586" s="55"/>
      <c r="M586" s="119"/>
      <c r="N586" s="194"/>
      <c r="O586" s="89"/>
      <c r="P586" s="55"/>
      <c r="Q586" s="195"/>
      <c r="R586" s="196"/>
      <c r="S586" s="125"/>
      <c r="T586" s="126"/>
      <c r="U586" s="195"/>
      <c r="V586" s="196"/>
      <c r="W586" s="125"/>
      <c r="X586" s="126"/>
      <c r="Y586" s="119"/>
      <c r="Z586" s="197"/>
      <c r="AA586" s="198"/>
      <c r="AB586" s="199"/>
      <c r="AC586" s="119"/>
      <c r="AD586" s="196"/>
      <c r="AE586" s="200"/>
      <c r="AF586" s="201"/>
      <c r="AG586" s="205"/>
      <c r="AH586" s="205"/>
      <c r="AI586" s="205"/>
      <c r="AJ586" s="205"/>
      <c r="AK586" s="126"/>
      <c r="AL586" s="126"/>
    </row>
    <row r="587">
      <c r="A587" s="119"/>
      <c r="B587" s="154"/>
      <c r="C587" s="89"/>
      <c r="D587" s="55"/>
      <c r="E587" s="119"/>
      <c r="F587" s="154"/>
      <c r="G587" s="192"/>
      <c r="H587" s="193"/>
      <c r="I587" s="119"/>
      <c r="J587" s="154"/>
      <c r="K587" s="89"/>
      <c r="L587" s="55"/>
      <c r="M587" s="119"/>
      <c r="N587" s="194"/>
      <c r="O587" s="89"/>
      <c r="P587" s="55"/>
      <c r="Q587" s="195"/>
      <c r="R587" s="196"/>
      <c r="S587" s="125"/>
      <c r="T587" s="126"/>
      <c r="U587" s="195"/>
      <c r="V587" s="196"/>
      <c r="W587" s="125"/>
      <c r="X587" s="126"/>
      <c r="Y587" s="119"/>
      <c r="Z587" s="197"/>
      <c r="AA587" s="198"/>
      <c r="AB587" s="199"/>
      <c r="AC587" s="119"/>
      <c r="AD587" s="196"/>
      <c r="AE587" s="200"/>
      <c r="AF587" s="201"/>
      <c r="AG587" s="205"/>
      <c r="AH587" s="205"/>
      <c r="AI587" s="205"/>
      <c r="AJ587" s="205"/>
      <c r="AK587" s="126"/>
      <c r="AL587" s="126"/>
    </row>
    <row r="588">
      <c r="A588" s="119"/>
      <c r="B588" s="154"/>
      <c r="C588" s="89"/>
      <c r="D588" s="55"/>
      <c r="E588" s="119"/>
      <c r="F588" s="154"/>
      <c r="G588" s="192"/>
      <c r="H588" s="193"/>
      <c r="I588" s="119"/>
      <c r="J588" s="154"/>
      <c r="K588" s="89"/>
      <c r="L588" s="55"/>
      <c r="M588" s="119"/>
      <c r="N588" s="194"/>
      <c r="O588" s="89"/>
      <c r="P588" s="55"/>
      <c r="Q588" s="195"/>
      <c r="R588" s="196"/>
      <c r="S588" s="125"/>
      <c r="T588" s="126"/>
      <c r="U588" s="195"/>
      <c r="V588" s="196"/>
      <c r="W588" s="125"/>
      <c r="X588" s="126"/>
      <c r="Y588" s="119"/>
      <c r="Z588" s="197"/>
      <c r="AA588" s="198"/>
      <c r="AB588" s="199"/>
      <c r="AC588" s="119"/>
      <c r="AD588" s="196"/>
      <c r="AE588" s="200"/>
      <c r="AF588" s="201"/>
      <c r="AG588" s="205"/>
      <c r="AH588" s="205"/>
      <c r="AI588" s="205"/>
      <c r="AJ588" s="205"/>
      <c r="AK588" s="126"/>
      <c r="AL588" s="126"/>
    </row>
    <row r="589">
      <c r="A589" s="119"/>
      <c r="B589" s="154"/>
      <c r="C589" s="89"/>
      <c r="D589" s="55"/>
      <c r="E589" s="119"/>
      <c r="F589" s="154"/>
      <c r="G589" s="192"/>
      <c r="H589" s="193"/>
      <c r="I589" s="119"/>
      <c r="J589" s="154"/>
      <c r="K589" s="89"/>
      <c r="L589" s="55"/>
      <c r="M589" s="119"/>
      <c r="N589" s="194"/>
      <c r="O589" s="89"/>
      <c r="P589" s="55"/>
      <c r="Q589" s="195"/>
      <c r="R589" s="196"/>
      <c r="S589" s="125"/>
      <c r="T589" s="126"/>
      <c r="U589" s="195"/>
      <c r="V589" s="196"/>
      <c r="W589" s="125"/>
      <c r="X589" s="126"/>
      <c r="Y589" s="119"/>
      <c r="Z589" s="197"/>
      <c r="AA589" s="198"/>
      <c r="AB589" s="199"/>
      <c r="AC589" s="119"/>
      <c r="AD589" s="196"/>
      <c r="AE589" s="200"/>
      <c r="AF589" s="201"/>
      <c r="AG589" s="205"/>
      <c r="AH589" s="205"/>
      <c r="AI589" s="205"/>
      <c r="AJ589" s="205"/>
      <c r="AK589" s="126"/>
      <c r="AL589" s="126"/>
    </row>
    <row r="590">
      <c r="A590" s="119"/>
      <c r="B590" s="154"/>
      <c r="C590" s="89"/>
      <c r="D590" s="55"/>
      <c r="E590" s="119"/>
      <c r="F590" s="154"/>
      <c r="G590" s="192"/>
      <c r="H590" s="193"/>
      <c r="I590" s="119"/>
      <c r="J590" s="154"/>
      <c r="K590" s="89"/>
      <c r="L590" s="55"/>
      <c r="M590" s="119"/>
      <c r="N590" s="194"/>
      <c r="O590" s="89"/>
      <c r="P590" s="55"/>
      <c r="Q590" s="195"/>
      <c r="R590" s="196"/>
      <c r="S590" s="125"/>
      <c r="T590" s="126"/>
      <c r="U590" s="195"/>
      <c r="V590" s="196"/>
      <c r="W590" s="125"/>
      <c r="X590" s="126"/>
      <c r="Y590" s="119"/>
      <c r="Z590" s="197"/>
      <c r="AA590" s="198"/>
      <c r="AB590" s="199"/>
      <c r="AC590" s="119"/>
      <c r="AD590" s="196"/>
      <c r="AE590" s="200"/>
      <c r="AF590" s="201"/>
      <c r="AG590" s="205"/>
      <c r="AH590" s="205"/>
      <c r="AI590" s="205"/>
      <c r="AJ590" s="205"/>
      <c r="AK590" s="126"/>
      <c r="AL590" s="126"/>
    </row>
    <row r="591">
      <c r="A591" s="119"/>
      <c r="B591" s="154"/>
      <c r="C591" s="89"/>
      <c r="D591" s="55"/>
      <c r="E591" s="119"/>
      <c r="F591" s="154"/>
      <c r="G591" s="192"/>
      <c r="H591" s="193"/>
      <c r="I591" s="119"/>
      <c r="J591" s="154"/>
      <c r="K591" s="89"/>
      <c r="L591" s="55"/>
      <c r="M591" s="119"/>
      <c r="N591" s="194"/>
      <c r="O591" s="89"/>
      <c r="P591" s="55"/>
      <c r="Q591" s="195"/>
      <c r="R591" s="196"/>
      <c r="S591" s="125"/>
      <c r="T591" s="126"/>
      <c r="U591" s="195"/>
      <c r="V591" s="196"/>
      <c r="W591" s="125"/>
      <c r="X591" s="126"/>
      <c r="Y591" s="119"/>
      <c r="Z591" s="197"/>
      <c r="AA591" s="198"/>
      <c r="AB591" s="199"/>
      <c r="AC591" s="119"/>
      <c r="AD591" s="196"/>
      <c r="AE591" s="200"/>
      <c r="AF591" s="201"/>
      <c r="AG591" s="205"/>
      <c r="AH591" s="205"/>
      <c r="AI591" s="205"/>
      <c r="AJ591" s="205"/>
      <c r="AK591" s="126"/>
      <c r="AL591" s="126"/>
    </row>
    <row r="592">
      <c r="A592" s="119"/>
      <c r="B592" s="154"/>
      <c r="C592" s="89"/>
      <c r="D592" s="55"/>
      <c r="E592" s="119"/>
      <c r="F592" s="154"/>
      <c r="G592" s="192"/>
      <c r="H592" s="193"/>
      <c r="I592" s="119"/>
      <c r="J592" s="154"/>
      <c r="K592" s="89"/>
      <c r="L592" s="55"/>
      <c r="M592" s="119"/>
      <c r="N592" s="194"/>
      <c r="O592" s="89"/>
      <c r="P592" s="55"/>
      <c r="Q592" s="195"/>
      <c r="R592" s="196"/>
      <c r="S592" s="125"/>
      <c r="T592" s="126"/>
      <c r="U592" s="195"/>
      <c r="V592" s="196"/>
      <c r="W592" s="125"/>
      <c r="X592" s="126"/>
      <c r="Y592" s="119"/>
      <c r="Z592" s="197"/>
      <c r="AA592" s="198"/>
      <c r="AB592" s="199"/>
      <c r="AC592" s="119"/>
      <c r="AD592" s="196"/>
      <c r="AE592" s="200"/>
      <c r="AF592" s="201"/>
      <c r="AG592" s="205"/>
      <c r="AH592" s="205"/>
      <c r="AI592" s="205"/>
      <c r="AJ592" s="205"/>
      <c r="AK592" s="126"/>
      <c r="AL592" s="126"/>
    </row>
    <row r="593">
      <c r="A593" s="119"/>
      <c r="B593" s="154"/>
      <c r="C593" s="89"/>
      <c r="D593" s="55"/>
      <c r="E593" s="119"/>
      <c r="F593" s="154"/>
      <c r="G593" s="192"/>
      <c r="H593" s="193"/>
      <c r="I593" s="119"/>
      <c r="J593" s="154"/>
      <c r="K593" s="89"/>
      <c r="L593" s="55"/>
      <c r="M593" s="119"/>
      <c r="N593" s="194"/>
      <c r="O593" s="89"/>
      <c r="P593" s="55"/>
      <c r="Q593" s="195"/>
      <c r="R593" s="196"/>
      <c r="S593" s="125"/>
      <c r="T593" s="126"/>
      <c r="U593" s="195"/>
      <c r="V593" s="196"/>
      <c r="W593" s="125"/>
      <c r="X593" s="126"/>
      <c r="Y593" s="119"/>
      <c r="Z593" s="197"/>
      <c r="AA593" s="198"/>
      <c r="AB593" s="199"/>
      <c r="AC593" s="119"/>
      <c r="AD593" s="196"/>
      <c r="AE593" s="200"/>
      <c r="AF593" s="201"/>
      <c r="AG593" s="205"/>
      <c r="AH593" s="205"/>
      <c r="AI593" s="205"/>
      <c r="AJ593" s="205"/>
      <c r="AK593" s="126"/>
      <c r="AL593" s="126"/>
    </row>
    <row r="594">
      <c r="A594" s="119"/>
      <c r="B594" s="154"/>
      <c r="C594" s="89"/>
      <c r="D594" s="55"/>
      <c r="E594" s="119"/>
      <c r="F594" s="154"/>
      <c r="G594" s="192"/>
      <c r="H594" s="193"/>
      <c r="I594" s="119"/>
      <c r="J594" s="154"/>
      <c r="K594" s="89"/>
      <c r="L594" s="55"/>
      <c r="M594" s="119"/>
      <c r="N594" s="194"/>
      <c r="O594" s="89"/>
      <c r="P594" s="55"/>
      <c r="Q594" s="195"/>
      <c r="R594" s="196"/>
      <c r="S594" s="125"/>
      <c r="T594" s="126"/>
      <c r="U594" s="195"/>
      <c r="V594" s="196"/>
      <c r="W594" s="125"/>
      <c r="X594" s="126"/>
      <c r="Y594" s="119"/>
      <c r="Z594" s="197"/>
      <c r="AA594" s="198"/>
      <c r="AB594" s="199"/>
      <c r="AC594" s="119"/>
      <c r="AD594" s="196"/>
      <c r="AE594" s="200"/>
      <c r="AF594" s="201"/>
      <c r="AG594" s="205"/>
      <c r="AH594" s="205"/>
      <c r="AI594" s="205"/>
      <c r="AJ594" s="205"/>
      <c r="AK594" s="126"/>
      <c r="AL594" s="126"/>
    </row>
    <row r="595">
      <c r="A595" s="119"/>
      <c r="B595" s="154"/>
      <c r="C595" s="89"/>
      <c r="D595" s="55"/>
      <c r="E595" s="119"/>
      <c r="F595" s="154"/>
      <c r="G595" s="192"/>
      <c r="H595" s="193"/>
      <c r="I595" s="119"/>
      <c r="J595" s="154"/>
      <c r="K595" s="89"/>
      <c r="L595" s="55"/>
      <c r="M595" s="119"/>
      <c r="N595" s="194"/>
      <c r="O595" s="89"/>
      <c r="P595" s="55"/>
      <c r="Q595" s="195"/>
      <c r="R595" s="196"/>
      <c r="S595" s="125"/>
      <c r="T595" s="126"/>
      <c r="U595" s="195"/>
      <c r="V595" s="196"/>
      <c r="W595" s="125"/>
      <c r="X595" s="126"/>
      <c r="Y595" s="119"/>
      <c r="Z595" s="197"/>
      <c r="AA595" s="198"/>
      <c r="AB595" s="199"/>
      <c r="AC595" s="119"/>
      <c r="AD595" s="196"/>
      <c r="AE595" s="200"/>
      <c r="AF595" s="201"/>
      <c r="AG595" s="205"/>
      <c r="AH595" s="205"/>
      <c r="AI595" s="205"/>
      <c r="AJ595" s="205"/>
      <c r="AK595" s="126"/>
      <c r="AL595" s="126"/>
    </row>
    <row r="596">
      <c r="A596" s="119"/>
      <c r="B596" s="154"/>
      <c r="C596" s="89"/>
      <c r="D596" s="55"/>
      <c r="E596" s="119"/>
      <c r="F596" s="154"/>
      <c r="G596" s="192"/>
      <c r="H596" s="193"/>
      <c r="I596" s="119"/>
      <c r="J596" s="154"/>
      <c r="K596" s="89"/>
      <c r="L596" s="55"/>
      <c r="M596" s="119"/>
      <c r="N596" s="194"/>
      <c r="O596" s="89"/>
      <c r="P596" s="55"/>
      <c r="Q596" s="195"/>
      <c r="R596" s="196"/>
      <c r="S596" s="125"/>
      <c r="T596" s="126"/>
      <c r="U596" s="195"/>
      <c r="V596" s="196"/>
      <c r="W596" s="125"/>
      <c r="X596" s="126"/>
      <c r="Y596" s="119"/>
      <c r="Z596" s="197"/>
      <c r="AA596" s="198"/>
      <c r="AB596" s="199"/>
      <c r="AC596" s="119"/>
      <c r="AD596" s="196"/>
      <c r="AE596" s="200"/>
      <c r="AF596" s="201"/>
      <c r="AG596" s="205"/>
      <c r="AH596" s="205"/>
      <c r="AI596" s="205"/>
      <c r="AJ596" s="205"/>
      <c r="AK596" s="126"/>
      <c r="AL596" s="126"/>
    </row>
    <row r="597">
      <c r="A597" s="119"/>
      <c r="B597" s="154"/>
      <c r="C597" s="89"/>
      <c r="D597" s="55"/>
      <c r="E597" s="119"/>
      <c r="F597" s="154"/>
      <c r="G597" s="192"/>
      <c r="H597" s="193"/>
      <c r="I597" s="119"/>
      <c r="J597" s="154"/>
      <c r="K597" s="89"/>
      <c r="L597" s="55"/>
      <c r="M597" s="119"/>
      <c r="N597" s="194"/>
      <c r="O597" s="89"/>
      <c r="P597" s="55"/>
      <c r="Q597" s="195"/>
      <c r="R597" s="196"/>
      <c r="S597" s="125"/>
      <c r="T597" s="126"/>
      <c r="U597" s="195"/>
      <c r="V597" s="196"/>
      <c r="W597" s="125"/>
      <c r="X597" s="126"/>
      <c r="Y597" s="119"/>
      <c r="Z597" s="197"/>
      <c r="AA597" s="198"/>
      <c r="AB597" s="199"/>
      <c r="AC597" s="119"/>
      <c r="AD597" s="196"/>
      <c r="AE597" s="200"/>
      <c r="AF597" s="201"/>
      <c r="AG597" s="205"/>
      <c r="AH597" s="205"/>
      <c r="AI597" s="205"/>
      <c r="AJ597" s="205"/>
      <c r="AK597" s="126"/>
      <c r="AL597" s="126"/>
    </row>
    <row r="598">
      <c r="A598" s="119"/>
      <c r="B598" s="154"/>
      <c r="C598" s="89"/>
      <c r="D598" s="55"/>
      <c r="E598" s="119"/>
      <c r="F598" s="154"/>
      <c r="G598" s="192"/>
      <c r="H598" s="193"/>
      <c r="I598" s="119"/>
      <c r="J598" s="154"/>
      <c r="K598" s="89"/>
      <c r="L598" s="55"/>
      <c r="M598" s="119"/>
      <c r="N598" s="194"/>
      <c r="O598" s="89"/>
      <c r="P598" s="55"/>
      <c r="Q598" s="195"/>
      <c r="R598" s="196"/>
      <c r="S598" s="125"/>
      <c r="T598" s="126"/>
      <c r="U598" s="195"/>
      <c r="V598" s="196"/>
      <c r="W598" s="125"/>
      <c r="X598" s="126"/>
      <c r="Y598" s="119"/>
      <c r="Z598" s="197"/>
      <c r="AA598" s="198"/>
      <c r="AB598" s="199"/>
      <c r="AC598" s="119"/>
      <c r="AD598" s="196"/>
      <c r="AE598" s="200"/>
      <c r="AF598" s="201"/>
      <c r="AG598" s="205"/>
      <c r="AH598" s="205"/>
      <c r="AI598" s="205"/>
      <c r="AJ598" s="205"/>
      <c r="AK598" s="126"/>
      <c r="AL598" s="126"/>
    </row>
    <row r="599">
      <c r="A599" s="119"/>
      <c r="B599" s="154"/>
      <c r="C599" s="89"/>
      <c r="D599" s="55"/>
      <c r="E599" s="119"/>
      <c r="F599" s="154"/>
      <c r="G599" s="192"/>
      <c r="H599" s="193"/>
      <c r="I599" s="119"/>
      <c r="J599" s="154"/>
      <c r="K599" s="89"/>
      <c r="L599" s="55"/>
      <c r="M599" s="119"/>
      <c r="N599" s="194"/>
      <c r="O599" s="89"/>
      <c r="P599" s="55"/>
      <c r="Q599" s="195"/>
      <c r="R599" s="196"/>
      <c r="S599" s="125"/>
      <c r="T599" s="126"/>
      <c r="U599" s="195"/>
      <c r="V599" s="196"/>
      <c r="W599" s="125"/>
      <c r="X599" s="126"/>
      <c r="Y599" s="119"/>
      <c r="Z599" s="197"/>
      <c r="AA599" s="198"/>
      <c r="AB599" s="199"/>
      <c r="AC599" s="119"/>
      <c r="AD599" s="196"/>
      <c r="AE599" s="200"/>
      <c r="AF599" s="201"/>
      <c r="AG599" s="205"/>
      <c r="AH599" s="205"/>
      <c r="AI599" s="205"/>
      <c r="AJ599" s="205"/>
      <c r="AK599" s="126"/>
      <c r="AL599" s="126"/>
    </row>
    <row r="600">
      <c r="A600" s="119"/>
      <c r="B600" s="154"/>
      <c r="C600" s="89"/>
      <c r="D600" s="55"/>
      <c r="E600" s="119"/>
      <c r="F600" s="154"/>
      <c r="G600" s="192"/>
      <c r="H600" s="193"/>
      <c r="I600" s="119"/>
      <c r="J600" s="154"/>
      <c r="K600" s="89"/>
      <c r="L600" s="55"/>
      <c r="M600" s="119"/>
      <c r="N600" s="194"/>
      <c r="O600" s="89"/>
      <c r="P600" s="55"/>
      <c r="Q600" s="195"/>
      <c r="R600" s="196"/>
      <c r="S600" s="125"/>
      <c r="T600" s="126"/>
      <c r="U600" s="195"/>
      <c r="V600" s="196"/>
      <c r="W600" s="125"/>
      <c r="X600" s="126"/>
      <c r="Y600" s="119"/>
      <c r="Z600" s="197"/>
      <c r="AA600" s="198"/>
      <c r="AB600" s="199"/>
      <c r="AC600" s="119"/>
      <c r="AD600" s="196"/>
      <c r="AE600" s="200"/>
      <c r="AF600" s="201"/>
      <c r="AG600" s="205"/>
      <c r="AH600" s="205"/>
      <c r="AI600" s="205"/>
      <c r="AJ600" s="205"/>
      <c r="AK600" s="126"/>
      <c r="AL600" s="126"/>
    </row>
    <row r="601">
      <c r="A601" s="119"/>
      <c r="B601" s="154"/>
      <c r="C601" s="89"/>
      <c r="D601" s="55"/>
      <c r="E601" s="119"/>
      <c r="F601" s="154"/>
      <c r="G601" s="192"/>
      <c r="H601" s="193"/>
      <c r="I601" s="119"/>
      <c r="J601" s="154"/>
      <c r="K601" s="89"/>
      <c r="L601" s="55"/>
      <c r="M601" s="119"/>
      <c r="N601" s="194"/>
      <c r="O601" s="89"/>
      <c r="P601" s="55"/>
      <c r="Q601" s="195"/>
      <c r="R601" s="196"/>
      <c r="S601" s="125"/>
      <c r="T601" s="126"/>
      <c r="U601" s="195"/>
      <c r="V601" s="196"/>
      <c r="W601" s="125"/>
      <c r="X601" s="126"/>
      <c r="Y601" s="119"/>
      <c r="Z601" s="197"/>
      <c r="AA601" s="198"/>
      <c r="AB601" s="199"/>
      <c r="AC601" s="119"/>
      <c r="AD601" s="196"/>
      <c r="AE601" s="200"/>
      <c r="AF601" s="201"/>
      <c r="AG601" s="205"/>
      <c r="AH601" s="205"/>
      <c r="AI601" s="205"/>
      <c r="AJ601" s="205"/>
      <c r="AK601" s="126"/>
      <c r="AL601" s="126"/>
    </row>
    <row r="602">
      <c r="A602" s="119"/>
      <c r="B602" s="154"/>
      <c r="C602" s="89"/>
      <c r="D602" s="55"/>
      <c r="E602" s="119"/>
      <c r="F602" s="154"/>
      <c r="G602" s="192"/>
      <c r="H602" s="193"/>
      <c r="I602" s="119"/>
      <c r="J602" s="154"/>
      <c r="K602" s="89"/>
      <c r="L602" s="55"/>
      <c r="M602" s="119"/>
      <c r="N602" s="194"/>
      <c r="O602" s="89"/>
      <c r="P602" s="55"/>
      <c r="Q602" s="195"/>
      <c r="R602" s="196"/>
      <c r="S602" s="125"/>
      <c r="T602" s="126"/>
      <c r="U602" s="195"/>
      <c r="V602" s="196"/>
      <c r="W602" s="125"/>
      <c r="X602" s="126"/>
      <c r="Y602" s="119"/>
      <c r="Z602" s="197"/>
      <c r="AA602" s="198"/>
      <c r="AB602" s="199"/>
      <c r="AC602" s="119"/>
      <c r="AD602" s="196"/>
      <c r="AE602" s="200"/>
      <c r="AF602" s="201"/>
      <c r="AG602" s="205"/>
      <c r="AH602" s="205"/>
      <c r="AI602" s="205"/>
      <c r="AJ602" s="205"/>
      <c r="AK602" s="126"/>
      <c r="AL602" s="126"/>
    </row>
    <row r="603">
      <c r="A603" s="119"/>
      <c r="B603" s="154"/>
      <c r="C603" s="89"/>
      <c r="D603" s="55"/>
      <c r="E603" s="119"/>
      <c r="F603" s="154"/>
      <c r="G603" s="192"/>
      <c r="H603" s="193"/>
      <c r="I603" s="119"/>
      <c r="J603" s="154"/>
      <c r="K603" s="89"/>
      <c r="L603" s="55"/>
      <c r="M603" s="119"/>
      <c r="N603" s="194"/>
      <c r="O603" s="89"/>
      <c r="P603" s="55"/>
      <c r="Q603" s="195"/>
      <c r="R603" s="196"/>
      <c r="S603" s="125"/>
      <c r="T603" s="126"/>
      <c r="U603" s="195"/>
      <c r="V603" s="196"/>
      <c r="W603" s="125"/>
      <c r="X603" s="126"/>
      <c r="Y603" s="119"/>
      <c r="Z603" s="197"/>
      <c r="AA603" s="198"/>
      <c r="AB603" s="199"/>
      <c r="AC603" s="119"/>
      <c r="AD603" s="196"/>
      <c r="AE603" s="200"/>
      <c r="AF603" s="201"/>
      <c r="AG603" s="205"/>
      <c r="AH603" s="205"/>
      <c r="AI603" s="205"/>
      <c r="AJ603" s="205"/>
      <c r="AK603" s="126"/>
      <c r="AL603" s="126"/>
    </row>
    <row r="604">
      <c r="A604" s="119"/>
      <c r="B604" s="154"/>
      <c r="C604" s="89"/>
      <c r="D604" s="55"/>
      <c r="E604" s="119"/>
      <c r="F604" s="154"/>
      <c r="G604" s="192"/>
      <c r="H604" s="193"/>
      <c r="I604" s="119"/>
      <c r="J604" s="154"/>
      <c r="K604" s="89"/>
      <c r="L604" s="55"/>
      <c r="M604" s="119"/>
      <c r="N604" s="194"/>
      <c r="O604" s="89"/>
      <c r="P604" s="55"/>
      <c r="Q604" s="195"/>
      <c r="R604" s="196"/>
      <c r="S604" s="125"/>
      <c r="T604" s="126"/>
      <c r="U604" s="195"/>
      <c r="V604" s="196"/>
      <c r="W604" s="125"/>
      <c r="X604" s="126"/>
      <c r="Y604" s="119"/>
      <c r="Z604" s="197"/>
      <c r="AA604" s="198"/>
      <c r="AB604" s="199"/>
      <c r="AC604" s="119"/>
      <c r="AD604" s="196"/>
      <c r="AE604" s="200"/>
      <c r="AF604" s="201"/>
      <c r="AG604" s="205"/>
      <c r="AH604" s="205"/>
      <c r="AI604" s="205"/>
      <c r="AJ604" s="205"/>
      <c r="AK604" s="126"/>
      <c r="AL604" s="126"/>
    </row>
    <row r="605">
      <c r="A605" s="119"/>
      <c r="B605" s="154"/>
      <c r="C605" s="89"/>
      <c r="D605" s="55"/>
      <c r="E605" s="119"/>
      <c r="F605" s="154"/>
      <c r="G605" s="192"/>
      <c r="H605" s="193"/>
      <c r="I605" s="119"/>
      <c r="J605" s="154"/>
      <c r="K605" s="89"/>
      <c r="L605" s="55"/>
      <c r="M605" s="119"/>
      <c r="N605" s="194"/>
      <c r="O605" s="89"/>
      <c r="P605" s="55"/>
      <c r="Q605" s="195"/>
      <c r="R605" s="196"/>
      <c r="S605" s="125"/>
      <c r="T605" s="126"/>
      <c r="U605" s="195"/>
      <c r="V605" s="196"/>
      <c r="W605" s="125"/>
      <c r="X605" s="126"/>
      <c r="Y605" s="119"/>
      <c r="Z605" s="197"/>
      <c r="AA605" s="198"/>
      <c r="AB605" s="199"/>
      <c r="AC605" s="119"/>
      <c r="AD605" s="196"/>
      <c r="AE605" s="200"/>
      <c r="AF605" s="201"/>
      <c r="AG605" s="205"/>
      <c r="AH605" s="205"/>
      <c r="AI605" s="205"/>
      <c r="AJ605" s="205"/>
      <c r="AK605" s="126"/>
      <c r="AL605" s="126"/>
    </row>
    <row r="606">
      <c r="A606" s="119"/>
      <c r="B606" s="154"/>
      <c r="C606" s="89"/>
      <c r="D606" s="55"/>
      <c r="E606" s="119"/>
      <c r="F606" s="154"/>
      <c r="G606" s="192"/>
      <c r="H606" s="193"/>
      <c r="I606" s="119"/>
      <c r="J606" s="154"/>
      <c r="K606" s="89"/>
      <c r="L606" s="55"/>
      <c r="M606" s="119"/>
      <c r="N606" s="194"/>
      <c r="O606" s="89"/>
      <c r="P606" s="55"/>
      <c r="Q606" s="195"/>
      <c r="R606" s="196"/>
      <c r="S606" s="125"/>
      <c r="T606" s="126"/>
      <c r="U606" s="195"/>
      <c r="V606" s="196"/>
      <c r="W606" s="125"/>
      <c r="X606" s="126"/>
      <c r="Y606" s="119"/>
      <c r="Z606" s="197"/>
      <c r="AA606" s="198"/>
      <c r="AB606" s="199"/>
      <c r="AC606" s="119"/>
      <c r="AD606" s="196"/>
      <c r="AE606" s="200"/>
      <c r="AF606" s="201"/>
      <c r="AG606" s="205"/>
      <c r="AH606" s="205"/>
      <c r="AI606" s="205"/>
      <c r="AJ606" s="205"/>
      <c r="AK606" s="126"/>
      <c r="AL606" s="126"/>
    </row>
    <row r="607">
      <c r="A607" s="119"/>
      <c r="B607" s="154"/>
      <c r="C607" s="89"/>
      <c r="D607" s="55"/>
      <c r="E607" s="119"/>
      <c r="F607" s="154"/>
      <c r="G607" s="192"/>
      <c r="H607" s="193"/>
      <c r="I607" s="119"/>
      <c r="J607" s="154"/>
      <c r="K607" s="89"/>
      <c r="L607" s="55"/>
      <c r="M607" s="119"/>
      <c r="N607" s="194"/>
      <c r="O607" s="89"/>
      <c r="P607" s="55"/>
      <c r="Q607" s="195"/>
      <c r="R607" s="196"/>
      <c r="S607" s="125"/>
      <c r="T607" s="126"/>
      <c r="U607" s="195"/>
      <c r="V607" s="196"/>
      <c r="W607" s="125"/>
      <c r="X607" s="126"/>
      <c r="Y607" s="119"/>
      <c r="Z607" s="197"/>
      <c r="AA607" s="198"/>
      <c r="AB607" s="199"/>
      <c r="AC607" s="119"/>
      <c r="AD607" s="196"/>
      <c r="AE607" s="200"/>
      <c r="AF607" s="201"/>
      <c r="AG607" s="205"/>
      <c r="AH607" s="205"/>
      <c r="AI607" s="205"/>
      <c r="AJ607" s="205"/>
      <c r="AK607" s="126"/>
      <c r="AL607" s="126"/>
    </row>
    <row r="608">
      <c r="A608" s="119"/>
      <c r="B608" s="154"/>
      <c r="C608" s="89"/>
      <c r="D608" s="55"/>
      <c r="E608" s="119"/>
      <c r="F608" s="154"/>
      <c r="G608" s="192"/>
      <c r="H608" s="193"/>
      <c r="I608" s="119"/>
      <c r="J608" s="154"/>
      <c r="K608" s="89"/>
      <c r="L608" s="55"/>
      <c r="M608" s="119"/>
      <c r="N608" s="194"/>
      <c r="O608" s="89"/>
      <c r="P608" s="55"/>
      <c r="Q608" s="195"/>
      <c r="R608" s="196"/>
      <c r="S608" s="125"/>
      <c r="T608" s="126"/>
      <c r="U608" s="195"/>
      <c r="V608" s="196"/>
      <c r="W608" s="125"/>
      <c r="X608" s="126"/>
      <c r="Y608" s="119"/>
      <c r="Z608" s="197"/>
      <c r="AA608" s="198"/>
      <c r="AB608" s="199"/>
      <c r="AC608" s="119"/>
      <c r="AD608" s="196"/>
      <c r="AE608" s="200"/>
      <c r="AF608" s="201"/>
      <c r="AG608" s="205"/>
      <c r="AH608" s="205"/>
      <c r="AI608" s="205"/>
      <c r="AJ608" s="205"/>
      <c r="AK608" s="126"/>
      <c r="AL608" s="126"/>
    </row>
    <row r="609">
      <c r="A609" s="119"/>
      <c r="B609" s="154"/>
      <c r="C609" s="89"/>
      <c r="D609" s="55"/>
      <c r="E609" s="119"/>
      <c r="F609" s="154"/>
      <c r="G609" s="192"/>
      <c r="H609" s="193"/>
      <c r="I609" s="119"/>
      <c r="J609" s="154"/>
      <c r="K609" s="89"/>
      <c r="L609" s="55"/>
      <c r="M609" s="119"/>
      <c r="N609" s="194"/>
      <c r="O609" s="89"/>
      <c r="P609" s="55"/>
      <c r="Q609" s="195"/>
      <c r="R609" s="196"/>
      <c r="S609" s="125"/>
      <c r="T609" s="126"/>
      <c r="U609" s="195"/>
      <c r="V609" s="196"/>
      <c r="W609" s="125"/>
      <c r="X609" s="126"/>
      <c r="Y609" s="119"/>
      <c r="Z609" s="197"/>
      <c r="AA609" s="198"/>
      <c r="AB609" s="199"/>
      <c r="AC609" s="119"/>
      <c r="AD609" s="196"/>
      <c r="AE609" s="200"/>
      <c r="AF609" s="201"/>
      <c r="AG609" s="205"/>
      <c r="AH609" s="205"/>
      <c r="AI609" s="205"/>
      <c r="AJ609" s="205"/>
      <c r="AK609" s="126"/>
      <c r="AL609" s="126"/>
    </row>
    <row r="610">
      <c r="A610" s="119"/>
      <c r="B610" s="154"/>
      <c r="C610" s="89"/>
      <c r="D610" s="55"/>
      <c r="E610" s="119"/>
      <c r="F610" s="154"/>
      <c r="G610" s="192"/>
      <c r="H610" s="193"/>
      <c r="I610" s="119"/>
      <c r="J610" s="154"/>
      <c r="K610" s="89"/>
      <c r="L610" s="55"/>
      <c r="M610" s="119"/>
      <c r="N610" s="194"/>
      <c r="O610" s="89"/>
      <c r="P610" s="55"/>
      <c r="Q610" s="195"/>
      <c r="R610" s="196"/>
      <c r="S610" s="125"/>
      <c r="T610" s="126"/>
      <c r="U610" s="195"/>
      <c r="V610" s="196"/>
      <c r="W610" s="125"/>
      <c r="X610" s="126"/>
      <c r="Y610" s="119"/>
      <c r="Z610" s="197"/>
      <c r="AA610" s="198"/>
      <c r="AB610" s="199"/>
      <c r="AC610" s="119"/>
      <c r="AD610" s="196"/>
      <c r="AE610" s="200"/>
      <c r="AF610" s="201"/>
      <c r="AG610" s="205"/>
      <c r="AH610" s="205"/>
      <c r="AI610" s="205"/>
      <c r="AJ610" s="205"/>
      <c r="AK610" s="126"/>
      <c r="AL610" s="126"/>
    </row>
    <row r="611">
      <c r="A611" s="119"/>
      <c r="B611" s="154"/>
      <c r="C611" s="89"/>
      <c r="D611" s="55"/>
      <c r="E611" s="119"/>
      <c r="F611" s="154"/>
      <c r="G611" s="192"/>
      <c r="H611" s="193"/>
      <c r="I611" s="119"/>
      <c r="J611" s="154"/>
      <c r="K611" s="89"/>
      <c r="L611" s="55"/>
      <c r="M611" s="119"/>
      <c r="N611" s="194"/>
      <c r="O611" s="89"/>
      <c r="P611" s="55"/>
      <c r="Q611" s="195"/>
      <c r="R611" s="196"/>
      <c r="S611" s="125"/>
      <c r="T611" s="126"/>
      <c r="U611" s="195"/>
      <c r="V611" s="196"/>
      <c r="W611" s="125"/>
      <c r="X611" s="126"/>
      <c r="Y611" s="119"/>
      <c r="Z611" s="197"/>
      <c r="AA611" s="198"/>
      <c r="AB611" s="199"/>
      <c r="AC611" s="119"/>
      <c r="AD611" s="196"/>
      <c r="AE611" s="200"/>
      <c r="AF611" s="201"/>
      <c r="AG611" s="205"/>
      <c r="AH611" s="205"/>
      <c r="AI611" s="205"/>
      <c r="AJ611" s="205"/>
      <c r="AK611" s="126"/>
      <c r="AL611" s="126"/>
    </row>
    <row r="612">
      <c r="A612" s="119"/>
      <c r="B612" s="154"/>
      <c r="C612" s="89"/>
      <c r="D612" s="55"/>
      <c r="E612" s="119"/>
      <c r="F612" s="154"/>
      <c r="G612" s="192"/>
      <c r="H612" s="193"/>
      <c r="I612" s="119"/>
      <c r="J612" s="154"/>
      <c r="K612" s="89"/>
      <c r="L612" s="55"/>
      <c r="M612" s="119"/>
      <c r="N612" s="194"/>
      <c r="O612" s="89"/>
      <c r="P612" s="55"/>
      <c r="Q612" s="195"/>
      <c r="R612" s="196"/>
      <c r="S612" s="125"/>
      <c r="T612" s="126"/>
      <c r="U612" s="195"/>
      <c r="V612" s="196"/>
      <c r="W612" s="125"/>
      <c r="X612" s="126"/>
      <c r="Y612" s="119"/>
      <c r="Z612" s="197"/>
      <c r="AA612" s="198"/>
      <c r="AB612" s="199"/>
      <c r="AC612" s="119"/>
      <c r="AD612" s="196"/>
      <c r="AE612" s="200"/>
      <c r="AF612" s="201"/>
      <c r="AG612" s="205"/>
      <c r="AH612" s="205"/>
      <c r="AI612" s="205"/>
      <c r="AJ612" s="205"/>
      <c r="AK612" s="126"/>
      <c r="AL612" s="126"/>
    </row>
    <row r="613">
      <c r="A613" s="119"/>
      <c r="B613" s="154"/>
      <c r="C613" s="89"/>
      <c r="D613" s="55"/>
      <c r="E613" s="119"/>
      <c r="F613" s="154"/>
      <c r="G613" s="192"/>
      <c r="H613" s="193"/>
      <c r="I613" s="119"/>
      <c r="J613" s="154"/>
      <c r="K613" s="89"/>
      <c r="L613" s="55"/>
      <c r="M613" s="119"/>
      <c r="N613" s="194"/>
      <c r="O613" s="89"/>
      <c r="P613" s="55"/>
      <c r="Q613" s="195"/>
      <c r="R613" s="196"/>
      <c r="S613" s="125"/>
      <c r="T613" s="126"/>
      <c r="U613" s="195"/>
      <c r="V613" s="196"/>
      <c r="W613" s="125"/>
      <c r="X613" s="126"/>
      <c r="Y613" s="119"/>
      <c r="Z613" s="197"/>
      <c r="AA613" s="198"/>
      <c r="AB613" s="199"/>
      <c r="AC613" s="119"/>
      <c r="AD613" s="196"/>
      <c r="AE613" s="200"/>
      <c r="AF613" s="201"/>
      <c r="AG613" s="205"/>
      <c r="AH613" s="205"/>
      <c r="AI613" s="205"/>
      <c r="AJ613" s="205"/>
      <c r="AK613" s="126"/>
      <c r="AL613" s="126"/>
    </row>
    <row r="614">
      <c r="A614" s="119"/>
      <c r="B614" s="154"/>
      <c r="C614" s="89"/>
      <c r="D614" s="55"/>
      <c r="E614" s="119"/>
      <c r="F614" s="154"/>
      <c r="G614" s="192"/>
      <c r="H614" s="193"/>
      <c r="I614" s="119"/>
      <c r="J614" s="154"/>
      <c r="K614" s="89"/>
      <c r="L614" s="55"/>
      <c r="M614" s="119"/>
      <c r="N614" s="194"/>
      <c r="O614" s="89"/>
      <c r="P614" s="55"/>
      <c r="Q614" s="195"/>
      <c r="R614" s="196"/>
      <c r="S614" s="125"/>
      <c r="T614" s="126"/>
      <c r="U614" s="195"/>
      <c r="V614" s="196"/>
      <c r="W614" s="125"/>
      <c r="X614" s="126"/>
      <c r="Y614" s="119"/>
      <c r="Z614" s="197"/>
      <c r="AA614" s="198"/>
      <c r="AB614" s="199"/>
      <c r="AC614" s="119"/>
      <c r="AD614" s="196"/>
      <c r="AE614" s="200"/>
      <c r="AF614" s="201"/>
      <c r="AG614" s="205"/>
      <c r="AH614" s="205"/>
      <c r="AI614" s="205"/>
      <c r="AJ614" s="205"/>
      <c r="AK614" s="126"/>
      <c r="AL614" s="126"/>
    </row>
    <row r="615">
      <c r="A615" s="119"/>
      <c r="B615" s="154"/>
      <c r="C615" s="89"/>
      <c r="D615" s="55"/>
      <c r="E615" s="119"/>
      <c r="F615" s="154"/>
      <c r="G615" s="192"/>
      <c r="H615" s="193"/>
      <c r="I615" s="119"/>
      <c r="J615" s="154"/>
      <c r="K615" s="89"/>
      <c r="L615" s="55"/>
      <c r="M615" s="119"/>
      <c r="N615" s="194"/>
      <c r="O615" s="89"/>
      <c r="P615" s="55"/>
      <c r="Q615" s="195"/>
      <c r="R615" s="196"/>
      <c r="S615" s="125"/>
      <c r="T615" s="126"/>
      <c r="U615" s="195"/>
      <c r="V615" s="196"/>
      <c r="W615" s="125"/>
      <c r="X615" s="126"/>
      <c r="Y615" s="119"/>
      <c r="Z615" s="197"/>
      <c r="AA615" s="198"/>
      <c r="AB615" s="199"/>
      <c r="AC615" s="119"/>
      <c r="AD615" s="196"/>
      <c r="AE615" s="200"/>
      <c r="AF615" s="201"/>
      <c r="AG615" s="205"/>
      <c r="AH615" s="205"/>
      <c r="AI615" s="205"/>
      <c r="AJ615" s="205"/>
      <c r="AK615" s="126"/>
      <c r="AL615" s="126"/>
    </row>
    <row r="616">
      <c r="A616" s="119"/>
      <c r="B616" s="154"/>
      <c r="C616" s="89"/>
      <c r="D616" s="55"/>
      <c r="E616" s="119"/>
      <c r="F616" s="154"/>
      <c r="G616" s="192"/>
      <c r="H616" s="193"/>
      <c r="I616" s="119"/>
      <c r="J616" s="154"/>
      <c r="K616" s="89"/>
      <c r="L616" s="55"/>
      <c r="M616" s="119"/>
      <c r="N616" s="194"/>
      <c r="O616" s="89"/>
      <c r="P616" s="55"/>
      <c r="Q616" s="195"/>
      <c r="R616" s="196"/>
      <c r="S616" s="125"/>
      <c r="T616" s="126"/>
      <c r="U616" s="195"/>
      <c r="V616" s="196"/>
      <c r="W616" s="125"/>
      <c r="X616" s="126"/>
      <c r="Y616" s="119"/>
      <c r="Z616" s="197"/>
      <c r="AA616" s="198"/>
      <c r="AB616" s="199"/>
      <c r="AC616" s="119"/>
      <c r="AD616" s="196"/>
      <c r="AE616" s="200"/>
      <c r="AF616" s="201"/>
      <c r="AG616" s="205"/>
      <c r="AH616" s="205"/>
      <c r="AI616" s="205"/>
      <c r="AJ616" s="205"/>
      <c r="AK616" s="126"/>
      <c r="AL616" s="126"/>
    </row>
    <row r="617">
      <c r="A617" s="119"/>
      <c r="B617" s="154"/>
      <c r="C617" s="89"/>
      <c r="D617" s="55"/>
      <c r="E617" s="119"/>
      <c r="F617" s="154"/>
      <c r="G617" s="192"/>
      <c r="H617" s="193"/>
      <c r="I617" s="119"/>
      <c r="J617" s="154"/>
      <c r="K617" s="89"/>
      <c r="L617" s="55"/>
      <c r="M617" s="119"/>
      <c r="N617" s="194"/>
      <c r="O617" s="89"/>
      <c r="P617" s="55"/>
      <c r="Q617" s="195"/>
      <c r="R617" s="196"/>
      <c r="S617" s="125"/>
      <c r="T617" s="126"/>
      <c r="U617" s="195"/>
      <c r="V617" s="196"/>
      <c r="W617" s="125"/>
      <c r="X617" s="126"/>
      <c r="Y617" s="119"/>
      <c r="Z617" s="197"/>
      <c r="AA617" s="198"/>
      <c r="AB617" s="199"/>
      <c r="AC617" s="119"/>
      <c r="AD617" s="196"/>
      <c r="AE617" s="200"/>
      <c r="AF617" s="201"/>
      <c r="AG617" s="205"/>
      <c r="AH617" s="205"/>
      <c r="AI617" s="205"/>
      <c r="AJ617" s="205"/>
      <c r="AK617" s="126"/>
      <c r="AL617" s="126"/>
    </row>
    <row r="618">
      <c r="A618" s="119"/>
      <c r="B618" s="154"/>
      <c r="C618" s="89"/>
      <c r="D618" s="55"/>
      <c r="E618" s="119"/>
      <c r="F618" s="154"/>
      <c r="G618" s="192"/>
      <c r="H618" s="193"/>
      <c r="I618" s="119"/>
      <c r="J618" s="154"/>
      <c r="K618" s="89"/>
      <c r="L618" s="55"/>
      <c r="M618" s="119"/>
      <c r="N618" s="194"/>
      <c r="O618" s="89"/>
      <c r="P618" s="55"/>
      <c r="Q618" s="195"/>
      <c r="R618" s="196"/>
      <c r="S618" s="125"/>
      <c r="T618" s="126"/>
      <c r="U618" s="195"/>
      <c r="V618" s="196"/>
      <c r="W618" s="125"/>
      <c r="X618" s="126"/>
      <c r="Y618" s="119"/>
      <c r="Z618" s="197"/>
      <c r="AA618" s="198"/>
      <c r="AB618" s="199"/>
      <c r="AC618" s="119"/>
      <c r="AD618" s="196"/>
      <c r="AE618" s="200"/>
      <c r="AF618" s="201"/>
      <c r="AG618" s="205"/>
      <c r="AH618" s="205"/>
      <c r="AI618" s="205"/>
      <c r="AJ618" s="205"/>
      <c r="AK618" s="126"/>
      <c r="AL618" s="126"/>
    </row>
    <row r="619">
      <c r="A619" s="119"/>
      <c r="B619" s="154"/>
      <c r="C619" s="89"/>
      <c r="D619" s="55"/>
      <c r="E619" s="119"/>
      <c r="F619" s="154"/>
      <c r="G619" s="192"/>
      <c r="H619" s="193"/>
      <c r="I619" s="119"/>
      <c r="J619" s="154"/>
      <c r="K619" s="89"/>
      <c r="L619" s="55"/>
      <c r="M619" s="119"/>
      <c r="N619" s="194"/>
      <c r="O619" s="89"/>
      <c r="P619" s="55"/>
      <c r="Q619" s="195"/>
      <c r="R619" s="196"/>
      <c r="S619" s="125"/>
      <c r="T619" s="126"/>
      <c r="U619" s="195"/>
      <c r="V619" s="196"/>
      <c r="W619" s="125"/>
      <c r="X619" s="126"/>
      <c r="Y619" s="119"/>
      <c r="Z619" s="197"/>
      <c r="AA619" s="198"/>
      <c r="AB619" s="199"/>
      <c r="AC619" s="119"/>
      <c r="AD619" s="196"/>
      <c r="AE619" s="200"/>
      <c r="AF619" s="201"/>
      <c r="AG619" s="205"/>
      <c r="AH619" s="205"/>
      <c r="AI619" s="205"/>
      <c r="AJ619" s="205"/>
      <c r="AK619" s="126"/>
      <c r="AL619" s="126"/>
    </row>
    <row r="620">
      <c r="A620" s="119"/>
      <c r="B620" s="154"/>
      <c r="C620" s="89"/>
      <c r="D620" s="55"/>
      <c r="E620" s="119"/>
      <c r="F620" s="154"/>
      <c r="G620" s="192"/>
      <c r="H620" s="193"/>
      <c r="I620" s="119"/>
      <c r="J620" s="154"/>
      <c r="K620" s="89"/>
      <c r="L620" s="55"/>
      <c r="M620" s="119"/>
      <c r="N620" s="194"/>
      <c r="O620" s="89"/>
      <c r="P620" s="55"/>
      <c r="Q620" s="195"/>
      <c r="R620" s="196"/>
      <c r="S620" s="125"/>
      <c r="T620" s="126"/>
      <c r="U620" s="195"/>
      <c r="V620" s="196"/>
      <c r="W620" s="125"/>
      <c r="X620" s="126"/>
      <c r="Y620" s="119"/>
      <c r="Z620" s="197"/>
      <c r="AA620" s="198"/>
      <c r="AB620" s="199"/>
      <c r="AC620" s="119"/>
      <c r="AD620" s="196"/>
      <c r="AE620" s="200"/>
      <c r="AF620" s="201"/>
      <c r="AG620" s="205"/>
      <c r="AH620" s="205"/>
      <c r="AI620" s="205"/>
      <c r="AJ620" s="205"/>
      <c r="AK620" s="126"/>
      <c r="AL620" s="126"/>
    </row>
    <row r="621">
      <c r="A621" s="119"/>
      <c r="B621" s="154"/>
      <c r="C621" s="89"/>
      <c r="D621" s="55"/>
      <c r="E621" s="119"/>
      <c r="F621" s="154"/>
      <c r="G621" s="192"/>
      <c r="H621" s="193"/>
      <c r="I621" s="119"/>
      <c r="J621" s="154"/>
      <c r="K621" s="89"/>
      <c r="L621" s="55"/>
      <c r="M621" s="119"/>
      <c r="N621" s="194"/>
      <c r="O621" s="89"/>
      <c r="P621" s="55"/>
      <c r="Q621" s="195"/>
      <c r="R621" s="196"/>
      <c r="S621" s="125"/>
      <c r="T621" s="126"/>
      <c r="U621" s="195"/>
      <c r="V621" s="196"/>
      <c r="W621" s="125"/>
      <c r="X621" s="126"/>
      <c r="Y621" s="119"/>
      <c r="Z621" s="197"/>
      <c r="AA621" s="198"/>
      <c r="AB621" s="199"/>
      <c r="AC621" s="119"/>
      <c r="AD621" s="196"/>
      <c r="AE621" s="200"/>
      <c r="AF621" s="201"/>
      <c r="AG621" s="205"/>
      <c r="AH621" s="205"/>
      <c r="AI621" s="205"/>
      <c r="AJ621" s="205"/>
      <c r="AK621" s="126"/>
      <c r="AL621" s="126"/>
    </row>
    <row r="622">
      <c r="A622" s="119"/>
      <c r="B622" s="154"/>
      <c r="C622" s="89"/>
      <c r="D622" s="55"/>
      <c r="E622" s="119"/>
      <c r="F622" s="154"/>
      <c r="G622" s="192"/>
      <c r="H622" s="193"/>
      <c r="I622" s="119"/>
      <c r="J622" s="154"/>
      <c r="K622" s="89"/>
      <c r="L622" s="55"/>
      <c r="M622" s="119"/>
      <c r="N622" s="194"/>
      <c r="O622" s="89"/>
      <c r="P622" s="55"/>
      <c r="Q622" s="195"/>
      <c r="R622" s="196"/>
      <c r="S622" s="125"/>
      <c r="T622" s="126"/>
      <c r="U622" s="195"/>
      <c r="V622" s="196"/>
      <c r="W622" s="125"/>
      <c r="X622" s="126"/>
      <c r="Y622" s="119"/>
      <c r="Z622" s="197"/>
      <c r="AA622" s="198"/>
      <c r="AB622" s="199"/>
      <c r="AC622" s="119"/>
      <c r="AD622" s="196"/>
      <c r="AE622" s="200"/>
      <c r="AF622" s="201"/>
      <c r="AG622" s="205"/>
      <c r="AH622" s="205"/>
      <c r="AI622" s="205"/>
      <c r="AJ622" s="205"/>
      <c r="AK622" s="126"/>
      <c r="AL622" s="126"/>
    </row>
    <row r="623">
      <c r="A623" s="119"/>
      <c r="B623" s="154"/>
      <c r="C623" s="89"/>
      <c r="D623" s="55"/>
      <c r="E623" s="119"/>
      <c r="F623" s="154"/>
      <c r="G623" s="192"/>
      <c r="H623" s="193"/>
      <c r="I623" s="119"/>
      <c r="J623" s="154"/>
      <c r="K623" s="89"/>
      <c r="L623" s="55"/>
      <c r="M623" s="119"/>
      <c r="N623" s="194"/>
      <c r="O623" s="89"/>
      <c r="P623" s="55"/>
      <c r="Q623" s="195"/>
      <c r="R623" s="196"/>
      <c r="S623" s="125"/>
      <c r="T623" s="126"/>
      <c r="U623" s="195"/>
      <c r="V623" s="196"/>
      <c r="W623" s="125"/>
      <c r="X623" s="126"/>
      <c r="Y623" s="119"/>
      <c r="Z623" s="197"/>
      <c r="AA623" s="198"/>
      <c r="AB623" s="199"/>
      <c r="AC623" s="119"/>
      <c r="AD623" s="196"/>
      <c r="AE623" s="200"/>
      <c r="AF623" s="201"/>
      <c r="AG623" s="205"/>
      <c r="AH623" s="205"/>
      <c r="AI623" s="205"/>
      <c r="AJ623" s="205"/>
      <c r="AK623" s="126"/>
      <c r="AL623" s="126"/>
    </row>
    <row r="624">
      <c r="A624" s="119"/>
      <c r="B624" s="154"/>
      <c r="C624" s="89"/>
      <c r="D624" s="55"/>
      <c r="E624" s="119"/>
      <c r="F624" s="154"/>
      <c r="G624" s="192"/>
      <c r="H624" s="193"/>
      <c r="I624" s="119"/>
      <c r="J624" s="154"/>
      <c r="K624" s="89"/>
      <c r="L624" s="55"/>
      <c r="M624" s="119"/>
      <c r="N624" s="194"/>
      <c r="O624" s="89"/>
      <c r="P624" s="55"/>
      <c r="Q624" s="195"/>
      <c r="R624" s="196"/>
      <c r="S624" s="125"/>
      <c r="T624" s="126"/>
      <c r="U624" s="195"/>
      <c r="V624" s="196"/>
      <c r="W624" s="125"/>
      <c r="X624" s="126"/>
      <c r="Y624" s="119"/>
      <c r="Z624" s="197"/>
      <c r="AA624" s="198"/>
      <c r="AB624" s="199"/>
      <c r="AC624" s="119"/>
      <c r="AD624" s="196"/>
      <c r="AE624" s="200"/>
      <c r="AF624" s="201"/>
      <c r="AG624" s="205"/>
      <c r="AH624" s="205"/>
      <c r="AI624" s="205"/>
      <c r="AJ624" s="205"/>
      <c r="AK624" s="126"/>
      <c r="AL624" s="126"/>
    </row>
    <row r="625">
      <c r="A625" s="119"/>
      <c r="B625" s="154"/>
      <c r="C625" s="89"/>
      <c r="D625" s="55"/>
      <c r="E625" s="119"/>
      <c r="F625" s="154"/>
      <c r="G625" s="192"/>
      <c r="H625" s="193"/>
      <c r="I625" s="119"/>
      <c r="J625" s="154"/>
      <c r="K625" s="89"/>
      <c r="L625" s="55"/>
      <c r="M625" s="119"/>
      <c r="N625" s="194"/>
      <c r="O625" s="89"/>
      <c r="P625" s="55"/>
      <c r="Q625" s="195"/>
      <c r="R625" s="196"/>
      <c r="S625" s="125"/>
      <c r="T625" s="126"/>
      <c r="U625" s="195"/>
      <c r="V625" s="196"/>
      <c r="W625" s="125"/>
      <c r="X625" s="126"/>
      <c r="Y625" s="119"/>
      <c r="Z625" s="197"/>
      <c r="AA625" s="198"/>
      <c r="AB625" s="199"/>
      <c r="AC625" s="119"/>
      <c r="AD625" s="196"/>
      <c r="AE625" s="200"/>
      <c r="AF625" s="201"/>
      <c r="AG625" s="205"/>
      <c r="AH625" s="205"/>
      <c r="AI625" s="205"/>
      <c r="AJ625" s="205"/>
      <c r="AK625" s="126"/>
      <c r="AL625" s="126"/>
    </row>
    <row r="626">
      <c r="A626" s="119"/>
      <c r="B626" s="154"/>
      <c r="C626" s="89"/>
      <c r="D626" s="55"/>
      <c r="E626" s="119"/>
      <c r="F626" s="154"/>
      <c r="G626" s="192"/>
      <c r="H626" s="193"/>
      <c r="I626" s="119"/>
      <c r="J626" s="154"/>
      <c r="K626" s="89"/>
      <c r="L626" s="55"/>
      <c r="M626" s="119"/>
      <c r="N626" s="194"/>
      <c r="O626" s="89"/>
      <c r="P626" s="55"/>
      <c r="Q626" s="195"/>
      <c r="R626" s="196"/>
      <c r="S626" s="125"/>
      <c r="T626" s="126"/>
      <c r="U626" s="195"/>
      <c r="V626" s="196"/>
      <c r="W626" s="125"/>
      <c r="X626" s="126"/>
      <c r="Y626" s="119"/>
      <c r="Z626" s="197"/>
      <c r="AA626" s="198"/>
      <c r="AB626" s="199"/>
      <c r="AC626" s="119"/>
      <c r="AD626" s="196"/>
      <c r="AE626" s="200"/>
      <c r="AF626" s="201"/>
      <c r="AG626" s="205"/>
      <c r="AH626" s="205"/>
      <c r="AI626" s="205"/>
      <c r="AJ626" s="205"/>
      <c r="AK626" s="126"/>
      <c r="AL626" s="126"/>
    </row>
    <row r="627">
      <c r="A627" s="119"/>
      <c r="B627" s="154"/>
      <c r="C627" s="89"/>
      <c r="D627" s="55"/>
      <c r="E627" s="119"/>
      <c r="F627" s="154"/>
      <c r="G627" s="192"/>
      <c r="H627" s="193"/>
      <c r="I627" s="119"/>
      <c r="J627" s="154"/>
      <c r="K627" s="89"/>
      <c r="L627" s="55"/>
      <c r="M627" s="119"/>
      <c r="N627" s="194"/>
      <c r="O627" s="89"/>
      <c r="P627" s="55"/>
      <c r="Q627" s="195"/>
      <c r="R627" s="196"/>
      <c r="S627" s="125"/>
      <c r="T627" s="126"/>
      <c r="U627" s="195"/>
      <c r="V627" s="196"/>
      <c r="W627" s="125"/>
      <c r="X627" s="126"/>
      <c r="Y627" s="119"/>
      <c r="Z627" s="197"/>
      <c r="AA627" s="198"/>
      <c r="AB627" s="199"/>
      <c r="AC627" s="119"/>
      <c r="AD627" s="196"/>
      <c r="AE627" s="200"/>
      <c r="AF627" s="201"/>
      <c r="AG627" s="205"/>
      <c r="AH627" s="205"/>
      <c r="AI627" s="205"/>
      <c r="AJ627" s="205"/>
      <c r="AK627" s="126"/>
      <c r="AL627" s="126"/>
    </row>
    <row r="628">
      <c r="A628" s="119"/>
      <c r="B628" s="154"/>
      <c r="C628" s="89"/>
      <c r="D628" s="55"/>
      <c r="E628" s="119"/>
      <c r="F628" s="154"/>
      <c r="G628" s="192"/>
      <c r="H628" s="193"/>
      <c r="I628" s="119"/>
      <c r="J628" s="154"/>
      <c r="K628" s="89"/>
      <c r="L628" s="55"/>
      <c r="M628" s="119"/>
      <c r="N628" s="194"/>
      <c r="O628" s="89"/>
      <c r="P628" s="55"/>
      <c r="Q628" s="195"/>
      <c r="R628" s="196"/>
      <c r="S628" s="125"/>
      <c r="T628" s="126"/>
      <c r="U628" s="195"/>
      <c r="V628" s="196"/>
      <c r="W628" s="125"/>
      <c r="X628" s="126"/>
      <c r="Y628" s="119"/>
      <c r="Z628" s="197"/>
      <c r="AA628" s="198"/>
      <c r="AB628" s="199"/>
      <c r="AC628" s="119"/>
      <c r="AD628" s="196"/>
      <c r="AE628" s="200"/>
      <c r="AF628" s="201"/>
      <c r="AG628" s="205"/>
      <c r="AH628" s="205"/>
      <c r="AI628" s="205"/>
      <c r="AJ628" s="205"/>
      <c r="AK628" s="126"/>
      <c r="AL628" s="126"/>
    </row>
    <row r="629">
      <c r="A629" s="119"/>
      <c r="B629" s="154"/>
      <c r="C629" s="89"/>
      <c r="D629" s="55"/>
      <c r="E629" s="119"/>
      <c r="F629" s="154"/>
      <c r="G629" s="192"/>
      <c r="H629" s="193"/>
      <c r="I629" s="119"/>
      <c r="J629" s="154"/>
      <c r="K629" s="89"/>
      <c r="L629" s="55"/>
      <c r="M629" s="119"/>
      <c r="N629" s="194"/>
      <c r="O629" s="89"/>
      <c r="P629" s="55"/>
      <c r="Q629" s="195"/>
      <c r="R629" s="196"/>
      <c r="S629" s="125"/>
      <c r="T629" s="126"/>
      <c r="U629" s="195"/>
      <c r="V629" s="196"/>
      <c r="W629" s="125"/>
      <c r="X629" s="126"/>
      <c r="Y629" s="119"/>
      <c r="Z629" s="197"/>
      <c r="AA629" s="198"/>
      <c r="AB629" s="199"/>
      <c r="AC629" s="119"/>
      <c r="AD629" s="196"/>
      <c r="AE629" s="200"/>
      <c r="AF629" s="201"/>
      <c r="AG629" s="205"/>
      <c r="AH629" s="205"/>
      <c r="AI629" s="205"/>
      <c r="AJ629" s="205"/>
      <c r="AK629" s="126"/>
      <c r="AL629" s="126"/>
    </row>
    <row r="630">
      <c r="A630" s="119"/>
      <c r="B630" s="154"/>
      <c r="C630" s="89"/>
      <c r="D630" s="55"/>
      <c r="E630" s="119"/>
      <c r="F630" s="154"/>
      <c r="G630" s="192"/>
      <c r="H630" s="193"/>
      <c r="I630" s="119"/>
      <c r="J630" s="154"/>
      <c r="K630" s="89"/>
      <c r="L630" s="55"/>
      <c r="M630" s="119"/>
      <c r="N630" s="194"/>
      <c r="O630" s="89"/>
      <c r="P630" s="55"/>
      <c r="Q630" s="195"/>
      <c r="R630" s="196"/>
      <c r="S630" s="125"/>
      <c r="T630" s="126"/>
      <c r="U630" s="195"/>
      <c r="V630" s="196"/>
      <c r="W630" s="125"/>
      <c r="X630" s="126"/>
      <c r="Y630" s="119"/>
      <c r="Z630" s="197"/>
      <c r="AA630" s="198"/>
      <c r="AB630" s="199"/>
      <c r="AC630" s="119"/>
      <c r="AD630" s="196"/>
      <c r="AE630" s="200"/>
      <c r="AF630" s="201"/>
      <c r="AG630" s="205"/>
      <c r="AH630" s="205"/>
      <c r="AI630" s="205"/>
      <c r="AJ630" s="205"/>
      <c r="AK630" s="126"/>
      <c r="AL630" s="126"/>
    </row>
    <row r="631">
      <c r="A631" s="119"/>
      <c r="B631" s="154"/>
      <c r="C631" s="89"/>
      <c r="D631" s="55"/>
      <c r="E631" s="119"/>
      <c r="F631" s="154"/>
      <c r="G631" s="192"/>
      <c r="H631" s="193"/>
      <c r="I631" s="119"/>
      <c r="J631" s="154"/>
      <c r="K631" s="89"/>
      <c r="L631" s="55"/>
      <c r="M631" s="119"/>
      <c r="N631" s="194"/>
      <c r="O631" s="89"/>
      <c r="P631" s="55"/>
      <c r="Q631" s="195"/>
      <c r="R631" s="196"/>
      <c r="S631" s="125"/>
      <c r="T631" s="126"/>
      <c r="U631" s="195"/>
      <c r="V631" s="196"/>
      <c r="W631" s="125"/>
      <c r="X631" s="126"/>
      <c r="Y631" s="119"/>
      <c r="Z631" s="197"/>
      <c r="AA631" s="198"/>
      <c r="AB631" s="199"/>
      <c r="AC631" s="119"/>
      <c r="AD631" s="196"/>
      <c r="AE631" s="200"/>
      <c r="AF631" s="201"/>
      <c r="AG631" s="205"/>
      <c r="AH631" s="205"/>
      <c r="AI631" s="205"/>
      <c r="AJ631" s="205"/>
      <c r="AK631" s="126"/>
      <c r="AL631" s="126"/>
    </row>
    <row r="632">
      <c r="A632" s="119"/>
      <c r="B632" s="154"/>
      <c r="C632" s="89"/>
      <c r="D632" s="55"/>
      <c r="E632" s="119"/>
      <c r="F632" s="154"/>
      <c r="G632" s="192"/>
      <c r="H632" s="193"/>
      <c r="I632" s="119"/>
      <c r="J632" s="154"/>
      <c r="K632" s="89"/>
      <c r="L632" s="55"/>
      <c r="M632" s="119"/>
      <c r="N632" s="194"/>
      <c r="O632" s="89"/>
      <c r="P632" s="55"/>
      <c r="Q632" s="195"/>
      <c r="R632" s="196"/>
      <c r="S632" s="125"/>
      <c r="T632" s="126"/>
      <c r="U632" s="195"/>
      <c r="V632" s="196"/>
      <c r="W632" s="125"/>
      <c r="X632" s="126"/>
      <c r="Y632" s="119"/>
      <c r="Z632" s="197"/>
      <c r="AA632" s="198"/>
      <c r="AB632" s="199"/>
      <c r="AC632" s="119"/>
      <c r="AD632" s="196"/>
      <c r="AE632" s="200"/>
      <c r="AF632" s="201"/>
      <c r="AG632" s="205"/>
      <c r="AH632" s="205"/>
      <c r="AI632" s="205"/>
      <c r="AJ632" s="205"/>
      <c r="AK632" s="126"/>
      <c r="AL632" s="126"/>
    </row>
    <row r="633">
      <c r="A633" s="119"/>
      <c r="B633" s="154"/>
      <c r="C633" s="89"/>
      <c r="D633" s="55"/>
      <c r="E633" s="119"/>
      <c r="F633" s="154"/>
      <c r="G633" s="192"/>
      <c r="H633" s="193"/>
      <c r="I633" s="119"/>
      <c r="J633" s="154"/>
      <c r="K633" s="89"/>
      <c r="L633" s="55"/>
      <c r="M633" s="119"/>
      <c r="N633" s="194"/>
      <c r="O633" s="89"/>
      <c r="P633" s="55"/>
      <c r="Q633" s="195"/>
      <c r="R633" s="196"/>
      <c r="S633" s="125"/>
      <c r="T633" s="126"/>
      <c r="U633" s="195"/>
      <c r="V633" s="196"/>
      <c r="W633" s="125"/>
      <c r="X633" s="126"/>
      <c r="Y633" s="119"/>
      <c r="Z633" s="197"/>
      <c r="AA633" s="198"/>
      <c r="AB633" s="199"/>
      <c r="AC633" s="119"/>
      <c r="AD633" s="196"/>
      <c r="AE633" s="200"/>
      <c r="AF633" s="201"/>
      <c r="AG633" s="205"/>
      <c r="AH633" s="205"/>
      <c r="AI633" s="205"/>
      <c r="AJ633" s="205"/>
      <c r="AK633" s="126"/>
      <c r="AL633" s="126"/>
    </row>
    <row r="634">
      <c r="A634" s="119"/>
      <c r="B634" s="154"/>
      <c r="C634" s="89"/>
      <c r="D634" s="55"/>
      <c r="E634" s="119"/>
      <c r="F634" s="154"/>
      <c r="G634" s="192"/>
      <c r="H634" s="193"/>
      <c r="I634" s="119"/>
      <c r="J634" s="154"/>
      <c r="K634" s="89"/>
      <c r="L634" s="55"/>
      <c r="M634" s="119"/>
      <c r="N634" s="194"/>
      <c r="O634" s="89"/>
      <c r="P634" s="55"/>
      <c r="Q634" s="195"/>
      <c r="R634" s="196"/>
      <c r="S634" s="125"/>
      <c r="T634" s="126"/>
      <c r="U634" s="195"/>
      <c r="V634" s="196"/>
      <c r="W634" s="125"/>
      <c r="X634" s="126"/>
      <c r="Y634" s="119"/>
      <c r="Z634" s="197"/>
      <c r="AA634" s="198"/>
      <c r="AB634" s="199"/>
      <c r="AC634" s="119"/>
      <c r="AD634" s="196"/>
      <c r="AE634" s="200"/>
      <c r="AF634" s="201"/>
      <c r="AG634" s="205"/>
      <c r="AH634" s="205"/>
      <c r="AI634" s="205"/>
      <c r="AJ634" s="205"/>
      <c r="AK634" s="126"/>
      <c r="AL634" s="126"/>
    </row>
    <row r="635">
      <c r="A635" s="119"/>
      <c r="B635" s="154"/>
      <c r="C635" s="89"/>
      <c r="D635" s="55"/>
      <c r="E635" s="119"/>
      <c r="F635" s="154"/>
      <c r="G635" s="192"/>
      <c r="H635" s="193"/>
      <c r="I635" s="119"/>
      <c r="J635" s="154"/>
      <c r="K635" s="89"/>
      <c r="L635" s="55"/>
      <c r="M635" s="119"/>
      <c r="N635" s="194"/>
      <c r="O635" s="89"/>
      <c r="P635" s="55"/>
      <c r="Q635" s="195"/>
      <c r="R635" s="196"/>
      <c r="S635" s="125"/>
      <c r="T635" s="126"/>
      <c r="U635" s="195"/>
      <c r="V635" s="196"/>
      <c r="W635" s="125"/>
      <c r="X635" s="126"/>
      <c r="Y635" s="119"/>
      <c r="Z635" s="197"/>
      <c r="AA635" s="198"/>
      <c r="AB635" s="199"/>
      <c r="AC635" s="119"/>
      <c r="AD635" s="196"/>
      <c r="AE635" s="200"/>
      <c r="AF635" s="201"/>
      <c r="AG635" s="205"/>
      <c r="AH635" s="205"/>
      <c r="AI635" s="205"/>
      <c r="AJ635" s="205"/>
      <c r="AK635" s="126"/>
      <c r="AL635" s="126"/>
    </row>
    <row r="636">
      <c r="A636" s="119"/>
      <c r="B636" s="154"/>
      <c r="C636" s="89"/>
      <c r="D636" s="55"/>
      <c r="E636" s="119"/>
      <c r="F636" s="154"/>
      <c r="G636" s="192"/>
      <c r="H636" s="193"/>
      <c r="I636" s="119"/>
      <c r="J636" s="154"/>
      <c r="K636" s="89"/>
      <c r="L636" s="55"/>
      <c r="M636" s="119"/>
      <c r="N636" s="194"/>
      <c r="O636" s="89"/>
      <c r="P636" s="55"/>
      <c r="Q636" s="195"/>
      <c r="R636" s="196"/>
      <c r="S636" s="125"/>
      <c r="T636" s="126"/>
      <c r="U636" s="195"/>
      <c r="V636" s="196"/>
      <c r="W636" s="125"/>
      <c r="X636" s="126"/>
      <c r="Y636" s="119"/>
      <c r="Z636" s="197"/>
      <c r="AA636" s="198"/>
      <c r="AB636" s="199"/>
      <c r="AC636" s="119"/>
      <c r="AD636" s="196"/>
      <c r="AE636" s="200"/>
      <c r="AF636" s="201"/>
      <c r="AG636" s="205"/>
      <c r="AH636" s="205"/>
      <c r="AI636" s="205"/>
      <c r="AJ636" s="205"/>
      <c r="AK636" s="126"/>
      <c r="AL636" s="126"/>
    </row>
    <row r="637">
      <c r="A637" s="119"/>
      <c r="B637" s="154"/>
      <c r="C637" s="89"/>
      <c r="D637" s="55"/>
      <c r="E637" s="119"/>
      <c r="F637" s="154"/>
      <c r="G637" s="192"/>
      <c r="H637" s="193"/>
      <c r="I637" s="119"/>
      <c r="J637" s="154"/>
      <c r="K637" s="89"/>
      <c r="L637" s="55"/>
      <c r="M637" s="119"/>
      <c r="N637" s="194"/>
      <c r="O637" s="89"/>
      <c r="P637" s="55"/>
      <c r="Q637" s="195"/>
      <c r="R637" s="196"/>
      <c r="S637" s="125"/>
      <c r="T637" s="126"/>
      <c r="U637" s="195"/>
      <c r="V637" s="196"/>
      <c r="W637" s="125"/>
      <c r="X637" s="126"/>
      <c r="Y637" s="119"/>
      <c r="Z637" s="197"/>
      <c r="AA637" s="198"/>
      <c r="AB637" s="199"/>
      <c r="AC637" s="119"/>
      <c r="AD637" s="196"/>
      <c r="AE637" s="200"/>
      <c r="AF637" s="201"/>
      <c r="AG637" s="205"/>
      <c r="AH637" s="205"/>
      <c r="AI637" s="205"/>
      <c r="AJ637" s="205"/>
      <c r="AK637" s="126"/>
      <c r="AL637" s="126"/>
    </row>
    <row r="638">
      <c r="A638" s="119"/>
      <c r="B638" s="154"/>
      <c r="C638" s="89"/>
      <c r="D638" s="55"/>
      <c r="E638" s="119"/>
      <c r="F638" s="154"/>
      <c r="G638" s="192"/>
      <c r="H638" s="193"/>
      <c r="I638" s="119"/>
      <c r="J638" s="154"/>
      <c r="K638" s="89"/>
      <c r="L638" s="55"/>
      <c r="M638" s="119"/>
      <c r="N638" s="194"/>
      <c r="O638" s="89"/>
      <c r="P638" s="55"/>
      <c r="Q638" s="195"/>
      <c r="R638" s="196"/>
      <c r="S638" s="125"/>
      <c r="T638" s="126"/>
      <c r="U638" s="195"/>
      <c r="V638" s="196"/>
      <c r="W638" s="125"/>
      <c r="X638" s="126"/>
      <c r="Y638" s="119"/>
      <c r="Z638" s="197"/>
      <c r="AA638" s="198"/>
      <c r="AB638" s="199"/>
      <c r="AC638" s="119"/>
      <c r="AD638" s="196"/>
      <c r="AE638" s="200"/>
      <c r="AF638" s="201"/>
      <c r="AG638" s="205"/>
      <c r="AH638" s="205"/>
      <c r="AI638" s="205"/>
      <c r="AJ638" s="205"/>
      <c r="AK638" s="126"/>
      <c r="AL638" s="126"/>
    </row>
    <row r="639">
      <c r="A639" s="119"/>
      <c r="B639" s="154"/>
      <c r="C639" s="89"/>
      <c r="D639" s="55"/>
      <c r="E639" s="119"/>
      <c r="F639" s="154"/>
      <c r="G639" s="192"/>
      <c r="H639" s="193"/>
      <c r="I639" s="119"/>
      <c r="J639" s="154"/>
      <c r="K639" s="89"/>
      <c r="L639" s="55"/>
      <c r="M639" s="119"/>
      <c r="N639" s="194"/>
      <c r="O639" s="89"/>
      <c r="P639" s="55"/>
      <c r="Q639" s="195"/>
      <c r="R639" s="196"/>
      <c r="S639" s="125"/>
      <c r="T639" s="126"/>
      <c r="U639" s="195"/>
      <c r="V639" s="196"/>
      <c r="W639" s="125"/>
      <c r="X639" s="126"/>
      <c r="Y639" s="119"/>
      <c r="Z639" s="197"/>
      <c r="AA639" s="198"/>
      <c r="AB639" s="199"/>
      <c r="AC639" s="119"/>
      <c r="AD639" s="196"/>
      <c r="AE639" s="200"/>
      <c r="AF639" s="201"/>
      <c r="AG639" s="205"/>
      <c r="AH639" s="205"/>
      <c r="AI639" s="205"/>
      <c r="AJ639" s="205"/>
      <c r="AK639" s="126"/>
      <c r="AL639" s="126"/>
    </row>
    <row r="640">
      <c r="A640" s="119"/>
      <c r="B640" s="154"/>
      <c r="C640" s="89"/>
      <c r="D640" s="55"/>
      <c r="E640" s="119"/>
      <c r="F640" s="154"/>
      <c r="G640" s="192"/>
      <c r="H640" s="193"/>
      <c r="I640" s="119"/>
      <c r="J640" s="154"/>
      <c r="K640" s="89"/>
      <c r="L640" s="55"/>
      <c r="M640" s="119"/>
      <c r="N640" s="194"/>
      <c r="O640" s="89"/>
      <c r="P640" s="55"/>
      <c r="Q640" s="195"/>
      <c r="R640" s="196"/>
      <c r="S640" s="125"/>
      <c r="T640" s="126"/>
      <c r="U640" s="195"/>
      <c r="V640" s="196"/>
      <c r="W640" s="125"/>
      <c r="X640" s="126"/>
      <c r="Y640" s="119"/>
      <c r="Z640" s="197"/>
      <c r="AA640" s="198"/>
      <c r="AB640" s="199"/>
      <c r="AC640" s="119"/>
      <c r="AD640" s="196"/>
      <c r="AE640" s="200"/>
      <c r="AF640" s="201"/>
      <c r="AG640" s="205"/>
      <c r="AH640" s="205"/>
      <c r="AI640" s="205"/>
      <c r="AJ640" s="205"/>
      <c r="AK640" s="126"/>
      <c r="AL640" s="126"/>
    </row>
    <row r="641">
      <c r="A641" s="119"/>
      <c r="B641" s="154"/>
      <c r="C641" s="89"/>
      <c r="D641" s="55"/>
      <c r="E641" s="119"/>
      <c r="F641" s="154"/>
      <c r="G641" s="192"/>
      <c r="H641" s="193"/>
      <c r="I641" s="119"/>
      <c r="J641" s="154"/>
      <c r="K641" s="89"/>
      <c r="L641" s="55"/>
      <c r="M641" s="119"/>
      <c r="N641" s="194"/>
      <c r="O641" s="89"/>
      <c r="P641" s="55"/>
      <c r="Q641" s="195"/>
      <c r="R641" s="196"/>
      <c r="S641" s="125"/>
      <c r="T641" s="126"/>
      <c r="U641" s="195"/>
      <c r="V641" s="196"/>
      <c r="W641" s="125"/>
      <c r="X641" s="126"/>
      <c r="Y641" s="119"/>
      <c r="Z641" s="197"/>
      <c r="AA641" s="198"/>
      <c r="AB641" s="199"/>
      <c r="AC641" s="119"/>
      <c r="AD641" s="196"/>
      <c r="AE641" s="200"/>
      <c r="AF641" s="201"/>
      <c r="AG641" s="205"/>
      <c r="AH641" s="205"/>
      <c r="AI641" s="205"/>
      <c r="AJ641" s="205"/>
      <c r="AK641" s="126"/>
      <c r="AL641" s="126"/>
    </row>
    <row r="642">
      <c r="A642" s="119"/>
      <c r="B642" s="154"/>
      <c r="C642" s="89"/>
      <c r="D642" s="55"/>
      <c r="E642" s="119"/>
      <c r="F642" s="154"/>
      <c r="G642" s="192"/>
      <c r="H642" s="193"/>
      <c r="I642" s="119"/>
      <c r="J642" s="154"/>
      <c r="K642" s="89"/>
      <c r="L642" s="55"/>
      <c r="M642" s="119"/>
      <c r="N642" s="194"/>
      <c r="O642" s="89"/>
      <c r="P642" s="55"/>
      <c r="Q642" s="195"/>
      <c r="R642" s="196"/>
      <c r="S642" s="125"/>
      <c r="T642" s="126"/>
      <c r="U642" s="195"/>
      <c r="V642" s="196"/>
      <c r="W642" s="125"/>
      <c r="X642" s="126"/>
      <c r="Y642" s="119"/>
      <c r="Z642" s="197"/>
      <c r="AA642" s="198"/>
      <c r="AB642" s="199"/>
      <c r="AC642" s="119"/>
      <c r="AD642" s="196"/>
      <c r="AE642" s="200"/>
      <c r="AF642" s="201"/>
      <c r="AG642" s="205"/>
      <c r="AH642" s="205"/>
      <c r="AI642" s="205"/>
      <c r="AJ642" s="205"/>
      <c r="AK642" s="126"/>
      <c r="AL642" s="126"/>
    </row>
    <row r="643">
      <c r="A643" s="119"/>
      <c r="B643" s="154"/>
      <c r="C643" s="89"/>
      <c r="D643" s="55"/>
      <c r="E643" s="119"/>
      <c r="F643" s="154"/>
      <c r="G643" s="192"/>
      <c r="H643" s="193"/>
      <c r="I643" s="119"/>
      <c r="J643" s="154"/>
      <c r="K643" s="89"/>
      <c r="L643" s="55"/>
      <c r="M643" s="119"/>
      <c r="N643" s="194"/>
      <c r="O643" s="89"/>
      <c r="P643" s="55"/>
      <c r="Q643" s="195"/>
      <c r="R643" s="196"/>
      <c r="S643" s="125"/>
      <c r="T643" s="126"/>
      <c r="U643" s="195"/>
      <c r="V643" s="196"/>
      <c r="W643" s="125"/>
      <c r="X643" s="126"/>
      <c r="Y643" s="119"/>
      <c r="Z643" s="197"/>
      <c r="AA643" s="198"/>
      <c r="AB643" s="199"/>
      <c r="AC643" s="119"/>
      <c r="AD643" s="196"/>
      <c r="AE643" s="200"/>
      <c r="AF643" s="201"/>
      <c r="AG643" s="205"/>
      <c r="AH643" s="205"/>
      <c r="AI643" s="205"/>
      <c r="AJ643" s="205"/>
      <c r="AK643" s="126"/>
      <c r="AL643" s="126"/>
    </row>
    <row r="644">
      <c r="A644" s="119"/>
      <c r="B644" s="154"/>
      <c r="C644" s="89"/>
      <c r="D644" s="55"/>
      <c r="E644" s="119"/>
      <c r="F644" s="154"/>
      <c r="G644" s="192"/>
      <c r="H644" s="193"/>
      <c r="I644" s="119"/>
      <c r="J644" s="154"/>
      <c r="K644" s="89"/>
      <c r="L644" s="55"/>
      <c r="M644" s="119"/>
      <c r="N644" s="194"/>
      <c r="O644" s="89"/>
      <c r="P644" s="55"/>
      <c r="Q644" s="195"/>
      <c r="R644" s="196"/>
      <c r="S644" s="125"/>
      <c r="T644" s="126"/>
      <c r="U644" s="195"/>
      <c r="V644" s="196"/>
      <c r="W644" s="125"/>
      <c r="X644" s="126"/>
      <c r="Y644" s="119"/>
      <c r="Z644" s="197"/>
      <c r="AA644" s="198"/>
      <c r="AB644" s="199"/>
      <c r="AC644" s="119"/>
      <c r="AD644" s="196"/>
      <c r="AE644" s="200"/>
      <c r="AF644" s="201"/>
      <c r="AG644" s="205"/>
      <c r="AH644" s="205"/>
      <c r="AI644" s="205"/>
      <c r="AJ644" s="205"/>
      <c r="AK644" s="126"/>
      <c r="AL644" s="126"/>
    </row>
    <row r="645">
      <c r="A645" s="119"/>
      <c r="B645" s="154"/>
      <c r="C645" s="89"/>
      <c r="D645" s="55"/>
      <c r="E645" s="119"/>
      <c r="F645" s="154"/>
      <c r="G645" s="192"/>
      <c r="H645" s="193"/>
      <c r="I645" s="119"/>
      <c r="J645" s="154"/>
      <c r="K645" s="89"/>
      <c r="L645" s="55"/>
      <c r="M645" s="119"/>
      <c r="N645" s="194"/>
      <c r="O645" s="89"/>
      <c r="P645" s="55"/>
      <c r="Q645" s="195"/>
      <c r="R645" s="196"/>
      <c r="S645" s="125"/>
      <c r="T645" s="126"/>
      <c r="U645" s="195"/>
      <c r="V645" s="196"/>
      <c r="W645" s="125"/>
      <c r="X645" s="126"/>
      <c r="Y645" s="119"/>
      <c r="Z645" s="197"/>
      <c r="AA645" s="198"/>
      <c r="AB645" s="199"/>
      <c r="AC645" s="119"/>
      <c r="AD645" s="196"/>
      <c r="AE645" s="200"/>
      <c r="AF645" s="201"/>
      <c r="AG645" s="205"/>
      <c r="AH645" s="205"/>
      <c r="AI645" s="205"/>
      <c r="AJ645" s="205"/>
      <c r="AK645" s="126"/>
      <c r="AL645" s="126"/>
    </row>
    <row r="646">
      <c r="A646" s="119"/>
      <c r="B646" s="154"/>
      <c r="C646" s="89"/>
      <c r="D646" s="55"/>
      <c r="E646" s="119"/>
      <c r="F646" s="154"/>
      <c r="G646" s="192"/>
      <c r="H646" s="193"/>
      <c r="I646" s="119"/>
      <c r="J646" s="154"/>
      <c r="K646" s="89"/>
      <c r="L646" s="55"/>
      <c r="M646" s="119"/>
      <c r="N646" s="194"/>
      <c r="O646" s="89"/>
      <c r="P646" s="55"/>
      <c r="Q646" s="195"/>
      <c r="R646" s="196"/>
      <c r="S646" s="125"/>
      <c r="T646" s="126"/>
      <c r="U646" s="195"/>
      <c r="V646" s="196"/>
      <c r="W646" s="125"/>
      <c r="X646" s="126"/>
      <c r="Y646" s="119"/>
      <c r="Z646" s="197"/>
      <c r="AA646" s="198"/>
      <c r="AB646" s="199"/>
      <c r="AC646" s="119"/>
      <c r="AD646" s="196"/>
      <c r="AE646" s="200"/>
      <c r="AF646" s="201"/>
      <c r="AG646" s="205"/>
      <c r="AH646" s="205"/>
      <c r="AI646" s="205"/>
      <c r="AJ646" s="205"/>
      <c r="AK646" s="126"/>
      <c r="AL646" s="126"/>
    </row>
    <row r="647">
      <c r="A647" s="119"/>
      <c r="B647" s="154"/>
      <c r="C647" s="89"/>
      <c r="D647" s="55"/>
      <c r="E647" s="119"/>
      <c r="F647" s="154"/>
      <c r="G647" s="192"/>
      <c r="H647" s="193"/>
      <c r="I647" s="119"/>
      <c r="J647" s="154"/>
      <c r="K647" s="89"/>
      <c r="L647" s="55"/>
      <c r="M647" s="119"/>
      <c r="N647" s="194"/>
      <c r="O647" s="89"/>
      <c r="P647" s="55"/>
      <c r="Q647" s="195"/>
      <c r="R647" s="196"/>
      <c r="S647" s="125"/>
      <c r="T647" s="126"/>
      <c r="U647" s="195"/>
      <c r="V647" s="196"/>
      <c r="W647" s="125"/>
      <c r="X647" s="126"/>
      <c r="Y647" s="119"/>
      <c r="Z647" s="197"/>
      <c r="AA647" s="198"/>
      <c r="AB647" s="199"/>
      <c r="AC647" s="119"/>
      <c r="AD647" s="196"/>
      <c r="AE647" s="200"/>
      <c r="AF647" s="201"/>
      <c r="AG647" s="205"/>
      <c r="AH647" s="205"/>
      <c r="AI647" s="205"/>
      <c r="AJ647" s="205"/>
      <c r="AK647" s="126"/>
      <c r="AL647" s="126"/>
    </row>
    <row r="648">
      <c r="A648" s="119"/>
      <c r="B648" s="154"/>
      <c r="C648" s="89"/>
      <c r="D648" s="55"/>
      <c r="E648" s="119"/>
      <c r="F648" s="154"/>
      <c r="G648" s="192"/>
      <c r="H648" s="193"/>
      <c r="I648" s="119"/>
      <c r="J648" s="154"/>
      <c r="K648" s="89"/>
      <c r="L648" s="55"/>
      <c r="M648" s="119"/>
      <c r="N648" s="194"/>
      <c r="O648" s="89"/>
      <c r="P648" s="55"/>
      <c r="Q648" s="195"/>
      <c r="R648" s="196"/>
      <c r="S648" s="125"/>
      <c r="T648" s="126"/>
      <c r="U648" s="195"/>
      <c r="V648" s="196"/>
      <c r="W648" s="125"/>
      <c r="X648" s="126"/>
      <c r="Y648" s="119"/>
      <c r="Z648" s="197"/>
      <c r="AA648" s="198"/>
      <c r="AB648" s="199"/>
      <c r="AC648" s="119"/>
      <c r="AD648" s="196"/>
      <c r="AE648" s="200"/>
      <c r="AF648" s="201"/>
      <c r="AG648" s="205"/>
      <c r="AH648" s="205"/>
      <c r="AI648" s="205"/>
      <c r="AJ648" s="205"/>
      <c r="AK648" s="126"/>
      <c r="AL648" s="126"/>
    </row>
    <row r="649">
      <c r="A649" s="119"/>
      <c r="B649" s="154"/>
      <c r="C649" s="89"/>
      <c r="D649" s="55"/>
      <c r="E649" s="119"/>
      <c r="F649" s="154"/>
      <c r="G649" s="192"/>
      <c r="H649" s="193"/>
      <c r="I649" s="119"/>
      <c r="J649" s="154"/>
      <c r="K649" s="89"/>
      <c r="L649" s="55"/>
      <c r="M649" s="119"/>
      <c r="N649" s="194"/>
      <c r="O649" s="89"/>
      <c r="P649" s="55"/>
      <c r="Q649" s="195"/>
      <c r="R649" s="196"/>
      <c r="S649" s="125"/>
      <c r="T649" s="126"/>
      <c r="U649" s="195"/>
      <c r="V649" s="196"/>
      <c r="W649" s="125"/>
      <c r="X649" s="126"/>
      <c r="Y649" s="119"/>
      <c r="Z649" s="197"/>
      <c r="AA649" s="198"/>
      <c r="AB649" s="199"/>
      <c r="AC649" s="119"/>
      <c r="AD649" s="196"/>
      <c r="AE649" s="200"/>
      <c r="AF649" s="201"/>
      <c r="AG649" s="205"/>
      <c r="AH649" s="205"/>
      <c r="AI649" s="205"/>
      <c r="AJ649" s="205"/>
      <c r="AK649" s="126"/>
      <c r="AL649" s="126"/>
    </row>
    <row r="650">
      <c r="A650" s="119"/>
      <c r="B650" s="154"/>
      <c r="C650" s="89"/>
      <c r="D650" s="55"/>
      <c r="E650" s="119"/>
      <c r="F650" s="154"/>
      <c r="G650" s="192"/>
      <c r="H650" s="193"/>
      <c r="I650" s="119"/>
      <c r="J650" s="154"/>
      <c r="K650" s="89"/>
      <c r="L650" s="55"/>
      <c r="M650" s="119"/>
      <c r="N650" s="194"/>
      <c r="O650" s="89"/>
      <c r="P650" s="55"/>
      <c r="Q650" s="195"/>
      <c r="R650" s="196"/>
      <c r="S650" s="125"/>
      <c r="T650" s="126"/>
      <c r="U650" s="195"/>
      <c r="V650" s="196"/>
      <c r="W650" s="125"/>
      <c r="X650" s="126"/>
      <c r="Y650" s="119"/>
      <c r="Z650" s="197"/>
      <c r="AA650" s="198"/>
      <c r="AB650" s="199"/>
      <c r="AC650" s="119"/>
      <c r="AD650" s="196"/>
      <c r="AE650" s="200"/>
      <c r="AF650" s="201"/>
      <c r="AG650" s="205"/>
      <c r="AH650" s="205"/>
      <c r="AI650" s="205"/>
      <c r="AJ650" s="205"/>
      <c r="AK650" s="126"/>
      <c r="AL650" s="126"/>
    </row>
    <row r="651">
      <c r="A651" s="119"/>
      <c r="B651" s="154"/>
      <c r="C651" s="89"/>
      <c r="D651" s="55"/>
      <c r="E651" s="119"/>
      <c r="F651" s="154"/>
      <c r="G651" s="192"/>
      <c r="H651" s="193"/>
      <c r="I651" s="119"/>
      <c r="J651" s="154"/>
      <c r="K651" s="89"/>
      <c r="L651" s="55"/>
      <c r="M651" s="119"/>
      <c r="N651" s="194"/>
      <c r="O651" s="89"/>
      <c r="P651" s="55"/>
      <c r="Q651" s="195"/>
      <c r="R651" s="196"/>
      <c r="S651" s="125"/>
      <c r="T651" s="126"/>
      <c r="U651" s="195"/>
      <c r="V651" s="196"/>
      <c r="W651" s="125"/>
      <c r="X651" s="126"/>
      <c r="Y651" s="119"/>
      <c r="Z651" s="197"/>
      <c r="AA651" s="198"/>
      <c r="AB651" s="199"/>
      <c r="AC651" s="119"/>
      <c r="AD651" s="196"/>
      <c r="AE651" s="200"/>
      <c r="AF651" s="201"/>
      <c r="AG651" s="205"/>
      <c r="AH651" s="205"/>
      <c r="AI651" s="205"/>
      <c r="AJ651" s="205"/>
      <c r="AK651" s="126"/>
      <c r="AL651" s="126"/>
    </row>
    <row r="652">
      <c r="A652" s="119"/>
      <c r="B652" s="154"/>
      <c r="C652" s="89"/>
      <c r="D652" s="55"/>
      <c r="E652" s="119"/>
      <c r="F652" s="154"/>
      <c r="G652" s="192"/>
      <c r="H652" s="193"/>
      <c r="I652" s="119"/>
      <c r="J652" s="154"/>
      <c r="K652" s="89"/>
      <c r="L652" s="55"/>
      <c r="M652" s="119"/>
      <c r="N652" s="194"/>
      <c r="O652" s="89"/>
      <c r="P652" s="55"/>
      <c r="Q652" s="195"/>
      <c r="R652" s="196"/>
      <c r="S652" s="125"/>
      <c r="T652" s="126"/>
      <c r="U652" s="195"/>
      <c r="V652" s="196"/>
      <c r="W652" s="125"/>
      <c r="X652" s="126"/>
      <c r="Y652" s="119"/>
      <c r="Z652" s="197"/>
      <c r="AA652" s="198"/>
      <c r="AB652" s="199"/>
      <c r="AC652" s="119"/>
      <c r="AD652" s="196"/>
      <c r="AE652" s="200"/>
      <c r="AF652" s="201"/>
      <c r="AG652" s="205"/>
      <c r="AH652" s="205"/>
      <c r="AI652" s="205"/>
      <c r="AJ652" s="205"/>
      <c r="AK652" s="126"/>
      <c r="AL652" s="126"/>
    </row>
    <row r="653">
      <c r="A653" s="119"/>
      <c r="B653" s="154"/>
      <c r="C653" s="89"/>
      <c r="D653" s="55"/>
      <c r="E653" s="119"/>
      <c r="F653" s="154"/>
      <c r="G653" s="192"/>
      <c r="H653" s="193"/>
      <c r="I653" s="119"/>
      <c r="J653" s="154"/>
      <c r="K653" s="89"/>
      <c r="L653" s="55"/>
      <c r="M653" s="119"/>
      <c r="N653" s="194"/>
      <c r="O653" s="89"/>
      <c r="P653" s="55"/>
      <c r="Q653" s="195"/>
      <c r="R653" s="196"/>
      <c r="S653" s="125"/>
      <c r="T653" s="126"/>
      <c r="U653" s="195"/>
      <c r="V653" s="196"/>
      <c r="W653" s="125"/>
      <c r="X653" s="126"/>
      <c r="Y653" s="119"/>
      <c r="Z653" s="197"/>
      <c r="AA653" s="198"/>
      <c r="AB653" s="199"/>
      <c r="AC653" s="119"/>
      <c r="AD653" s="196"/>
      <c r="AE653" s="200"/>
      <c r="AF653" s="201"/>
      <c r="AG653" s="205"/>
      <c r="AH653" s="205"/>
      <c r="AI653" s="205"/>
      <c r="AJ653" s="205"/>
      <c r="AK653" s="126"/>
      <c r="AL653" s="126"/>
    </row>
    <row r="654">
      <c r="A654" s="119"/>
      <c r="B654" s="154"/>
      <c r="C654" s="89"/>
      <c r="D654" s="55"/>
      <c r="E654" s="119"/>
      <c r="F654" s="154"/>
      <c r="G654" s="192"/>
      <c r="H654" s="193"/>
      <c r="I654" s="119"/>
      <c r="J654" s="154"/>
      <c r="K654" s="89"/>
      <c r="L654" s="55"/>
      <c r="M654" s="119"/>
      <c r="N654" s="194"/>
      <c r="O654" s="89"/>
      <c r="P654" s="55"/>
      <c r="Q654" s="195"/>
      <c r="R654" s="196"/>
      <c r="S654" s="125"/>
      <c r="T654" s="126"/>
      <c r="U654" s="195"/>
      <c r="V654" s="196"/>
      <c r="W654" s="125"/>
      <c r="X654" s="126"/>
      <c r="Y654" s="119"/>
      <c r="Z654" s="197"/>
      <c r="AA654" s="198"/>
      <c r="AB654" s="199"/>
      <c r="AC654" s="119"/>
      <c r="AD654" s="196"/>
      <c r="AE654" s="200"/>
      <c r="AF654" s="201"/>
      <c r="AG654" s="205"/>
      <c r="AH654" s="205"/>
      <c r="AI654" s="205"/>
      <c r="AJ654" s="205"/>
      <c r="AK654" s="126"/>
      <c r="AL654" s="126"/>
    </row>
    <row r="655">
      <c r="A655" s="119"/>
      <c r="B655" s="154"/>
      <c r="C655" s="89"/>
      <c r="D655" s="55"/>
      <c r="E655" s="119"/>
      <c r="F655" s="154"/>
      <c r="G655" s="192"/>
      <c r="H655" s="193"/>
      <c r="I655" s="119"/>
      <c r="J655" s="154"/>
      <c r="K655" s="89"/>
      <c r="L655" s="55"/>
      <c r="M655" s="119"/>
      <c r="N655" s="194"/>
      <c r="O655" s="89"/>
      <c r="P655" s="55"/>
      <c r="Q655" s="195"/>
      <c r="R655" s="196"/>
      <c r="S655" s="125"/>
      <c r="T655" s="126"/>
      <c r="U655" s="195"/>
      <c r="V655" s="196"/>
      <c r="W655" s="125"/>
      <c r="X655" s="126"/>
      <c r="Y655" s="119"/>
      <c r="Z655" s="197"/>
      <c r="AA655" s="198"/>
      <c r="AB655" s="199"/>
      <c r="AC655" s="119"/>
      <c r="AD655" s="196"/>
      <c r="AE655" s="200"/>
      <c r="AF655" s="201"/>
      <c r="AG655" s="205"/>
      <c r="AH655" s="205"/>
      <c r="AI655" s="205"/>
      <c r="AJ655" s="205"/>
      <c r="AK655" s="126"/>
      <c r="AL655" s="126"/>
    </row>
    <row r="656">
      <c r="A656" s="119"/>
      <c r="B656" s="154"/>
      <c r="C656" s="89"/>
      <c r="D656" s="55"/>
      <c r="E656" s="119"/>
      <c r="F656" s="154"/>
      <c r="G656" s="192"/>
      <c r="H656" s="193"/>
      <c r="I656" s="119"/>
      <c r="J656" s="154"/>
      <c r="K656" s="89"/>
      <c r="L656" s="55"/>
      <c r="M656" s="119"/>
      <c r="N656" s="194"/>
      <c r="O656" s="89"/>
      <c r="P656" s="55"/>
      <c r="Q656" s="195"/>
      <c r="R656" s="196"/>
      <c r="S656" s="125"/>
      <c r="T656" s="126"/>
      <c r="U656" s="195"/>
      <c r="V656" s="196"/>
      <c r="W656" s="125"/>
      <c r="X656" s="126"/>
      <c r="Y656" s="119"/>
      <c r="Z656" s="197"/>
      <c r="AA656" s="198"/>
      <c r="AB656" s="199"/>
      <c r="AC656" s="119"/>
      <c r="AD656" s="196"/>
      <c r="AE656" s="200"/>
      <c r="AF656" s="201"/>
      <c r="AG656" s="205"/>
      <c r="AH656" s="205"/>
      <c r="AI656" s="205"/>
      <c r="AJ656" s="205"/>
      <c r="AK656" s="126"/>
      <c r="AL656" s="126"/>
    </row>
    <row r="657">
      <c r="A657" s="119"/>
      <c r="B657" s="154"/>
      <c r="C657" s="89"/>
      <c r="D657" s="55"/>
      <c r="E657" s="119"/>
      <c r="F657" s="154"/>
      <c r="G657" s="192"/>
      <c r="H657" s="193"/>
      <c r="I657" s="119"/>
      <c r="J657" s="154"/>
      <c r="K657" s="89"/>
      <c r="L657" s="55"/>
      <c r="M657" s="119"/>
      <c r="N657" s="194"/>
      <c r="O657" s="89"/>
      <c r="P657" s="55"/>
      <c r="Q657" s="195"/>
      <c r="R657" s="196"/>
      <c r="S657" s="125"/>
      <c r="T657" s="126"/>
      <c r="U657" s="195"/>
      <c r="V657" s="196"/>
      <c r="W657" s="125"/>
      <c r="X657" s="126"/>
      <c r="Y657" s="119"/>
      <c r="Z657" s="197"/>
      <c r="AA657" s="198"/>
      <c r="AB657" s="199"/>
      <c r="AC657" s="119"/>
      <c r="AD657" s="196"/>
      <c r="AE657" s="200"/>
      <c r="AF657" s="201"/>
      <c r="AG657" s="205"/>
      <c r="AH657" s="205"/>
      <c r="AI657" s="205"/>
      <c r="AJ657" s="205"/>
      <c r="AK657" s="126"/>
      <c r="AL657" s="126"/>
    </row>
    <row r="658">
      <c r="A658" s="119"/>
      <c r="B658" s="154"/>
      <c r="C658" s="89"/>
      <c r="D658" s="55"/>
      <c r="E658" s="119"/>
      <c r="F658" s="154"/>
      <c r="G658" s="192"/>
      <c r="H658" s="193"/>
      <c r="I658" s="119"/>
      <c r="J658" s="154"/>
      <c r="K658" s="89"/>
      <c r="L658" s="55"/>
      <c r="M658" s="119"/>
      <c r="N658" s="194"/>
      <c r="O658" s="89"/>
      <c r="P658" s="55"/>
      <c r="Q658" s="195"/>
      <c r="R658" s="196"/>
      <c r="S658" s="125"/>
      <c r="T658" s="126"/>
      <c r="U658" s="195"/>
      <c r="V658" s="196"/>
      <c r="W658" s="125"/>
      <c r="X658" s="126"/>
      <c r="Y658" s="119"/>
      <c r="Z658" s="197"/>
      <c r="AA658" s="198"/>
      <c r="AB658" s="199"/>
      <c r="AC658" s="119"/>
      <c r="AD658" s="196"/>
      <c r="AE658" s="200"/>
      <c r="AF658" s="201"/>
      <c r="AG658" s="205"/>
      <c r="AH658" s="205"/>
      <c r="AI658" s="205"/>
      <c r="AJ658" s="205"/>
      <c r="AK658" s="126"/>
      <c r="AL658" s="126"/>
    </row>
    <row r="659">
      <c r="A659" s="119"/>
      <c r="B659" s="154"/>
      <c r="C659" s="89"/>
      <c r="D659" s="55"/>
      <c r="E659" s="119"/>
      <c r="F659" s="154"/>
      <c r="G659" s="192"/>
      <c r="H659" s="193"/>
      <c r="I659" s="119"/>
      <c r="J659" s="154"/>
      <c r="K659" s="89"/>
      <c r="L659" s="55"/>
      <c r="M659" s="119"/>
      <c r="N659" s="194"/>
      <c r="O659" s="89"/>
      <c r="P659" s="55"/>
      <c r="Q659" s="195"/>
      <c r="R659" s="196"/>
      <c r="S659" s="125"/>
      <c r="T659" s="126"/>
      <c r="U659" s="195"/>
      <c r="V659" s="196"/>
      <c r="W659" s="125"/>
      <c r="X659" s="126"/>
      <c r="Y659" s="119"/>
      <c r="Z659" s="197"/>
      <c r="AA659" s="198"/>
      <c r="AB659" s="199"/>
      <c r="AC659" s="119"/>
      <c r="AD659" s="196"/>
      <c r="AE659" s="200"/>
      <c r="AF659" s="201"/>
      <c r="AG659" s="205"/>
      <c r="AH659" s="205"/>
      <c r="AI659" s="205"/>
      <c r="AJ659" s="205"/>
      <c r="AK659" s="126"/>
      <c r="AL659" s="126"/>
    </row>
    <row r="660">
      <c r="A660" s="119"/>
      <c r="B660" s="154"/>
      <c r="C660" s="89"/>
      <c r="D660" s="55"/>
      <c r="E660" s="119"/>
      <c r="F660" s="154"/>
      <c r="G660" s="192"/>
      <c r="H660" s="193"/>
      <c r="I660" s="119"/>
      <c r="J660" s="154"/>
      <c r="K660" s="89"/>
      <c r="L660" s="55"/>
      <c r="M660" s="119"/>
      <c r="N660" s="194"/>
      <c r="O660" s="89"/>
      <c r="P660" s="55"/>
      <c r="Q660" s="195"/>
      <c r="R660" s="196"/>
      <c r="S660" s="125"/>
      <c r="T660" s="126"/>
      <c r="U660" s="195"/>
      <c r="V660" s="196"/>
      <c r="W660" s="125"/>
      <c r="X660" s="126"/>
      <c r="Y660" s="119"/>
      <c r="Z660" s="197"/>
      <c r="AA660" s="198"/>
      <c r="AB660" s="199"/>
      <c r="AC660" s="119"/>
      <c r="AD660" s="196"/>
      <c r="AE660" s="200"/>
      <c r="AF660" s="201"/>
      <c r="AG660" s="205"/>
      <c r="AH660" s="205"/>
      <c r="AI660" s="205"/>
      <c r="AJ660" s="205"/>
      <c r="AK660" s="126"/>
      <c r="AL660" s="126"/>
    </row>
    <row r="661">
      <c r="A661" s="119"/>
      <c r="B661" s="154"/>
      <c r="C661" s="89"/>
      <c r="D661" s="55"/>
      <c r="E661" s="119"/>
      <c r="F661" s="154"/>
      <c r="G661" s="192"/>
      <c r="H661" s="193"/>
      <c r="I661" s="119"/>
      <c r="J661" s="154"/>
      <c r="K661" s="89"/>
      <c r="L661" s="55"/>
      <c r="M661" s="119"/>
      <c r="N661" s="194"/>
      <c r="O661" s="89"/>
      <c r="P661" s="55"/>
      <c r="Q661" s="195"/>
      <c r="R661" s="196"/>
      <c r="S661" s="125"/>
      <c r="T661" s="126"/>
      <c r="U661" s="195"/>
      <c r="V661" s="196"/>
      <c r="W661" s="125"/>
      <c r="X661" s="126"/>
      <c r="Y661" s="119"/>
      <c r="Z661" s="197"/>
      <c r="AA661" s="198"/>
      <c r="AB661" s="199"/>
      <c r="AC661" s="119"/>
      <c r="AD661" s="196"/>
      <c r="AE661" s="200"/>
      <c r="AF661" s="201"/>
      <c r="AG661" s="205"/>
      <c r="AH661" s="205"/>
      <c r="AI661" s="205"/>
      <c r="AJ661" s="205"/>
      <c r="AK661" s="126"/>
      <c r="AL661" s="126"/>
    </row>
    <row r="662">
      <c r="A662" s="119"/>
      <c r="B662" s="154"/>
      <c r="C662" s="89"/>
      <c r="D662" s="55"/>
      <c r="E662" s="119"/>
      <c r="F662" s="154"/>
      <c r="G662" s="192"/>
      <c r="H662" s="193"/>
      <c r="I662" s="119"/>
      <c r="J662" s="154"/>
      <c r="K662" s="89"/>
      <c r="L662" s="55"/>
      <c r="M662" s="119"/>
      <c r="N662" s="194"/>
      <c r="O662" s="89"/>
      <c r="P662" s="55"/>
      <c r="Q662" s="195"/>
      <c r="R662" s="196"/>
      <c r="S662" s="125"/>
      <c r="T662" s="126"/>
      <c r="U662" s="195"/>
      <c r="V662" s="196"/>
      <c r="W662" s="125"/>
      <c r="X662" s="126"/>
      <c r="Y662" s="119"/>
      <c r="Z662" s="197"/>
      <c r="AA662" s="198"/>
      <c r="AB662" s="199"/>
      <c r="AC662" s="119"/>
      <c r="AD662" s="196"/>
      <c r="AE662" s="200"/>
      <c r="AF662" s="201"/>
      <c r="AG662" s="205"/>
      <c r="AH662" s="205"/>
      <c r="AI662" s="205"/>
      <c r="AJ662" s="205"/>
      <c r="AK662" s="126"/>
      <c r="AL662" s="126"/>
    </row>
    <row r="663">
      <c r="A663" s="119"/>
      <c r="B663" s="154"/>
      <c r="C663" s="89"/>
      <c r="D663" s="55"/>
      <c r="E663" s="119"/>
      <c r="F663" s="154"/>
      <c r="G663" s="192"/>
      <c r="H663" s="193"/>
      <c r="I663" s="119"/>
      <c r="J663" s="154"/>
      <c r="K663" s="89"/>
      <c r="L663" s="55"/>
      <c r="M663" s="119"/>
      <c r="N663" s="194"/>
      <c r="O663" s="89"/>
      <c r="P663" s="55"/>
      <c r="Q663" s="195"/>
      <c r="R663" s="196"/>
      <c r="S663" s="125"/>
      <c r="T663" s="126"/>
      <c r="U663" s="195"/>
      <c r="V663" s="196"/>
      <c r="W663" s="125"/>
      <c r="X663" s="126"/>
      <c r="Y663" s="119"/>
      <c r="Z663" s="197"/>
      <c r="AA663" s="198"/>
      <c r="AB663" s="199"/>
      <c r="AC663" s="119"/>
      <c r="AD663" s="196"/>
      <c r="AE663" s="200"/>
      <c r="AF663" s="201"/>
      <c r="AG663" s="205"/>
      <c r="AH663" s="205"/>
      <c r="AI663" s="205"/>
      <c r="AJ663" s="205"/>
      <c r="AK663" s="126"/>
      <c r="AL663" s="126"/>
    </row>
    <row r="664">
      <c r="A664" s="119"/>
      <c r="B664" s="154"/>
      <c r="C664" s="89"/>
      <c r="D664" s="55"/>
      <c r="E664" s="119"/>
      <c r="F664" s="154"/>
      <c r="G664" s="192"/>
      <c r="H664" s="193"/>
      <c r="I664" s="119"/>
      <c r="J664" s="154"/>
      <c r="K664" s="89"/>
      <c r="L664" s="55"/>
      <c r="M664" s="119"/>
      <c r="N664" s="194"/>
      <c r="O664" s="89"/>
      <c r="P664" s="55"/>
      <c r="Q664" s="195"/>
      <c r="R664" s="196"/>
      <c r="S664" s="125"/>
      <c r="T664" s="126"/>
      <c r="U664" s="195"/>
      <c r="V664" s="196"/>
      <c r="W664" s="125"/>
      <c r="X664" s="126"/>
      <c r="Y664" s="119"/>
      <c r="Z664" s="197"/>
      <c r="AA664" s="198"/>
      <c r="AB664" s="199"/>
      <c r="AC664" s="119"/>
      <c r="AD664" s="196"/>
      <c r="AE664" s="200"/>
      <c r="AF664" s="201"/>
      <c r="AG664" s="205"/>
      <c r="AH664" s="205"/>
      <c r="AI664" s="205"/>
      <c r="AJ664" s="205"/>
      <c r="AK664" s="126"/>
      <c r="AL664" s="126"/>
    </row>
    <row r="665">
      <c r="A665" s="119"/>
      <c r="B665" s="154"/>
      <c r="C665" s="89"/>
      <c r="D665" s="55"/>
      <c r="E665" s="119"/>
      <c r="F665" s="154"/>
      <c r="G665" s="192"/>
      <c r="H665" s="193"/>
      <c r="I665" s="119"/>
      <c r="J665" s="154"/>
      <c r="K665" s="89"/>
      <c r="L665" s="55"/>
      <c r="M665" s="119"/>
      <c r="N665" s="194"/>
      <c r="O665" s="89"/>
      <c r="P665" s="55"/>
      <c r="Q665" s="195"/>
      <c r="R665" s="196"/>
      <c r="S665" s="125"/>
      <c r="T665" s="126"/>
      <c r="U665" s="195"/>
      <c r="V665" s="196"/>
      <c r="W665" s="125"/>
      <c r="X665" s="126"/>
      <c r="Y665" s="119"/>
      <c r="Z665" s="197"/>
      <c r="AA665" s="198"/>
      <c r="AB665" s="199"/>
      <c r="AC665" s="119"/>
      <c r="AD665" s="196"/>
      <c r="AE665" s="200"/>
      <c r="AF665" s="201"/>
      <c r="AG665" s="205"/>
      <c r="AH665" s="205"/>
      <c r="AI665" s="205"/>
      <c r="AJ665" s="205"/>
      <c r="AK665" s="126"/>
      <c r="AL665" s="126"/>
    </row>
    <row r="666">
      <c r="A666" s="119"/>
      <c r="B666" s="154"/>
      <c r="C666" s="89"/>
      <c r="D666" s="55"/>
      <c r="E666" s="119"/>
      <c r="F666" s="154"/>
      <c r="G666" s="192"/>
      <c r="H666" s="193"/>
      <c r="I666" s="119"/>
      <c r="J666" s="154"/>
      <c r="K666" s="89"/>
      <c r="L666" s="55"/>
      <c r="M666" s="119"/>
      <c r="N666" s="194"/>
      <c r="O666" s="89"/>
      <c r="P666" s="55"/>
      <c r="Q666" s="195"/>
      <c r="R666" s="196"/>
      <c r="S666" s="125"/>
      <c r="T666" s="126"/>
      <c r="U666" s="195"/>
      <c r="V666" s="196"/>
      <c r="W666" s="125"/>
      <c r="X666" s="126"/>
      <c r="Y666" s="119"/>
      <c r="Z666" s="197"/>
      <c r="AA666" s="198"/>
      <c r="AB666" s="199"/>
      <c r="AC666" s="119"/>
      <c r="AD666" s="196"/>
      <c r="AE666" s="200"/>
      <c r="AF666" s="201"/>
      <c r="AG666" s="205"/>
      <c r="AH666" s="205"/>
      <c r="AI666" s="205"/>
      <c r="AJ666" s="205"/>
      <c r="AK666" s="126"/>
      <c r="AL666" s="126"/>
    </row>
    <row r="667">
      <c r="A667" s="119"/>
      <c r="B667" s="154"/>
      <c r="C667" s="89"/>
      <c r="D667" s="55"/>
      <c r="E667" s="119"/>
      <c r="F667" s="154"/>
      <c r="G667" s="192"/>
      <c r="H667" s="193"/>
      <c r="I667" s="119"/>
      <c r="J667" s="154"/>
      <c r="K667" s="89"/>
      <c r="L667" s="55"/>
      <c r="M667" s="119"/>
      <c r="N667" s="194"/>
      <c r="O667" s="89"/>
      <c r="P667" s="55"/>
      <c r="Q667" s="195"/>
      <c r="R667" s="196"/>
      <c r="S667" s="125"/>
      <c r="T667" s="126"/>
      <c r="U667" s="195"/>
      <c r="V667" s="196"/>
      <c r="W667" s="125"/>
      <c r="X667" s="126"/>
      <c r="Y667" s="119"/>
      <c r="Z667" s="197"/>
      <c r="AA667" s="198"/>
      <c r="AB667" s="199"/>
      <c r="AC667" s="119"/>
      <c r="AD667" s="196"/>
      <c r="AE667" s="200"/>
      <c r="AF667" s="201"/>
      <c r="AG667" s="205"/>
      <c r="AH667" s="205"/>
      <c r="AI667" s="205"/>
      <c r="AJ667" s="205"/>
      <c r="AK667" s="126"/>
      <c r="AL667" s="126"/>
    </row>
    <row r="668">
      <c r="A668" s="119"/>
      <c r="B668" s="154"/>
      <c r="C668" s="89"/>
      <c r="D668" s="55"/>
      <c r="E668" s="119"/>
      <c r="F668" s="154"/>
      <c r="G668" s="192"/>
      <c r="H668" s="193"/>
      <c r="I668" s="119"/>
      <c r="J668" s="154"/>
      <c r="K668" s="89"/>
      <c r="L668" s="55"/>
      <c r="M668" s="119"/>
      <c r="N668" s="194"/>
      <c r="O668" s="89"/>
      <c r="P668" s="55"/>
      <c r="Q668" s="195"/>
      <c r="R668" s="196"/>
      <c r="S668" s="125"/>
      <c r="T668" s="126"/>
      <c r="U668" s="195"/>
      <c r="V668" s="196"/>
      <c r="W668" s="125"/>
      <c r="X668" s="126"/>
      <c r="Y668" s="119"/>
      <c r="Z668" s="197"/>
      <c r="AA668" s="198"/>
      <c r="AB668" s="199"/>
      <c r="AC668" s="119"/>
      <c r="AD668" s="196"/>
      <c r="AE668" s="200"/>
      <c r="AF668" s="201"/>
      <c r="AG668" s="205"/>
      <c r="AH668" s="205"/>
      <c r="AI668" s="205"/>
      <c r="AJ668" s="205"/>
      <c r="AK668" s="126"/>
      <c r="AL668" s="126"/>
    </row>
    <row r="669">
      <c r="A669" s="119"/>
      <c r="B669" s="154"/>
      <c r="C669" s="89"/>
      <c r="D669" s="55"/>
      <c r="E669" s="119"/>
      <c r="F669" s="154"/>
      <c r="G669" s="192"/>
      <c r="H669" s="193"/>
      <c r="I669" s="119"/>
      <c r="J669" s="154"/>
      <c r="K669" s="89"/>
      <c r="L669" s="55"/>
      <c r="M669" s="119"/>
      <c r="N669" s="194"/>
      <c r="O669" s="89"/>
      <c r="P669" s="55"/>
      <c r="Q669" s="195"/>
      <c r="R669" s="196"/>
      <c r="S669" s="125"/>
      <c r="T669" s="126"/>
      <c r="U669" s="195"/>
      <c r="V669" s="196"/>
      <c r="W669" s="125"/>
      <c r="X669" s="126"/>
      <c r="Y669" s="119"/>
      <c r="Z669" s="197"/>
      <c r="AA669" s="198"/>
      <c r="AB669" s="199"/>
      <c r="AC669" s="119"/>
      <c r="AD669" s="196"/>
      <c r="AE669" s="200"/>
      <c r="AF669" s="201"/>
      <c r="AG669" s="205"/>
      <c r="AH669" s="205"/>
      <c r="AI669" s="205"/>
      <c r="AJ669" s="205"/>
      <c r="AK669" s="126"/>
      <c r="AL669" s="126"/>
    </row>
    <row r="670">
      <c r="A670" s="119"/>
      <c r="B670" s="154"/>
      <c r="C670" s="89"/>
      <c r="D670" s="55"/>
      <c r="E670" s="119"/>
      <c r="F670" s="154"/>
      <c r="G670" s="192"/>
      <c r="H670" s="193"/>
      <c r="I670" s="119"/>
      <c r="J670" s="154"/>
      <c r="K670" s="89"/>
      <c r="L670" s="55"/>
      <c r="M670" s="119"/>
      <c r="N670" s="194"/>
      <c r="O670" s="89"/>
      <c r="P670" s="55"/>
      <c r="Q670" s="195"/>
      <c r="R670" s="196"/>
      <c r="S670" s="125"/>
      <c r="T670" s="126"/>
      <c r="U670" s="195"/>
      <c r="V670" s="196"/>
      <c r="W670" s="125"/>
      <c r="X670" s="126"/>
      <c r="Y670" s="119"/>
      <c r="Z670" s="197"/>
      <c r="AA670" s="198"/>
      <c r="AB670" s="199"/>
      <c r="AC670" s="119"/>
      <c r="AD670" s="196"/>
      <c r="AE670" s="200"/>
      <c r="AF670" s="201"/>
      <c r="AG670" s="205"/>
      <c r="AH670" s="205"/>
      <c r="AI670" s="205"/>
      <c r="AJ670" s="205"/>
      <c r="AK670" s="126"/>
      <c r="AL670" s="126"/>
    </row>
    <row r="671">
      <c r="A671" s="119"/>
      <c r="B671" s="154"/>
      <c r="C671" s="89"/>
      <c r="D671" s="55"/>
      <c r="E671" s="119"/>
      <c r="F671" s="154"/>
      <c r="G671" s="192"/>
      <c r="H671" s="193"/>
      <c r="I671" s="119"/>
      <c r="J671" s="154"/>
      <c r="K671" s="89"/>
      <c r="L671" s="55"/>
      <c r="M671" s="119"/>
      <c r="N671" s="194"/>
      <c r="O671" s="89"/>
      <c r="P671" s="55"/>
      <c r="Q671" s="195"/>
      <c r="R671" s="196"/>
      <c r="S671" s="125"/>
      <c r="T671" s="126"/>
      <c r="U671" s="195"/>
      <c r="V671" s="196"/>
      <c r="W671" s="125"/>
      <c r="X671" s="126"/>
      <c r="Y671" s="119"/>
      <c r="Z671" s="197"/>
      <c r="AA671" s="198"/>
      <c r="AB671" s="199"/>
      <c r="AC671" s="119"/>
      <c r="AD671" s="196"/>
      <c r="AE671" s="200"/>
      <c r="AF671" s="201"/>
      <c r="AG671" s="205"/>
      <c r="AH671" s="205"/>
      <c r="AI671" s="205"/>
      <c r="AJ671" s="205"/>
      <c r="AK671" s="126"/>
      <c r="AL671" s="126"/>
    </row>
    <row r="672">
      <c r="A672" s="119"/>
      <c r="B672" s="154"/>
      <c r="C672" s="89"/>
      <c r="D672" s="55"/>
      <c r="E672" s="119"/>
      <c r="F672" s="154"/>
      <c r="G672" s="192"/>
      <c r="H672" s="193"/>
      <c r="I672" s="119"/>
      <c r="J672" s="154"/>
      <c r="K672" s="89"/>
      <c r="L672" s="55"/>
      <c r="M672" s="119"/>
      <c r="N672" s="194"/>
      <c r="O672" s="89"/>
      <c r="P672" s="55"/>
      <c r="Q672" s="195"/>
      <c r="R672" s="196"/>
      <c r="S672" s="125"/>
      <c r="T672" s="126"/>
      <c r="U672" s="195"/>
      <c r="V672" s="196"/>
      <c r="W672" s="125"/>
      <c r="X672" s="126"/>
      <c r="Y672" s="119"/>
      <c r="Z672" s="197"/>
      <c r="AA672" s="198"/>
      <c r="AB672" s="199"/>
      <c r="AC672" s="119"/>
      <c r="AD672" s="196"/>
      <c r="AE672" s="200"/>
      <c r="AF672" s="201"/>
      <c r="AG672" s="205"/>
      <c r="AH672" s="205"/>
      <c r="AI672" s="205"/>
      <c r="AJ672" s="205"/>
      <c r="AK672" s="126"/>
      <c r="AL672" s="126"/>
    </row>
    <row r="673">
      <c r="A673" s="119"/>
      <c r="B673" s="154"/>
      <c r="C673" s="89"/>
      <c r="D673" s="55"/>
      <c r="E673" s="119"/>
      <c r="F673" s="154"/>
      <c r="G673" s="192"/>
      <c r="H673" s="193"/>
      <c r="I673" s="119"/>
      <c r="J673" s="154"/>
      <c r="K673" s="89"/>
      <c r="L673" s="55"/>
      <c r="M673" s="119"/>
      <c r="N673" s="194"/>
      <c r="O673" s="89"/>
      <c r="P673" s="55"/>
      <c r="Q673" s="195"/>
      <c r="R673" s="196"/>
      <c r="S673" s="125"/>
      <c r="T673" s="126"/>
      <c r="U673" s="195"/>
      <c r="V673" s="196"/>
      <c r="W673" s="125"/>
      <c r="X673" s="126"/>
      <c r="Y673" s="119"/>
      <c r="Z673" s="197"/>
      <c r="AA673" s="198"/>
      <c r="AB673" s="199"/>
      <c r="AC673" s="119"/>
      <c r="AD673" s="196"/>
      <c r="AE673" s="200"/>
      <c r="AF673" s="201"/>
      <c r="AG673" s="205"/>
      <c r="AH673" s="205"/>
      <c r="AI673" s="205"/>
      <c r="AJ673" s="205"/>
      <c r="AK673" s="126"/>
      <c r="AL673" s="126"/>
    </row>
    <row r="674">
      <c r="A674" s="119"/>
      <c r="B674" s="154"/>
      <c r="C674" s="89"/>
      <c r="D674" s="55"/>
      <c r="E674" s="119"/>
      <c r="F674" s="154"/>
      <c r="G674" s="192"/>
      <c r="H674" s="193"/>
      <c r="I674" s="119"/>
      <c r="J674" s="154"/>
      <c r="K674" s="89"/>
      <c r="L674" s="55"/>
      <c r="M674" s="119"/>
      <c r="N674" s="194"/>
      <c r="O674" s="89"/>
      <c r="P674" s="55"/>
      <c r="Q674" s="195"/>
      <c r="R674" s="196"/>
      <c r="S674" s="125"/>
      <c r="T674" s="126"/>
      <c r="U674" s="195"/>
      <c r="V674" s="196"/>
      <c r="W674" s="125"/>
      <c r="X674" s="126"/>
      <c r="Y674" s="119"/>
      <c r="Z674" s="197"/>
      <c r="AA674" s="198"/>
      <c r="AB674" s="199"/>
      <c r="AC674" s="119"/>
      <c r="AD674" s="196"/>
      <c r="AE674" s="200"/>
      <c r="AF674" s="201"/>
      <c r="AG674" s="205"/>
      <c r="AH674" s="205"/>
      <c r="AI674" s="205"/>
      <c r="AJ674" s="205"/>
      <c r="AK674" s="126"/>
      <c r="AL674" s="126"/>
    </row>
    <row r="675">
      <c r="A675" s="119"/>
      <c r="B675" s="154"/>
      <c r="C675" s="89"/>
      <c r="D675" s="55"/>
      <c r="E675" s="119"/>
      <c r="F675" s="154"/>
      <c r="G675" s="192"/>
      <c r="H675" s="193"/>
      <c r="I675" s="119"/>
      <c r="J675" s="154"/>
      <c r="K675" s="89"/>
      <c r="L675" s="55"/>
      <c r="M675" s="119"/>
      <c r="N675" s="194"/>
      <c r="O675" s="89"/>
      <c r="P675" s="55"/>
      <c r="Q675" s="195"/>
      <c r="R675" s="196"/>
      <c r="S675" s="125"/>
      <c r="T675" s="126"/>
      <c r="U675" s="195"/>
      <c r="V675" s="196"/>
      <c r="W675" s="125"/>
      <c r="X675" s="126"/>
      <c r="Y675" s="119"/>
      <c r="Z675" s="197"/>
      <c r="AA675" s="198"/>
      <c r="AB675" s="199"/>
      <c r="AC675" s="119"/>
      <c r="AD675" s="196"/>
      <c r="AE675" s="200"/>
      <c r="AF675" s="201"/>
      <c r="AG675" s="205"/>
      <c r="AH675" s="205"/>
      <c r="AI675" s="205"/>
      <c r="AJ675" s="205"/>
      <c r="AK675" s="126"/>
      <c r="AL675" s="126"/>
    </row>
    <row r="676">
      <c r="A676" s="119"/>
      <c r="B676" s="154"/>
      <c r="C676" s="89"/>
      <c r="D676" s="55"/>
      <c r="E676" s="119"/>
      <c r="F676" s="154"/>
      <c r="G676" s="192"/>
      <c r="H676" s="193"/>
      <c r="I676" s="119"/>
      <c r="J676" s="154"/>
      <c r="K676" s="89"/>
      <c r="L676" s="55"/>
      <c r="M676" s="119"/>
      <c r="N676" s="194"/>
      <c r="O676" s="89"/>
      <c r="P676" s="55"/>
      <c r="Q676" s="195"/>
      <c r="R676" s="196"/>
      <c r="S676" s="125"/>
      <c r="T676" s="126"/>
      <c r="U676" s="195"/>
      <c r="V676" s="196"/>
      <c r="W676" s="125"/>
      <c r="X676" s="126"/>
      <c r="Y676" s="119"/>
      <c r="Z676" s="197"/>
      <c r="AA676" s="198"/>
      <c r="AB676" s="199"/>
      <c r="AC676" s="119"/>
      <c r="AD676" s="196"/>
      <c r="AE676" s="200"/>
      <c r="AF676" s="201"/>
      <c r="AG676" s="205"/>
      <c r="AH676" s="205"/>
      <c r="AI676" s="205"/>
      <c r="AJ676" s="205"/>
      <c r="AK676" s="126"/>
      <c r="AL676" s="126"/>
    </row>
    <row r="677">
      <c r="A677" s="119"/>
      <c r="B677" s="154"/>
      <c r="C677" s="89"/>
      <c r="D677" s="55"/>
      <c r="E677" s="119"/>
      <c r="F677" s="154"/>
      <c r="G677" s="192"/>
      <c r="H677" s="193"/>
      <c r="I677" s="119"/>
      <c r="J677" s="154"/>
      <c r="K677" s="89"/>
      <c r="L677" s="55"/>
      <c r="M677" s="119"/>
      <c r="N677" s="194"/>
      <c r="O677" s="89"/>
      <c r="P677" s="55"/>
      <c r="Q677" s="195"/>
      <c r="R677" s="196"/>
      <c r="S677" s="125"/>
      <c r="T677" s="126"/>
      <c r="U677" s="195"/>
      <c r="V677" s="196"/>
      <c r="W677" s="125"/>
      <c r="X677" s="126"/>
      <c r="Y677" s="119"/>
      <c r="Z677" s="197"/>
      <c r="AA677" s="198"/>
      <c r="AB677" s="199"/>
      <c r="AC677" s="119"/>
      <c r="AD677" s="196"/>
      <c r="AE677" s="200"/>
      <c r="AF677" s="201"/>
      <c r="AG677" s="205"/>
      <c r="AH677" s="205"/>
      <c r="AI677" s="205"/>
      <c r="AJ677" s="205"/>
      <c r="AK677" s="126"/>
      <c r="AL677" s="126"/>
    </row>
    <row r="678">
      <c r="A678" s="119"/>
      <c r="B678" s="154"/>
      <c r="C678" s="89"/>
      <c r="D678" s="55"/>
      <c r="E678" s="119"/>
      <c r="F678" s="154"/>
      <c r="G678" s="192"/>
      <c r="H678" s="193"/>
      <c r="I678" s="119"/>
      <c r="J678" s="154"/>
      <c r="K678" s="89"/>
      <c r="L678" s="55"/>
      <c r="M678" s="119"/>
      <c r="N678" s="194"/>
      <c r="O678" s="89"/>
      <c r="P678" s="55"/>
      <c r="Q678" s="195"/>
      <c r="R678" s="196"/>
      <c r="S678" s="125"/>
      <c r="T678" s="126"/>
      <c r="U678" s="195"/>
      <c r="V678" s="196"/>
      <c r="W678" s="125"/>
      <c r="X678" s="126"/>
      <c r="Y678" s="119"/>
      <c r="Z678" s="197"/>
      <c r="AA678" s="198"/>
      <c r="AB678" s="199"/>
      <c r="AC678" s="119"/>
      <c r="AD678" s="196"/>
      <c r="AE678" s="200"/>
      <c r="AF678" s="201"/>
      <c r="AG678" s="205"/>
      <c r="AH678" s="205"/>
      <c r="AI678" s="205"/>
      <c r="AJ678" s="205"/>
      <c r="AK678" s="126"/>
      <c r="AL678" s="126"/>
    </row>
    <row r="679">
      <c r="A679" s="119"/>
      <c r="B679" s="154"/>
      <c r="C679" s="89"/>
      <c r="D679" s="55"/>
      <c r="E679" s="119"/>
      <c r="F679" s="154"/>
      <c r="G679" s="192"/>
      <c r="H679" s="193"/>
      <c r="I679" s="119"/>
      <c r="J679" s="154"/>
      <c r="K679" s="89"/>
      <c r="L679" s="55"/>
      <c r="M679" s="119"/>
      <c r="N679" s="194"/>
      <c r="O679" s="89"/>
      <c r="P679" s="55"/>
      <c r="Q679" s="195"/>
      <c r="R679" s="196"/>
      <c r="S679" s="125"/>
      <c r="T679" s="126"/>
      <c r="U679" s="195"/>
      <c r="V679" s="196"/>
      <c r="W679" s="125"/>
      <c r="X679" s="126"/>
      <c r="Y679" s="119"/>
      <c r="Z679" s="197"/>
      <c r="AA679" s="198"/>
      <c r="AB679" s="199"/>
      <c r="AC679" s="119"/>
      <c r="AD679" s="196"/>
      <c r="AE679" s="200"/>
      <c r="AF679" s="201"/>
      <c r="AG679" s="205"/>
      <c r="AH679" s="205"/>
      <c r="AI679" s="205"/>
      <c r="AJ679" s="205"/>
      <c r="AK679" s="126"/>
      <c r="AL679" s="126"/>
    </row>
    <row r="680">
      <c r="A680" s="119"/>
      <c r="B680" s="154"/>
      <c r="C680" s="89"/>
      <c r="D680" s="55"/>
      <c r="E680" s="119"/>
      <c r="F680" s="154"/>
      <c r="G680" s="192"/>
      <c r="H680" s="193"/>
      <c r="I680" s="119"/>
      <c r="J680" s="154"/>
      <c r="K680" s="89"/>
      <c r="L680" s="55"/>
      <c r="M680" s="119"/>
      <c r="N680" s="194"/>
      <c r="O680" s="89"/>
      <c r="P680" s="55"/>
      <c r="Q680" s="195"/>
      <c r="R680" s="196"/>
      <c r="S680" s="125"/>
      <c r="T680" s="126"/>
      <c r="U680" s="195"/>
      <c r="V680" s="196"/>
      <c r="W680" s="125"/>
      <c r="X680" s="126"/>
      <c r="Y680" s="119"/>
      <c r="Z680" s="197"/>
      <c r="AA680" s="198"/>
      <c r="AB680" s="199"/>
      <c r="AC680" s="119"/>
      <c r="AD680" s="196"/>
      <c r="AE680" s="200"/>
      <c r="AF680" s="201"/>
      <c r="AG680" s="205"/>
      <c r="AH680" s="205"/>
      <c r="AI680" s="205"/>
      <c r="AJ680" s="205"/>
      <c r="AK680" s="126"/>
      <c r="AL680" s="126"/>
    </row>
    <row r="681">
      <c r="A681" s="119"/>
      <c r="B681" s="154"/>
      <c r="C681" s="89"/>
      <c r="D681" s="55"/>
      <c r="E681" s="119"/>
      <c r="F681" s="154"/>
      <c r="G681" s="192"/>
      <c r="H681" s="193"/>
      <c r="I681" s="119"/>
      <c r="J681" s="154"/>
      <c r="K681" s="89"/>
      <c r="L681" s="55"/>
      <c r="M681" s="119"/>
      <c r="N681" s="194"/>
      <c r="O681" s="89"/>
      <c r="P681" s="55"/>
      <c r="Q681" s="195"/>
      <c r="R681" s="196"/>
      <c r="S681" s="125"/>
      <c r="T681" s="126"/>
      <c r="U681" s="195"/>
      <c r="V681" s="196"/>
      <c r="W681" s="125"/>
      <c r="X681" s="126"/>
      <c r="Y681" s="119"/>
      <c r="Z681" s="197"/>
      <c r="AA681" s="198"/>
      <c r="AB681" s="199"/>
      <c r="AC681" s="119"/>
      <c r="AD681" s="196"/>
      <c r="AE681" s="200"/>
      <c r="AF681" s="201"/>
      <c r="AG681" s="205"/>
      <c r="AH681" s="205"/>
      <c r="AI681" s="205"/>
      <c r="AJ681" s="205"/>
      <c r="AK681" s="126"/>
      <c r="AL681" s="126"/>
    </row>
    <row r="682">
      <c r="A682" s="119"/>
      <c r="B682" s="154"/>
      <c r="C682" s="89"/>
      <c r="D682" s="55"/>
      <c r="E682" s="119"/>
      <c r="F682" s="154"/>
      <c r="G682" s="192"/>
      <c r="H682" s="193"/>
      <c r="I682" s="119"/>
      <c r="J682" s="154"/>
      <c r="K682" s="89"/>
      <c r="L682" s="55"/>
      <c r="M682" s="119"/>
      <c r="N682" s="194"/>
      <c r="O682" s="89"/>
      <c r="P682" s="55"/>
      <c r="Q682" s="195"/>
      <c r="R682" s="196"/>
      <c r="S682" s="125"/>
      <c r="T682" s="126"/>
      <c r="U682" s="195"/>
      <c r="V682" s="196"/>
      <c r="W682" s="125"/>
      <c r="X682" s="126"/>
      <c r="Y682" s="119"/>
      <c r="Z682" s="197"/>
      <c r="AA682" s="198"/>
      <c r="AB682" s="199"/>
      <c r="AC682" s="119"/>
      <c r="AD682" s="196"/>
      <c r="AE682" s="200"/>
      <c r="AF682" s="201"/>
      <c r="AG682" s="205"/>
      <c r="AH682" s="205"/>
      <c r="AI682" s="205"/>
      <c r="AJ682" s="205"/>
      <c r="AK682" s="126"/>
      <c r="AL682" s="126"/>
    </row>
    <row r="683">
      <c r="A683" s="119"/>
      <c r="B683" s="154"/>
      <c r="C683" s="89"/>
      <c r="D683" s="55"/>
      <c r="E683" s="119"/>
      <c r="F683" s="154"/>
      <c r="G683" s="192"/>
      <c r="H683" s="193"/>
      <c r="I683" s="119"/>
      <c r="J683" s="154"/>
      <c r="K683" s="89"/>
      <c r="L683" s="55"/>
      <c r="M683" s="119"/>
      <c r="N683" s="194"/>
      <c r="O683" s="89"/>
      <c r="P683" s="55"/>
      <c r="Q683" s="195"/>
      <c r="R683" s="196"/>
      <c r="S683" s="125"/>
      <c r="T683" s="126"/>
      <c r="U683" s="195"/>
      <c r="V683" s="196"/>
      <c r="W683" s="125"/>
      <c r="X683" s="126"/>
      <c r="Y683" s="119"/>
      <c r="Z683" s="197"/>
      <c r="AA683" s="198"/>
      <c r="AB683" s="199"/>
      <c r="AC683" s="119"/>
      <c r="AD683" s="196"/>
      <c r="AE683" s="200"/>
      <c r="AF683" s="201"/>
      <c r="AG683" s="205"/>
      <c r="AH683" s="205"/>
      <c r="AI683" s="205"/>
      <c r="AJ683" s="205"/>
      <c r="AK683" s="126"/>
      <c r="AL683" s="126"/>
    </row>
    <row r="684">
      <c r="A684" s="119"/>
      <c r="B684" s="154"/>
      <c r="C684" s="89"/>
      <c r="D684" s="55"/>
      <c r="E684" s="119"/>
      <c r="F684" s="154"/>
      <c r="G684" s="192"/>
      <c r="H684" s="193"/>
      <c r="I684" s="119"/>
      <c r="J684" s="154"/>
      <c r="K684" s="89"/>
      <c r="L684" s="55"/>
      <c r="M684" s="119"/>
      <c r="N684" s="194"/>
      <c r="O684" s="89"/>
      <c r="P684" s="55"/>
      <c r="Q684" s="195"/>
      <c r="R684" s="196"/>
      <c r="S684" s="125"/>
      <c r="T684" s="126"/>
      <c r="U684" s="195"/>
      <c r="V684" s="196"/>
      <c r="W684" s="125"/>
      <c r="X684" s="126"/>
      <c r="Y684" s="119"/>
      <c r="Z684" s="197"/>
      <c r="AA684" s="198"/>
      <c r="AB684" s="199"/>
      <c r="AC684" s="119"/>
      <c r="AD684" s="196"/>
      <c r="AE684" s="200"/>
      <c r="AF684" s="201"/>
      <c r="AG684" s="205"/>
      <c r="AH684" s="205"/>
      <c r="AI684" s="205"/>
      <c r="AJ684" s="205"/>
      <c r="AK684" s="126"/>
      <c r="AL684" s="126"/>
    </row>
    <row r="685">
      <c r="A685" s="119"/>
      <c r="B685" s="154"/>
      <c r="C685" s="89"/>
      <c r="D685" s="55"/>
      <c r="E685" s="119"/>
      <c r="F685" s="154"/>
      <c r="G685" s="192"/>
      <c r="H685" s="193"/>
      <c r="I685" s="119"/>
      <c r="J685" s="154"/>
      <c r="K685" s="89"/>
      <c r="L685" s="55"/>
      <c r="M685" s="119"/>
      <c r="N685" s="194"/>
      <c r="O685" s="89"/>
      <c r="P685" s="55"/>
      <c r="Q685" s="195"/>
      <c r="R685" s="196"/>
      <c r="S685" s="125"/>
      <c r="T685" s="126"/>
      <c r="U685" s="195"/>
      <c r="V685" s="196"/>
      <c r="W685" s="125"/>
      <c r="X685" s="126"/>
      <c r="Y685" s="119"/>
      <c r="Z685" s="197"/>
      <c r="AA685" s="198"/>
      <c r="AB685" s="199"/>
      <c r="AC685" s="119"/>
      <c r="AD685" s="196"/>
      <c r="AE685" s="200"/>
      <c r="AF685" s="201"/>
      <c r="AG685" s="205"/>
      <c r="AH685" s="205"/>
      <c r="AI685" s="205"/>
      <c r="AJ685" s="205"/>
      <c r="AK685" s="126"/>
      <c r="AL685" s="126"/>
    </row>
    <row r="686">
      <c r="A686" s="119"/>
      <c r="B686" s="154"/>
      <c r="C686" s="89"/>
      <c r="D686" s="55"/>
      <c r="E686" s="119"/>
      <c r="F686" s="154"/>
      <c r="G686" s="192"/>
      <c r="H686" s="193"/>
      <c r="I686" s="119"/>
      <c r="J686" s="154"/>
      <c r="K686" s="89"/>
      <c r="L686" s="55"/>
      <c r="M686" s="119"/>
      <c r="N686" s="194"/>
      <c r="O686" s="89"/>
      <c r="P686" s="55"/>
      <c r="Q686" s="195"/>
      <c r="R686" s="196"/>
      <c r="S686" s="125"/>
      <c r="T686" s="126"/>
      <c r="U686" s="195"/>
      <c r="V686" s="196"/>
      <c r="W686" s="125"/>
      <c r="X686" s="126"/>
      <c r="Y686" s="119"/>
      <c r="Z686" s="197"/>
      <c r="AA686" s="198"/>
      <c r="AB686" s="199"/>
      <c r="AC686" s="119"/>
      <c r="AD686" s="196"/>
      <c r="AE686" s="200"/>
      <c r="AF686" s="201"/>
      <c r="AG686" s="205"/>
      <c r="AH686" s="205"/>
      <c r="AI686" s="205"/>
      <c r="AJ686" s="205"/>
      <c r="AK686" s="126"/>
      <c r="AL686" s="126"/>
    </row>
    <row r="687">
      <c r="A687" s="119"/>
      <c r="B687" s="154"/>
      <c r="C687" s="89"/>
      <c r="D687" s="55"/>
      <c r="E687" s="119"/>
      <c r="F687" s="154"/>
      <c r="G687" s="192"/>
      <c r="H687" s="193"/>
      <c r="I687" s="119"/>
      <c r="J687" s="154"/>
      <c r="K687" s="89"/>
      <c r="L687" s="55"/>
      <c r="M687" s="119"/>
      <c r="N687" s="194"/>
      <c r="O687" s="89"/>
      <c r="P687" s="55"/>
      <c r="Q687" s="195"/>
      <c r="R687" s="196"/>
      <c r="S687" s="125"/>
      <c r="T687" s="126"/>
      <c r="U687" s="195"/>
      <c r="V687" s="196"/>
      <c r="W687" s="125"/>
      <c r="X687" s="126"/>
      <c r="Y687" s="119"/>
      <c r="Z687" s="197"/>
      <c r="AA687" s="198"/>
      <c r="AB687" s="199"/>
      <c r="AC687" s="119"/>
      <c r="AD687" s="196"/>
      <c r="AE687" s="200"/>
      <c r="AF687" s="201"/>
      <c r="AG687" s="205"/>
      <c r="AH687" s="205"/>
      <c r="AI687" s="205"/>
      <c r="AJ687" s="205"/>
      <c r="AK687" s="126"/>
      <c r="AL687" s="126"/>
    </row>
    <row r="688">
      <c r="A688" s="119"/>
      <c r="B688" s="154"/>
      <c r="C688" s="89"/>
      <c r="D688" s="55"/>
      <c r="E688" s="119"/>
      <c r="F688" s="154"/>
      <c r="G688" s="192"/>
      <c r="H688" s="193"/>
      <c r="I688" s="119"/>
      <c r="J688" s="154"/>
      <c r="K688" s="89"/>
      <c r="L688" s="55"/>
      <c r="M688" s="119"/>
      <c r="N688" s="194"/>
      <c r="O688" s="89"/>
      <c r="P688" s="55"/>
      <c r="Q688" s="195"/>
      <c r="R688" s="196"/>
      <c r="S688" s="125"/>
      <c r="T688" s="126"/>
      <c r="U688" s="195"/>
      <c r="V688" s="196"/>
      <c r="W688" s="125"/>
      <c r="X688" s="126"/>
      <c r="Y688" s="119"/>
      <c r="Z688" s="197"/>
      <c r="AA688" s="198"/>
      <c r="AB688" s="199"/>
      <c r="AC688" s="119"/>
      <c r="AD688" s="196"/>
      <c r="AE688" s="200"/>
      <c r="AF688" s="201"/>
      <c r="AG688" s="205"/>
      <c r="AH688" s="205"/>
      <c r="AI688" s="205"/>
      <c r="AJ688" s="205"/>
      <c r="AK688" s="126"/>
      <c r="AL688" s="126"/>
    </row>
    <row r="689">
      <c r="A689" s="119"/>
      <c r="B689" s="154"/>
      <c r="C689" s="89"/>
      <c r="D689" s="55"/>
      <c r="E689" s="119"/>
      <c r="F689" s="154"/>
      <c r="G689" s="192"/>
      <c r="H689" s="193"/>
      <c r="I689" s="119"/>
      <c r="J689" s="154"/>
      <c r="K689" s="89"/>
      <c r="L689" s="55"/>
      <c r="M689" s="119"/>
      <c r="N689" s="194"/>
      <c r="O689" s="89"/>
      <c r="P689" s="55"/>
      <c r="Q689" s="195"/>
      <c r="R689" s="196"/>
      <c r="S689" s="125"/>
      <c r="T689" s="126"/>
      <c r="U689" s="195"/>
      <c r="V689" s="196"/>
      <c r="W689" s="125"/>
      <c r="X689" s="126"/>
      <c r="Y689" s="119"/>
      <c r="Z689" s="197"/>
      <c r="AA689" s="198"/>
      <c r="AB689" s="199"/>
      <c r="AC689" s="119"/>
      <c r="AD689" s="196"/>
      <c r="AE689" s="200"/>
      <c r="AF689" s="201"/>
      <c r="AG689" s="205"/>
      <c r="AH689" s="205"/>
      <c r="AI689" s="205"/>
      <c r="AJ689" s="205"/>
      <c r="AK689" s="126"/>
      <c r="AL689" s="126"/>
    </row>
    <row r="690">
      <c r="A690" s="119"/>
      <c r="B690" s="154"/>
      <c r="C690" s="89"/>
      <c r="D690" s="55"/>
      <c r="E690" s="119"/>
      <c r="F690" s="154"/>
      <c r="G690" s="192"/>
      <c r="H690" s="193"/>
      <c r="I690" s="119"/>
      <c r="J690" s="154"/>
      <c r="K690" s="89"/>
      <c r="L690" s="55"/>
      <c r="M690" s="119"/>
      <c r="N690" s="194"/>
      <c r="O690" s="89"/>
      <c r="P690" s="55"/>
      <c r="Q690" s="195"/>
      <c r="R690" s="196"/>
      <c r="S690" s="125"/>
      <c r="T690" s="126"/>
      <c r="U690" s="195"/>
      <c r="V690" s="196"/>
      <c r="W690" s="125"/>
      <c r="X690" s="126"/>
      <c r="Y690" s="119"/>
      <c r="Z690" s="197"/>
      <c r="AA690" s="198"/>
      <c r="AB690" s="199"/>
      <c r="AC690" s="119"/>
      <c r="AD690" s="196"/>
      <c r="AE690" s="200"/>
      <c r="AF690" s="201"/>
      <c r="AG690" s="205"/>
      <c r="AH690" s="205"/>
      <c r="AI690" s="205"/>
      <c r="AJ690" s="205"/>
      <c r="AK690" s="126"/>
      <c r="AL690" s="126"/>
    </row>
    <row r="691">
      <c r="A691" s="119"/>
      <c r="B691" s="154"/>
      <c r="C691" s="89"/>
      <c r="D691" s="55"/>
      <c r="E691" s="119"/>
      <c r="F691" s="154"/>
      <c r="G691" s="192"/>
      <c r="H691" s="193"/>
      <c r="I691" s="119"/>
      <c r="J691" s="154"/>
      <c r="K691" s="89"/>
      <c r="L691" s="55"/>
      <c r="M691" s="119"/>
      <c r="N691" s="194"/>
      <c r="O691" s="89"/>
      <c r="P691" s="55"/>
      <c r="Q691" s="195"/>
      <c r="R691" s="196"/>
      <c r="S691" s="125"/>
      <c r="T691" s="126"/>
      <c r="U691" s="195"/>
      <c r="V691" s="196"/>
      <c r="W691" s="125"/>
      <c r="X691" s="126"/>
      <c r="Y691" s="119"/>
      <c r="Z691" s="197"/>
      <c r="AA691" s="198"/>
      <c r="AB691" s="199"/>
      <c r="AC691" s="119"/>
      <c r="AD691" s="196"/>
      <c r="AE691" s="200"/>
      <c r="AF691" s="201"/>
      <c r="AG691" s="205"/>
      <c r="AH691" s="205"/>
      <c r="AI691" s="205"/>
      <c r="AJ691" s="205"/>
      <c r="AK691" s="126"/>
      <c r="AL691" s="126"/>
    </row>
    <row r="692">
      <c r="A692" s="119"/>
      <c r="B692" s="154"/>
      <c r="C692" s="89"/>
      <c r="D692" s="55"/>
      <c r="E692" s="119"/>
      <c r="F692" s="154"/>
      <c r="G692" s="192"/>
      <c r="H692" s="193"/>
      <c r="I692" s="119"/>
      <c r="J692" s="154"/>
      <c r="K692" s="89"/>
      <c r="L692" s="55"/>
      <c r="M692" s="119"/>
      <c r="N692" s="194"/>
      <c r="O692" s="89"/>
      <c r="P692" s="55"/>
      <c r="Q692" s="195"/>
      <c r="R692" s="196"/>
      <c r="S692" s="125"/>
      <c r="T692" s="126"/>
      <c r="U692" s="195"/>
      <c r="V692" s="196"/>
      <c r="W692" s="125"/>
      <c r="X692" s="126"/>
      <c r="Y692" s="119"/>
      <c r="Z692" s="197"/>
      <c r="AA692" s="198"/>
      <c r="AB692" s="199"/>
      <c r="AC692" s="119"/>
      <c r="AD692" s="196"/>
      <c r="AE692" s="200"/>
      <c r="AF692" s="201"/>
      <c r="AG692" s="205"/>
      <c r="AH692" s="205"/>
      <c r="AI692" s="205"/>
      <c r="AJ692" s="205"/>
      <c r="AK692" s="126"/>
      <c r="AL692" s="126"/>
    </row>
    <row r="693">
      <c r="A693" s="119"/>
      <c r="B693" s="154"/>
      <c r="C693" s="89"/>
      <c r="D693" s="55"/>
      <c r="E693" s="119"/>
      <c r="F693" s="154"/>
      <c r="G693" s="192"/>
      <c r="H693" s="193"/>
      <c r="I693" s="119"/>
      <c r="J693" s="154"/>
      <c r="K693" s="89"/>
      <c r="L693" s="55"/>
      <c r="M693" s="119"/>
      <c r="N693" s="194"/>
      <c r="O693" s="89"/>
      <c r="P693" s="55"/>
      <c r="Q693" s="195"/>
      <c r="R693" s="196"/>
      <c r="S693" s="125"/>
      <c r="T693" s="126"/>
      <c r="U693" s="195"/>
      <c r="V693" s="196"/>
      <c r="W693" s="125"/>
      <c r="X693" s="126"/>
      <c r="Y693" s="119"/>
      <c r="Z693" s="197"/>
      <c r="AA693" s="198"/>
      <c r="AB693" s="199"/>
      <c r="AC693" s="119"/>
      <c r="AD693" s="196"/>
      <c r="AE693" s="200"/>
      <c r="AF693" s="201"/>
      <c r="AG693" s="205"/>
      <c r="AH693" s="205"/>
      <c r="AI693" s="205"/>
      <c r="AJ693" s="205"/>
      <c r="AK693" s="126"/>
      <c r="AL693" s="126"/>
    </row>
    <row r="694">
      <c r="A694" s="119"/>
      <c r="B694" s="154"/>
      <c r="C694" s="89"/>
      <c r="D694" s="55"/>
      <c r="E694" s="119"/>
      <c r="F694" s="154"/>
      <c r="G694" s="192"/>
      <c r="H694" s="193"/>
      <c r="I694" s="119"/>
      <c r="J694" s="154"/>
      <c r="K694" s="89"/>
      <c r="L694" s="55"/>
      <c r="M694" s="119"/>
      <c r="N694" s="194"/>
      <c r="O694" s="89"/>
      <c r="P694" s="55"/>
      <c r="Q694" s="195"/>
      <c r="R694" s="196"/>
      <c r="S694" s="125"/>
      <c r="T694" s="126"/>
      <c r="U694" s="195"/>
      <c r="V694" s="196"/>
      <c r="W694" s="125"/>
      <c r="X694" s="126"/>
      <c r="Y694" s="119"/>
      <c r="Z694" s="197"/>
      <c r="AA694" s="198"/>
      <c r="AB694" s="199"/>
      <c r="AC694" s="119"/>
      <c r="AD694" s="196"/>
      <c r="AE694" s="200"/>
      <c r="AF694" s="201"/>
      <c r="AG694" s="205"/>
      <c r="AH694" s="205"/>
      <c r="AI694" s="205"/>
      <c r="AJ694" s="205"/>
      <c r="AK694" s="126"/>
      <c r="AL694" s="126"/>
    </row>
    <row r="695">
      <c r="A695" s="119"/>
      <c r="B695" s="154"/>
      <c r="C695" s="89"/>
      <c r="D695" s="55"/>
      <c r="E695" s="119"/>
      <c r="F695" s="154"/>
      <c r="G695" s="192"/>
      <c r="H695" s="193"/>
      <c r="I695" s="119"/>
      <c r="J695" s="154"/>
      <c r="K695" s="89"/>
      <c r="L695" s="55"/>
      <c r="M695" s="119"/>
      <c r="N695" s="194"/>
      <c r="O695" s="89"/>
      <c r="P695" s="55"/>
      <c r="Q695" s="195"/>
      <c r="R695" s="196"/>
      <c r="S695" s="125"/>
      <c r="T695" s="126"/>
      <c r="U695" s="195"/>
      <c r="V695" s="196"/>
      <c r="W695" s="125"/>
      <c r="X695" s="126"/>
      <c r="Y695" s="119"/>
      <c r="Z695" s="197"/>
      <c r="AA695" s="198"/>
      <c r="AB695" s="199"/>
      <c r="AC695" s="119"/>
      <c r="AD695" s="196"/>
      <c r="AE695" s="200"/>
      <c r="AF695" s="201"/>
      <c r="AG695" s="205"/>
      <c r="AH695" s="205"/>
      <c r="AI695" s="205"/>
      <c r="AJ695" s="205"/>
      <c r="AK695" s="126"/>
      <c r="AL695" s="126"/>
    </row>
    <row r="696">
      <c r="A696" s="119"/>
      <c r="B696" s="154"/>
      <c r="C696" s="89"/>
      <c r="D696" s="55"/>
      <c r="E696" s="119"/>
      <c r="F696" s="154"/>
      <c r="G696" s="192"/>
      <c r="H696" s="193"/>
      <c r="I696" s="119"/>
      <c r="J696" s="154"/>
      <c r="K696" s="89"/>
      <c r="L696" s="55"/>
      <c r="M696" s="119"/>
      <c r="N696" s="194"/>
      <c r="O696" s="89"/>
      <c r="P696" s="55"/>
      <c r="Q696" s="195"/>
      <c r="R696" s="196"/>
      <c r="S696" s="125"/>
      <c r="T696" s="126"/>
      <c r="U696" s="195"/>
      <c r="V696" s="196"/>
      <c r="W696" s="125"/>
      <c r="X696" s="126"/>
      <c r="Y696" s="119"/>
      <c r="Z696" s="197"/>
      <c r="AA696" s="198"/>
      <c r="AB696" s="199"/>
      <c r="AC696" s="119"/>
      <c r="AD696" s="196"/>
      <c r="AE696" s="200"/>
      <c r="AF696" s="201"/>
      <c r="AG696" s="205"/>
      <c r="AH696" s="205"/>
      <c r="AI696" s="205"/>
      <c r="AJ696" s="205"/>
      <c r="AK696" s="126"/>
      <c r="AL696" s="126"/>
    </row>
    <row r="697">
      <c r="A697" s="119"/>
      <c r="B697" s="154"/>
      <c r="C697" s="89"/>
      <c r="D697" s="55"/>
      <c r="E697" s="119"/>
      <c r="F697" s="154"/>
      <c r="G697" s="192"/>
      <c r="H697" s="193"/>
      <c r="I697" s="119"/>
      <c r="J697" s="154"/>
      <c r="K697" s="89"/>
      <c r="L697" s="55"/>
      <c r="M697" s="119"/>
      <c r="N697" s="194"/>
      <c r="O697" s="89"/>
      <c r="P697" s="55"/>
      <c r="Q697" s="195"/>
      <c r="R697" s="196"/>
      <c r="S697" s="125"/>
      <c r="T697" s="126"/>
      <c r="U697" s="195"/>
      <c r="V697" s="196"/>
      <c r="W697" s="125"/>
      <c r="X697" s="126"/>
      <c r="Y697" s="119"/>
      <c r="Z697" s="197"/>
      <c r="AA697" s="198"/>
      <c r="AB697" s="199"/>
      <c r="AC697" s="119"/>
      <c r="AD697" s="196"/>
      <c r="AE697" s="200"/>
      <c r="AF697" s="201"/>
      <c r="AG697" s="205"/>
      <c r="AH697" s="205"/>
      <c r="AI697" s="205"/>
      <c r="AJ697" s="205"/>
      <c r="AK697" s="126"/>
      <c r="AL697" s="126"/>
    </row>
    <row r="698">
      <c r="A698" s="119"/>
      <c r="B698" s="154"/>
      <c r="C698" s="89"/>
      <c r="D698" s="55"/>
      <c r="E698" s="119"/>
      <c r="F698" s="154"/>
      <c r="G698" s="192"/>
      <c r="H698" s="193"/>
      <c r="I698" s="119"/>
      <c r="J698" s="154"/>
      <c r="K698" s="89"/>
      <c r="L698" s="55"/>
      <c r="M698" s="119"/>
      <c r="N698" s="194"/>
      <c r="O698" s="89"/>
      <c r="P698" s="55"/>
      <c r="Q698" s="195"/>
      <c r="R698" s="196"/>
      <c r="S698" s="125"/>
      <c r="T698" s="126"/>
      <c r="U698" s="195"/>
      <c r="V698" s="196"/>
      <c r="W698" s="125"/>
      <c r="X698" s="126"/>
      <c r="Y698" s="119"/>
      <c r="Z698" s="197"/>
      <c r="AA698" s="198"/>
      <c r="AB698" s="199"/>
      <c r="AC698" s="119"/>
      <c r="AD698" s="196"/>
      <c r="AE698" s="200"/>
      <c r="AF698" s="201"/>
      <c r="AG698" s="205"/>
      <c r="AH698" s="205"/>
      <c r="AI698" s="205"/>
      <c r="AJ698" s="205"/>
      <c r="AK698" s="126"/>
      <c r="AL698" s="126"/>
    </row>
    <row r="699">
      <c r="A699" s="119"/>
      <c r="B699" s="154"/>
      <c r="C699" s="89"/>
      <c r="D699" s="55"/>
      <c r="E699" s="119"/>
      <c r="F699" s="154"/>
      <c r="G699" s="192"/>
      <c r="H699" s="193"/>
      <c r="I699" s="119"/>
      <c r="J699" s="154"/>
      <c r="K699" s="89"/>
      <c r="L699" s="55"/>
      <c r="M699" s="119"/>
      <c r="N699" s="194"/>
      <c r="O699" s="89"/>
      <c r="P699" s="55"/>
      <c r="Q699" s="195"/>
      <c r="R699" s="196"/>
      <c r="S699" s="125"/>
      <c r="T699" s="126"/>
      <c r="U699" s="195"/>
      <c r="V699" s="196"/>
      <c r="W699" s="125"/>
      <c r="X699" s="126"/>
      <c r="Y699" s="119"/>
      <c r="Z699" s="197"/>
      <c r="AA699" s="198"/>
      <c r="AB699" s="199"/>
      <c r="AC699" s="119"/>
      <c r="AD699" s="196"/>
      <c r="AE699" s="200"/>
      <c r="AF699" s="201"/>
      <c r="AG699" s="205"/>
      <c r="AH699" s="205"/>
      <c r="AI699" s="205"/>
      <c r="AJ699" s="205"/>
      <c r="AK699" s="126"/>
      <c r="AL699" s="126"/>
    </row>
    <row r="700">
      <c r="A700" s="119"/>
      <c r="B700" s="154"/>
      <c r="C700" s="89"/>
      <c r="D700" s="55"/>
      <c r="E700" s="119"/>
      <c r="F700" s="154"/>
      <c r="G700" s="192"/>
      <c r="H700" s="193"/>
      <c r="I700" s="119"/>
      <c r="J700" s="154"/>
      <c r="K700" s="89"/>
      <c r="L700" s="55"/>
      <c r="M700" s="119"/>
      <c r="N700" s="194"/>
      <c r="O700" s="89"/>
      <c r="P700" s="55"/>
      <c r="Q700" s="195"/>
      <c r="R700" s="196"/>
      <c r="S700" s="125"/>
      <c r="T700" s="126"/>
      <c r="U700" s="195"/>
      <c r="V700" s="196"/>
      <c r="W700" s="125"/>
      <c r="X700" s="126"/>
      <c r="Y700" s="119"/>
      <c r="Z700" s="197"/>
      <c r="AA700" s="198"/>
      <c r="AB700" s="199"/>
      <c r="AC700" s="119"/>
      <c r="AD700" s="196"/>
      <c r="AE700" s="200"/>
      <c r="AF700" s="201"/>
      <c r="AG700" s="205"/>
      <c r="AH700" s="205"/>
      <c r="AI700" s="205"/>
      <c r="AJ700" s="205"/>
      <c r="AK700" s="126"/>
      <c r="AL700" s="126"/>
    </row>
    <row r="701">
      <c r="A701" s="119"/>
      <c r="B701" s="154"/>
      <c r="C701" s="89"/>
      <c r="D701" s="55"/>
      <c r="E701" s="119"/>
      <c r="F701" s="154"/>
      <c r="G701" s="192"/>
      <c r="H701" s="193"/>
      <c r="I701" s="119"/>
      <c r="J701" s="154"/>
      <c r="K701" s="89"/>
      <c r="L701" s="55"/>
      <c r="M701" s="119"/>
      <c r="N701" s="194"/>
      <c r="O701" s="89"/>
      <c r="P701" s="55"/>
      <c r="Q701" s="195"/>
      <c r="R701" s="196"/>
      <c r="S701" s="125"/>
      <c r="T701" s="126"/>
      <c r="U701" s="195"/>
      <c r="V701" s="196"/>
      <c r="W701" s="125"/>
      <c r="X701" s="126"/>
      <c r="Y701" s="119"/>
      <c r="Z701" s="197"/>
      <c r="AA701" s="198"/>
      <c r="AB701" s="199"/>
      <c r="AC701" s="119"/>
      <c r="AD701" s="196"/>
      <c r="AE701" s="200"/>
      <c r="AF701" s="201"/>
      <c r="AG701" s="205"/>
      <c r="AH701" s="205"/>
      <c r="AI701" s="205"/>
      <c r="AJ701" s="205"/>
      <c r="AK701" s="126"/>
      <c r="AL701" s="126"/>
    </row>
    <row r="702">
      <c r="A702" s="119"/>
      <c r="B702" s="154"/>
      <c r="C702" s="89"/>
      <c r="D702" s="55"/>
      <c r="E702" s="119"/>
      <c r="F702" s="154"/>
      <c r="G702" s="192"/>
      <c r="H702" s="193"/>
      <c r="I702" s="119"/>
      <c r="J702" s="154"/>
      <c r="K702" s="89"/>
      <c r="L702" s="55"/>
      <c r="M702" s="119"/>
      <c r="N702" s="194"/>
      <c r="O702" s="89"/>
      <c r="P702" s="55"/>
      <c r="Q702" s="195"/>
      <c r="R702" s="196"/>
      <c r="S702" s="125"/>
      <c r="T702" s="126"/>
      <c r="U702" s="195"/>
      <c r="V702" s="196"/>
      <c r="W702" s="125"/>
      <c r="X702" s="126"/>
      <c r="Y702" s="119"/>
      <c r="Z702" s="197"/>
      <c r="AA702" s="198"/>
      <c r="AB702" s="199"/>
      <c r="AC702" s="119"/>
      <c r="AD702" s="196"/>
      <c r="AE702" s="200"/>
      <c r="AF702" s="201"/>
      <c r="AG702" s="205"/>
      <c r="AH702" s="205"/>
      <c r="AI702" s="205"/>
      <c r="AJ702" s="205"/>
      <c r="AK702" s="126"/>
      <c r="AL702" s="126"/>
    </row>
    <row r="703">
      <c r="A703" s="119"/>
      <c r="B703" s="154"/>
      <c r="C703" s="89"/>
      <c r="D703" s="55"/>
      <c r="E703" s="119"/>
      <c r="F703" s="154"/>
      <c r="G703" s="192"/>
      <c r="H703" s="193"/>
      <c r="I703" s="119"/>
      <c r="J703" s="154"/>
      <c r="K703" s="89"/>
      <c r="L703" s="55"/>
      <c r="M703" s="119"/>
      <c r="N703" s="194"/>
      <c r="O703" s="89"/>
      <c r="P703" s="55"/>
      <c r="Q703" s="195"/>
      <c r="R703" s="196"/>
      <c r="S703" s="125"/>
      <c r="T703" s="126"/>
      <c r="U703" s="195"/>
      <c r="V703" s="196"/>
      <c r="W703" s="125"/>
      <c r="X703" s="126"/>
      <c r="Y703" s="119"/>
      <c r="Z703" s="197"/>
      <c r="AA703" s="198"/>
      <c r="AB703" s="199"/>
      <c r="AC703" s="119"/>
      <c r="AD703" s="196"/>
      <c r="AE703" s="200"/>
      <c r="AF703" s="201"/>
      <c r="AG703" s="205"/>
      <c r="AH703" s="205"/>
      <c r="AI703" s="205"/>
      <c r="AJ703" s="205"/>
      <c r="AK703" s="126"/>
      <c r="AL703" s="126"/>
    </row>
    <row r="704">
      <c r="A704" s="119"/>
      <c r="B704" s="154"/>
      <c r="C704" s="89"/>
      <c r="D704" s="55"/>
      <c r="E704" s="119"/>
      <c r="F704" s="154"/>
      <c r="G704" s="192"/>
      <c r="H704" s="193"/>
      <c r="I704" s="119"/>
      <c r="J704" s="154"/>
      <c r="K704" s="89"/>
      <c r="L704" s="55"/>
      <c r="M704" s="119"/>
      <c r="N704" s="194"/>
      <c r="O704" s="89"/>
      <c r="P704" s="55"/>
      <c r="Q704" s="195"/>
      <c r="R704" s="196"/>
      <c r="S704" s="125"/>
      <c r="T704" s="126"/>
      <c r="U704" s="195"/>
      <c r="V704" s="196"/>
      <c r="W704" s="125"/>
      <c r="X704" s="126"/>
      <c r="Y704" s="119"/>
      <c r="Z704" s="197"/>
      <c r="AA704" s="198"/>
      <c r="AB704" s="199"/>
      <c r="AC704" s="119"/>
      <c r="AD704" s="196"/>
      <c r="AE704" s="200"/>
      <c r="AF704" s="201"/>
      <c r="AG704" s="205"/>
      <c r="AH704" s="205"/>
      <c r="AI704" s="205"/>
      <c r="AJ704" s="205"/>
      <c r="AK704" s="126"/>
      <c r="AL704" s="126"/>
    </row>
    <row r="705">
      <c r="A705" s="119"/>
      <c r="B705" s="154"/>
      <c r="C705" s="89"/>
      <c r="D705" s="55"/>
      <c r="E705" s="119"/>
      <c r="F705" s="154"/>
      <c r="G705" s="192"/>
      <c r="H705" s="193"/>
      <c r="I705" s="119"/>
      <c r="J705" s="154"/>
      <c r="K705" s="89"/>
      <c r="L705" s="55"/>
      <c r="M705" s="119"/>
      <c r="N705" s="194"/>
      <c r="O705" s="89"/>
      <c r="P705" s="55"/>
      <c r="Q705" s="195"/>
      <c r="R705" s="196"/>
      <c r="S705" s="125"/>
      <c r="T705" s="126"/>
      <c r="U705" s="195"/>
      <c r="V705" s="196"/>
      <c r="W705" s="125"/>
      <c r="X705" s="126"/>
      <c r="Y705" s="119"/>
      <c r="Z705" s="197"/>
      <c r="AA705" s="198"/>
      <c r="AB705" s="199"/>
      <c r="AC705" s="119"/>
      <c r="AD705" s="196"/>
      <c r="AE705" s="200"/>
      <c r="AF705" s="201"/>
      <c r="AG705" s="205"/>
      <c r="AH705" s="205"/>
      <c r="AI705" s="205"/>
      <c r="AJ705" s="205"/>
      <c r="AK705" s="126"/>
      <c r="AL705" s="126"/>
    </row>
    <row r="706">
      <c r="A706" s="119"/>
      <c r="B706" s="154"/>
      <c r="C706" s="89"/>
      <c r="D706" s="55"/>
      <c r="E706" s="119"/>
      <c r="F706" s="154"/>
      <c r="G706" s="192"/>
      <c r="H706" s="193"/>
      <c r="I706" s="119"/>
      <c r="J706" s="154"/>
      <c r="K706" s="89"/>
      <c r="L706" s="55"/>
      <c r="M706" s="119"/>
      <c r="N706" s="194"/>
      <c r="O706" s="89"/>
      <c r="P706" s="55"/>
      <c r="Q706" s="195"/>
      <c r="R706" s="196"/>
      <c r="S706" s="125"/>
      <c r="T706" s="126"/>
      <c r="U706" s="195"/>
      <c r="V706" s="196"/>
      <c r="W706" s="125"/>
      <c r="X706" s="126"/>
      <c r="Y706" s="119"/>
      <c r="Z706" s="197"/>
      <c r="AA706" s="198"/>
      <c r="AB706" s="199"/>
      <c r="AC706" s="119"/>
      <c r="AD706" s="196"/>
      <c r="AE706" s="200"/>
      <c r="AF706" s="201"/>
      <c r="AG706" s="205"/>
      <c r="AH706" s="205"/>
      <c r="AI706" s="205"/>
      <c r="AJ706" s="205"/>
      <c r="AK706" s="126"/>
      <c r="AL706" s="126"/>
    </row>
    <row r="707">
      <c r="A707" s="119"/>
      <c r="B707" s="154"/>
      <c r="C707" s="89"/>
      <c r="D707" s="55"/>
      <c r="E707" s="119"/>
      <c r="F707" s="154"/>
      <c r="G707" s="192"/>
      <c r="H707" s="193"/>
      <c r="I707" s="119"/>
      <c r="J707" s="154"/>
      <c r="K707" s="89"/>
      <c r="L707" s="55"/>
      <c r="M707" s="119"/>
      <c r="N707" s="194"/>
      <c r="O707" s="89"/>
      <c r="P707" s="55"/>
      <c r="Q707" s="195"/>
      <c r="R707" s="196"/>
      <c r="S707" s="125"/>
      <c r="T707" s="126"/>
      <c r="U707" s="195"/>
      <c r="V707" s="196"/>
      <c r="W707" s="125"/>
      <c r="X707" s="126"/>
      <c r="Y707" s="119"/>
      <c r="Z707" s="197"/>
      <c r="AA707" s="198"/>
      <c r="AB707" s="199"/>
      <c r="AC707" s="119"/>
      <c r="AD707" s="196"/>
      <c r="AE707" s="200"/>
      <c r="AF707" s="201"/>
      <c r="AG707" s="205"/>
      <c r="AH707" s="205"/>
      <c r="AI707" s="205"/>
      <c r="AJ707" s="205"/>
      <c r="AK707" s="126"/>
      <c r="AL707" s="126"/>
    </row>
    <row r="708">
      <c r="A708" s="119"/>
      <c r="B708" s="154"/>
      <c r="C708" s="89"/>
      <c r="D708" s="55"/>
      <c r="E708" s="119"/>
      <c r="F708" s="154"/>
      <c r="G708" s="192"/>
      <c r="H708" s="193"/>
      <c r="I708" s="119"/>
      <c r="J708" s="154"/>
      <c r="K708" s="89"/>
      <c r="L708" s="55"/>
      <c r="M708" s="119"/>
      <c r="N708" s="194"/>
      <c r="O708" s="89"/>
      <c r="P708" s="55"/>
      <c r="Q708" s="195"/>
      <c r="R708" s="196"/>
      <c r="S708" s="125"/>
      <c r="T708" s="126"/>
      <c r="U708" s="195"/>
      <c r="V708" s="196"/>
      <c r="W708" s="125"/>
      <c r="X708" s="126"/>
      <c r="Y708" s="119"/>
      <c r="Z708" s="197"/>
      <c r="AA708" s="198"/>
      <c r="AB708" s="199"/>
      <c r="AC708" s="119"/>
      <c r="AD708" s="196"/>
      <c r="AE708" s="200"/>
      <c r="AF708" s="201"/>
      <c r="AG708" s="205"/>
      <c r="AH708" s="205"/>
      <c r="AI708" s="205"/>
      <c r="AJ708" s="205"/>
      <c r="AK708" s="126"/>
      <c r="AL708" s="126"/>
    </row>
    <row r="709">
      <c r="A709" s="119"/>
      <c r="B709" s="154"/>
      <c r="C709" s="89"/>
      <c r="D709" s="55"/>
      <c r="E709" s="119"/>
      <c r="F709" s="154"/>
      <c r="G709" s="192"/>
      <c r="H709" s="193"/>
      <c r="I709" s="119"/>
      <c r="J709" s="154"/>
      <c r="K709" s="89"/>
      <c r="L709" s="55"/>
      <c r="M709" s="119"/>
      <c r="N709" s="194"/>
      <c r="O709" s="89"/>
      <c r="P709" s="55"/>
      <c r="Q709" s="195"/>
      <c r="R709" s="196"/>
      <c r="S709" s="125"/>
      <c r="T709" s="126"/>
      <c r="U709" s="195"/>
      <c r="V709" s="196"/>
      <c r="W709" s="125"/>
      <c r="X709" s="126"/>
      <c r="Y709" s="119"/>
      <c r="Z709" s="197"/>
      <c r="AA709" s="198"/>
      <c r="AB709" s="199"/>
      <c r="AC709" s="119"/>
      <c r="AD709" s="196"/>
      <c r="AE709" s="200"/>
      <c r="AF709" s="201"/>
      <c r="AG709" s="205"/>
      <c r="AH709" s="205"/>
      <c r="AI709" s="205"/>
      <c r="AJ709" s="205"/>
      <c r="AK709" s="126"/>
      <c r="AL709" s="126"/>
    </row>
    <row r="710">
      <c r="A710" s="119"/>
      <c r="B710" s="154"/>
      <c r="C710" s="89"/>
      <c r="D710" s="55"/>
      <c r="E710" s="119"/>
      <c r="F710" s="154"/>
      <c r="G710" s="192"/>
      <c r="H710" s="193"/>
      <c r="I710" s="119"/>
      <c r="J710" s="154"/>
      <c r="K710" s="89"/>
      <c r="L710" s="55"/>
      <c r="M710" s="119"/>
      <c r="N710" s="194"/>
      <c r="O710" s="89"/>
      <c r="P710" s="55"/>
      <c r="Q710" s="195"/>
      <c r="R710" s="196"/>
      <c r="S710" s="125"/>
      <c r="T710" s="126"/>
      <c r="U710" s="195"/>
      <c r="V710" s="196"/>
      <c r="W710" s="125"/>
      <c r="X710" s="126"/>
      <c r="Y710" s="119"/>
      <c r="Z710" s="197"/>
      <c r="AA710" s="198"/>
      <c r="AB710" s="199"/>
      <c r="AC710" s="119"/>
      <c r="AD710" s="196"/>
      <c r="AE710" s="200"/>
      <c r="AF710" s="201"/>
      <c r="AG710" s="205"/>
      <c r="AH710" s="205"/>
      <c r="AI710" s="205"/>
      <c r="AJ710" s="205"/>
      <c r="AK710" s="126"/>
      <c r="AL710" s="126"/>
    </row>
    <row r="711">
      <c r="A711" s="119"/>
      <c r="B711" s="154"/>
      <c r="C711" s="89"/>
      <c r="D711" s="55"/>
      <c r="E711" s="119"/>
      <c r="F711" s="154"/>
      <c r="G711" s="192"/>
      <c r="H711" s="193"/>
      <c r="I711" s="119"/>
      <c r="J711" s="154"/>
      <c r="K711" s="89"/>
      <c r="L711" s="55"/>
      <c r="M711" s="119"/>
      <c r="N711" s="194"/>
      <c r="O711" s="89"/>
      <c r="P711" s="55"/>
      <c r="Q711" s="195"/>
      <c r="R711" s="196"/>
      <c r="S711" s="125"/>
      <c r="T711" s="126"/>
      <c r="U711" s="195"/>
      <c r="V711" s="196"/>
      <c r="W711" s="125"/>
      <c r="X711" s="126"/>
      <c r="Y711" s="119"/>
      <c r="Z711" s="197"/>
      <c r="AA711" s="198"/>
      <c r="AB711" s="199"/>
      <c r="AC711" s="119"/>
      <c r="AD711" s="196"/>
      <c r="AE711" s="200"/>
      <c r="AF711" s="201"/>
      <c r="AG711" s="205"/>
      <c r="AH711" s="205"/>
      <c r="AI711" s="205"/>
      <c r="AJ711" s="205"/>
      <c r="AK711" s="126"/>
      <c r="AL711" s="126"/>
    </row>
    <row r="712">
      <c r="A712" s="119"/>
      <c r="B712" s="154"/>
      <c r="C712" s="89"/>
      <c r="D712" s="55"/>
      <c r="E712" s="119"/>
      <c r="F712" s="154"/>
      <c r="G712" s="192"/>
      <c r="H712" s="193"/>
      <c r="I712" s="119"/>
      <c r="J712" s="154"/>
      <c r="K712" s="89"/>
      <c r="L712" s="55"/>
      <c r="M712" s="119"/>
      <c r="N712" s="194"/>
      <c r="O712" s="89"/>
      <c r="P712" s="55"/>
      <c r="Q712" s="195"/>
      <c r="R712" s="196"/>
      <c r="S712" s="125"/>
      <c r="T712" s="126"/>
      <c r="U712" s="195"/>
      <c r="V712" s="196"/>
      <c r="W712" s="125"/>
      <c r="X712" s="126"/>
      <c r="Y712" s="119"/>
      <c r="Z712" s="197"/>
      <c r="AA712" s="198"/>
      <c r="AB712" s="199"/>
      <c r="AC712" s="119"/>
      <c r="AD712" s="196"/>
      <c r="AE712" s="200"/>
      <c r="AF712" s="201"/>
      <c r="AG712" s="205"/>
      <c r="AH712" s="205"/>
      <c r="AI712" s="205"/>
      <c r="AJ712" s="205"/>
      <c r="AK712" s="126"/>
      <c r="AL712" s="126"/>
    </row>
    <row r="713">
      <c r="A713" s="119"/>
      <c r="B713" s="154"/>
      <c r="C713" s="89"/>
      <c r="D713" s="55"/>
      <c r="E713" s="119"/>
      <c r="F713" s="154"/>
      <c r="G713" s="192"/>
      <c r="H713" s="193"/>
      <c r="I713" s="119"/>
      <c r="J713" s="154"/>
      <c r="K713" s="89"/>
      <c r="L713" s="55"/>
      <c r="M713" s="119"/>
      <c r="N713" s="194"/>
      <c r="O713" s="89"/>
      <c r="P713" s="55"/>
      <c r="Q713" s="195"/>
      <c r="R713" s="196"/>
      <c r="S713" s="125"/>
      <c r="T713" s="126"/>
      <c r="U713" s="195"/>
      <c r="V713" s="196"/>
      <c r="W713" s="125"/>
      <c r="X713" s="126"/>
      <c r="Y713" s="119"/>
      <c r="Z713" s="197"/>
      <c r="AA713" s="198"/>
      <c r="AB713" s="199"/>
      <c r="AC713" s="119"/>
      <c r="AD713" s="196"/>
      <c r="AE713" s="200"/>
      <c r="AF713" s="201"/>
      <c r="AG713" s="205"/>
      <c r="AH713" s="205"/>
      <c r="AI713" s="205"/>
      <c r="AJ713" s="205"/>
      <c r="AK713" s="126"/>
      <c r="AL713" s="126"/>
    </row>
    <row r="714">
      <c r="A714" s="119"/>
      <c r="B714" s="154"/>
      <c r="C714" s="89"/>
      <c r="D714" s="55"/>
      <c r="E714" s="119"/>
      <c r="F714" s="154"/>
      <c r="G714" s="192"/>
      <c r="H714" s="193"/>
      <c r="I714" s="119"/>
      <c r="J714" s="154"/>
      <c r="K714" s="89"/>
      <c r="L714" s="55"/>
      <c r="M714" s="119"/>
      <c r="N714" s="194"/>
      <c r="O714" s="89"/>
      <c r="P714" s="55"/>
      <c r="Q714" s="195"/>
      <c r="R714" s="196"/>
      <c r="S714" s="125"/>
      <c r="T714" s="126"/>
      <c r="U714" s="195"/>
      <c r="V714" s="196"/>
      <c r="W714" s="125"/>
      <c r="X714" s="126"/>
      <c r="Y714" s="119"/>
      <c r="Z714" s="197"/>
      <c r="AA714" s="198"/>
      <c r="AB714" s="199"/>
      <c r="AC714" s="119"/>
      <c r="AD714" s="196"/>
      <c r="AE714" s="200"/>
      <c r="AF714" s="201"/>
      <c r="AG714" s="205"/>
      <c r="AH714" s="205"/>
      <c r="AI714" s="205"/>
      <c r="AJ714" s="205"/>
      <c r="AK714" s="126"/>
      <c r="AL714" s="126"/>
    </row>
    <row r="715">
      <c r="A715" s="119"/>
      <c r="B715" s="154"/>
      <c r="C715" s="89"/>
      <c r="D715" s="55"/>
      <c r="E715" s="119"/>
      <c r="F715" s="154"/>
      <c r="G715" s="192"/>
      <c r="H715" s="193"/>
      <c r="I715" s="119"/>
      <c r="J715" s="154"/>
      <c r="K715" s="89"/>
      <c r="L715" s="55"/>
      <c r="M715" s="119"/>
      <c r="N715" s="194"/>
      <c r="O715" s="89"/>
      <c r="P715" s="55"/>
      <c r="Q715" s="195"/>
      <c r="R715" s="196"/>
      <c r="S715" s="125"/>
      <c r="T715" s="126"/>
      <c r="U715" s="195"/>
      <c r="V715" s="196"/>
      <c r="W715" s="125"/>
      <c r="X715" s="126"/>
      <c r="Y715" s="119"/>
      <c r="Z715" s="197"/>
      <c r="AA715" s="198"/>
      <c r="AB715" s="199"/>
      <c r="AC715" s="119"/>
      <c r="AD715" s="196"/>
      <c r="AE715" s="200"/>
      <c r="AF715" s="201"/>
      <c r="AG715" s="205"/>
      <c r="AH715" s="205"/>
      <c r="AI715" s="205"/>
      <c r="AJ715" s="205"/>
      <c r="AK715" s="126"/>
      <c r="AL715" s="126"/>
    </row>
    <row r="716">
      <c r="A716" s="119"/>
      <c r="B716" s="154"/>
      <c r="C716" s="89"/>
      <c r="D716" s="55"/>
      <c r="E716" s="119"/>
      <c r="F716" s="154"/>
      <c r="G716" s="192"/>
      <c r="H716" s="193"/>
      <c r="I716" s="119"/>
      <c r="J716" s="154"/>
      <c r="K716" s="89"/>
      <c r="L716" s="55"/>
      <c r="M716" s="119"/>
      <c r="N716" s="194"/>
      <c r="O716" s="89"/>
      <c r="P716" s="55"/>
      <c r="Q716" s="195"/>
      <c r="R716" s="196"/>
      <c r="S716" s="125"/>
      <c r="T716" s="126"/>
      <c r="U716" s="195"/>
      <c r="V716" s="196"/>
      <c r="W716" s="125"/>
      <c r="X716" s="126"/>
      <c r="Y716" s="119"/>
      <c r="Z716" s="197"/>
      <c r="AA716" s="198"/>
      <c r="AB716" s="199"/>
      <c r="AC716" s="119"/>
      <c r="AD716" s="196"/>
      <c r="AE716" s="200"/>
      <c r="AF716" s="201"/>
      <c r="AG716" s="205"/>
      <c r="AH716" s="205"/>
      <c r="AI716" s="205"/>
      <c r="AJ716" s="205"/>
      <c r="AK716" s="126"/>
      <c r="AL716" s="126"/>
    </row>
    <row r="717">
      <c r="A717" s="119"/>
      <c r="B717" s="154"/>
      <c r="C717" s="89"/>
      <c r="D717" s="55"/>
      <c r="E717" s="119"/>
      <c r="F717" s="154"/>
      <c r="G717" s="192"/>
      <c r="H717" s="193"/>
      <c r="I717" s="119"/>
      <c r="J717" s="154"/>
      <c r="K717" s="89"/>
      <c r="L717" s="55"/>
      <c r="M717" s="119"/>
      <c r="N717" s="194"/>
      <c r="O717" s="89"/>
      <c r="P717" s="55"/>
      <c r="Q717" s="195"/>
      <c r="R717" s="196"/>
      <c r="S717" s="125"/>
      <c r="T717" s="126"/>
      <c r="U717" s="195"/>
      <c r="V717" s="196"/>
      <c r="W717" s="125"/>
      <c r="X717" s="126"/>
      <c r="Y717" s="119"/>
      <c r="Z717" s="197"/>
      <c r="AA717" s="198"/>
      <c r="AB717" s="199"/>
      <c r="AC717" s="119"/>
      <c r="AD717" s="196"/>
      <c r="AE717" s="200"/>
      <c r="AF717" s="201"/>
      <c r="AG717" s="205"/>
      <c r="AH717" s="205"/>
      <c r="AI717" s="205"/>
      <c r="AJ717" s="205"/>
      <c r="AK717" s="126"/>
      <c r="AL717" s="126"/>
    </row>
    <row r="718">
      <c r="A718" s="119"/>
      <c r="B718" s="154"/>
      <c r="C718" s="89"/>
      <c r="D718" s="55"/>
      <c r="E718" s="119"/>
      <c r="F718" s="154"/>
      <c r="G718" s="192"/>
      <c r="H718" s="193"/>
      <c r="I718" s="119"/>
      <c r="J718" s="154"/>
      <c r="K718" s="89"/>
      <c r="L718" s="55"/>
      <c r="M718" s="119"/>
      <c r="N718" s="194"/>
      <c r="O718" s="89"/>
      <c r="P718" s="55"/>
      <c r="Q718" s="195"/>
      <c r="R718" s="196"/>
      <c r="S718" s="125"/>
      <c r="T718" s="126"/>
      <c r="U718" s="195"/>
      <c r="V718" s="196"/>
      <c r="W718" s="125"/>
      <c r="X718" s="126"/>
      <c r="Y718" s="119"/>
      <c r="Z718" s="197"/>
      <c r="AA718" s="198"/>
      <c r="AB718" s="199"/>
      <c r="AC718" s="119"/>
      <c r="AD718" s="196"/>
      <c r="AE718" s="200"/>
      <c r="AF718" s="201"/>
      <c r="AG718" s="205"/>
      <c r="AH718" s="205"/>
      <c r="AI718" s="205"/>
      <c r="AJ718" s="205"/>
      <c r="AK718" s="126"/>
      <c r="AL718" s="126"/>
    </row>
    <row r="719">
      <c r="A719" s="119"/>
      <c r="B719" s="154"/>
      <c r="C719" s="89"/>
      <c r="D719" s="55"/>
      <c r="E719" s="119"/>
      <c r="F719" s="154"/>
      <c r="G719" s="192"/>
      <c r="H719" s="193"/>
      <c r="I719" s="119"/>
      <c r="J719" s="154"/>
      <c r="K719" s="89"/>
      <c r="L719" s="55"/>
      <c r="M719" s="119"/>
      <c r="N719" s="194"/>
      <c r="O719" s="89"/>
      <c r="P719" s="55"/>
      <c r="Q719" s="195"/>
      <c r="R719" s="196"/>
      <c r="S719" s="125"/>
      <c r="T719" s="126"/>
      <c r="U719" s="195"/>
      <c r="V719" s="196"/>
      <c r="W719" s="125"/>
      <c r="X719" s="126"/>
      <c r="Y719" s="119"/>
      <c r="Z719" s="197"/>
      <c r="AA719" s="198"/>
      <c r="AB719" s="199"/>
      <c r="AC719" s="119"/>
      <c r="AD719" s="196"/>
      <c r="AE719" s="200"/>
      <c r="AF719" s="201"/>
      <c r="AG719" s="205"/>
      <c r="AH719" s="205"/>
      <c r="AI719" s="205"/>
      <c r="AJ719" s="205"/>
      <c r="AK719" s="126"/>
      <c r="AL719" s="126"/>
    </row>
    <row r="720">
      <c r="A720" s="119"/>
      <c r="B720" s="154"/>
      <c r="C720" s="89"/>
      <c r="D720" s="55"/>
      <c r="E720" s="119"/>
      <c r="F720" s="154"/>
      <c r="G720" s="192"/>
      <c r="H720" s="193"/>
      <c r="I720" s="119"/>
      <c r="J720" s="154"/>
      <c r="K720" s="89"/>
      <c r="L720" s="55"/>
      <c r="M720" s="119"/>
      <c r="N720" s="194"/>
      <c r="O720" s="89"/>
      <c r="P720" s="55"/>
      <c r="Q720" s="195"/>
      <c r="R720" s="196"/>
      <c r="S720" s="125"/>
      <c r="T720" s="126"/>
      <c r="U720" s="195"/>
      <c r="V720" s="196"/>
      <c r="W720" s="125"/>
      <c r="X720" s="126"/>
      <c r="Y720" s="119"/>
      <c r="Z720" s="197"/>
      <c r="AA720" s="198"/>
      <c r="AB720" s="199"/>
      <c r="AC720" s="119"/>
      <c r="AD720" s="196"/>
      <c r="AE720" s="200"/>
      <c r="AF720" s="201"/>
      <c r="AG720" s="205"/>
      <c r="AH720" s="205"/>
      <c r="AI720" s="205"/>
      <c r="AJ720" s="205"/>
      <c r="AK720" s="126"/>
      <c r="AL720" s="126"/>
    </row>
    <row r="721">
      <c r="A721" s="119"/>
      <c r="B721" s="154"/>
      <c r="C721" s="89"/>
      <c r="D721" s="55"/>
      <c r="E721" s="119"/>
      <c r="F721" s="154"/>
      <c r="G721" s="192"/>
      <c r="H721" s="193"/>
      <c r="I721" s="119"/>
      <c r="J721" s="154"/>
      <c r="K721" s="89"/>
      <c r="L721" s="55"/>
      <c r="M721" s="119"/>
      <c r="N721" s="194"/>
      <c r="O721" s="89"/>
      <c r="P721" s="55"/>
      <c r="Q721" s="195"/>
      <c r="R721" s="196"/>
      <c r="S721" s="125"/>
      <c r="T721" s="126"/>
      <c r="U721" s="195"/>
      <c r="V721" s="196"/>
      <c r="W721" s="125"/>
      <c r="X721" s="126"/>
      <c r="Y721" s="119"/>
      <c r="Z721" s="197"/>
      <c r="AA721" s="198"/>
      <c r="AB721" s="199"/>
      <c r="AC721" s="119"/>
      <c r="AD721" s="196"/>
      <c r="AE721" s="200"/>
      <c r="AF721" s="201"/>
      <c r="AG721" s="205"/>
      <c r="AH721" s="205"/>
      <c r="AI721" s="205"/>
      <c r="AJ721" s="205"/>
      <c r="AK721" s="126"/>
      <c r="AL721" s="126"/>
    </row>
    <row r="722">
      <c r="A722" s="119"/>
      <c r="B722" s="154"/>
      <c r="C722" s="89"/>
      <c r="D722" s="55"/>
      <c r="E722" s="119"/>
      <c r="F722" s="154"/>
      <c r="G722" s="192"/>
      <c r="H722" s="193"/>
      <c r="I722" s="119"/>
      <c r="J722" s="154"/>
      <c r="K722" s="89"/>
      <c r="L722" s="55"/>
      <c r="M722" s="119"/>
      <c r="N722" s="194"/>
      <c r="O722" s="89"/>
      <c r="P722" s="55"/>
      <c r="Q722" s="195"/>
      <c r="R722" s="196"/>
      <c r="S722" s="125"/>
      <c r="T722" s="126"/>
      <c r="U722" s="195"/>
      <c r="V722" s="196"/>
      <c r="W722" s="125"/>
      <c r="X722" s="126"/>
      <c r="Y722" s="119"/>
      <c r="Z722" s="197"/>
      <c r="AA722" s="198"/>
      <c r="AB722" s="199"/>
      <c r="AC722" s="119"/>
      <c r="AD722" s="196"/>
      <c r="AE722" s="200"/>
      <c r="AF722" s="201"/>
      <c r="AG722" s="205"/>
      <c r="AH722" s="205"/>
      <c r="AI722" s="205"/>
      <c r="AJ722" s="205"/>
      <c r="AK722" s="126"/>
      <c r="AL722" s="126"/>
    </row>
    <row r="723">
      <c r="A723" s="119"/>
      <c r="B723" s="154"/>
      <c r="C723" s="89"/>
      <c r="D723" s="55"/>
      <c r="E723" s="119"/>
      <c r="F723" s="154"/>
      <c r="G723" s="192"/>
      <c r="H723" s="193"/>
      <c r="I723" s="119"/>
      <c r="J723" s="154"/>
      <c r="K723" s="89"/>
      <c r="L723" s="55"/>
      <c r="M723" s="119"/>
      <c r="N723" s="194"/>
      <c r="O723" s="89"/>
      <c r="P723" s="55"/>
      <c r="Q723" s="195"/>
      <c r="R723" s="196"/>
      <c r="S723" s="125"/>
      <c r="T723" s="126"/>
      <c r="U723" s="195"/>
      <c r="V723" s="196"/>
      <c r="W723" s="125"/>
      <c r="X723" s="126"/>
      <c r="Y723" s="119"/>
      <c r="Z723" s="197"/>
      <c r="AA723" s="198"/>
      <c r="AB723" s="199"/>
      <c r="AC723" s="119"/>
      <c r="AD723" s="196"/>
      <c r="AE723" s="200"/>
      <c r="AF723" s="201"/>
      <c r="AG723" s="205"/>
      <c r="AH723" s="205"/>
      <c r="AI723" s="205"/>
      <c r="AJ723" s="205"/>
      <c r="AK723" s="126"/>
      <c r="AL723" s="126"/>
    </row>
    <row r="724">
      <c r="A724" s="119"/>
      <c r="B724" s="154"/>
      <c r="C724" s="89"/>
      <c r="D724" s="55"/>
      <c r="E724" s="119"/>
      <c r="F724" s="154"/>
      <c r="G724" s="192"/>
      <c r="H724" s="193"/>
      <c r="I724" s="119"/>
      <c r="J724" s="154"/>
      <c r="K724" s="89"/>
      <c r="L724" s="55"/>
      <c r="M724" s="119"/>
      <c r="N724" s="194"/>
      <c r="O724" s="89"/>
      <c r="P724" s="55"/>
      <c r="Q724" s="195"/>
      <c r="R724" s="196"/>
      <c r="S724" s="125"/>
      <c r="T724" s="126"/>
      <c r="U724" s="195"/>
      <c r="V724" s="196"/>
      <c r="W724" s="125"/>
      <c r="X724" s="126"/>
      <c r="Y724" s="119"/>
      <c r="Z724" s="197"/>
      <c r="AA724" s="198"/>
      <c r="AB724" s="199"/>
      <c r="AC724" s="119"/>
      <c r="AD724" s="196"/>
      <c r="AE724" s="200"/>
      <c r="AF724" s="201"/>
      <c r="AG724" s="205"/>
      <c r="AH724" s="205"/>
      <c r="AI724" s="205"/>
      <c r="AJ724" s="205"/>
      <c r="AK724" s="126"/>
      <c r="AL724" s="126"/>
    </row>
    <row r="725">
      <c r="A725" s="119"/>
      <c r="B725" s="154"/>
      <c r="C725" s="89"/>
      <c r="D725" s="55"/>
      <c r="E725" s="119"/>
      <c r="F725" s="154"/>
      <c r="G725" s="192"/>
      <c r="H725" s="193"/>
      <c r="I725" s="119"/>
      <c r="J725" s="154"/>
      <c r="K725" s="89"/>
      <c r="L725" s="55"/>
      <c r="M725" s="119"/>
      <c r="N725" s="194"/>
      <c r="O725" s="89"/>
      <c r="P725" s="55"/>
      <c r="Q725" s="195"/>
      <c r="R725" s="196"/>
      <c r="S725" s="125"/>
      <c r="T725" s="126"/>
      <c r="U725" s="195"/>
      <c r="V725" s="196"/>
      <c r="W725" s="125"/>
      <c r="X725" s="126"/>
      <c r="Y725" s="119"/>
      <c r="Z725" s="197"/>
      <c r="AA725" s="198"/>
      <c r="AB725" s="199"/>
      <c r="AC725" s="119"/>
      <c r="AD725" s="196"/>
      <c r="AE725" s="200"/>
      <c r="AF725" s="201"/>
      <c r="AG725" s="205"/>
      <c r="AH725" s="205"/>
      <c r="AI725" s="205"/>
      <c r="AJ725" s="205"/>
      <c r="AK725" s="126"/>
      <c r="AL725" s="126"/>
    </row>
    <row r="726">
      <c r="A726" s="119"/>
      <c r="B726" s="154"/>
      <c r="C726" s="89"/>
      <c r="D726" s="55"/>
      <c r="E726" s="119"/>
      <c r="F726" s="154"/>
      <c r="G726" s="192"/>
      <c r="H726" s="193"/>
      <c r="I726" s="119"/>
      <c r="J726" s="154"/>
      <c r="K726" s="89"/>
      <c r="L726" s="55"/>
      <c r="M726" s="119"/>
      <c r="N726" s="194"/>
      <c r="O726" s="89"/>
      <c r="P726" s="55"/>
      <c r="Q726" s="195"/>
      <c r="R726" s="196"/>
      <c r="S726" s="125"/>
      <c r="T726" s="126"/>
      <c r="U726" s="195"/>
      <c r="V726" s="196"/>
      <c r="W726" s="125"/>
      <c r="X726" s="126"/>
      <c r="Y726" s="119"/>
      <c r="Z726" s="197"/>
      <c r="AA726" s="198"/>
      <c r="AB726" s="199"/>
      <c r="AC726" s="119"/>
      <c r="AD726" s="196"/>
      <c r="AE726" s="200"/>
      <c r="AF726" s="201"/>
      <c r="AG726" s="205"/>
      <c r="AH726" s="205"/>
      <c r="AI726" s="205"/>
      <c r="AJ726" s="205"/>
      <c r="AK726" s="126"/>
      <c r="AL726" s="126"/>
    </row>
    <row r="727">
      <c r="A727" s="119"/>
      <c r="B727" s="154"/>
      <c r="C727" s="89"/>
      <c r="D727" s="55"/>
      <c r="E727" s="119"/>
      <c r="F727" s="154"/>
      <c r="G727" s="192"/>
      <c r="H727" s="193"/>
      <c r="I727" s="119"/>
      <c r="J727" s="154"/>
      <c r="K727" s="89"/>
      <c r="L727" s="55"/>
      <c r="M727" s="119"/>
      <c r="N727" s="194"/>
      <c r="O727" s="89"/>
      <c r="P727" s="55"/>
      <c r="Q727" s="195"/>
      <c r="R727" s="196"/>
      <c r="S727" s="125"/>
      <c r="T727" s="126"/>
      <c r="U727" s="195"/>
      <c r="V727" s="196"/>
      <c r="W727" s="125"/>
      <c r="X727" s="126"/>
      <c r="Y727" s="119"/>
      <c r="Z727" s="197"/>
      <c r="AA727" s="198"/>
      <c r="AB727" s="199"/>
      <c r="AC727" s="119"/>
      <c r="AD727" s="196"/>
      <c r="AE727" s="200"/>
      <c r="AF727" s="201"/>
      <c r="AG727" s="205"/>
      <c r="AH727" s="205"/>
      <c r="AI727" s="205"/>
      <c r="AJ727" s="205"/>
      <c r="AK727" s="126"/>
      <c r="AL727" s="126"/>
    </row>
    <row r="728">
      <c r="A728" s="119"/>
      <c r="B728" s="154"/>
      <c r="C728" s="89"/>
      <c r="D728" s="55"/>
      <c r="E728" s="119"/>
      <c r="F728" s="154"/>
      <c r="G728" s="192"/>
      <c r="H728" s="193"/>
      <c r="I728" s="119"/>
      <c r="J728" s="154"/>
      <c r="K728" s="89"/>
      <c r="L728" s="55"/>
      <c r="M728" s="119"/>
      <c r="N728" s="194"/>
      <c r="O728" s="89"/>
      <c r="P728" s="55"/>
      <c r="Q728" s="195"/>
      <c r="R728" s="196"/>
      <c r="S728" s="125"/>
      <c r="T728" s="126"/>
      <c r="U728" s="195"/>
      <c r="V728" s="196"/>
      <c r="W728" s="125"/>
      <c r="X728" s="126"/>
      <c r="Y728" s="119"/>
      <c r="Z728" s="197"/>
      <c r="AA728" s="198"/>
      <c r="AB728" s="199"/>
      <c r="AC728" s="119"/>
      <c r="AD728" s="196"/>
      <c r="AE728" s="200"/>
      <c r="AF728" s="201"/>
      <c r="AG728" s="205"/>
      <c r="AH728" s="205"/>
      <c r="AI728" s="205"/>
      <c r="AJ728" s="205"/>
      <c r="AK728" s="126"/>
      <c r="AL728" s="126"/>
    </row>
    <row r="729">
      <c r="A729" s="119"/>
      <c r="B729" s="154"/>
      <c r="C729" s="89"/>
      <c r="D729" s="55"/>
      <c r="E729" s="119"/>
      <c r="F729" s="154"/>
      <c r="G729" s="192"/>
      <c r="H729" s="193"/>
      <c r="I729" s="119"/>
      <c r="J729" s="154"/>
      <c r="K729" s="89"/>
      <c r="L729" s="55"/>
      <c r="M729" s="119"/>
      <c r="N729" s="194"/>
      <c r="O729" s="89"/>
      <c r="P729" s="55"/>
      <c r="Q729" s="195"/>
      <c r="R729" s="196"/>
      <c r="S729" s="125"/>
      <c r="T729" s="126"/>
      <c r="U729" s="195"/>
      <c r="V729" s="196"/>
      <c r="W729" s="125"/>
      <c r="X729" s="126"/>
      <c r="Y729" s="119"/>
      <c r="Z729" s="197"/>
      <c r="AA729" s="198"/>
      <c r="AB729" s="199"/>
      <c r="AC729" s="119"/>
      <c r="AD729" s="196"/>
      <c r="AE729" s="200"/>
      <c r="AF729" s="201"/>
      <c r="AG729" s="205"/>
      <c r="AH729" s="205"/>
      <c r="AI729" s="205"/>
      <c r="AJ729" s="205"/>
      <c r="AK729" s="126"/>
      <c r="AL729" s="126"/>
    </row>
    <row r="730">
      <c r="A730" s="119"/>
      <c r="B730" s="154"/>
      <c r="C730" s="89"/>
      <c r="D730" s="55"/>
      <c r="E730" s="119"/>
      <c r="F730" s="154"/>
      <c r="G730" s="192"/>
      <c r="H730" s="193"/>
      <c r="I730" s="119"/>
      <c r="J730" s="154"/>
      <c r="K730" s="89"/>
      <c r="L730" s="55"/>
      <c r="M730" s="119"/>
      <c r="N730" s="194"/>
      <c r="O730" s="89"/>
      <c r="P730" s="55"/>
      <c r="Q730" s="195"/>
      <c r="R730" s="196"/>
      <c r="S730" s="125"/>
      <c r="T730" s="126"/>
      <c r="U730" s="195"/>
      <c r="V730" s="196"/>
      <c r="W730" s="125"/>
      <c r="X730" s="126"/>
      <c r="Y730" s="119"/>
      <c r="Z730" s="197"/>
      <c r="AA730" s="198"/>
      <c r="AB730" s="199"/>
      <c r="AC730" s="119"/>
      <c r="AD730" s="196"/>
      <c r="AE730" s="200"/>
      <c r="AF730" s="201"/>
      <c r="AG730" s="205"/>
      <c r="AH730" s="205"/>
      <c r="AI730" s="205"/>
      <c r="AJ730" s="205"/>
      <c r="AK730" s="126"/>
      <c r="AL730" s="126"/>
    </row>
    <row r="731">
      <c r="A731" s="119"/>
      <c r="B731" s="154"/>
      <c r="C731" s="89"/>
      <c r="D731" s="55"/>
      <c r="E731" s="119"/>
      <c r="F731" s="154"/>
      <c r="G731" s="192"/>
      <c r="H731" s="193"/>
      <c r="I731" s="119"/>
      <c r="J731" s="154"/>
      <c r="K731" s="89"/>
      <c r="L731" s="55"/>
      <c r="M731" s="119"/>
      <c r="N731" s="194"/>
      <c r="O731" s="89"/>
      <c r="P731" s="55"/>
      <c r="Q731" s="195"/>
      <c r="R731" s="196"/>
      <c r="S731" s="125"/>
      <c r="T731" s="126"/>
      <c r="U731" s="195"/>
      <c r="V731" s="196"/>
      <c r="W731" s="125"/>
      <c r="X731" s="126"/>
      <c r="Y731" s="119"/>
      <c r="Z731" s="197"/>
      <c r="AA731" s="198"/>
      <c r="AB731" s="199"/>
      <c r="AC731" s="119"/>
      <c r="AD731" s="196"/>
      <c r="AE731" s="200"/>
      <c r="AF731" s="201"/>
      <c r="AG731" s="205"/>
      <c r="AH731" s="205"/>
      <c r="AI731" s="205"/>
      <c r="AJ731" s="205"/>
      <c r="AK731" s="126"/>
      <c r="AL731" s="126"/>
    </row>
    <row r="732">
      <c r="A732" s="119"/>
      <c r="B732" s="154"/>
      <c r="C732" s="89"/>
      <c r="D732" s="55"/>
      <c r="E732" s="119"/>
      <c r="F732" s="154"/>
      <c r="G732" s="192"/>
      <c r="H732" s="193"/>
      <c r="I732" s="119"/>
      <c r="J732" s="154"/>
      <c r="K732" s="89"/>
      <c r="L732" s="55"/>
      <c r="M732" s="119"/>
      <c r="N732" s="194"/>
      <c r="O732" s="89"/>
      <c r="P732" s="55"/>
      <c r="Q732" s="195"/>
      <c r="R732" s="196"/>
      <c r="S732" s="125"/>
      <c r="T732" s="126"/>
      <c r="U732" s="195"/>
      <c r="V732" s="196"/>
      <c r="W732" s="125"/>
      <c r="X732" s="126"/>
      <c r="Y732" s="119"/>
      <c r="Z732" s="197"/>
      <c r="AA732" s="198"/>
      <c r="AB732" s="199"/>
      <c r="AC732" s="119"/>
      <c r="AD732" s="196"/>
      <c r="AE732" s="200"/>
      <c r="AF732" s="201"/>
      <c r="AG732" s="205"/>
      <c r="AH732" s="205"/>
      <c r="AI732" s="205"/>
      <c r="AJ732" s="205"/>
      <c r="AK732" s="126"/>
      <c r="AL732" s="126"/>
    </row>
    <row r="733">
      <c r="A733" s="119"/>
      <c r="B733" s="154"/>
      <c r="C733" s="89"/>
      <c r="D733" s="55"/>
      <c r="E733" s="119"/>
      <c r="F733" s="154"/>
      <c r="G733" s="192"/>
      <c r="H733" s="193"/>
      <c r="I733" s="119"/>
      <c r="J733" s="154"/>
      <c r="K733" s="89"/>
      <c r="L733" s="55"/>
      <c r="M733" s="119"/>
      <c r="N733" s="194"/>
      <c r="O733" s="89"/>
      <c r="P733" s="55"/>
      <c r="Q733" s="195"/>
      <c r="R733" s="196"/>
      <c r="S733" s="125"/>
      <c r="T733" s="126"/>
      <c r="U733" s="195"/>
      <c r="V733" s="196"/>
      <c r="W733" s="125"/>
      <c r="X733" s="126"/>
      <c r="Y733" s="119"/>
      <c r="Z733" s="197"/>
      <c r="AA733" s="198"/>
      <c r="AB733" s="199"/>
      <c r="AC733" s="119"/>
      <c r="AD733" s="196"/>
      <c r="AE733" s="200"/>
      <c r="AF733" s="201"/>
      <c r="AG733" s="205"/>
      <c r="AH733" s="205"/>
      <c r="AI733" s="205"/>
      <c r="AJ733" s="205"/>
      <c r="AK733" s="126"/>
      <c r="AL733" s="126"/>
    </row>
    <row r="734">
      <c r="A734" s="119"/>
      <c r="B734" s="154"/>
      <c r="C734" s="89"/>
      <c r="D734" s="55"/>
      <c r="E734" s="119"/>
      <c r="F734" s="154"/>
      <c r="G734" s="192"/>
      <c r="H734" s="193"/>
      <c r="I734" s="119"/>
      <c r="J734" s="154"/>
      <c r="K734" s="89"/>
      <c r="L734" s="55"/>
      <c r="M734" s="119"/>
      <c r="N734" s="194"/>
      <c r="O734" s="89"/>
      <c r="P734" s="55"/>
      <c r="Q734" s="195"/>
      <c r="R734" s="196"/>
      <c r="S734" s="125"/>
      <c r="T734" s="126"/>
      <c r="U734" s="195"/>
      <c r="V734" s="196"/>
      <c r="W734" s="125"/>
      <c r="X734" s="126"/>
      <c r="Y734" s="119"/>
      <c r="Z734" s="197"/>
      <c r="AA734" s="198"/>
      <c r="AB734" s="199"/>
      <c r="AC734" s="119"/>
      <c r="AD734" s="196"/>
      <c r="AE734" s="200"/>
      <c r="AF734" s="201"/>
      <c r="AG734" s="205"/>
      <c r="AH734" s="205"/>
      <c r="AI734" s="205"/>
      <c r="AJ734" s="205"/>
      <c r="AK734" s="126"/>
      <c r="AL734" s="126"/>
    </row>
    <row r="735">
      <c r="A735" s="119"/>
      <c r="B735" s="154"/>
      <c r="C735" s="89"/>
      <c r="D735" s="55"/>
      <c r="E735" s="119"/>
      <c r="F735" s="154"/>
      <c r="G735" s="192"/>
      <c r="H735" s="193"/>
      <c r="I735" s="119"/>
      <c r="J735" s="154"/>
      <c r="K735" s="89"/>
      <c r="L735" s="55"/>
      <c r="M735" s="119"/>
      <c r="N735" s="194"/>
      <c r="O735" s="89"/>
      <c r="P735" s="55"/>
      <c r="Q735" s="195"/>
      <c r="R735" s="196"/>
      <c r="S735" s="125"/>
      <c r="T735" s="126"/>
      <c r="U735" s="195"/>
      <c r="V735" s="196"/>
      <c r="W735" s="125"/>
      <c r="X735" s="126"/>
      <c r="Y735" s="119"/>
      <c r="Z735" s="197"/>
      <c r="AA735" s="198"/>
      <c r="AB735" s="199"/>
      <c r="AC735" s="119"/>
      <c r="AD735" s="196"/>
      <c r="AE735" s="200"/>
      <c r="AF735" s="201"/>
      <c r="AG735" s="205"/>
      <c r="AH735" s="205"/>
      <c r="AI735" s="205"/>
      <c r="AJ735" s="205"/>
      <c r="AK735" s="126"/>
      <c r="AL735" s="126"/>
    </row>
    <row r="736">
      <c r="A736" s="119"/>
      <c r="B736" s="154"/>
      <c r="C736" s="89"/>
      <c r="D736" s="55"/>
      <c r="E736" s="119"/>
      <c r="F736" s="154"/>
      <c r="G736" s="192"/>
      <c r="H736" s="193"/>
      <c r="I736" s="119"/>
      <c r="J736" s="154"/>
      <c r="K736" s="89"/>
      <c r="L736" s="55"/>
      <c r="M736" s="119"/>
      <c r="N736" s="194"/>
      <c r="O736" s="89"/>
      <c r="P736" s="55"/>
      <c r="Q736" s="195"/>
      <c r="R736" s="196"/>
      <c r="S736" s="125"/>
      <c r="T736" s="126"/>
      <c r="U736" s="195"/>
      <c r="V736" s="196"/>
      <c r="W736" s="125"/>
      <c r="X736" s="126"/>
      <c r="Y736" s="119"/>
      <c r="Z736" s="197"/>
      <c r="AA736" s="198"/>
      <c r="AB736" s="199"/>
      <c r="AC736" s="119"/>
      <c r="AD736" s="196"/>
      <c r="AE736" s="200"/>
      <c r="AF736" s="201"/>
      <c r="AG736" s="205"/>
      <c r="AH736" s="205"/>
      <c r="AI736" s="205"/>
      <c r="AJ736" s="205"/>
      <c r="AK736" s="126"/>
      <c r="AL736" s="126"/>
    </row>
    <row r="737">
      <c r="A737" s="119"/>
      <c r="B737" s="154"/>
      <c r="C737" s="89"/>
      <c r="D737" s="55"/>
      <c r="E737" s="119"/>
      <c r="F737" s="154"/>
      <c r="G737" s="192"/>
      <c r="H737" s="193"/>
      <c r="I737" s="119"/>
      <c r="J737" s="154"/>
      <c r="K737" s="89"/>
      <c r="L737" s="55"/>
      <c r="M737" s="119"/>
      <c r="N737" s="194"/>
      <c r="O737" s="89"/>
      <c r="P737" s="55"/>
      <c r="Q737" s="195"/>
      <c r="R737" s="196"/>
      <c r="S737" s="125"/>
      <c r="T737" s="126"/>
      <c r="U737" s="195"/>
      <c r="V737" s="196"/>
      <c r="W737" s="125"/>
      <c r="X737" s="126"/>
      <c r="Y737" s="119"/>
      <c r="Z737" s="197"/>
      <c r="AA737" s="198"/>
      <c r="AB737" s="199"/>
      <c r="AC737" s="119"/>
      <c r="AD737" s="196"/>
      <c r="AE737" s="200"/>
      <c r="AF737" s="201"/>
      <c r="AG737" s="205"/>
      <c r="AH737" s="205"/>
      <c r="AI737" s="205"/>
      <c r="AJ737" s="205"/>
      <c r="AK737" s="126"/>
      <c r="AL737" s="126"/>
    </row>
    <row r="738">
      <c r="A738" s="119"/>
      <c r="B738" s="154"/>
      <c r="C738" s="89"/>
      <c r="D738" s="55"/>
      <c r="E738" s="119"/>
      <c r="F738" s="154"/>
      <c r="G738" s="192"/>
      <c r="H738" s="193"/>
      <c r="I738" s="119"/>
      <c r="J738" s="154"/>
      <c r="K738" s="89"/>
      <c r="L738" s="55"/>
      <c r="M738" s="119"/>
      <c r="N738" s="194"/>
      <c r="O738" s="89"/>
      <c r="P738" s="55"/>
      <c r="Q738" s="195"/>
      <c r="R738" s="196"/>
      <c r="S738" s="125"/>
      <c r="T738" s="126"/>
      <c r="U738" s="195"/>
      <c r="V738" s="196"/>
      <c r="W738" s="125"/>
      <c r="X738" s="126"/>
      <c r="Y738" s="119"/>
      <c r="Z738" s="197"/>
      <c r="AA738" s="198"/>
      <c r="AB738" s="199"/>
      <c r="AC738" s="119"/>
      <c r="AD738" s="196"/>
      <c r="AE738" s="200"/>
      <c r="AF738" s="201"/>
      <c r="AG738" s="205"/>
      <c r="AH738" s="205"/>
      <c r="AI738" s="205"/>
      <c r="AJ738" s="205"/>
      <c r="AK738" s="126"/>
      <c r="AL738" s="126"/>
    </row>
    <row r="739">
      <c r="A739" s="119"/>
      <c r="B739" s="154"/>
      <c r="C739" s="89"/>
      <c r="D739" s="55"/>
      <c r="E739" s="119"/>
      <c r="F739" s="154"/>
      <c r="G739" s="192"/>
      <c r="H739" s="193"/>
      <c r="I739" s="119"/>
      <c r="J739" s="154"/>
      <c r="K739" s="89"/>
      <c r="L739" s="55"/>
      <c r="M739" s="119"/>
      <c r="N739" s="194"/>
      <c r="O739" s="89"/>
      <c r="P739" s="55"/>
      <c r="Q739" s="195"/>
      <c r="R739" s="196"/>
      <c r="S739" s="125"/>
      <c r="T739" s="126"/>
      <c r="U739" s="195"/>
      <c r="V739" s="196"/>
      <c r="W739" s="125"/>
      <c r="X739" s="126"/>
      <c r="Y739" s="119"/>
      <c r="Z739" s="197"/>
      <c r="AA739" s="198"/>
      <c r="AB739" s="199"/>
      <c r="AC739" s="119"/>
      <c r="AD739" s="196"/>
      <c r="AE739" s="200"/>
      <c r="AF739" s="201"/>
      <c r="AG739" s="205"/>
      <c r="AH739" s="205"/>
      <c r="AI739" s="205"/>
      <c r="AJ739" s="205"/>
      <c r="AK739" s="126"/>
      <c r="AL739" s="126"/>
    </row>
    <row r="740">
      <c r="A740" s="119"/>
      <c r="B740" s="154"/>
      <c r="C740" s="89"/>
      <c r="D740" s="55"/>
      <c r="E740" s="119"/>
      <c r="F740" s="154"/>
      <c r="G740" s="192"/>
      <c r="H740" s="193"/>
      <c r="I740" s="119"/>
      <c r="J740" s="154"/>
      <c r="K740" s="89"/>
      <c r="L740" s="55"/>
      <c r="M740" s="119"/>
      <c r="N740" s="194"/>
      <c r="O740" s="89"/>
      <c r="P740" s="55"/>
      <c r="Q740" s="195"/>
      <c r="R740" s="196"/>
      <c r="S740" s="125"/>
      <c r="T740" s="126"/>
      <c r="U740" s="195"/>
      <c r="V740" s="196"/>
      <c r="W740" s="125"/>
      <c r="X740" s="126"/>
      <c r="Y740" s="119"/>
      <c r="Z740" s="197"/>
      <c r="AA740" s="198"/>
      <c r="AB740" s="199"/>
      <c r="AC740" s="119"/>
      <c r="AD740" s="196"/>
      <c r="AE740" s="200"/>
      <c r="AF740" s="201"/>
      <c r="AG740" s="205"/>
      <c r="AH740" s="205"/>
      <c r="AI740" s="205"/>
      <c r="AJ740" s="205"/>
      <c r="AK740" s="126"/>
      <c r="AL740" s="126"/>
    </row>
    <row r="741">
      <c r="A741" s="119"/>
      <c r="B741" s="154"/>
      <c r="C741" s="89"/>
      <c r="D741" s="55"/>
      <c r="E741" s="119"/>
      <c r="F741" s="154"/>
      <c r="G741" s="192"/>
      <c r="H741" s="193"/>
      <c r="I741" s="119"/>
      <c r="J741" s="154"/>
      <c r="K741" s="89"/>
      <c r="L741" s="55"/>
      <c r="M741" s="119"/>
      <c r="N741" s="194"/>
      <c r="O741" s="89"/>
      <c r="P741" s="55"/>
      <c r="Q741" s="195"/>
      <c r="R741" s="196"/>
      <c r="S741" s="125"/>
      <c r="T741" s="126"/>
      <c r="U741" s="195"/>
      <c r="V741" s="196"/>
      <c r="W741" s="125"/>
      <c r="X741" s="126"/>
      <c r="Y741" s="119"/>
      <c r="Z741" s="197"/>
      <c r="AA741" s="198"/>
      <c r="AB741" s="199"/>
      <c r="AC741" s="119"/>
      <c r="AD741" s="196"/>
      <c r="AE741" s="200"/>
      <c r="AF741" s="201"/>
      <c r="AG741" s="205"/>
      <c r="AH741" s="205"/>
      <c r="AI741" s="205"/>
      <c r="AJ741" s="205"/>
      <c r="AK741" s="126"/>
      <c r="AL741" s="126"/>
    </row>
    <row r="742">
      <c r="A742" s="119"/>
      <c r="B742" s="154"/>
      <c r="C742" s="89"/>
      <c r="D742" s="55"/>
      <c r="E742" s="119"/>
      <c r="F742" s="154"/>
      <c r="G742" s="192"/>
      <c r="H742" s="193"/>
      <c r="I742" s="119"/>
      <c r="J742" s="154"/>
      <c r="K742" s="89"/>
      <c r="L742" s="55"/>
      <c r="M742" s="119"/>
      <c r="N742" s="194"/>
      <c r="O742" s="89"/>
      <c r="P742" s="55"/>
      <c r="Q742" s="195"/>
      <c r="R742" s="196"/>
      <c r="S742" s="125"/>
      <c r="T742" s="126"/>
      <c r="U742" s="195"/>
      <c r="V742" s="196"/>
      <c r="W742" s="125"/>
      <c r="X742" s="126"/>
      <c r="Y742" s="119"/>
      <c r="Z742" s="197"/>
      <c r="AA742" s="198"/>
      <c r="AB742" s="199"/>
      <c r="AC742" s="119"/>
      <c r="AD742" s="196"/>
      <c r="AE742" s="200"/>
      <c r="AF742" s="201"/>
      <c r="AG742" s="205"/>
      <c r="AH742" s="205"/>
      <c r="AI742" s="205"/>
      <c r="AJ742" s="205"/>
      <c r="AK742" s="126"/>
      <c r="AL742" s="126"/>
    </row>
    <row r="743">
      <c r="A743" s="119"/>
      <c r="B743" s="154"/>
      <c r="C743" s="89"/>
      <c r="D743" s="55"/>
      <c r="E743" s="119"/>
      <c r="F743" s="154"/>
      <c r="G743" s="192"/>
      <c r="H743" s="193"/>
      <c r="I743" s="119"/>
      <c r="J743" s="154"/>
      <c r="K743" s="89"/>
      <c r="L743" s="55"/>
      <c r="M743" s="119"/>
      <c r="N743" s="194"/>
      <c r="O743" s="89"/>
      <c r="P743" s="55"/>
      <c r="Q743" s="195"/>
      <c r="R743" s="196"/>
      <c r="S743" s="125"/>
      <c r="T743" s="126"/>
      <c r="U743" s="195"/>
      <c r="V743" s="196"/>
      <c r="W743" s="125"/>
      <c r="X743" s="126"/>
      <c r="Y743" s="119"/>
      <c r="Z743" s="197"/>
      <c r="AA743" s="198"/>
      <c r="AB743" s="199"/>
      <c r="AC743" s="119"/>
      <c r="AD743" s="196"/>
      <c r="AE743" s="200"/>
      <c r="AF743" s="201"/>
      <c r="AG743" s="205"/>
      <c r="AH743" s="205"/>
      <c r="AI743" s="205"/>
      <c r="AJ743" s="205"/>
      <c r="AK743" s="126"/>
      <c r="AL743" s="126"/>
    </row>
    <row r="744">
      <c r="A744" s="119"/>
      <c r="B744" s="154"/>
      <c r="C744" s="89"/>
      <c r="D744" s="55"/>
      <c r="E744" s="119"/>
      <c r="F744" s="154"/>
      <c r="G744" s="192"/>
      <c r="H744" s="193"/>
      <c r="I744" s="119"/>
      <c r="J744" s="154"/>
      <c r="K744" s="89"/>
      <c r="L744" s="55"/>
      <c r="M744" s="119"/>
      <c r="N744" s="194"/>
      <c r="O744" s="89"/>
      <c r="P744" s="55"/>
      <c r="Q744" s="195"/>
      <c r="R744" s="196"/>
      <c r="S744" s="125"/>
      <c r="T744" s="126"/>
      <c r="U744" s="195"/>
      <c r="V744" s="196"/>
      <c r="W744" s="125"/>
      <c r="X744" s="126"/>
      <c r="Y744" s="119"/>
      <c r="Z744" s="197"/>
      <c r="AA744" s="198"/>
      <c r="AB744" s="199"/>
      <c r="AC744" s="119"/>
      <c r="AD744" s="196"/>
      <c r="AE744" s="200"/>
      <c r="AF744" s="201"/>
      <c r="AG744" s="205"/>
      <c r="AH744" s="205"/>
      <c r="AI744" s="205"/>
      <c r="AJ744" s="205"/>
      <c r="AK744" s="126"/>
      <c r="AL744" s="126"/>
    </row>
    <row r="745">
      <c r="A745" s="119"/>
      <c r="B745" s="154"/>
      <c r="C745" s="89"/>
      <c r="D745" s="55"/>
      <c r="E745" s="119"/>
      <c r="F745" s="154"/>
      <c r="G745" s="192"/>
      <c r="H745" s="193"/>
      <c r="I745" s="119"/>
      <c r="J745" s="154"/>
      <c r="K745" s="89"/>
      <c r="L745" s="55"/>
      <c r="M745" s="119"/>
      <c r="N745" s="194"/>
      <c r="O745" s="89"/>
      <c r="P745" s="55"/>
      <c r="Q745" s="195"/>
      <c r="R745" s="196"/>
      <c r="S745" s="125"/>
      <c r="T745" s="126"/>
      <c r="U745" s="195"/>
      <c r="V745" s="196"/>
      <c r="W745" s="125"/>
      <c r="X745" s="126"/>
      <c r="Y745" s="119"/>
      <c r="Z745" s="197"/>
      <c r="AA745" s="198"/>
      <c r="AB745" s="199"/>
      <c r="AC745" s="119"/>
      <c r="AD745" s="196"/>
      <c r="AE745" s="200"/>
      <c r="AF745" s="201"/>
      <c r="AG745" s="205"/>
      <c r="AH745" s="205"/>
      <c r="AI745" s="205"/>
      <c r="AJ745" s="205"/>
      <c r="AK745" s="126"/>
      <c r="AL745" s="126"/>
    </row>
    <row r="746">
      <c r="A746" s="119"/>
      <c r="B746" s="154"/>
      <c r="C746" s="89"/>
      <c r="D746" s="55"/>
      <c r="E746" s="119"/>
      <c r="F746" s="154"/>
      <c r="G746" s="192"/>
      <c r="H746" s="193"/>
      <c r="I746" s="119"/>
      <c r="J746" s="154"/>
      <c r="K746" s="89"/>
      <c r="L746" s="55"/>
      <c r="M746" s="119"/>
      <c r="N746" s="194"/>
      <c r="O746" s="89"/>
      <c r="P746" s="55"/>
      <c r="Q746" s="195"/>
      <c r="R746" s="196"/>
      <c r="S746" s="125"/>
      <c r="T746" s="126"/>
      <c r="U746" s="195"/>
      <c r="V746" s="196"/>
      <c r="W746" s="125"/>
      <c r="X746" s="126"/>
      <c r="Y746" s="119"/>
      <c r="Z746" s="197"/>
      <c r="AA746" s="198"/>
      <c r="AB746" s="199"/>
      <c r="AC746" s="119"/>
      <c r="AD746" s="196"/>
      <c r="AE746" s="200"/>
      <c r="AF746" s="201"/>
      <c r="AG746" s="205"/>
      <c r="AH746" s="205"/>
      <c r="AI746" s="205"/>
      <c r="AJ746" s="205"/>
      <c r="AK746" s="126"/>
      <c r="AL746" s="126"/>
    </row>
    <row r="747">
      <c r="A747" s="119"/>
      <c r="B747" s="154"/>
      <c r="C747" s="89"/>
      <c r="D747" s="55"/>
      <c r="E747" s="119"/>
      <c r="F747" s="154"/>
      <c r="G747" s="192"/>
      <c r="H747" s="193"/>
      <c r="I747" s="119"/>
      <c r="J747" s="154"/>
      <c r="K747" s="89"/>
      <c r="L747" s="55"/>
      <c r="M747" s="119"/>
      <c r="N747" s="194"/>
      <c r="O747" s="89"/>
      <c r="P747" s="55"/>
      <c r="Q747" s="195"/>
      <c r="R747" s="196"/>
      <c r="S747" s="125"/>
      <c r="T747" s="126"/>
      <c r="U747" s="195"/>
      <c r="V747" s="196"/>
      <c r="W747" s="125"/>
      <c r="X747" s="126"/>
      <c r="Y747" s="119"/>
      <c r="Z747" s="197"/>
      <c r="AA747" s="198"/>
      <c r="AB747" s="199"/>
      <c r="AC747" s="119"/>
      <c r="AD747" s="196"/>
      <c r="AE747" s="200"/>
      <c r="AF747" s="201"/>
      <c r="AG747" s="205"/>
      <c r="AH747" s="205"/>
      <c r="AI747" s="205"/>
      <c r="AJ747" s="205"/>
      <c r="AK747" s="126"/>
      <c r="AL747" s="126"/>
    </row>
    <row r="748">
      <c r="A748" s="119"/>
      <c r="B748" s="154"/>
      <c r="C748" s="89"/>
      <c r="D748" s="55"/>
      <c r="E748" s="119"/>
      <c r="F748" s="154"/>
      <c r="G748" s="192"/>
      <c r="H748" s="193"/>
      <c r="I748" s="119"/>
      <c r="J748" s="154"/>
      <c r="K748" s="89"/>
      <c r="L748" s="55"/>
      <c r="M748" s="119"/>
      <c r="N748" s="194"/>
      <c r="O748" s="89"/>
      <c r="P748" s="55"/>
      <c r="Q748" s="195"/>
      <c r="R748" s="196"/>
      <c r="S748" s="125"/>
      <c r="T748" s="126"/>
      <c r="U748" s="195"/>
      <c r="V748" s="196"/>
      <c r="W748" s="125"/>
      <c r="X748" s="126"/>
      <c r="Y748" s="119"/>
      <c r="Z748" s="197"/>
      <c r="AA748" s="198"/>
      <c r="AB748" s="199"/>
      <c r="AC748" s="119"/>
      <c r="AD748" s="196"/>
      <c r="AE748" s="200"/>
      <c r="AF748" s="201"/>
      <c r="AG748" s="205"/>
      <c r="AH748" s="205"/>
      <c r="AI748" s="205"/>
      <c r="AJ748" s="205"/>
      <c r="AK748" s="126"/>
      <c r="AL748" s="126"/>
    </row>
    <row r="749">
      <c r="A749" s="119"/>
      <c r="B749" s="154"/>
      <c r="C749" s="89"/>
      <c r="D749" s="55"/>
      <c r="E749" s="119"/>
      <c r="F749" s="154"/>
      <c r="G749" s="192"/>
      <c r="H749" s="193"/>
      <c r="I749" s="119"/>
      <c r="J749" s="154"/>
      <c r="K749" s="89"/>
      <c r="L749" s="55"/>
      <c r="M749" s="119"/>
      <c r="N749" s="194"/>
      <c r="O749" s="89"/>
      <c r="P749" s="55"/>
      <c r="Q749" s="195"/>
      <c r="R749" s="196"/>
      <c r="S749" s="125"/>
      <c r="T749" s="126"/>
      <c r="U749" s="195"/>
      <c r="V749" s="196"/>
      <c r="W749" s="125"/>
      <c r="X749" s="126"/>
      <c r="Y749" s="119"/>
      <c r="Z749" s="197"/>
      <c r="AA749" s="198"/>
      <c r="AB749" s="199"/>
      <c r="AC749" s="119"/>
      <c r="AD749" s="196"/>
      <c r="AE749" s="200"/>
      <c r="AF749" s="201"/>
      <c r="AG749" s="205"/>
      <c r="AH749" s="205"/>
      <c r="AI749" s="205"/>
      <c r="AJ749" s="205"/>
      <c r="AK749" s="126"/>
      <c r="AL749" s="126"/>
    </row>
    <row r="750">
      <c r="A750" s="119"/>
      <c r="B750" s="154"/>
      <c r="C750" s="89"/>
      <c r="D750" s="55"/>
      <c r="E750" s="119"/>
      <c r="F750" s="154"/>
      <c r="G750" s="192"/>
      <c r="H750" s="193"/>
      <c r="I750" s="119"/>
      <c r="J750" s="154"/>
      <c r="K750" s="89"/>
      <c r="L750" s="55"/>
      <c r="M750" s="119"/>
      <c r="N750" s="194"/>
      <c r="O750" s="89"/>
      <c r="P750" s="55"/>
      <c r="Q750" s="195"/>
      <c r="R750" s="196"/>
      <c r="S750" s="125"/>
      <c r="T750" s="126"/>
      <c r="U750" s="195"/>
      <c r="V750" s="196"/>
      <c r="W750" s="125"/>
      <c r="X750" s="126"/>
      <c r="Y750" s="119"/>
      <c r="Z750" s="197"/>
      <c r="AA750" s="198"/>
      <c r="AB750" s="199"/>
      <c r="AC750" s="119"/>
      <c r="AD750" s="196"/>
      <c r="AE750" s="200"/>
      <c r="AF750" s="201"/>
      <c r="AG750" s="205"/>
      <c r="AH750" s="205"/>
      <c r="AI750" s="205"/>
      <c r="AJ750" s="205"/>
      <c r="AK750" s="126"/>
      <c r="AL750" s="126"/>
    </row>
    <row r="751">
      <c r="A751" s="119"/>
      <c r="B751" s="154"/>
      <c r="C751" s="89"/>
      <c r="D751" s="55"/>
      <c r="E751" s="119"/>
      <c r="F751" s="154"/>
      <c r="G751" s="192"/>
      <c r="H751" s="193"/>
      <c r="I751" s="119"/>
      <c r="J751" s="154"/>
      <c r="K751" s="89"/>
      <c r="L751" s="55"/>
      <c r="M751" s="119"/>
      <c r="N751" s="194"/>
      <c r="O751" s="89"/>
      <c r="P751" s="55"/>
      <c r="Q751" s="195"/>
      <c r="R751" s="196"/>
      <c r="S751" s="125"/>
      <c r="T751" s="126"/>
      <c r="U751" s="195"/>
      <c r="V751" s="196"/>
      <c r="W751" s="125"/>
      <c r="X751" s="126"/>
      <c r="Y751" s="119"/>
      <c r="Z751" s="197"/>
      <c r="AA751" s="198"/>
      <c r="AB751" s="199"/>
      <c r="AC751" s="119"/>
      <c r="AD751" s="196"/>
      <c r="AE751" s="200"/>
      <c r="AF751" s="201"/>
      <c r="AG751" s="205"/>
      <c r="AH751" s="205"/>
      <c r="AI751" s="205"/>
      <c r="AJ751" s="205"/>
      <c r="AK751" s="126"/>
      <c r="AL751" s="126"/>
    </row>
    <row r="752">
      <c r="A752" s="119"/>
      <c r="B752" s="154"/>
      <c r="C752" s="89"/>
      <c r="D752" s="55"/>
      <c r="E752" s="119"/>
      <c r="F752" s="154"/>
      <c r="G752" s="192"/>
      <c r="H752" s="193"/>
      <c r="I752" s="119"/>
      <c r="J752" s="154"/>
      <c r="K752" s="89"/>
      <c r="L752" s="55"/>
      <c r="M752" s="119"/>
      <c r="N752" s="194"/>
      <c r="O752" s="89"/>
      <c r="P752" s="55"/>
      <c r="Q752" s="195"/>
      <c r="R752" s="196"/>
      <c r="S752" s="125"/>
      <c r="T752" s="126"/>
      <c r="U752" s="195"/>
      <c r="V752" s="196"/>
      <c r="W752" s="125"/>
      <c r="X752" s="126"/>
      <c r="Y752" s="119"/>
      <c r="Z752" s="197"/>
      <c r="AA752" s="198"/>
      <c r="AB752" s="199"/>
      <c r="AC752" s="119"/>
      <c r="AD752" s="196"/>
      <c r="AE752" s="200"/>
      <c r="AF752" s="201"/>
      <c r="AG752" s="205"/>
      <c r="AH752" s="205"/>
      <c r="AI752" s="205"/>
      <c r="AJ752" s="205"/>
      <c r="AK752" s="126"/>
      <c r="AL752" s="126"/>
    </row>
    <row r="753">
      <c r="A753" s="119"/>
      <c r="B753" s="154"/>
      <c r="C753" s="89"/>
      <c r="D753" s="55"/>
      <c r="E753" s="119"/>
      <c r="F753" s="154"/>
      <c r="G753" s="192"/>
      <c r="H753" s="193"/>
      <c r="I753" s="119"/>
      <c r="J753" s="154"/>
      <c r="K753" s="89"/>
      <c r="L753" s="55"/>
      <c r="M753" s="119"/>
      <c r="N753" s="194"/>
      <c r="O753" s="89"/>
      <c r="P753" s="55"/>
      <c r="Q753" s="195"/>
      <c r="R753" s="196"/>
      <c r="S753" s="125"/>
      <c r="T753" s="126"/>
      <c r="U753" s="195"/>
      <c r="V753" s="196"/>
      <c r="W753" s="125"/>
      <c r="X753" s="126"/>
      <c r="Y753" s="119"/>
      <c r="Z753" s="197"/>
      <c r="AA753" s="198"/>
      <c r="AB753" s="199"/>
      <c r="AC753" s="119"/>
      <c r="AD753" s="196"/>
      <c r="AE753" s="200"/>
      <c r="AF753" s="201"/>
      <c r="AG753" s="205"/>
      <c r="AH753" s="205"/>
      <c r="AI753" s="205"/>
      <c r="AJ753" s="205"/>
      <c r="AK753" s="126"/>
      <c r="AL753" s="126"/>
    </row>
    <row r="754">
      <c r="A754" s="119"/>
      <c r="B754" s="154"/>
      <c r="C754" s="89"/>
      <c r="D754" s="55"/>
      <c r="E754" s="119"/>
      <c r="F754" s="154"/>
      <c r="G754" s="192"/>
      <c r="H754" s="193"/>
      <c r="I754" s="119"/>
      <c r="J754" s="154"/>
      <c r="K754" s="89"/>
      <c r="L754" s="55"/>
      <c r="M754" s="119"/>
      <c r="N754" s="194"/>
      <c r="O754" s="89"/>
      <c r="P754" s="55"/>
      <c r="Q754" s="195"/>
      <c r="R754" s="196"/>
      <c r="S754" s="125"/>
      <c r="T754" s="126"/>
      <c r="U754" s="195"/>
      <c r="V754" s="196"/>
      <c r="W754" s="125"/>
      <c r="X754" s="126"/>
      <c r="Y754" s="119"/>
      <c r="Z754" s="197"/>
      <c r="AA754" s="198"/>
      <c r="AB754" s="199"/>
      <c r="AC754" s="119"/>
      <c r="AD754" s="196"/>
      <c r="AE754" s="200"/>
      <c r="AF754" s="201"/>
      <c r="AG754" s="205"/>
      <c r="AH754" s="205"/>
      <c r="AI754" s="205"/>
      <c r="AJ754" s="205"/>
      <c r="AK754" s="126"/>
      <c r="AL754" s="126"/>
    </row>
    <row r="755">
      <c r="A755" s="119"/>
      <c r="B755" s="154"/>
      <c r="C755" s="89"/>
      <c r="D755" s="55"/>
      <c r="E755" s="119"/>
      <c r="F755" s="154"/>
      <c r="G755" s="192"/>
      <c r="H755" s="193"/>
      <c r="I755" s="119"/>
      <c r="J755" s="154"/>
      <c r="K755" s="89"/>
      <c r="L755" s="55"/>
      <c r="M755" s="119"/>
      <c r="N755" s="194"/>
      <c r="O755" s="89"/>
      <c r="P755" s="55"/>
      <c r="Q755" s="195"/>
      <c r="R755" s="196"/>
      <c r="S755" s="125"/>
      <c r="T755" s="126"/>
      <c r="U755" s="195"/>
      <c r="V755" s="196"/>
      <c r="W755" s="125"/>
      <c r="X755" s="126"/>
      <c r="Y755" s="119"/>
      <c r="Z755" s="197"/>
      <c r="AA755" s="198"/>
      <c r="AB755" s="199"/>
      <c r="AC755" s="119"/>
      <c r="AD755" s="196"/>
      <c r="AE755" s="200"/>
      <c r="AF755" s="201"/>
      <c r="AG755" s="205"/>
      <c r="AH755" s="205"/>
      <c r="AI755" s="205"/>
      <c r="AJ755" s="205"/>
      <c r="AK755" s="126"/>
      <c r="AL755" s="126"/>
    </row>
    <row r="756">
      <c r="A756" s="119"/>
      <c r="B756" s="154"/>
      <c r="C756" s="89"/>
      <c r="D756" s="55"/>
      <c r="E756" s="119"/>
      <c r="F756" s="154"/>
      <c r="G756" s="192"/>
      <c r="H756" s="193"/>
      <c r="I756" s="119"/>
      <c r="J756" s="154"/>
      <c r="K756" s="89"/>
      <c r="L756" s="55"/>
      <c r="M756" s="119"/>
      <c r="N756" s="194"/>
      <c r="O756" s="89"/>
      <c r="P756" s="55"/>
      <c r="Q756" s="195"/>
      <c r="R756" s="196"/>
      <c r="S756" s="125"/>
      <c r="T756" s="126"/>
      <c r="U756" s="195"/>
      <c r="V756" s="196"/>
      <c r="W756" s="125"/>
      <c r="X756" s="126"/>
      <c r="Y756" s="119"/>
      <c r="Z756" s="197"/>
      <c r="AA756" s="198"/>
      <c r="AB756" s="199"/>
      <c r="AC756" s="119"/>
      <c r="AD756" s="196"/>
      <c r="AE756" s="200"/>
      <c r="AF756" s="201"/>
      <c r="AG756" s="205"/>
      <c r="AH756" s="205"/>
      <c r="AI756" s="205"/>
      <c r="AJ756" s="205"/>
      <c r="AK756" s="126"/>
      <c r="AL756" s="126"/>
    </row>
    <row r="757">
      <c r="A757" s="119"/>
      <c r="B757" s="154"/>
      <c r="C757" s="89"/>
      <c r="D757" s="55"/>
      <c r="E757" s="119"/>
      <c r="F757" s="154"/>
      <c r="G757" s="192"/>
      <c r="H757" s="193"/>
      <c r="I757" s="119"/>
      <c r="J757" s="154"/>
      <c r="K757" s="89"/>
      <c r="L757" s="55"/>
      <c r="M757" s="119"/>
      <c r="N757" s="194"/>
      <c r="O757" s="89"/>
      <c r="P757" s="55"/>
      <c r="Q757" s="195"/>
      <c r="R757" s="196"/>
      <c r="S757" s="125"/>
      <c r="T757" s="126"/>
      <c r="U757" s="195"/>
      <c r="V757" s="196"/>
      <c r="W757" s="125"/>
      <c r="X757" s="126"/>
      <c r="Y757" s="119"/>
      <c r="Z757" s="197"/>
      <c r="AA757" s="198"/>
      <c r="AB757" s="199"/>
      <c r="AC757" s="119"/>
      <c r="AD757" s="196"/>
      <c r="AE757" s="200"/>
      <c r="AF757" s="201"/>
      <c r="AG757" s="205"/>
      <c r="AH757" s="205"/>
      <c r="AI757" s="205"/>
      <c r="AJ757" s="205"/>
      <c r="AK757" s="126"/>
      <c r="AL757" s="126"/>
    </row>
    <row r="758">
      <c r="A758" s="119"/>
      <c r="B758" s="154"/>
      <c r="C758" s="89"/>
      <c r="D758" s="55"/>
      <c r="E758" s="119"/>
      <c r="F758" s="154"/>
      <c r="G758" s="192"/>
      <c r="H758" s="193"/>
      <c r="I758" s="119"/>
      <c r="J758" s="154"/>
      <c r="K758" s="89"/>
      <c r="L758" s="55"/>
      <c r="M758" s="119"/>
      <c r="N758" s="194"/>
      <c r="O758" s="89"/>
      <c r="P758" s="55"/>
      <c r="Q758" s="195"/>
      <c r="R758" s="196"/>
      <c r="S758" s="125"/>
      <c r="T758" s="126"/>
      <c r="U758" s="195"/>
      <c r="V758" s="196"/>
      <c r="W758" s="125"/>
      <c r="X758" s="126"/>
      <c r="Y758" s="119"/>
      <c r="Z758" s="197"/>
      <c r="AA758" s="198"/>
      <c r="AB758" s="199"/>
      <c r="AC758" s="119"/>
      <c r="AD758" s="196"/>
      <c r="AE758" s="200"/>
      <c r="AF758" s="201"/>
      <c r="AG758" s="205"/>
      <c r="AH758" s="205"/>
      <c r="AI758" s="205"/>
      <c r="AJ758" s="205"/>
      <c r="AK758" s="126"/>
      <c r="AL758" s="126"/>
    </row>
    <row r="759">
      <c r="A759" s="119"/>
      <c r="B759" s="154"/>
      <c r="C759" s="89"/>
      <c r="D759" s="55"/>
      <c r="E759" s="119"/>
      <c r="F759" s="154"/>
      <c r="G759" s="192"/>
      <c r="H759" s="193"/>
      <c r="I759" s="119"/>
      <c r="J759" s="154"/>
      <c r="K759" s="89"/>
      <c r="L759" s="55"/>
      <c r="M759" s="119"/>
      <c r="N759" s="194"/>
      <c r="O759" s="89"/>
      <c r="P759" s="55"/>
      <c r="Q759" s="195"/>
      <c r="R759" s="196"/>
      <c r="S759" s="125"/>
      <c r="T759" s="126"/>
      <c r="U759" s="195"/>
      <c r="V759" s="196"/>
      <c r="W759" s="125"/>
      <c r="X759" s="126"/>
      <c r="Y759" s="119"/>
      <c r="Z759" s="197"/>
      <c r="AA759" s="198"/>
      <c r="AB759" s="199"/>
      <c r="AC759" s="119"/>
      <c r="AD759" s="196"/>
      <c r="AE759" s="200"/>
      <c r="AF759" s="201"/>
      <c r="AG759" s="205"/>
      <c r="AH759" s="205"/>
      <c r="AI759" s="205"/>
      <c r="AJ759" s="205"/>
      <c r="AK759" s="126"/>
      <c r="AL759" s="126"/>
    </row>
    <row r="760">
      <c r="A760" s="119"/>
      <c r="B760" s="154"/>
      <c r="C760" s="89"/>
      <c r="D760" s="55"/>
      <c r="E760" s="119"/>
      <c r="F760" s="154"/>
      <c r="G760" s="192"/>
      <c r="H760" s="193"/>
      <c r="I760" s="119"/>
      <c r="J760" s="154"/>
      <c r="K760" s="89"/>
      <c r="L760" s="55"/>
      <c r="M760" s="119"/>
      <c r="N760" s="194"/>
      <c r="O760" s="89"/>
      <c r="P760" s="55"/>
      <c r="Q760" s="195"/>
      <c r="R760" s="196"/>
      <c r="S760" s="125"/>
      <c r="T760" s="126"/>
      <c r="U760" s="195"/>
      <c r="V760" s="196"/>
      <c r="W760" s="125"/>
      <c r="X760" s="126"/>
      <c r="Y760" s="119"/>
      <c r="Z760" s="197"/>
      <c r="AA760" s="198"/>
      <c r="AB760" s="199"/>
      <c r="AC760" s="119"/>
      <c r="AD760" s="196"/>
      <c r="AE760" s="200"/>
      <c r="AF760" s="201"/>
      <c r="AG760" s="205"/>
      <c r="AH760" s="205"/>
      <c r="AI760" s="205"/>
      <c r="AJ760" s="205"/>
      <c r="AK760" s="126"/>
      <c r="AL760" s="126"/>
    </row>
    <row r="761">
      <c r="A761" s="119"/>
      <c r="B761" s="154"/>
      <c r="C761" s="89"/>
      <c r="D761" s="55"/>
      <c r="E761" s="119"/>
      <c r="F761" s="154"/>
      <c r="G761" s="192"/>
      <c r="H761" s="193"/>
      <c r="I761" s="119"/>
      <c r="J761" s="154"/>
      <c r="K761" s="89"/>
      <c r="L761" s="55"/>
      <c r="M761" s="119"/>
      <c r="N761" s="194"/>
      <c r="O761" s="89"/>
      <c r="P761" s="55"/>
      <c r="Q761" s="195"/>
      <c r="R761" s="196"/>
      <c r="S761" s="125"/>
      <c r="T761" s="126"/>
      <c r="U761" s="195"/>
      <c r="V761" s="196"/>
      <c r="W761" s="125"/>
      <c r="X761" s="126"/>
      <c r="Y761" s="119"/>
      <c r="Z761" s="197"/>
      <c r="AA761" s="198"/>
      <c r="AB761" s="199"/>
      <c r="AC761" s="119"/>
      <c r="AD761" s="196"/>
      <c r="AE761" s="200"/>
      <c r="AF761" s="201"/>
      <c r="AG761" s="205"/>
      <c r="AH761" s="205"/>
      <c r="AI761" s="205"/>
      <c r="AJ761" s="205"/>
      <c r="AK761" s="126"/>
      <c r="AL761" s="126"/>
    </row>
    <row r="762">
      <c r="A762" s="119"/>
      <c r="B762" s="154"/>
      <c r="C762" s="89"/>
      <c r="D762" s="55"/>
      <c r="E762" s="119"/>
      <c r="F762" s="154"/>
      <c r="G762" s="192"/>
      <c r="H762" s="193"/>
      <c r="I762" s="119"/>
      <c r="J762" s="154"/>
      <c r="K762" s="89"/>
      <c r="L762" s="55"/>
      <c r="M762" s="119"/>
      <c r="N762" s="194"/>
      <c r="O762" s="89"/>
      <c r="P762" s="55"/>
      <c r="Q762" s="195"/>
      <c r="R762" s="196"/>
      <c r="S762" s="125"/>
      <c r="T762" s="126"/>
      <c r="U762" s="195"/>
      <c r="V762" s="196"/>
      <c r="W762" s="125"/>
      <c r="X762" s="126"/>
      <c r="Y762" s="119"/>
      <c r="Z762" s="197"/>
      <c r="AA762" s="198"/>
      <c r="AB762" s="199"/>
      <c r="AC762" s="119"/>
      <c r="AD762" s="196"/>
      <c r="AE762" s="200"/>
      <c r="AF762" s="201"/>
      <c r="AG762" s="205"/>
      <c r="AH762" s="205"/>
      <c r="AI762" s="205"/>
      <c r="AJ762" s="205"/>
      <c r="AK762" s="126"/>
      <c r="AL762" s="126"/>
    </row>
    <row r="763">
      <c r="A763" s="119"/>
      <c r="B763" s="154"/>
      <c r="C763" s="89"/>
      <c r="D763" s="55"/>
      <c r="E763" s="119"/>
      <c r="F763" s="154"/>
      <c r="G763" s="192"/>
      <c r="H763" s="193"/>
      <c r="I763" s="119"/>
      <c r="J763" s="154"/>
      <c r="K763" s="89"/>
      <c r="L763" s="55"/>
      <c r="M763" s="119"/>
      <c r="N763" s="194"/>
      <c r="O763" s="89"/>
      <c r="P763" s="55"/>
      <c r="Q763" s="195"/>
      <c r="R763" s="196"/>
      <c r="S763" s="125"/>
      <c r="T763" s="126"/>
      <c r="U763" s="195"/>
      <c r="V763" s="196"/>
      <c r="W763" s="125"/>
      <c r="X763" s="126"/>
      <c r="Y763" s="119"/>
      <c r="Z763" s="197"/>
      <c r="AA763" s="198"/>
      <c r="AB763" s="199"/>
      <c r="AC763" s="119"/>
      <c r="AD763" s="196"/>
      <c r="AE763" s="200"/>
      <c r="AF763" s="201"/>
      <c r="AG763" s="205"/>
      <c r="AH763" s="205"/>
      <c r="AI763" s="205"/>
      <c r="AJ763" s="205"/>
      <c r="AK763" s="126"/>
      <c r="AL763" s="126"/>
    </row>
    <row r="764">
      <c r="A764" s="119"/>
      <c r="B764" s="154"/>
      <c r="C764" s="89"/>
      <c r="D764" s="55"/>
      <c r="E764" s="119"/>
      <c r="F764" s="154"/>
      <c r="G764" s="192"/>
      <c r="H764" s="193"/>
      <c r="I764" s="119"/>
      <c r="J764" s="154"/>
      <c r="K764" s="89"/>
      <c r="L764" s="55"/>
      <c r="M764" s="119"/>
      <c r="N764" s="194"/>
      <c r="O764" s="89"/>
      <c r="P764" s="55"/>
      <c r="Q764" s="195"/>
      <c r="R764" s="196"/>
      <c r="S764" s="125"/>
      <c r="T764" s="126"/>
      <c r="U764" s="195"/>
      <c r="V764" s="196"/>
      <c r="W764" s="125"/>
      <c r="X764" s="126"/>
      <c r="Y764" s="119"/>
      <c r="Z764" s="197"/>
      <c r="AA764" s="198"/>
      <c r="AB764" s="199"/>
      <c r="AC764" s="119"/>
      <c r="AD764" s="196"/>
      <c r="AE764" s="200"/>
      <c r="AF764" s="201"/>
      <c r="AG764" s="205"/>
      <c r="AH764" s="205"/>
      <c r="AI764" s="205"/>
      <c r="AJ764" s="205"/>
      <c r="AK764" s="126"/>
      <c r="AL764" s="126"/>
    </row>
    <row r="765">
      <c r="A765" s="119"/>
      <c r="B765" s="154"/>
      <c r="C765" s="89"/>
      <c r="D765" s="55"/>
      <c r="E765" s="119"/>
      <c r="F765" s="154"/>
      <c r="G765" s="192"/>
      <c r="H765" s="193"/>
      <c r="I765" s="119"/>
      <c r="J765" s="154"/>
      <c r="K765" s="89"/>
      <c r="L765" s="55"/>
      <c r="M765" s="119"/>
      <c r="N765" s="194"/>
      <c r="O765" s="89"/>
      <c r="P765" s="55"/>
      <c r="Q765" s="195"/>
      <c r="R765" s="196"/>
      <c r="S765" s="125"/>
      <c r="T765" s="126"/>
      <c r="U765" s="195"/>
      <c r="V765" s="196"/>
      <c r="W765" s="125"/>
      <c r="X765" s="126"/>
      <c r="Y765" s="119"/>
      <c r="Z765" s="197"/>
      <c r="AA765" s="198"/>
      <c r="AB765" s="199"/>
      <c r="AC765" s="119"/>
      <c r="AD765" s="196"/>
      <c r="AE765" s="200"/>
      <c r="AF765" s="201"/>
      <c r="AG765" s="205"/>
      <c r="AH765" s="205"/>
      <c r="AI765" s="205"/>
      <c r="AJ765" s="205"/>
      <c r="AK765" s="126"/>
      <c r="AL765" s="126"/>
    </row>
    <row r="766">
      <c r="A766" s="119"/>
      <c r="B766" s="154"/>
      <c r="C766" s="89"/>
      <c r="D766" s="55"/>
      <c r="E766" s="119"/>
      <c r="F766" s="154"/>
      <c r="G766" s="192"/>
      <c r="H766" s="193"/>
      <c r="I766" s="119"/>
      <c r="J766" s="154"/>
      <c r="K766" s="89"/>
      <c r="L766" s="55"/>
      <c r="M766" s="119"/>
      <c r="N766" s="194"/>
      <c r="O766" s="89"/>
      <c r="P766" s="55"/>
      <c r="Q766" s="195"/>
      <c r="R766" s="196"/>
      <c r="S766" s="125"/>
      <c r="T766" s="126"/>
      <c r="U766" s="195"/>
      <c r="V766" s="196"/>
      <c r="W766" s="125"/>
      <c r="X766" s="126"/>
      <c r="Y766" s="119"/>
      <c r="Z766" s="197"/>
      <c r="AA766" s="198"/>
      <c r="AB766" s="199"/>
      <c r="AC766" s="119"/>
      <c r="AD766" s="196"/>
      <c r="AE766" s="200"/>
      <c r="AF766" s="201"/>
      <c r="AG766" s="205"/>
      <c r="AH766" s="205"/>
      <c r="AI766" s="205"/>
      <c r="AJ766" s="205"/>
      <c r="AK766" s="126"/>
      <c r="AL766" s="126"/>
    </row>
    <row r="767">
      <c r="A767" s="119"/>
      <c r="B767" s="154"/>
      <c r="C767" s="89"/>
      <c r="D767" s="55"/>
      <c r="E767" s="119"/>
      <c r="F767" s="154"/>
      <c r="G767" s="192"/>
      <c r="H767" s="193"/>
      <c r="I767" s="119"/>
      <c r="J767" s="154"/>
      <c r="K767" s="89"/>
      <c r="L767" s="55"/>
      <c r="M767" s="119"/>
      <c r="N767" s="194"/>
      <c r="O767" s="89"/>
      <c r="P767" s="55"/>
      <c r="Q767" s="195"/>
      <c r="R767" s="196"/>
      <c r="S767" s="125"/>
      <c r="T767" s="126"/>
      <c r="U767" s="195"/>
      <c r="V767" s="196"/>
      <c r="W767" s="125"/>
      <c r="X767" s="126"/>
      <c r="Y767" s="119"/>
      <c r="Z767" s="197"/>
      <c r="AA767" s="198"/>
      <c r="AB767" s="199"/>
      <c r="AC767" s="119"/>
      <c r="AD767" s="196"/>
      <c r="AE767" s="200"/>
      <c r="AF767" s="201"/>
      <c r="AG767" s="205"/>
      <c r="AH767" s="205"/>
      <c r="AI767" s="205"/>
      <c r="AJ767" s="205"/>
      <c r="AK767" s="126"/>
      <c r="AL767" s="126"/>
    </row>
    <row r="768">
      <c r="A768" s="119"/>
      <c r="B768" s="154"/>
      <c r="C768" s="89"/>
      <c r="D768" s="55"/>
      <c r="E768" s="119"/>
      <c r="F768" s="154"/>
      <c r="G768" s="192"/>
      <c r="H768" s="193"/>
      <c r="I768" s="119"/>
      <c r="J768" s="154"/>
      <c r="K768" s="89"/>
      <c r="L768" s="55"/>
      <c r="M768" s="119"/>
      <c r="N768" s="194"/>
      <c r="O768" s="89"/>
      <c r="P768" s="55"/>
      <c r="Q768" s="195"/>
      <c r="R768" s="196"/>
      <c r="S768" s="125"/>
      <c r="T768" s="126"/>
      <c r="U768" s="195"/>
      <c r="V768" s="196"/>
      <c r="W768" s="125"/>
      <c r="X768" s="126"/>
      <c r="Y768" s="119"/>
      <c r="Z768" s="197"/>
      <c r="AA768" s="198"/>
      <c r="AB768" s="199"/>
      <c r="AC768" s="119"/>
      <c r="AD768" s="196"/>
      <c r="AE768" s="200"/>
      <c r="AF768" s="201"/>
      <c r="AG768" s="205"/>
      <c r="AH768" s="205"/>
      <c r="AI768" s="205"/>
      <c r="AJ768" s="205"/>
      <c r="AK768" s="126"/>
      <c r="AL768" s="126"/>
    </row>
    <row r="769">
      <c r="A769" s="119"/>
      <c r="B769" s="154"/>
      <c r="C769" s="89"/>
      <c r="D769" s="55"/>
      <c r="E769" s="119"/>
      <c r="F769" s="154"/>
      <c r="G769" s="192"/>
      <c r="H769" s="193"/>
      <c r="I769" s="119"/>
      <c r="J769" s="154"/>
      <c r="K769" s="89"/>
      <c r="L769" s="55"/>
      <c r="M769" s="119"/>
      <c r="N769" s="194"/>
      <c r="O769" s="89"/>
      <c r="P769" s="55"/>
      <c r="Q769" s="195"/>
      <c r="R769" s="196"/>
      <c r="S769" s="125"/>
      <c r="T769" s="126"/>
      <c r="U769" s="195"/>
      <c r="V769" s="196"/>
      <c r="W769" s="125"/>
      <c r="X769" s="126"/>
      <c r="Y769" s="119"/>
      <c r="Z769" s="197"/>
      <c r="AA769" s="198"/>
      <c r="AB769" s="199"/>
      <c r="AC769" s="119"/>
      <c r="AD769" s="196"/>
      <c r="AE769" s="200"/>
      <c r="AF769" s="201"/>
      <c r="AG769" s="205"/>
      <c r="AH769" s="205"/>
      <c r="AI769" s="205"/>
      <c r="AJ769" s="205"/>
      <c r="AK769" s="126"/>
      <c r="AL769" s="126"/>
    </row>
    <row r="770">
      <c r="A770" s="119"/>
      <c r="B770" s="154"/>
      <c r="C770" s="89"/>
      <c r="D770" s="55"/>
      <c r="E770" s="119"/>
      <c r="F770" s="154"/>
      <c r="G770" s="192"/>
      <c r="H770" s="193"/>
      <c r="I770" s="119"/>
      <c r="J770" s="154"/>
      <c r="K770" s="89"/>
      <c r="L770" s="55"/>
      <c r="M770" s="119"/>
      <c r="N770" s="194"/>
      <c r="O770" s="89"/>
      <c r="P770" s="55"/>
      <c r="Q770" s="195"/>
      <c r="R770" s="196"/>
      <c r="S770" s="125"/>
      <c r="T770" s="126"/>
      <c r="U770" s="195"/>
      <c r="V770" s="196"/>
      <c r="W770" s="125"/>
      <c r="X770" s="126"/>
      <c r="Y770" s="119"/>
      <c r="Z770" s="197"/>
      <c r="AA770" s="198"/>
      <c r="AB770" s="199"/>
      <c r="AC770" s="119"/>
      <c r="AD770" s="196"/>
      <c r="AE770" s="200"/>
      <c r="AF770" s="201"/>
      <c r="AG770" s="205"/>
      <c r="AH770" s="205"/>
      <c r="AI770" s="205"/>
      <c r="AJ770" s="205"/>
      <c r="AK770" s="126"/>
      <c r="AL770" s="126"/>
    </row>
    <row r="771">
      <c r="A771" s="119"/>
      <c r="B771" s="154"/>
      <c r="C771" s="89"/>
      <c r="D771" s="55"/>
      <c r="E771" s="119"/>
      <c r="F771" s="154"/>
      <c r="G771" s="192"/>
      <c r="H771" s="193"/>
      <c r="I771" s="119"/>
      <c r="J771" s="154"/>
      <c r="K771" s="89"/>
      <c r="L771" s="55"/>
      <c r="M771" s="119"/>
      <c r="N771" s="194"/>
      <c r="O771" s="89"/>
      <c r="P771" s="55"/>
      <c r="Q771" s="195"/>
      <c r="R771" s="196"/>
      <c r="S771" s="125"/>
      <c r="T771" s="126"/>
      <c r="U771" s="195"/>
      <c r="V771" s="196"/>
      <c r="W771" s="125"/>
      <c r="X771" s="126"/>
      <c r="Y771" s="119"/>
      <c r="Z771" s="197"/>
      <c r="AA771" s="198"/>
      <c r="AB771" s="199"/>
      <c r="AC771" s="119"/>
      <c r="AD771" s="196"/>
      <c r="AE771" s="200"/>
      <c r="AF771" s="201"/>
      <c r="AG771" s="205"/>
      <c r="AH771" s="205"/>
      <c r="AI771" s="205"/>
      <c r="AJ771" s="205"/>
      <c r="AK771" s="126"/>
      <c r="AL771" s="126"/>
    </row>
    <row r="772">
      <c r="A772" s="119"/>
      <c r="B772" s="154"/>
      <c r="C772" s="89"/>
      <c r="D772" s="55"/>
      <c r="E772" s="119"/>
      <c r="F772" s="154"/>
      <c r="G772" s="192"/>
      <c r="H772" s="193"/>
      <c r="I772" s="119"/>
      <c r="J772" s="154"/>
      <c r="K772" s="89"/>
      <c r="L772" s="55"/>
      <c r="M772" s="119"/>
      <c r="N772" s="194"/>
      <c r="O772" s="89"/>
      <c r="P772" s="55"/>
      <c r="Q772" s="195"/>
      <c r="R772" s="196"/>
      <c r="S772" s="125"/>
      <c r="T772" s="126"/>
      <c r="U772" s="195"/>
      <c r="V772" s="196"/>
      <c r="W772" s="125"/>
      <c r="X772" s="126"/>
      <c r="Y772" s="119"/>
      <c r="Z772" s="197"/>
      <c r="AA772" s="198"/>
      <c r="AB772" s="199"/>
      <c r="AC772" s="119"/>
      <c r="AD772" s="196"/>
      <c r="AE772" s="200"/>
      <c r="AF772" s="201"/>
      <c r="AG772" s="205"/>
      <c r="AH772" s="205"/>
      <c r="AI772" s="205"/>
      <c r="AJ772" s="205"/>
      <c r="AK772" s="126"/>
      <c r="AL772" s="126"/>
    </row>
    <row r="773">
      <c r="A773" s="119"/>
      <c r="B773" s="154"/>
      <c r="C773" s="89"/>
      <c r="D773" s="55"/>
      <c r="E773" s="119"/>
      <c r="F773" s="154"/>
      <c r="G773" s="192"/>
      <c r="H773" s="193"/>
      <c r="I773" s="119"/>
      <c r="J773" s="154"/>
      <c r="K773" s="89"/>
      <c r="L773" s="55"/>
      <c r="M773" s="119"/>
      <c r="N773" s="194"/>
      <c r="O773" s="89"/>
      <c r="P773" s="55"/>
      <c r="Q773" s="195"/>
      <c r="R773" s="196"/>
      <c r="S773" s="125"/>
      <c r="T773" s="126"/>
      <c r="U773" s="195"/>
      <c r="V773" s="196"/>
      <c r="W773" s="125"/>
      <c r="X773" s="126"/>
      <c r="Y773" s="119"/>
      <c r="Z773" s="197"/>
      <c r="AA773" s="198"/>
      <c r="AB773" s="199"/>
      <c r="AC773" s="119"/>
      <c r="AD773" s="196"/>
      <c r="AE773" s="200"/>
      <c r="AF773" s="201"/>
      <c r="AG773" s="205"/>
      <c r="AH773" s="205"/>
      <c r="AI773" s="205"/>
      <c r="AJ773" s="205"/>
      <c r="AK773" s="126"/>
      <c r="AL773" s="126"/>
    </row>
    <row r="774">
      <c r="A774" s="119"/>
      <c r="B774" s="154"/>
      <c r="C774" s="89"/>
      <c r="D774" s="55"/>
      <c r="E774" s="119"/>
      <c r="F774" s="154"/>
      <c r="G774" s="192"/>
      <c r="H774" s="193"/>
      <c r="I774" s="119"/>
      <c r="J774" s="154"/>
      <c r="K774" s="89"/>
      <c r="L774" s="55"/>
      <c r="M774" s="119"/>
      <c r="N774" s="194"/>
      <c r="O774" s="89"/>
      <c r="P774" s="55"/>
      <c r="Q774" s="195"/>
      <c r="R774" s="196"/>
      <c r="S774" s="125"/>
      <c r="T774" s="126"/>
      <c r="U774" s="195"/>
      <c r="V774" s="196"/>
      <c r="W774" s="125"/>
      <c r="X774" s="126"/>
      <c r="Y774" s="119"/>
      <c r="Z774" s="197"/>
      <c r="AA774" s="198"/>
      <c r="AB774" s="199"/>
      <c r="AC774" s="119"/>
      <c r="AD774" s="196"/>
      <c r="AE774" s="200"/>
      <c r="AF774" s="201"/>
      <c r="AG774" s="205"/>
      <c r="AH774" s="205"/>
      <c r="AI774" s="205"/>
      <c r="AJ774" s="205"/>
      <c r="AK774" s="126"/>
      <c r="AL774" s="126"/>
    </row>
    <row r="775">
      <c r="A775" s="119"/>
      <c r="B775" s="154"/>
      <c r="C775" s="89"/>
      <c r="D775" s="55"/>
      <c r="E775" s="119"/>
      <c r="F775" s="154"/>
      <c r="G775" s="192"/>
      <c r="H775" s="193"/>
      <c r="I775" s="119"/>
      <c r="J775" s="154"/>
      <c r="K775" s="89"/>
      <c r="L775" s="55"/>
      <c r="M775" s="119"/>
      <c r="N775" s="194"/>
      <c r="O775" s="89"/>
      <c r="P775" s="55"/>
      <c r="Q775" s="195"/>
      <c r="R775" s="196"/>
      <c r="S775" s="125"/>
      <c r="T775" s="126"/>
      <c r="U775" s="195"/>
      <c r="V775" s="196"/>
      <c r="W775" s="125"/>
      <c r="X775" s="126"/>
      <c r="Y775" s="119"/>
      <c r="Z775" s="197"/>
      <c r="AA775" s="198"/>
      <c r="AB775" s="199"/>
      <c r="AC775" s="119"/>
      <c r="AD775" s="196"/>
      <c r="AE775" s="200"/>
      <c r="AF775" s="201"/>
      <c r="AG775" s="205"/>
      <c r="AH775" s="205"/>
      <c r="AI775" s="205"/>
      <c r="AJ775" s="205"/>
      <c r="AK775" s="126"/>
      <c r="AL775" s="126"/>
    </row>
    <row r="776">
      <c r="A776" s="119"/>
      <c r="B776" s="154"/>
      <c r="C776" s="89"/>
      <c r="D776" s="55"/>
      <c r="E776" s="119"/>
      <c r="F776" s="154"/>
      <c r="G776" s="192"/>
      <c r="H776" s="193"/>
      <c r="I776" s="119"/>
      <c r="J776" s="154"/>
      <c r="K776" s="89"/>
      <c r="L776" s="55"/>
      <c r="M776" s="119"/>
      <c r="N776" s="194"/>
      <c r="O776" s="89"/>
      <c r="P776" s="55"/>
      <c r="Q776" s="195"/>
      <c r="R776" s="196"/>
      <c r="S776" s="125"/>
      <c r="T776" s="126"/>
      <c r="U776" s="195"/>
      <c r="V776" s="196"/>
      <c r="W776" s="125"/>
      <c r="X776" s="126"/>
      <c r="Y776" s="119"/>
      <c r="Z776" s="197"/>
      <c r="AA776" s="198"/>
      <c r="AB776" s="199"/>
      <c r="AC776" s="119"/>
      <c r="AD776" s="196"/>
      <c r="AE776" s="200"/>
      <c r="AF776" s="201"/>
      <c r="AG776" s="205"/>
      <c r="AH776" s="205"/>
      <c r="AI776" s="205"/>
      <c r="AJ776" s="205"/>
      <c r="AK776" s="126"/>
      <c r="AL776" s="126"/>
    </row>
    <row r="777">
      <c r="A777" s="119"/>
      <c r="B777" s="154"/>
      <c r="C777" s="89"/>
      <c r="D777" s="55"/>
      <c r="E777" s="119"/>
      <c r="F777" s="154"/>
      <c r="G777" s="192"/>
      <c r="H777" s="193"/>
      <c r="I777" s="119"/>
      <c r="J777" s="154"/>
      <c r="K777" s="89"/>
      <c r="L777" s="55"/>
      <c r="M777" s="119"/>
      <c r="N777" s="194"/>
      <c r="O777" s="89"/>
      <c r="P777" s="55"/>
      <c r="Q777" s="195"/>
      <c r="R777" s="196"/>
      <c r="S777" s="125"/>
      <c r="T777" s="126"/>
      <c r="U777" s="195"/>
      <c r="V777" s="196"/>
      <c r="W777" s="125"/>
      <c r="X777" s="126"/>
      <c r="Y777" s="119"/>
      <c r="Z777" s="197"/>
      <c r="AA777" s="198"/>
      <c r="AB777" s="199"/>
      <c r="AC777" s="119"/>
      <c r="AD777" s="196"/>
      <c r="AE777" s="200"/>
      <c r="AF777" s="201"/>
      <c r="AG777" s="205"/>
      <c r="AH777" s="205"/>
      <c r="AI777" s="205"/>
      <c r="AJ777" s="205"/>
      <c r="AK777" s="126"/>
      <c r="AL777" s="126"/>
    </row>
    <row r="778">
      <c r="A778" s="119"/>
      <c r="B778" s="154"/>
      <c r="C778" s="89"/>
      <c r="D778" s="55"/>
      <c r="E778" s="119"/>
      <c r="F778" s="154"/>
      <c r="G778" s="192"/>
      <c r="H778" s="193"/>
      <c r="I778" s="119"/>
      <c r="J778" s="154"/>
      <c r="K778" s="89"/>
      <c r="L778" s="55"/>
      <c r="M778" s="119"/>
      <c r="N778" s="194"/>
      <c r="O778" s="89"/>
      <c r="P778" s="55"/>
      <c r="Q778" s="195"/>
      <c r="R778" s="196"/>
      <c r="S778" s="125"/>
      <c r="T778" s="126"/>
      <c r="U778" s="195"/>
      <c r="V778" s="196"/>
      <c r="W778" s="125"/>
      <c r="X778" s="126"/>
      <c r="Y778" s="119"/>
      <c r="Z778" s="197"/>
      <c r="AA778" s="198"/>
      <c r="AB778" s="199"/>
      <c r="AC778" s="119"/>
      <c r="AD778" s="196"/>
      <c r="AE778" s="200"/>
      <c r="AF778" s="201"/>
      <c r="AG778" s="205"/>
      <c r="AH778" s="205"/>
      <c r="AI778" s="205"/>
      <c r="AJ778" s="205"/>
      <c r="AK778" s="126"/>
      <c r="AL778" s="126"/>
    </row>
    <row r="779">
      <c r="A779" s="119"/>
      <c r="B779" s="154"/>
      <c r="C779" s="89"/>
      <c r="D779" s="55"/>
      <c r="E779" s="119"/>
      <c r="F779" s="154"/>
      <c r="G779" s="192"/>
      <c r="H779" s="193"/>
      <c r="I779" s="119"/>
      <c r="J779" s="154"/>
      <c r="K779" s="89"/>
      <c r="L779" s="55"/>
      <c r="M779" s="119"/>
      <c r="N779" s="194"/>
      <c r="O779" s="89"/>
      <c r="P779" s="55"/>
      <c r="Q779" s="195"/>
      <c r="R779" s="196"/>
      <c r="S779" s="125"/>
      <c r="T779" s="126"/>
      <c r="U779" s="195"/>
      <c r="V779" s="196"/>
      <c r="W779" s="125"/>
      <c r="X779" s="126"/>
      <c r="Y779" s="119"/>
      <c r="Z779" s="197"/>
      <c r="AA779" s="198"/>
      <c r="AB779" s="199"/>
      <c r="AC779" s="119"/>
      <c r="AD779" s="196"/>
      <c r="AE779" s="200"/>
      <c r="AF779" s="201"/>
      <c r="AG779" s="205"/>
      <c r="AH779" s="205"/>
      <c r="AI779" s="205"/>
      <c r="AJ779" s="205"/>
      <c r="AK779" s="126"/>
      <c r="AL779" s="126"/>
    </row>
    <row r="780">
      <c r="A780" s="119"/>
      <c r="B780" s="154"/>
      <c r="C780" s="89"/>
      <c r="D780" s="55"/>
      <c r="E780" s="119"/>
      <c r="F780" s="154"/>
      <c r="G780" s="192"/>
      <c r="H780" s="193"/>
      <c r="I780" s="119"/>
      <c r="J780" s="154"/>
      <c r="K780" s="89"/>
      <c r="L780" s="55"/>
      <c r="M780" s="119"/>
      <c r="N780" s="194"/>
      <c r="O780" s="89"/>
      <c r="P780" s="55"/>
      <c r="Q780" s="195"/>
      <c r="R780" s="196"/>
      <c r="S780" s="125"/>
      <c r="T780" s="126"/>
      <c r="U780" s="195"/>
      <c r="V780" s="196"/>
      <c r="W780" s="125"/>
      <c r="X780" s="126"/>
      <c r="Y780" s="119"/>
      <c r="Z780" s="197"/>
      <c r="AA780" s="198"/>
      <c r="AB780" s="199"/>
      <c r="AC780" s="119"/>
      <c r="AD780" s="196"/>
      <c r="AE780" s="200"/>
      <c r="AF780" s="201"/>
      <c r="AG780" s="205"/>
      <c r="AH780" s="205"/>
      <c r="AI780" s="205"/>
      <c r="AJ780" s="205"/>
      <c r="AK780" s="126"/>
      <c r="AL780" s="126"/>
    </row>
    <row r="781">
      <c r="A781" s="119"/>
      <c r="B781" s="154"/>
      <c r="C781" s="89"/>
      <c r="D781" s="55"/>
      <c r="E781" s="119"/>
      <c r="F781" s="154"/>
      <c r="G781" s="192"/>
      <c r="H781" s="193"/>
      <c r="I781" s="119"/>
      <c r="J781" s="154"/>
      <c r="K781" s="89"/>
      <c r="L781" s="55"/>
      <c r="M781" s="119"/>
      <c r="N781" s="194"/>
      <c r="O781" s="89"/>
      <c r="P781" s="55"/>
      <c r="Q781" s="195"/>
      <c r="R781" s="196"/>
      <c r="S781" s="125"/>
      <c r="T781" s="126"/>
      <c r="U781" s="195"/>
      <c r="V781" s="196"/>
      <c r="W781" s="125"/>
      <c r="X781" s="126"/>
      <c r="Y781" s="119"/>
      <c r="Z781" s="197"/>
      <c r="AA781" s="198"/>
      <c r="AB781" s="199"/>
      <c r="AC781" s="119"/>
      <c r="AD781" s="196"/>
      <c r="AE781" s="200"/>
      <c r="AF781" s="201"/>
      <c r="AG781" s="205"/>
      <c r="AH781" s="205"/>
      <c r="AI781" s="205"/>
      <c r="AJ781" s="205"/>
      <c r="AK781" s="126"/>
      <c r="AL781" s="126"/>
    </row>
    <row r="782">
      <c r="A782" s="119"/>
      <c r="B782" s="154"/>
      <c r="C782" s="89"/>
      <c r="D782" s="55"/>
      <c r="E782" s="119"/>
      <c r="F782" s="154"/>
      <c r="G782" s="192"/>
      <c r="H782" s="193"/>
      <c r="I782" s="119"/>
      <c r="J782" s="154"/>
      <c r="K782" s="89"/>
      <c r="L782" s="55"/>
      <c r="M782" s="119"/>
      <c r="N782" s="194"/>
      <c r="O782" s="89"/>
      <c r="P782" s="55"/>
      <c r="Q782" s="195"/>
      <c r="R782" s="196"/>
      <c r="S782" s="125"/>
      <c r="T782" s="126"/>
      <c r="U782" s="195"/>
      <c r="V782" s="196"/>
      <c r="W782" s="125"/>
      <c r="X782" s="126"/>
      <c r="Y782" s="119"/>
      <c r="Z782" s="197"/>
      <c r="AA782" s="198"/>
      <c r="AB782" s="199"/>
      <c r="AC782" s="119"/>
      <c r="AD782" s="196"/>
      <c r="AE782" s="200"/>
      <c r="AF782" s="201"/>
      <c r="AG782" s="205"/>
      <c r="AH782" s="205"/>
      <c r="AI782" s="205"/>
      <c r="AJ782" s="205"/>
      <c r="AK782" s="126"/>
      <c r="AL782" s="126"/>
    </row>
    <row r="783">
      <c r="A783" s="119"/>
      <c r="B783" s="154"/>
      <c r="C783" s="89"/>
      <c r="D783" s="55"/>
      <c r="E783" s="119"/>
      <c r="F783" s="154"/>
      <c r="G783" s="192"/>
      <c r="H783" s="193"/>
      <c r="I783" s="119"/>
      <c r="J783" s="154"/>
      <c r="K783" s="89"/>
      <c r="L783" s="55"/>
      <c r="M783" s="119"/>
      <c r="N783" s="194"/>
      <c r="O783" s="89"/>
      <c r="P783" s="55"/>
      <c r="Q783" s="195"/>
      <c r="R783" s="196"/>
      <c r="S783" s="125"/>
      <c r="T783" s="126"/>
      <c r="U783" s="195"/>
      <c r="V783" s="196"/>
      <c r="W783" s="125"/>
      <c r="X783" s="126"/>
      <c r="Y783" s="119"/>
      <c r="Z783" s="197"/>
      <c r="AA783" s="198"/>
      <c r="AB783" s="199"/>
      <c r="AC783" s="119"/>
      <c r="AD783" s="196"/>
      <c r="AE783" s="200"/>
      <c r="AF783" s="201"/>
      <c r="AG783" s="205"/>
      <c r="AH783" s="205"/>
      <c r="AI783" s="205"/>
      <c r="AJ783" s="205"/>
      <c r="AK783" s="126"/>
      <c r="AL783" s="126"/>
    </row>
    <row r="784">
      <c r="A784" s="119"/>
      <c r="B784" s="154"/>
      <c r="C784" s="89"/>
      <c r="D784" s="55"/>
      <c r="E784" s="119"/>
      <c r="F784" s="154"/>
      <c r="G784" s="192"/>
      <c r="H784" s="193"/>
      <c r="I784" s="119"/>
      <c r="J784" s="154"/>
      <c r="K784" s="89"/>
      <c r="L784" s="55"/>
      <c r="M784" s="119"/>
      <c r="N784" s="194"/>
      <c r="O784" s="89"/>
      <c r="P784" s="55"/>
      <c r="Q784" s="195"/>
      <c r="R784" s="196"/>
      <c r="S784" s="125"/>
      <c r="T784" s="126"/>
      <c r="U784" s="195"/>
      <c r="V784" s="196"/>
      <c r="W784" s="125"/>
      <c r="X784" s="126"/>
      <c r="Y784" s="119"/>
      <c r="Z784" s="197"/>
      <c r="AA784" s="198"/>
      <c r="AB784" s="199"/>
      <c r="AC784" s="119"/>
      <c r="AD784" s="196"/>
      <c r="AE784" s="200"/>
      <c r="AF784" s="201"/>
      <c r="AG784" s="205"/>
      <c r="AH784" s="205"/>
      <c r="AI784" s="205"/>
      <c r="AJ784" s="205"/>
      <c r="AK784" s="126"/>
      <c r="AL784" s="126"/>
    </row>
    <row r="785">
      <c r="A785" s="119"/>
      <c r="B785" s="154"/>
      <c r="C785" s="89"/>
      <c r="D785" s="55"/>
      <c r="E785" s="119"/>
      <c r="F785" s="154"/>
      <c r="G785" s="192"/>
      <c r="H785" s="193"/>
      <c r="I785" s="119"/>
      <c r="J785" s="154"/>
      <c r="K785" s="89"/>
      <c r="L785" s="55"/>
      <c r="M785" s="119"/>
      <c r="N785" s="194"/>
      <c r="O785" s="89"/>
      <c r="P785" s="55"/>
      <c r="Q785" s="195"/>
      <c r="R785" s="196"/>
      <c r="S785" s="125"/>
      <c r="T785" s="126"/>
      <c r="U785" s="195"/>
      <c r="V785" s="196"/>
      <c r="W785" s="125"/>
      <c r="X785" s="126"/>
      <c r="Y785" s="119"/>
      <c r="Z785" s="197"/>
      <c r="AA785" s="198"/>
      <c r="AB785" s="199"/>
      <c r="AC785" s="119"/>
      <c r="AD785" s="196"/>
      <c r="AE785" s="200"/>
      <c r="AF785" s="201"/>
      <c r="AG785" s="205"/>
      <c r="AH785" s="205"/>
      <c r="AI785" s="205"/>
      <c r="AJ785" s="205"/>
      <c r="AK785" s="126"/>
      <c r="AL785" s="126"/>
    </row>
    <row r="786">
      <c r="A786" s="119"/>
      <c r="B786" s="154"/>
      <c r="C786" s="89"/>
      <c r="D786" s="55"/>
      <c r="E786" s="119"/>
      <c r="F786" s="154"/>
      <c r="G786" s="192"/>
      <c r="H786" s="193"/>
      <c r="I786" s="119"/>
      <c r="J786" s="154"/>
      <c r="K786" s="89"/>
      <c r="L786" s="55"/>
      <c r="M786" s="119"/>
      <c r="N786" s="194"/>
      <c r="O786" s="89"/>
      <c r="P786" s="55"/>
      <c r="Q786" s="195"/>
      <c r="R786" s="196"/>
      <c r="S786" s="125"/>
      <c r="T786" s="126"/>
      <c r="U786" s="195"/>
      <c r="V786" s="196"/>
      <c r="W786" s="125"/>
      <c r="X786" s="126"/>
      <c r="Y786" s="119"/>
      <c r="Z786" s="197"/>
      <c r="AA786" s="198"/>
      <c r="AB786" s="199"/>
      <c r="AC786" s="119"/>
      <c r="AD786" s="196"/>
      <c r="AE786" s="200"/>
      <c r="AF786" s="201"/>
      <c r="AG786" s="205"/>
      <c r="AH786" s="205"/>
      <c r="AI786" s="205"/>
      <c r="AJ786" s="205"/>
      <c r="AK786" s="126"/>
      <c r="AL786" s="126"/>
    </row>
    <row r="787">
      <c r="A787" s="119"/>
      <c r="B787" s="154"/>
      <c r="C787" s="89"/>
      <c r="D787" s="55"/>
      <c r="E787" s="119"/>
      <c r="F787" s="154"/>
      <c r="G787" s="192"/>
      <c r="H787" s="193"/>
      <c r="I787" s="119"/>
      <c r="J787" s="154"/>
      <c r="K787" s="89"/>
      <c r="L787" s="55"/>
      <c r="M787" s="119"/>
      <c r="N787" s="194"/>
      <c r="O787" s="89"/>
      <c r="P787" s="55"/>
      <c r="Q787" s="195"/>
      <c r="R787" s="196"/>
      <c r="S787" s="125"/>
      <c r="T787" s="126"/>
      <c r="U787" s="195"/>
      <c r="V787" s="196"/>
      <c r="W787" s="125"/>
      <c r="X787" s="126"/>
      <c r="Y787" s="119"/>
      <c r="Z787" s="197"/>
      <c r="AA787" s="198"/>
      <c r="AB787" s="199"/>
      <c r="AC787" s="119"/>
      <c r="AD787" s="196"/>
      <c r="AE787" s="200"/>
      <c r="AF787" s="201"/>
      <c r="AG787" s="205"/>
      <c r="AH787" s="205"/>
      <c r="AI787" s="205"/>
      <c r="AJ787" s="205"/>
      <c r="AK787" s="126"/>
      <c r="AL787" s="126"/>
    </row>
    <row r="788">
      <c r="A788" s="119"/>
      <c r="B788" s="154"/>
      <c r="C788" s="89"/>
      <c r="D788" s="55"/>
      <c r="E788" s="119"/>
      <c r="F788" s="154"/>
      <c r="G788" s="192"/>
      <c r="H788" s="193"/>
      <c r="I788" s="119"/>
      <c r="J788" s="154"/>
      <c r="K788" s="89"/>
      <c r="L788" s="55"/>
      <c r="M788" s="119"/>
      <c r="N788" s="194"/>
      <c r="O788" s="89"/>
      <c r="P788" s="55"/>
      <c r="Q788" s="195"/>
      <c r="R788" s="196"/>
      <c r="S788" s="125"/>
      <c r="T788" s="126"/>
      <c r="U788" s="195"/>
      <c r="V788" s="196"/>
      <c r="W788" s="125"/>
      <c r="X788" s="126"/>
      <c r="Y788" s="119"/>
      <c r="Z788" s="197"/>
      <c r="AA788" s="198"/>
      <c r="AB788" s="199"/>
      <c r="AC788" s="119"/>
      <c r="AD788" s="196"/>
      <c r="AE788" s="200"/>
      <c r="AF788" s="201"/>
      <c r="AG788" s="205"/>
      <c r="AH788" s="205"/>
      <c r="AI788" s="205"/>
      <c r="AJ788" s="205"/>
      <c r="AK788" s="126"/>
      <c r="AL788" s="126"/>
    </row>
    <row r="789">
      <c r="A789" s="119"/>
      <c r="B789" s="154"/>
      <c r="C789" s="89"/>
      <c r="D789" s="55"/>
      <c r="E789" s="119"/>
      <c r="F789" s="154"/>
      <c r="G789" s="192"/>
      <c r="H789" s="193"/>
      <c r="I789" s="119"/>
      <c r="J789" s="154"/>
      <c r="K789" s="89"/>
      <c r="L789" s="55"/>
      <c r="M789" s="119"/>
      <c r="N789" s="194"/>
      <c r="O789" s="89"/>
      <c r="P789" s="55"/>
      <c r="Q789" s="195"/>
      <c r="R789" s="196"/>
      <c r="S789" s="125"/>
      <c r="T789" s="126"/>
      <c r="U789" s="195"/>
      <c r="V789" s="196"/>
      <c r="W789" s="125"/>
      <c r="X789" s="126"/>
      <c r="Y789" s="119"/>
      <c r="Z789" s="197"/>
      <c r="AA789" s="198"/>
      <c r="AB789" s="199"/>
      <c r="AC789" s="119"/>
      <c r="AD789" s="196"/>
      <c r="AE789" s="200"/>
      <c r="AF789" s="201"/>
      <c r="AG789" s="205"/>
      <c r="AH789" s="205"/>
      <c r="AI789" s="205"/>
      <c r="AJ789" s="205"/>
      <c r="AK789" s="126"/>
      <c r="AL789" s="126"/>
    </row>
    <row r="790">
      <c r="A790" s="119"/>
      <c r="B790" s="154"/>
      <c r="C790" s="89"/>
      <c r="D790" s="55"/>
      <c r="E790" s="119"/>
      <c r="F790" s="154"/>
      <c r="G790" s="192"/>
      <c r="H790" s="193"/>
      <c r="I790" s="119"/>
      <c r="J790" s="154"/>
      <c r="K790" s="89"/>
      <c r="L790" s="55"/>
      <c r="M790" s="119"/>
      <c r="N790" s="194"/>
      <c r="O790" s="89"/>
      <c r="P790" s="55"/>
      <c r="Q790" s="195"/>
      <c r="R790" s="196"/>
      <c r="S790" s="125"/>
      <c r="T790" s="126"/>
      <c r="U790" s="195"/>
      <c r="V790" s="196"/>
      <c r="W790" s="125"/>
      <c r="X790" s="126"/>
      <c r="Y790" s="119"/>
      <c r="Z790" s="197"/>
      <c r="AA790" s="198"/>
      <c r="AB790" s="199"/>
      <c r="AC790" s="119"/>
      <c r="AD790" s="196"/>
      <c r="AE790" s="200"/>
      <c r="AF790" s="201"/>
      <c r="AG790" s="205"/>
      <c r="AH790" s="205"/>
      <c r="AI790" s="205"/>
      <c r="AJ790" s="205"/>
      <c r="AK790" s="126"/>
      <c r="AL790" s="126"/>
    </row>
    <row r="791">
      <c r="A791" s="119"/>
      <c r="B791" s="154"/>
      <c r="C791" s="89"/>
      <c r="D791" s="55"/>
      <c r="E791" s="119"/>
      <c r="F791" s="154"/>
      <c r="G791" s="192"/>
      <c r="H791" s="193"/>
      <c r="I791" s="119"/>
      <c r="J791" s="154"/>
      <c r="K791" s="89"/>
      <c r="L791" s="55"/>
      <c r="M791" s="119"/>
      <c r="N791" s="194"/>
      <c r="O791" s="89"/>
      <c r="P791" s="55"/>
      <c r="Q791" s="195"/>
      <c r="R791" s="196"/>
      <c r="S791" s="125"/>
      <c r="T791" s="126"/>
      <c r="U791" s="195"/>
      <c r="V791" s="196"/>
      <c r="W791" s="125"/>
      <c r="X791" s="126"/>
      <c r="Y791" s="119"/>
      <c r="Z791" s="197"/>
      <c r="AA791" s="198"/>
      <c r="AB791" s="199"/>
      <c r="AC791" s="119"/>
      <c r="AD791" s="196"/>
      <c r="AE791" s="200"/>
      <c r="AF791" s="201"/>
      <c r="AG791" s="205"/>
      <c r="AH791" s="205"/>
      <c r="AI791" s="205"/>
      <c r="AJ791" s="205"/>
      <c r="AK791" s="126"/>
      <c r="AL791" s="126"/>
    </row>
    <row r="792">
      <c r="A792" s="119"/>
      <c r="B792" s="154"/>
      <c r="C792" s="89"/>
      <c r="D792" s="55"/>
      <c r="E792" s="119"/>
      <c r="F792" s="154"/>
      <c r="G792" s="192"/>
      <c r="H792" s="193"/>
      <c r="I792" s="119"/>
      <c r="J792" s="154"/>
      <c r="K792" s="89"/>
      <c r="L792" s="55"/>
      <c r="M792" s="119"/>
      <c r="N792" s="194"/>
      <c r="O792" s="89"/>
      <c r="P792" s="55"/>
      <c r="Q792" s="195"/>
      <c r="R792" s="196"/>
      <c r="S792" s="125"/>
      <c r="T792" s="126"/>
      <c r="U792" s="195"/>
      <c r="V792" s="196"/>
      <c r="W792" s="125"/>
      <c r="X792" s="126"/>
      <c r="Y792" s="119"/>
      <c r="Z792" s="197"/>
      <c r="AA792" s="198"/>
      <c r="AB792" s="199"/>
      <c r="AC792" s="119"/>
      <c r="AD792" s="196"/>
      <c r="AE792" s="200"/>
      <c r="AF792" s="201"/>
      <c r="AG792" s="205"/>
      <c r="AH792" s="205"/>
      <c r="AI792" s="205"/>
      <c r="AJ792" s="205"/>
      <c r="AK792" s="126"/>
      <c r="AL792" s="126"/>
    </row>
    <row r="793">
      <c r="A793" s="119"/>
      <c r="B793" s="154"/>
      <c r="C793" s="89"/>
      <c r="D793" s="55"/>
      <c r="E793" s="119"/>
      <c r="F793" s="154"/>
      <c r="G793" s="192"/>
      <c r="H793" s="193"/>
      <c r="I793" s="119"/>
      <c r="J793" s="154"/>
      <c r="K793" s="89"/>
      <c r="L793" s="55"/>
      <c r="M793" s="119"/>
      <c r="N793" s="194"/>
      <c r="O793" s="89"/>
      <c r="P793" s="55"/>
      <c r="Q793" s="195"/>
      <c r="R793" s="196"/>
      <c r="S793" s="125"/>
      <c r="T793" s="126"/>
      <c r="U793" s="195"/>
      <c r="V793" s="196"/>
      <c r="W793" s="125"/>
      <c r="X793" s="126"/>
      <c r="Y793" s="119"/>
      <c r="Z793" s="197"/>
      <c r="AA793" s="198"/>
      <c r="AB793" s="199"/>
      <c r="AC793" s="119"/>
      <c r="AD793" s="196"/>
      <c r="AE793" s="200"/>
      <c r="AF793" s="201"/>
      <c r="AG793" s="205"/>
      <c r="AH793" s="205"/>
      <c r="AI793" s="205"/>
      <c r="AJ793" s="205"/>
      <c r="AK793" s="126"/>
      <c r="AL793" s="126"/>
    </row>
    <row r="794">
      <c r="A794" s="119"/>
      <c r="B794" s="154"/>
      <c r="C794" s="89"/>
      <c r="D794" s="55"/>
      <c r="E794" s="119"/>
      <c r="F794" s="154"/>
      <c r="G794" s="192"/>
      <c r="H794" s="193"/>
      <c r="I794" s="119"/>
      <c r="J794" s="154"/>
      <c r="K794" s="89"/>
      <c r="L794" s="55"/>
      <c r="M794" s="119"/>
      <c r="N794" s="194"/>
      <c r="O794" s="89"/>
      <c r="P794" s="55"/>
      <c r="Q794" s="195"/>
      <c r="R794" s="196"/>
      <c r="S794" s="125"/>
      <c r="T794" s="126"/>
      <c r="U794" s="195"/>
      <c r="V794" s="196"/>
      <c r="W794" s="125"/>
      <c r="X794" s="126"/>
      <c r="Y794" s="119"/>
      <c r="Z794" s="197"/>
      <c r="AA794" s="198"/>
      <c r="AB794" s="199"/>
      <c r="AC794" s="119"/>
      <c r="AD794" s="196"/>
      <c r="AE794" s="200"/>
      <c r="AF794" s="201"/>
      <c r="AG794" s="205"/>
      <c r="AH794" s="205"/>
      <c r="AI794" s="205"/>
      <c r="AJ794" s="205"/>
      <c r="AK794" s="126"/>
      <c r="AL794" s="126"/>
    </row>
    <row r="795">
      <c r="A795" s="119"/>
      <c r="B795" s="154"/>
      <c r="C795" s="89"/>
      <c r="D795" s="55"/>
      <c r="E795" s="119"/>
      <c r="F795" s="154"/>
      <c r="G795" s="192"/>
      <c r="H795" s="193"/>
      <c r="I795" s="119"/>
      <c r="J795" s="154"/>
      <c r="K795" s="89"/>
      <c r="L795" s="55"/>
      <c r="M795" s="119"/>
      <c r="N795" s="194"/>
      <c r="O795" s="89"/>
      <c r="P795" s="55"/>
      <c r="Q795" s="195"/>
      <c r="R795" s="196"/>
      <c r="S795" s="125"/>
      <c r="T795" s="126"/>
      <c r="U795" s="195"/>
      <c r="V795" s="196"/>
      <c r="W795" s="125"/>
      <c r="X795" s="126"/>
      <c r="Y795" s="119"/>
      <c r="Z795" s="197"/>
      <c r="AA795" s="198"/>
      <c r="AB795" s="199"/>
      <c r="AC795" s="119"/>
      <c r="AD795" s="196"/>
      <c r="AE795" s="200"/>
      <c r="AF795" s="201"/>
      <c r="AG795" s="205"/>
      <c r="AH795" s="205"/>
      <c r="AI795" s="205"/>
      <c r="AJ795" s="205"/>
      <c r="AK795" s="126"/>
      <c r="AL795" s="126"/>
    </row>
    <row r="796">
      <c r="A796" s="119"/>
      <c r="B796" s="154"/>
      <c r="C796" s="89"/>
      <c r="D796" s="55"/>
      <c r="E796" s="119"/>
      <c r="F796" s="154"/>
      <c r="G796" s="192"/>
      <c r="H796" s="193"/>
      <c r="I796" s="119"/>
      <c r="J796" s="154"/>
      <c r="K796" s="89"/>
      <c r="L796" s="55"/>
      <c r="M796" s="119"/>
      <c r="N796" s="194"/>
      <c r="O796" s="89"/>
      <c r="P796" s="55"/>
      <c r="Q796" s="195"/>
      <c r="R796" s="196"/>
      <c r="S796" s="125"/>
      <c r="T796" s="126"/>
      <c r="U796" s="195"/>
      <c r="V796" s="196"/>
      <c r="W796" s="125"/>
      <c r="X796" s="126"/>
      <c r="Y796" s="119"/>
      <c r="Z796" s="197"/>
      <c r="AA796" s="198"/>
      <c r="AB796" s="199"/>
      <c r="AC796" s="119"/>
      <c r="AD796" s="196"/>
      <c r="AE796" s="200"/>
      <c r="AF796" s="201"/>
      <c r="AG796" s="205"/>
      <c r="AH796" s="205"/>
      <c r="AI796" s="205"/>
      <c r="AJ796" s="205"/>
      <c r="AK796" s="126"/>
      <c r="AL796" s="126"/>
    </row>
    <row r="797">
      <c r="A797" s="119"/>
      <c r="B797" s="154"/>
      <c r="C797" s="89"/>
      <c r="D797" s="55"/>
      <c r="E797" s="119"/>
      <c r="F797" s="154"/>
      <c r="G797" s="192"/>
      <c r="H797" s="193"/>
      <c r="I797" s="119"/>
      <c r="J797" s="154"/>
      <c r="K797" s="89"/>
      <c r="L797" s="55"/>
      <c r="M797" s="119"/>
      <c r="N797" s="194"/>
      <c r="O797" s="89"/>
      <c r="P797" s="55"/>
      <c r="Q797" s="195"/>
      <c r="R797" s="196"/>
      <c r="S797" s="125"/>
      <c r="T797" s="126"/>
      <c r="U797" s="195"/>
      <c r="V797" s="196"/>
      <c r="W797" s="125"/>
      <c r="X797" s="126"/>
      <c r="Y797" s="119"/>
      <c r="Z797" s="197"/>
      <c r="AA797" s="198"/>
      <c r="AB797" s="199"/>
      <c r="AC797" s="119"/>
      <c r="AD797" s="196"/>
      <c r="AE797" s="200"/>
      <c r="AF797" s="201"/>
      <c r="AG797" s="205"/>
      <c r="AH797" s="205"/>
      <c r="AI797" s="205"/>
      <c r="AJ797" s="205"/>
      <c r="AK797" s="126"/>
      <c r="AL797" s="126"/>
    </row>
    <row r="798">
      <c r="A798" s="119"/>
      <c r="B798" s="154"/>
      <c r="C798" s="89"/>
      <c r="D798" s="55"/>
      <c r="E798" s="119"/>
      <c r="F798" s="154"/>
      <c r="G798" s="192"/>
      <c r="H798" s="193"/>
      <c r="I798" s="119"/>
      <c r="J798" s="154"/>
      <c r="K798" s="89"/>
      <c r="L798" s="55"/>
      <c r="M798" s="119"/>
      <c r="N798" s="194"/>
      <c r="O798" s="89"/>
      <c r="P798" s="55"/>
      <c r="Q798" s="195"/>
      <c r="R798" s="196"/>
      <c r="S798" s="125"/>
      <c r="T798" s="126"/>
      <c r="U798" s="195"/>
      <c r="V798" s="196"/>
      <c r="W798" s="125"/>
      <c r="X798" s="126"/>
      <c r="Y798" s="119"/>
      <c r="Z798" s="197"/>
      <c r="AA798" s="198"/>
      <c r="AB798" s="199"/>
      <c r="AC798" s="119"/>
      <c r="AD798" s="196"/>
      <c r="AE798" s="200"/>
      <c r="AF798" s="201"/>
      <c r="AG798" s="205"/>
      <c r="AH798" s="205"/>
      <c r="AI798" s="205"/>
      <c r="AJ798" s="205"/>
      <c r="AK798" s="126"/>
      <c r="AL798" s="126"/>
    </row>
    <row r="799">
      <c r="A799" s="119"/>
      <c r="B799" s="154"/>
      <c r="C799" s="89"/>
      <c r="D799" s="55"/>
      <c r="E799" s="119"/>
      <c r="F799" s="154"/>
      <c r="G799" s="192"/>
      <c r="H799" s="193"/>
      <c r="I799" s="119"/>
      <c r="J799" s="154"/>
      <c r="K799" s="89"/>
      <c r="L799" s="55"/>
      <c r="M799" s="119"/>
      <c r="N799" s="194"/>
      <c r="O799" s="89"/>
      <c r="P799" s="55"/>
      <c r="Q799" s="195"/>
      <c r="R799" s="196"/>
      <c r="S799" s="125"/>
      <c r="T799" s="126"/>
      <c r="U799" s="195"/>
      <c r="V799" s="196"/>
      <c r="W799" s="125"/>
      <c r="X799" s="126"/>
      <c r="Y799" s="119"/>
      <c r="Z799" s="197"/>
      <c r="AA799" s="198"/>
      <c r="AB799" s="199"/>
      <c r="AC799" s="119"/>
      <c r="AD799" s="196"/>
      <c r="AE799" s="200"/>
      <c r="AF799" s="201"/>
      <c r="AG799" s="205"/>
      <c r="AH799" s="205"/>
      <c r="AI799" s="205"/>
      <c r="AJ799" s="205"/>
      <c r="AK799" s="126"/>
      <c r="AL799" s="126"/>
    </row>
    <row r="800">
      <c r="A800" s="119"/>
      <c r="B800" s="154"/>
      <c r="C800" s="89"/>
      <c r="D800" s="55"/>
      <c r="E800" s="119"/>
      <c r="F800" s="154"/>
      <c r="G800" s="192"/>
      <c r="H800" s="193"/>
      <c r="I800" s="119"/>
      <c r="J800" s="154"/>
      <c r="K800" s="89"/>
      <c r="L800" s="55"/>
      <c r="M800" s="119"/>
      <c r="N800" s="194"/>
      <c r="O800" s="89"/>
      <c r="P800" s="55"/>
      <c r="Q800" s="195"/>
      <c r="R800" s="196"/>
      <c r="S800" s="125"/>
      <c r="T800" s="126"/>
      <c r="U800" s="195"/>
      <c r="V800" s="196"/>
      <c r="W800" s="125"/>
      <c r="X800" s="126"/>
      <c r="Y800" s="119"/>
      <c r="Z800" s="197"/>
      <c r="AA800" s="198"/>
      <c r="AB800" s="199"/>
      <c r="AC800" s="119"/>
      <c r="AD800" s="196"/>
      <c r="AE800" s="200"/>
      <c r="AF800" s="201"/>
      <c r="AG800" s="205"/>
      <c r="AH800" s="205"/>
      <c r="AI800" s="205"/>
      <c r="AJ800" s="205"/>
      <c r="AK800" s="126"/>
      <c r="AL800" s="126"/>
    </row>
    <row r="801">
      <c r="A801" s="119"/>
      <c r="B801" s="154"/>
      <c r="C801" s="89"/>
      <c r="D801" s="55"/>
      <c r="E801" s="119"/>
      <c r="F801" s="154"/>
      <c r="G801" s="192"/>
      <c r="H801" s="193"/>
      <c r="I801" s="119"/>
      <c r="J801" s="154"/>
      <c r="K801" s="89"/>
      <c r="L801" s="55"/>
      <c r="M801" s="119"/>
      <c r="N801" s="194"/>
      <c r="O801" s="89"/>
      <c r="P801" s="55"/>
      <c r="Q801" s="195"/>
      <c r="R801" s="196"/>
      <c r="S801" s="125"/>
      <c r="T801" s="126"/>
      <c r="U801" s="195"/>
      <c r="V801" s="196"/>
      <c r="W801" s="125"/>
      <c r="X801" s="126"/>
      <c r="Y801" s="119"/>
      <c r="Z801" s="197"/>
      <c r="AA801" s="198"/>
      <c r="AB801" s="199"/>
      <c r="AC801" s="119"/>
      <c r="AD801" s="196"/>
      <c r="AE801" s="200"/>
      <c r="AF801" s="201"/>
      <c r="AG801" s="205"/>
      <c r="AH801" s="205"/>
      <c r="AI801" s="205"/>
      <c r="AJ801" s="205"/>
      <c r="AK801" s="126"/>
      <c r="AL801" s="126"/>
    </row>
    <row r="802">
      <c r="A802" s="119"/>
      <c r="B802" s="154"/>
      <c r="C802" s="89"/>
      <c r="D802" s="55"/>
      <c r="E802" s="119"/>
      <c r="F802" s="154"/>
      <c r="G802" s="192"/>
      <c r="H802" s="193"/>
      <c r="I802" s="119"/>
      <c r="J802" s="154"/>
      <c r="K802" s="89"/>
      <c r="L802" s="55"/>
      <c r="M802" s="119"/>
      <c r="N802" s="194"/>
      <c r="O802" s="89"/>
      <c r="P802" s="55"/>
      <c r="Q802" s="195"/>
      <c r="R802" s="196"/>
      <c r="S802" s="125"/>
      <c r="T802" s="126"/>
      <c r="U802" s="195"/>
      <c r="V802" s="196"/>
      <c r="W802" s="125"/>
      <c r="X802" s="126"/>
      <c r="Y802" s="119"/>
      <c r="Z802" s="197"/>
      <c r="AA802" s="198"/>
      <c r="AB802" s="199"/>
      <c r="AC802" s="119"/>
      <c r="AD802" s="196"/>
      <c r="AE802" s="200"/>
      <c r="AF802" s="201"/>
      <c r="AG802" s="205"/>
      <c r="AH802" s="205"/>
      <c r="AI802" s="205"/>
      <c r="AJ802" s="205"/>
      <c r="AK802" s="126"/>
      <c r="AL802" s="126"/>
    </row>
    <row r="803">
      <c r="A803" s="119"/>
      <c r="B803" s="154"/>
      <c r="C803" s="89"/>
      <c r="D803" s="55"/>
      <c r="E803" s="119"/>
      <c r="F803" s="154"/>
      <c r="G803" s="192"/>
      <c r="H803" s="193"/>
      <c r="I803" s="119"/>
      <c r="J803" s="154"/>
      <c r="K803" s="89"/>
      <c r="L803" s="55"/>
      <c r="M803" s="119"/>
      <c r="N803" s="194"/>
      <c r="O803" s="89"/>
      <c r="P803" s="55"/>
      <c r="Q803" s="195"/>
      <c r="R803" s="196"/>
      <c r="S803" s="125"/>
      <c r="T803" s="126"/>
      <c r="U803" s="195"/>
      <c r="V803" s="196"/>
      <c r="W803" s="125"/>
      <c r="X803" s="126"/>
      <c r="Y803" s="119"/>
      <c r="Z803" s="197"/>
      <c r="AA803" s="198"/>
      <c r="AB803" s="199"/>
      <c r="AC803" s="119"/>
      <c r="AD803" s="196"/>
      <c r="AE803" s="200"/>
      <c r="AF803" s="201"/>
      <c r="AG803" s="205"/>
      <c r="AH803" s="205"/>
      <c r="AI803" s="205"/>
      <c r="AJ803" s="205"/>
      <c r="AK803" s="126"/>
      <c r="AL803" s="126"/>
    </row>
    <row r="804">
      <c r="A804" s="119"/>
      <c r="B804" s="154"/>
      <c r="C804" s="89"/>
      <c r="D804" s="55"/>
      <c r="E804" s="119"/>
      <c r="F804" s="154"/>
      <c r="G804" s="192"/>
      <c r="H804" s="193"/>
      <c r="I804" s="119"/>
      <c r="J804" s="154"/>
      <c r="K804" s="89"/>
      <c r="L804" s="55"/>
      <c r="M804" s="119"/>
      <c r="N804" s="194"/>
      <c r="O804" s="89"/>
      <c r="P804" s="55"/>
      <c r="Q804" s="195"/>
      <c r="R804" s="196"/>
      <c r="S804" s="125"/>
      <c r="T804" s="126"/>
      <c r="U804" s="195"/>
      <c r="V804" s="196"/>
      <c r="W804" s="125"/>
      <c r="X804" s="126"/>
      <c r="Y804" s="119"/>
      <c r="Z804" s="197"/>
      <c r="AA804" s="198"/>
      <c r="AB804" s="199"/>
      <c r="AC804" s="119"/>
      <c r="AD804" s="196"/>
      <c r="AE804" s="200"/>
      <c r="AF804" s="201"/>
      <c r="AG804" s="205"/>
      <c r="AH804" s="205"/>
      <c r="AI804" s="205"/>
      <c r="AJ804" s="205"/>
      <c r="AK804" s="126"/>
      <c r="AL804" s="126"/>
    </row>
    <row r="805">
      <c r="A805" s="119"/>
      <c r="B805" s="154"/>
      <c r="C805" s="89"/>
      <c r="D805" s="55"/>
      <c r="E805" s="119"/>
      <c r="F805" s="154"/>
      <c r="G805" s="192"/>
      <c r="H805" s="193"/>
      <c r="I805" s="119"/>
      <c r="J805" s="154"/>
      <c r="K805" s="89"/>
      <c r="L805" s="55"/>
      <c r="M805" s="119"/>
      <c r="N805" s="194"/>
      <c r="O805" s="89"/>
      <c r="P805" s="55"/>
      <c r="Q805" s="195"/>
      <c r="R805" s="196"/>
      <c r="S805" s="125"/>
      <c r="T805" s="126"/>
      <c r="U805" s="195"/>
      <c r="V805" s="196"/>
      <c r="W805" s="125"/>
      <c r="X805" s="126"/>
      <c r="Y805" s="119"/>
      <c r="Z805" s="197"/>
      <c r="AA805" s="198"/>
      <c r="AB805" s="199"/>
      <c r="AC805" s="119"/>
      <c r="AD805" s="196"/>
      <c r="AE805" s="200"/>
      <c r="AF805" s="201"/>
      <c r="AG805" s="205"/>
      <c r="AH805" s="205"/>
      <c r="AI805" s="205"/>
      <c r="AJ805" s="205"/>
      <c r="AK805" s="126"/>
      <c r="AL805" s="126"/>
    </row>
    <row r="806">
      <c r="A806" s="119"/>
      <c r="B806" s="154"/>
      <c r="C806" s="89"/>
      <c r="D806" s="55"/>
      <c r="E806" s="119"/>
      <c r="F806" s="154"/>
      <c r="G806" s="192"/>
      <c r="H806" s="193"/>
      <c r="I806" s="119"/>
      <c r="J806" s="154"/>
      <c r="K806" s="89"/>
      <c r="L806" s="55"/>
      <c r="M806" s="119"/>
      <c r="N806" s="194"/>
      <c r="O806" s="89"/>
      <c r="P806" s="55"/>
      <c r="Q806" s="195"/>
      <c r="R806" s="196"/>
      <c r="S806" s="125"/>
      <c r="T806" s="126"/>
      <c r="U806" s="195"/>
      <c r="V806" s="196"/>
      <c r="W806" s="125"/>
      <c r="X806" s="126"/>
      <c r="Y806" s="119"/>
      <c r="Z806" s="197"/>
      <c r="AA806" s="198"/>
      <c r="AB806" s="199"/>
      <c r="AC806" s="119"/>
      <c r="AD806" s="196"/>
      <c r="AE806" s="200"/>
      <c r="AF806" s="201"/>
      <c r="AG806" s="205"/>
      <c r="AH806" s="205"/>
      <c r="AI806" s="205"/>
      <c r="AJ806" s="205"/>
      <c r="AK806" s="126"/>
      <c r="AL806" s="126"/>
    </row>
    <row r="807">
      <c r="A807" s="119"/>
      <c r="B807" s="154"/>
      <c r="C807" s="89"/>
      <c r="D807" s="55"/>
      <c r="E807" s="119"/>
      <c r="F807" s="154"/>
      <c r="G807" s="192"/>
      <c r="H807" s="193"/>
      <c r="I807" s="119"/>
      <c r="J807" s="154"/>
      <c r="K807" s="89"/>
      <c r="L807" s="55"/>
      <c r="M807" s="119"/>
      <c r="N807" s="194"/>
      <c r="O807" s="89"/>
      <c r="P807" s="55"/>
      <c r="Q807" s="195"/>
      <c r="R807" s="196"/>
      <c r="S807" s="125"/>
      <c r="T807" s="126"/>
      <c r="U807" s="195"/>
      <c r="V807" s="196"/>
      <c r="W807" s="125"/>
      <c r="X807" s="126"/>
      <c r="Y807" s="119"/>
      <c r="Z807" s="197"/>
      <c r="AA807" s="198"/>
      <c r="AB807" s="199"/>
      <c r="AC807" s="119"/>
      <c r="AD807" s="196"/>
      <c r="AE807" s="200"/>
      <c r="AF807" s="201"/>
      <c r="AG807" s="205"/>
      <c r="AH807" s="205"/>
      <c r="AI807" s="205"/>
      <c r="AJ807" s="205"/>
      <c r="AK807" s="126"/>
      <c r="AL807" s="126"/>
    </row>
    <row r="808">
      <c r="A808" s="119"/>
      <c r="B808" s="154"/>
      <c r="C808" s="89"/>
      <c r="D808" s="55"/>
      <c r="E808" s="119"/>
      <c r="F808" s="154"/>
      <c r="G808" s="192"/>
      <c r="H808" s="193"/>
      <c r="I808" s="119"/>
      <c r="J808" s="154"/>
      <c r="K808" s="89"/>
      <c r="L808" s="55"/>
      <c r="M808" s="119"/>
      <c r="N808" s="194"/>
      <c r="O808" s="89"/>
      <c r="P808" s="55"/>
      <c r="Q808" s="195"/>
      <c r="R808" s="196"/>
      <c r="S808" s="125"/>
      <c r="T808" s="126"/>
      <c r="U808" s="195"/>
      <c r="V808" s="196"/>
      <c r="W808" s="125"/>
      <c r="X808" s="126"/>
      <c r="Y808" s="119"/>
      <c r="Z808" s="197"/>
      <c r="AA808" s="198"/>
      <c r="AB808" s="199"/>
      <c r="AC808" s="119"/>
      <c r="AD808" s="196"/>
      <c r="AE808" s="200"/>
      <c r="AF808" s="201"/>
      <c r="AG808" s="205"/>
      <c r="AH808" s="205"/>
      <c r="AI808" s="205"/>
      <c r="AJ808" s="205"/>
      <c r="AK808" s="126"/>
      <c r="AL808" s="126"/>
    </row>
    <row r="809">
      <c r="A809" s="119"/>
      <c r="B809" s="154"/>
      <c r="C809" s="89"/>
      <c r="D809" s="55"/>
      <c r="E809" s="119"/>
      <c r="F809" s="154"/>
      <c r="G809" s="192"/>
      <c r="H809" s="193"/>
      <c r="I809" s="119"/>
      <c r="J809" s="154"/>
      <c r="K809" s="89"/>
      <c r="L809" s="55"/>
      <c r="M809" s="119"/>
      <c r="N809" s="194"/>
      <c r="O809" s="89"/>
      <c r="P809" s="55"/>
      <c r="Q809" s="195"/>
      <c r="R809" s="196"/>
      <c r="S809" s="125"/>
      <c r="T809" s="126"/>
      <c r="U809" s="195"/>
      <c r="V809" s="196"/>
      <c r="W809" s="125"/>
      <c r="X809" s="126"/>
      <c r="Y809" s="119"/>
      <c r="Z809" s="197"/>
      <c r="AA809" s="198"/>
      <c r="AB809" s="199"/>
      <c r="AC809" s="119"/>
      <c r="AD809" s="196"/>
      <c r="AE809" s="200"/>
      <c r="AF809" s="201"/>
      <c r="AG809" s="205"/>
      <c r="AH809" s="205"/>
      <c r="AI809" s="205"/>
      <c r="AJ809" s="205"/>
      <c r="AK809" s="126"/>
      <c r="AL809" s="126"/>
    </row>
    <row r="810">
      <c r="A810" s="119"/>
      <c r="B810" s="154"/>
      <c r="C810" s="89"/>
      <c r="D810" s="55"/>
      <c r="E810" s="119"/>
      <c r="F810" s="154"/>
      <c r="G810" s="192"/>
      <c r="H810" s="193"/>
      <c r="I810" s="119"/>
      <c r="J810" s="154"/>
      <c r="K810" s="89"/>
      <c r="L810" s="55"/>
      <c r="M810" s="119"/>
      <c r="N810" s="194"/>
      <c r="O810" s="89"/>
      <c r="P810" s="55"/>
      <c r="Q810" s="195"/>
      <c r="R810" s="196"/>
      <c r="S810" s="125"/>
      <c r="T810" s="126"/>
      <c r="U810" s="195"/>
      <c r="V810" s="196"/>
      <c r="W810" s="125"/>
      <c r="X810" s="126"/>
      <c r="Y810" s="119"/>
      <c r="Z810" s="197"/>
      <c r="AA810" s="198"/>
      <c r="AB810" s="199"/>
      <c r="AC810" s="119"/>
      <c r="AD810" s="196"/>
      <c r="AE810" s="200"/>
      <c r="AF810" s="201"/>
      <c r="AG810" s="205"/>
      <c r="AH810" s="205"/>
      <c r="AI810" s="205"/>
      <c r="AJ810" s="205"/>
      <c r="AK810" s="126"/>
      <c r="AL810" s="126"/>
    </row>
    <row r="811">
      <c r="A811" s="119"/>
      <c r="B811" s="154"/>
      <c r="C811" s="89"/>
      <c r="D811" s="55"/>
      <c r="E811" s="119"/>
      <c r="F811" s="154"/>
      <c r="G811" s="192"/>
      <c r="H811" s="193"/>
      <c r="I811" s="119"/>
      <c r="J811" s="154"/>
      <c r="K811" s="89"/>
      <c r="L811" s="55"/>
      <c r="M811" s="119"/>
      <c r="N811" s="194"/>
      <c r="O811" s="89"/>
      <c r="P811" s="55"/>
      <c r="Q811" s="195"/>
      <c r="R811" s="196"/>
      <c r="S811" s="125"/>
      <c r="T811" s="126"/>
      <c r="U811" s="195"/>
      <c r="V811" s="196"/>
      <c r="W811" s="125"/>
      <c r="X811" s="126"/>
      <c r="Y811" s="119"/>
      <c r="Z811" s="197"/>
      <c r="AA811" s="198"/>
      <c r="AB811" s="199"/>
      <c r="AC811" s="119"/>
      <c r="AD811" s="196"/>
      <c r="AE811" s="200"/>
      <c r="AF811" s="201"/>
      <c r="AG811" s="205"/>
      <c r="AH811" s="205"/>
      <c r="AI811" s="205"/>
      <c r="AJ811" s="205"/>
      <c r="AK811" s="126"/>
      <c r="AL811" s="126"/>
    </row>
    <row r="812">
      <c r="A812" s="119"/>
      <c r="B812" s="154"/>
      <c r="C812" s="89"/>
      <c r="D812" s="55"/>
      <c r="E812" s="119"/>
      <c r="F812" s="154"/>
      <c r="G812" s="192"/>
      <c r="H812" s="193"/>
      <c r="I812" s="119"/>
      <c r="J812" s="154"/>
      <c r="K812" s="89"/>
      <c r="L812" s="55"/>
      <c r="M812" s="119"/>
      <c r="N812" s="194"/>
      <c r="O812" s="89"/>
      <c r="P812" s="55"/>
      <c r="Q812" s="195"/>
      <c r="R812" s="196"/>
      <c r="S812" s="125"/>
      <c r="T812" s="126"/>
      <c r="U812" s="195"/>
      <c r="V812" s="196"/>
      <c r="W812" s="125"/>
      <c r="X812" s="126"/>
      <c r="Y812" s="119"/>
      <c r="Z812" s="197"/>
      <c r="AA812" s="198"/>
      <c r="AB812" s="199"/>
      <c r="AC812" s="119"/>
      <c r="AD812" s="196"/>
      <c r="AE812" s="200"/>
      <c r="AF812" s="201"/>
      <c r="AG812" s="205"/>
      <c r="AH812" s="205"/>
      <c r="AI812" s="205"/>
      <c r="AJ812" s="205"/>
      <c r="AK812" s="126"/>
      <c r="AL812" s="126"/>
    </row>
    <row r="813">
      <c r="A813" s="119"/>
      <c r="B813" s="154"/>
      <c r="C813" s="89"/>
      <c r="D813" s="55"/>
      <c r="E813" s="119"/>
      <c r="F813" s="154"/>
      <c r="G813" s="192"/>
      <c r="H813" s="193"/>
      <c r="I813" s="119"/>
      <c r="J813" s="154"/>
      <c r="K813" s="89"/>
      <c r="L813" s="55"/>
      <c r="M813" s="119"/>
      <c r="N813" s="194"/>
      <c r="O813" s="89"/>
      <c r="P813" s="55"/>
      <c r="Q813" s="195"/>
      <c r="R813" s="196"/>
      <c r="S813" s="125"/>
      <c r="T813" s="126"/>
      <c r="U813" s="195"/>
      <c r="V813" s="196"/>
      <c r="W813" s="125"/>
      <c r="X813" s="126"/>
      <c r="Y813" s="119"/>
      <c r="Z813" s="197"/>
      <c r="AA813" s="198"/>
      <c r="AB813" s="199"/>
      <c r="AC813" s="119"/>
      <c r="AD813" s="196"/>
      <c r="AE813" s="200"/>
      <c r="AF813" s="201"/>
      <c r="AG813" s="205"/>
      <c r="AH813" s="205"/>
      <c r="AI813" s="205"/>
      <c r="AJ813" s="205"/>
      <c r="AK813" s="126"/>
      <c r="AL813" s="126"/>
    </row>
    <row r="814">
      <c r="A814" s="119"/>
      <c r="B814" s="154"/>
      <c r="C814" s="89"/>
      <c r="D814" s="55"/>
      <c r="E814" s="119"/>
      <c r="F814" s="154"/>
      <c r="G814" s="192"/>
      <c r="H814" s="193"/>
      <c r="I814" s="119"/>
      <c r="J814" s="154"/>
      <c r="K814" s="89"/>
      <c r="L814" s="55"/>
      <c r="M814" s="119"/>
      <c r="N814" s="194"/>
      <c r="O814" s="89"/>
      <c r="P814" s="55"/>
      <c r="Q814" s="195"/>
      <c r="R814" s="196"/>
      <c r="S814" s="125"/>
      <c r="T814" s="126"/>
      <c r="U814" s="195"/>
      <c r="V814" s="196"/>
      <c r="W814" s="125"/>
      <c r="X814" s="126"/>
      <c r="Y814" s="119"/>
      <c r="Z814" s="197"/>
      <c r="AA814" s="198"/>
      <c r="AB814" s="199"/>
      <c r="AC814" s="119"/>
      <c r="AD814" s="196"/>
      <c r="AE814" s="200"/>
      <c r="AF814" s="201"/>
      <c r="AG814" s="205"/>
      <c r="AH814" s="205"/>
      <c r="AI814" s="205"/>
      <c r="AJ814" s="205"/>
      <c r="AK814" s="126"/>
      <c r="AL814" s="126"/>
    </row>
    <row r="815">
      <c r="A815" s="119"/>
      <c r="B815" s="154"/>
      <c r="C815" s="89"/>
      <c r="D815" s="55"/>
      <c r="E815" s="119"/>
      <c r="F815" s="154"/>
      <c r="G815" s="192"/>
      <c r="H815" s="193"/>
      <c r="I815" s="119"/>
      <c r="J815" s="154"/>
      <c r="K815" s="89"/>
      <c r="L815" s="55"/>
      <c r="M815" s="119"/>
      <c r="N815" s="194"/>
      <c r="O815" s="89"/>
      <c r="P815" s="55"/>
      <c r="Q815" s="195"/>
      <c r="R815" s="196"/>
      <c r="S815" s="125"/>
      <c r="T815" s="126"/>
      <c r="U815" s="195"/>
      <c r="V815" s="196"/>
      <c r="W815" s="125"/>
      <c r="X815" s="126"/>
      <c r="Y815" s="119"/>
      <c r="Z815" s="197"/>
      <c r="AA815" s="198"/>
      <c r="AB815" s="199"/>
      <c r="AC815" s="119"/>
      <c r="AD815" s="196"/>
      <c r="AE815" s="200"/>
      <c r="AF815" s="201"/>
      <c r="AG815" s="205"/>
      <c r="AH815" s="205"/>
      <c r="AI815" s="205"/>
      <c r="AJ815" s="205"/>
      <c r="AK815" s="126"/>
      <c r="AL815" s="126"/>
    </row>
    <row r="816">
      <c r="A816" s="119"/>
      <c r="B816" s="154"/>
      <c r="C816" s="89"/>
      <c r="D816" s="55"/>
      <c r="E816" s="119"/>
      <c r="F816" s="154"/>
      <c r="G816" s="192"/>
      <c r="H816" s="193"/>
      <c r="I816" s="119"/>
      <c r="J816" s="154"/>
      <c r="K816" s="89"/>
      <c r="L816" s="55"/>
      <c r="M816" s="119"/>
      <c r="N816" s="194"/>
      <c r="O816" s="89"/>
      <c r="P816" s="55"/>
      <c r="Q816" s="195"/>
      <c r="R816" s="196"/>
      <c r="S816" s="125"/>
      <c r="T816" s="126"/>
      <c r="U816" s="195"/>
      <c r="V816" s="196"/>
      <c r="W816" s="125"/>
      <c r="X816" s="126"/>
      <c r="Y816" s="119"/>
      <c r="Z816" s="197"/>
      <c r="AA816" s="198"/>
      <c r="AB816" s="199"/>
      <c r="AC816" s="119"/>
      <c r="AD816" s="196"/>
      <c r="AE816" s="200"/>
      <c r="AF816" s="201"/>
      <c r="AG816" s="205"/>
      <c r="AH816" s="205"/>
      <c r="AI816" s="205"/>
      <c r="AJ816" s="205"/>
      <c r="AK816" s="126"/>
      <c r="AL816" s="126"/>
    </row>
    <row r="817">
      <c r="A817" s="119"/>
      <c r="B817" s="154"/>
      <c r="C817" s="89"/>
      <c r="D817" s="55"/>
      <c r="E817" s="119"/>
      <c r="F817" s="154"/>
      <c r="G817" s="192"/>
      <c r="H817" s="193"/>
      <c r="I817" s="119"/>
      <c r="J817" s="154"/>
      <c r="K817" s="89"/>
      <c r="L817" s="55"/>
      <c r="M817" s="119"/>
      <c r="N817" s="194"/>
      <c r="O817" s="89"/>
      <c r="P817" s="55"/>
      <c r="Q817" s="195"/>
      <c r="R817" s="196"/>
      <c r="S817" s="125"/>
      <c r="T817" s="126"/>
      <c r="U817" s="195"/>
      <c r="V817" s="196"/>
      <c r="W817" s="125"/>
      <c r="X817" s="126"/>
      <c r="Y817" s="119"/>
      <c r="Z817" s="197"/>
      <c r="AA817" s="198"/>
      <c r="AB817" s="199"/>
      <c r="AC817" s="119"/>
      <c r="AD817" s="196"/>
      <c r="AE817" s="200"/>
      <c r="AF817" s="201"/>
      <c r="AG817" s="205"/>
      <c r="AH817" s="205"/>
      <c r="AI817" s="205"/>
      <c r="AJ817" s="205"/>
      <c r="AK817" s="126"/>
      <c r="AL817" s="126"/>
    </row>
    <row r="818">
      <c r="A818" s="119"/>
      <c r="B818" s="154"/>
      <c r="C818" s="89"/>
      <c r="D818" s="55"/>
      <c r="E818" s="119"/>
      <c r="F818" s="154"/>
      <c r="G818" s="192"/>
      <c r="H818" s="193"/>
      <c r="I818" s="119"/>
      <c r="J818" s="154"/>
      <c r="K818" s="89"/>
      <c r="L818" s="55"/>
      <c r="M818" s="119"/>
      <c r="N818" s="194"/>
      <c r="O818" s="89"/>
      <c r="P818" s="55"/>
      <c r="Q818" s="195"/>
      <c r="R818" s="196"/>
      <c r="S818" s="125"/>
      <c r="T818" s="126"/>
      <c r="U818" s="195"/>
      <c r="V818" s="196"/>
      <c r="W818" s="125"/>
      <c r="X818" s="126"/>
      <c r="Y818" s="119"/>
      <c r="Z818" s="197"/>
      <c r="AA818" s="198"/>
      <c r="AB818" s="199"/>
      <c r="AC818" s="119"/>
      <c r="AD818" s="196"/>
      <c r="AE818" s="200"/>
      <c r="AF818" s="201"/>
      <c r="AG818" s="205"/>
      <c r="AH818" s="205"/>
      <c r="AI818" s="205"/>
      <c r="AJ818" s="205"/>
      <c r="AK818" s="126"/>
      <c r="AL818" s="126"/>
    </row>
    <row r="819">
      <c r="A819" s="119"/>
      <c r="B819" s="154"/>
      <c r="C819" s="89"/>
      <c r="D819" s="55"/>
      <c r="E819" s="119"/>
      <c r="F819" s="154"/>
      <c r="G819" s="192"/>
      <c r="H819" s="193"/>
      <c r="I819" s="119"/>
      <c r="J819" s="154"/>
      <c r="K819" s="89"/>
      <c r="L819" s="55"/>
      <c r="M819" s="119"/>
      <c r="N819" s="194"/>
      <c r="O819" s="89"/>
      <c r="P819" s="55"/>
      <c r="Q819" s="195"/>
      <c r="R819" s="196"/>
      <c r="S819" s="125"/>
      <c r="T819" s="126"/>
      <c r="U819" s="195"/>
      <c r="V819" s="196"/>
      <c r="W819" s="125"/>
      <c r="X819" s="126"/>
      <c r="Y819" s="119"/>
      <c r="Z819" s="197"/>
      <c r="AA819" s="198"/>
      <c r="AB819" s="199"/>
      <c r="AC819" s="119"/>
      <c r="AD819" s="196"/>
      <c r="AE819" s="200"/>
      <c r="AF819" s="201"/>
      <c r="AG819" s="205"/>
      <c r="AH819" s="205"/>
      <c r="AI819" s="205"/>
      <c r="AJ819" s="205"/>
      <c r="AK819" s="126"/>
      <c r="AL819" s="126"/>
    </row>
    <row r="820">
      <c r="A820" s="119"/>
      <c r="B820" s="154"/>
      <c r="C820" s="89"/>
      <c r="D820" s="55"/>
      <c r="E820" s="119"/>
      <c r="F820" s="154"/>
      <c r="G820" s="192"/>
      <c r="H820" s="193"/>
      <c r="I820" s="119"/>
      <c r="J820" s="154"/>
      <c r="K820" s="89"/>
      <c r="L820" s="55"/>
      <c r="M820" s="119"/>
      <c r="N820" s="194"/>
      <c r="O820" s="89"/>
      <c r="P820" s="55"/>
      <c r="Q820" s="195"/>
      <c r="R820" s="196"/>
      <c r="S820" s="125"/>
      <c r="T820" s="126"/>
      <c r="U820" s="195"/>
      <c r="V820" s="196"/>
      <c r="W820" s="125"/>
      <c r="X820" s="126"/>
      <c r="Y820" s="119"/>
      <c r="Z820" s="197"/>
      <c r="AA820" s="198"/>
      <c r="AB820" s="199"/>
      <c r="AC820" s="119"/>
      <c r="AD820" s="196"/>
      <c r="AE820" s="200"/>
      <c r="AF820" s="201"/>
      <c r="AG820" s="205"/>
      <c r="AH820" s="205"/>
      <c r="AI820" s="205"/>
      <c r="AJ820" s="205"/>
      <c r="AK820" s="126"/>
      <c r="AL820" s="126"/>
    </row>
    <row r="821">
      <c r="A821" s="119"/>
      <c r="B821" s="154"/>
      <c r="C821" s="89"/>
      <c r="D821" s="55"/>
      <c r="E821" s="119"/>
      <c r="F821" s="154"/>
      <c r="G821" s="192"/>
      <c r="H821" s="193"/>
      <c r="I821" s="119"/>
      <c r="J821" s="154"/>
      <c r="K821" s="89"/>
      <c r="L821" s="55"/>
      <c r="M821" s="119"/>
      <c r="N821" s="194"/>
      <c r="O821" s="89"/>
      <c r="P821" s="55"/>
      <c r="Q821" s="195"/>
      <c r="R821" s="196"/>
      <c r="S821" s="125"/>
      <c r="T821" s="126"/>
      <c r="U821" s="195"/>
      <c r="V821" s="196"/>
      <c r="W821" s="125"/>
      <c r="X821" s="126"/>
      <c r="Y821" s="119"/>
      <c r="Z821" s="197"/>
      <c r="AA821" s="198"/>
      <c r="AB821" s="199"/>
      <c r="AC821" s="119"/>
      <c r="AD821" s="196"/>
      <c r="AE821" s="200"/>
      <c r="AF821" s="201"/>
      <c r="AG821" s="205"/>
      <c r="AH821" s="205"/>
      <c r="AI821" s="205"/>
      <c r="AJ821" s="205"/>
      <c r="AK821" s="126"/>
      <c r="AL821" s="126"/>
    </row>
    <row r="822">
      <c r="A822" s="119"/>
      <c r="B822" s="154"/>
      <c r="C822" s="89"/>
      <c r="D822" s="55"/>
      <c r="E822" s="119"/>
      <c r="F822" s="154"/>
      <c r="G822" s="192"/>
      <c r="H822" s="193"/>
      <c r="I822" s="119"/>
      <c r="J822" s="154"/>
      <c r="K822" s="89"/>
      <c r="L822" s="55"/>
      <c r="M822" s="119"/>
      <c r="N822" s="194"/>
      <c r="O822" s="89"/>
      <c r="P822" s="55"/>
      <c r="Q822" s="195"/>
      <c r="R822" s="196"/>
      <c r="S822" s="125"/>
      <c r="T822" s="126"/>
      <c r="U822" s="195"/>
      <c r="V822" s="196"/>
      <c r="W822" s="125"/>
      <c r="X822" s="126"/>
      <c r="Y822" s="119"/>
      <c r="Z822" s="197"/>
      <c r="AA822" s="198"/>
      <c r="AB822" s="199"/>
      <c r="AC822" s="119"/>
      <c r="AD822" s="196"/>
      <c r="AE822" s="200"/>
      <c r="AF822" s="201"/>
      <c r="AG822" s="205"/>
      <c r="AH822" s="205"/>
      <c r="AI822" s="205"/>
      <c r="AJ822" s="205"/>
      <c r="AK822" s="126"/>
      <c r="AL822" s="126"/>
    </row>
    <row r="823">
      <c r="A823" s="119"/>
      <c r="B823" s="154"/>
      <c r="C823" s="89"/>
      <c r="D823" s="55"/>
      <c r="E823" s="119"/>
      <c r="F823" s="154"/>
      <c r="G823" s="192"/>
      <c r="H823" s="193"/>
      <c r="I823" s="119"/>
      <c r="J823" s="154"/>
      <c r="K823" s="89"/>
      <c r="L823" s="55"/>
      <c r="M823" s="119"/>
      <c r="N823" s="194"/>
      <c r="O823" s="89"/>
      <c r="P823" s="55"/>
      <c r="Q823" s="195"/>
      <c r="R823" s="196"/>
      <c r="S823" s="125"/>
      <c r="T823" s="126"/>
      <c r="U823" s="195"/>
      <c r="V823" s="196"/>
      <c r="W823" s="125"/>
      <c r="X823" s="126"/>
      <c r="Y823" s="119"/>
      <c r="Z823" s="197"/>
      <c r="AA823" s="198"/>
      <c r="AB823" s="199"/>
      <c r="AC823" s="119"/>
      <c r="AD823" s="196"/>
      <c r="AE823" s="200"/>
      <c r="AF823" s="201"/>
      <c r="AG823" s="205"/>
      <c r="AH823" s="205"/>
      <c r="AI823" s="205"/>
      <c r="AJ823" s="205"/>
      <c r="AK823" s="126"/>
      <c r="AL823" s="126"/>
    </row>
    <row r="824">
      <c r="A824" s="119"/>
      <c r="B824" s="154"/>
      <c r="C824" s="89"/>
      <c r="D824" s="55"/>
      <c r="E824" s="119"/>
      <c r="F824" s="154"/>
      <c r="G824" s="192"/>
      <c r="H824" s="193"/>
      <c r="I824" s="119"/>
      <c r="J824" s="154"/>
      <c r="K824" s="89"/>
      <c r="L824" s="55"/>
      <c r="M824" s="119"/>
      <c r="N824" s="194"/>
      <c r="O824" s="89"/>
      <c r="P824" s="55"/>
      <c r="Q824" s="195"/>
      <c r="R824" s="196"/>
      <c r="S824" s="125"/>
      <c r="T824" s="126"/>
      <c r="U824" s="195"/>
      <c r="V824" s="196"/>
      <c r="W824" s="125"/>
      <c r="X824" s="126"/>
      <c r="Y824" s="119"/>
      <c r="Z824" s="197"/>
      <c r="AA824" s="198"/>
      <c r="AB824" s="199"/>
      <c r="AC824" s="119"/>
      <c r="AD824" s="196"/>
      <c r="AE824" s="200"/>
      <c r="AF824" s="201"/>
      <c r="AG824" s="205"/>
      <c r="AH824" s="205"/>
      <c r="AI824" s="205"/>
      <c r="AJ824" s="205"/>
      <c r="AK824" s="126"/>
      <c r="AL824" s="126"/>
    </row>
    <row r="825">
      <c r="A825" s="119"/>
      <c r="B825" s="154"/>
      <c r="C825" s="89"/>
      <c r="D825" s="55"/>
      <c r="E825" s="119"/>
      <c r="F825" s="154"/>
      <c r="G825" s="192"/>
      <c r="H825" s="193"/>
      <c r="I825" s="119"/>
      <c r="J825" s="154"/>
      <c r="K825" s="89"/>
      <c r="L825" s="55"/>
      <c r="M825" s="119"/>
      <c r="N825" s="194"/>
      <c r="O825" s="89"/>
      <c r="P825" s="55"/>
      <c r="Q825" s="195"/>
      <c r="R825" s="196"/>
      <c r="S825" s="125"/>
      <c r="T825" s="126"/>
      <c r="U825" s="195"/>
      <c r="V825" s="196"/>
      <c r="W825" s="125"/>
      <c r="X825" s="126"/>
      <c r="Y825" s="119"/>
      <c r="Z825" s="197"/>
      <c r="AA825" s="198"/>
      <c r="AB825" s="199"/>
      <c r="AC825" s="119"/>
      <c r="AD825" s="196"/>
      <c r="AE825" s="200"/>
      <c r="AF825" s="201"/>
      <c r="AG825" s="205"/>
      <c r="AH825" s="205"/>
      <c r="AI825" s="205"/>
      <c r="AJ825" s="205"/>
      <c r="AK825" s="126"/>
      <c r="AL825" s="126"/>
    </row>
    <row r="826">
      <c r="A826" s="119"/>
      <c r="B826" s="154"/>
      <c r="C826" s="89"/>
      <c r="D826" s="55"/>
      <c r="E826" s="119"/>
      <c r="F826" s="154"/>
      <c r="G826" s="192"/>
      <c r="H826" s="193"/>
      <c r="I826" s="119"/>
      <c r="J826" s="154"/>
      <c r="K826" s="89"/>
      <c r="L826" s="55"/>
      <c r="M826" s="119"/>
      <c r="N826" s="194"/>
      <c r="O826" s="89"/>
      <c r="P826" s="55"/>
      <c r="Q826" s="195"/>
      <c r="R826" s="196"/>
      <c r="S826" s="125"/>
      <c r="T826" s="126"/>
      <c r="U826" s="195"/>
      <c r="V826" s="196"/>
      <c r="W826" s="125"/>
      <c r="X826" s="126"/>
      <c r="Y826" s="119"/>
      <c r="Z826" s="197"/>
      <c r="AA826" s="198"/>
      <c r="AB826" s="199"/>
      <c r="AC826" s="119"/>
      <c r="AD826" s="196"/>
      <c r="AE826" s="200"/>
      <c r="AF826" s="201"/>
      <c r="AG826" s="205"/>
      <c r="AH826" s="205"/>
      <c r="AI826" s="205"/>
      <c r="AJ826" s="205"/>
      <c r="AK826" s="126"/>
      <c r="AL826" s="126"/>
    </row>
    <row r="827">
      <c r="A827" s="119"/>
      <c r="B827" s="154"/>
      <c r="C827" s="89"/>
      <c r="D827" s="55"/>
      <c r="E827" s="119"/>
      <c r="F827" s="154"/>
      <c r="G827" s="192"/>
      <c r="H827" s="193"/>
      <c r="I827" s="119"/>
      <c r="J827" s="154"/>
      <c r="K827" s="89"/>
      <c r="L827" s="55"/>
      <c r="M827" s="119"/>
      <c r="N827" s="194"/>
      <c r="O827" s="89"/>
      <c r="P827" s="55"/>
      <c r="Q827" s="195"/>
      <c r="R827" s="196"/>
      <c r="S827" s="125"/>
      <c r="T827" s="126"/>
      <c r="U827" s="195"/>
      <c r="V827" s="196"/>
      <c r="W827" s="125"/>
      <c r="X827" s="126"/>
      <c r="Y827" s="119"/>
      <c r="Z827" s="197"/>
      <c r="AA827" s="198"/>
      <c r="AB827" s="199"/>
      <c r="AC827" s="119"/>
      <c r="AD827" s="196"/>
      <c r="AE827" s="200"/>
      <c r="AF827" s="201"/>
      <c r="AG827" s="205"/>
      <c r="AH827" s="205"/>
      <c r="AI827" s="205"/>
      <c r="AJ827" s="205"/>
      <c r="AK827" s="126"/>
      <c r="AL827" s="126"/>
    </row>
    <row r="828">
      <c r="A828" s="119"/>
      <c r="B828" s="154"/>
      <c r="C828" s="89"/>
      <c r="D828" s="55"/>
      <c r="E828" s="119"/>
      <c r="F828" s="154"/>
      <c r="G828" s="192"/>
      <c r="H828" s="193"/>
      <c r="I828" s="119"/>
      <c r="J828" s="154"/>
      <c r="K828" s="89"/>
      <c r="L828" s="55"/>
      <c r="M828" s="119"/>
      <c r="N828" s="194"/>
      <c r="O828" s="89"/>
      <c r="P828" s="55"/>
      <c r="Q828" s="195"/>
      <c r="R828" s="196"/>
      <c r="S828" s="125"/>
      <c r="T828" s="126"/>
      <c r="U828" s="195"/>
      <c r="V828" s="196"/>
      <c r="W828" s="125"/>
      <c r="X828" s="126"/>
      <c r="Y828" s="119"/>
      <c r="Z828" s="197"/>
      <c r="AA828" s="198"/>
      <c r="AB828" s="199"/>
      <c r="AC828" s="119"/>
      <c r="AD828" s="196"/>
      <c r="AE828" s="200"/>
      <c r="AF828" s="201"/>
      <c r="AG828" s="205"/>
      <c r="AH828" s="205"/>
      <c r="AI828" s="205"/>
      <c r="AJ828" s="205"/>
      <c r="AK828" s="126"/>
      <c r="AL828" s="126"/>
    </row>
    <row r="829">
      <c r="A829" s="119"/>
      <c r="B829" s="154"/>
      <c r="C829" s="89"/>
      <c r="D829" s="55"/>
      <c r="E829" s="119"/>
      <c r="F829" s="154"/>
      <c r="G829" s="192"/>
      <c r="H829" s="193"/>
      <c r="I829" s="119"/>
      <c r="J829" s="154"/>
      <c r="K829" s="89"/>
      <c r="L829" s="55"/>
      <c r="M829" s="119"/>
      <c r="N829" s="194"/>
      <c r="O829" s="89"/>
      <c r="P829" s="55"/>
      <c r="Q829" s="195"/>
      <c r="R829" s="196"/>
      <c r="S829" s="125"/>
      <c r="T829" s="126"/>
      <c r="U829" s="195"/>
      <c r="V829" s="196"/>
      <c r="W829" s="125"/>
      <c r="X829" s="126"/>
      <c r="Y829" s="119"/>
      <c r="Z829" s="197"/>
      <c r="AA829" s="198"/>
      <c r="AB829" s="199"/>
      <c r="AC829" s="119"/>
      <c r="AD829" s="196"/>
      <c r="AE829" s="200"/>
      <c r="AF829" s="201"/>
      <c r="AG829" s="205"/>
      <c r="AH829" s="205"/>
      <c r="AI829" s="205"/>
      <c r="AJ829" s="205"/>
      <c r="AK829" s="126"/>
      <c r="AL829" s="126"/>
    </row>
    <row r="830">
      <c r="A830" s="119"/>
      <c r="B830" s="154"/>
      <c r="C830" s="89"/>
      <c r="D830" s="55"/>
      <c r="E830" s="119"/>
      <c r="F830" s="154"/>
      <c r="G830" s="192"/>
      <c r="H830" s="193"/>
      <c r="I830" s="119"/>
      <c r="J830" s="154"/>
      <c r="K830" s="89"/>
      <c r="L830" s="55"/>
      <c r="M830" s="119"/>
      <c r="N830" s="194"/>
      <c r="O830" s="89"/>
      <c r="P830" s="55"/>
      <c r="Q830" s="195"/>
      <c r="R830" s="196"/>
      <c r="S830" s="125"/>
      <c r="T830" s="126"/>
      <c r="U830" s="195"/>
      <c r="V830" s="196"/>
      <c r="W830" s="125"/>
      <c r="X830" s="126"/>
      <c r="Y830" s="119"/>
      <c r="Z830" s="197"/>
      <c r="AA830" s="198"/>
      <c r="AB830" s="199"/>
      <c r="AC830" s="119"/>
      <c r="AD830" s="196"/>
      <c r="AE830" s="200"/>
      <c r="AF830" s="201"/>
      <c r="AG830" s="205"/>
      <c r="AH830" s="205"/>
      <c r="AI830" s="205"/>
      <c r="AJ830" s="205"/>
      <c r="AK830" s="126"/>
      <c r="AL830" s="126"/>
    </row>
    <row r="831">
      <c r="A831" s="119"/>
      <c r="B831" s="154"/>
      <c r="C831" s="89"/>
      <c r="D831" s="55"/>
      <c r="E831" s="119"/>
      <c r="F831" s="154"/>
      <c r="G831" s="192"/>
      <c r="H831" s="193"/>
      <c r="I831" s="119"/>
      <c r="J831" s="154"/>
      <c r="K831" s="89"/>
      <c r="L831" s="55"/>
      <c r="M831" s="119"/>
      <c r="N831" s="194"/>
      <c r="O831" s="89"/>
      <c r="P831" s="55"/>
      <c r="Q831" s="195"/>
      <c r="R831" s="196"/>
      <c r="S831" s="125"/>
      <c r="T831" s="126"/>
      <c r="U831" s="195"/>
      <c r="V831" s="196"/>
      <c r="W831" s="125"/>
      <c r="X831" s="126"/>
      <c r="Y831" s="119"/>
      <c r="Z831" s="197"/>
      <c r="AA831" s="198"/>
      <c r="AB831" s="199"/>
      <c r="AC831" s="119"/>
      <c r="AD831" s="196"/>
      <c r="AE831" s="200"/>
      <c r="AF831" s="201"/>
      <c r="AG831" s="205"/>
      <c r="AH831" s="205"/>
      <c r="AI831" s="205"/>
      <c r="AJ831" s="205"/>
      <c r="AK831" s="126"/>
      <c r="AL831" s="126"/>
    </row>
    <row r="832">
      <c r="A832" s="119"/>
      <c r="B832" s="154"/>
      <c r="C832" s="89"/>
      <c r="D832" s="55"/>
      <c r="E832" s="119"/>
      <c r="F832" s="154"/>
      <c r="G832" s="192"/>
      <c r="H832" s="193"/>
      <c r="I832" s="119"/>
      <c r="J832" s="154"/>
      <c r="K832" s="89"/>
      <c r="L832" s="55"/>
      <c r="M832" s="119"/>
      <c r="N832" s="194"/>
      <c r="O832" s="89"/>
      <c r="P832" s="55"/>
      <c r="Q832" s="195"/>
      <c r="R832" s="196"/>
      <c r="S832" s="125"/>
      <c r="T832" s="126"/>
      <c r="U832" s="195"/>
      <c r="V832" s="196"/>
      <c r="W832" s="125"/>
      <c r="X832" s="126"/>
      <c r="Y832" s="119"/>
      <c r="Z832" s="197"/>
      <c r="AA832" s="198"/>
      <c r="AB832" s="199"/>
      <c r="AC832" s="119"/>
      <c r="AD832" s="196"/>
      <c r="AE832" s="200"/>
      <c r="AF832" s="201"/>
      <c r="AG832" s="205"/>
      <c r="AH832" s="205"/>
      <c r="AI832" s="205"/>
      <c r="AJ832" s="205"/>
      <c r="AK832" s="126"/>
      <c r="AL832" s="126"/>
    </row>
    <row r="833">
      <c r="A833" s="119"/>
      <c r="B833" s="154"/>
      <c r="C833" s="89"/>
      <c r="D833" s="55"/>
      <c r="E833" s="119"/>
      <c r="F833" s="154"/>
      <c r="G833" s="192"/>
      <c r="H833" s="193"/>
      <c r="I833" s="119"/>
      <c r="J833" s="154"/>
      <c r="K833" s="89"/>
      <c r="L833" s="55"/>
      <c r="M833" s="119"/>
      <c r="N833" s="194"/>
      <c r="O833" s="89"/>
      <c r="P833" s="55"/>
      <c r="Q833" s="195"/>
      <c r="R833" s="196"/>
      <c r="S833" s="125"/>
      <c r="T833" s="126"/>
      <c r="U833" s="195"/>
      <c r="V833" s="196"/>
      <c r="W833" s="125"/>
      <c r="X833" s="126"/>
      <c r="Y833" s="119"/>
      <c r="Z833" s="197"/>
      <c r="AA833" s="198"/>
      <c r="AB833" s="199"/>
      <c r="AC833" s="119"/>
      <c r="AD833" s="196"/>
      <c r="AE833" s="200"/>
      <c r="AF833" s="201"/>
      <c r="AG833" s="205"/>
      <c r="AH833" s="205"/>
      <c r="AI833" s="205"/>
      <c r="AJ833" s="205"/>
      <c r="AK833" s="126"/>
      <c r="AL833" s="126"/>
    </row>
    <row r="834">
      <c r="A834" s="119"/>
      <c r="B834" s="154"/>
      <c r="C834" s="89"/>
      <c r="D834" s="55"/>
      <c r="E834" s="119"/>
      <c r="F834" s="154"/>
      <c r="G834" s="192"/>
      <c r="H834" s="193"/>
      <c r="I834" s="119"/>
      <c r="J834" s="154"/>
      <c r="K834" s="89"/>
      <c r="L834" s="55"/>
      <c r="M834" s="119"/>
      <c r="N834" s="194"/>
      <c r="O834" s="89"/>
      <c r="P834" s="55"/>
      <c r="Q834" s="195"/>
      <c r="R834" s="196"/>
      <c r="S834" s="125"/>
      <c r="T834" s="126"/>
      <c r="U834" s="195"/>
      <c r="V834" s="196"/>
      <c r="W834" s="125"/>
      <c r="X834" s="126"/>
      <c r="Y834" s="119"/>
      <c r="Z834" s="197"/>
      <c r="AA834" s="198"/>
      <c r="AB834" s="199"/>
      <c r="AC834" s="119"/>
      <c r="AD834" s="196"/>
      <c r="AE834" s="200"/>
      <c r="AF834" s="201"/>
      <c r="AG834" s="205"/>
      <c r="AH834" s="205"/>
      <c r="AI834" s="205"/>
      <c r="AJ834" s="205"/>
      <c r="AK834" s="126"/>
      <c r="AL834" s="126"/>
    </row>
    <row r="835">
      <c r="A835" s="119"/>
      <c r="B835" s="154"/>
      <c r="C835" s="89"/>
      <c r="D835" s="55"/>
      <c r="E835" s="119"/>
      <c r="F835" s="154"/>
      <c r="G835" s="192"/>
      <c r="H835" s="193"/>
      <c r="I835" s="119"/>
      <c r="J835" s="154"/>
      <c r="K835" s="89"/>
      <c r="L835" s="55"/>
      <c r="M835" s="119"/>
      <c r="N835" s="194"/>
      <c r="O835" s="89"/>
      <c r="P835" s="55"/>
      <c r="Q835" s="195"/>
      <c r="R835" s="196"/>
      <c r="S835" s="125"/>
      <c r="T835" s="126"/>
      <c r="U835" s="195"/>
      <c r="V835" s="196"/>
      <c r="W835" s="125"/>
      <c r="X835" s="126"/>
      <c r="Y835" s="119"/>
      <c r="Z835" s="197"/>
      <c r="AA835" s="198"/>
      <c r="AB835" s="199"/>
      <c r="AC835" s="119"/>
      <c r="AD835" s="196"/>
      <c r="AE835" s="200"/>
      <c r="AF835" s="201"/>
      <c r="AG835" s="205"/>
      <c r="AH835" s="205"/>
      <c r="AI835" s="205"/>
      <c r="AJ835" s="205"/>
      <c r="AK835" s="126"/>
      <c r="AL835" s="126"/>
    </row>
    <row r="836">
      <c r="A836" s="119"/>
      <c r="B836" s="154"/>
      <c r="C836" s="89"/>
      <c r="D836" s="55"/>
      <c r="E836" s="119"/>
      <c r="F836" s="154"/>
      <c r="G836" s="192"/>
      <c r="H836" s="193"/>
      <c r="I836" s="119"/>
      <c r="J836" s="154"/>
      <c r="K836" s="89"/>
      <c r="L836" s="55"/>
      <c r="M836" s="119"/>
      <c r="N836" s="194"/>
      <c r="O836" s="89"/>
      <c r="P836" s="55"/>
      <c r="Q836" s="195"/>
      <c r="R836" s="196"/>
      <c r="S836" s="125"/>
      <c r="T836" s="126"/>
      <c r="U836" s="195"/>
      <c r="V836" s="196"/>
      <c r="W836" s="125"/>
      <c r="X836" s="126"/>
      <c r="Y836" s="119"/>
      <c r="Z836" s="197"/>
      <c r="AA836" s="198"/>
      <c r="AB836" s="199"/>
      <c r="AC836" s="119"/>
      <c r="AD836" s="196"/>
      <c r="AE836" s="200"/>
      <c r="AF836" s="201"/>
      <c r="AG836" s="205"/>
      <c r="AH836" s="205"/>
      <c r="AI836" s="205"/>
      <c r="AJ836" s="205"/>
      <c r="AK836" s="126"/>
      <c r="AL836" s="126"/>
    </row>
    <row r="837">
      <c r="A837" s="119"/>
      <c r="B837" s="154"/>
      <c r="C837" s="89"/>
      <c r="D837" s="55"/>
      <c r="E837" s="119"/>
      <c r="F837" s="154"/>
      <c r="G837" s="192"/>
      <c r="H837" s="193"/>
      <c r="I837" s="119"/>
      <c r="J837" s="154"/>
      <c r="K837" s="89"/>
      <c r="L837" s="55"/>
      <c r="M837" s="119"/>
      <c r="N837" s="194"/>
      <c r="O837" s="89"/>
      <c r="P837" s="55"/>
      <c r="Q837" s="195"/>
      <c r="R837" s="196"/>
      <c r="S837" s="125"/>
      <c r="T837" s="126"/>
      <c r="U837" s="195"/>
      <c r="V837" s="196"/>
      <c r="W837" s="125"/>
      <c r="X837" s="126"/>
      <c r="Y837" s="119"/>
      <c r="Z837" s="197"/>
      <c r="AA837" s="198"/>
      <c r="AB837" s="199"/>
      <c r="AC837" s="119"/>
      <c r="AD837" s="196"/>
      <c r="AE837" s="200"/>
      <c r="AF837" s="201"/>
      <c r="AG837" s="205"/>
      <c r="AH837" s="205"/>
      <c r="AI837" s="205"/>
      <c r="AJ837" s="205"/>
      <c r="AK837" s="126"/>
      <c r="AL837" s="126"/>
    </row>
    <row r="838">
      <c r="A838" s="119"/>
      <c r="B838" s="154"/>
      <c r="C838" s="89"/>
      <c r="D838" s="55"/>
      <c r="E838" s="119"/>
      <c r="F838" s="154"/>
      <c r="G838" s="192"/>
      <c r="H838" s="193"/>
      <c r="I838" s="119"/>
      <c r="J838" s="154"/>
      <c r="K838" s="89"/>
      <c r="L838" s="55"/>
      <c r="M838" s="119"/>
      <c r="N838" s="194"/>
      <c r="O838" s="89"/>
      <c r="P838" s="55"/>
      <c r="Q838" s="195"/>
      <c r="R838" s="196"/>
      <c r="S838" s="125"/>
      <c r="T838" s="126"/>
      <c r="U838" s="195"/>
      <c r="V838" s="196"/>
      <c r="W838" s="125"/>
      <c r="X838" s="126"/>
      <c r="Y838" s="119"/>
      <c r="Z838" s="197"/>
      <c r="AA838" s="198"/>
      <c r="AB838" s="199"/>
      <c r="AC838" s="119"/>
      <c r="AD838" s="196"/>
      <c r="AE838" s="200"/>
      <c r="AF838" s="201"/>
      <c r="AG838" s="205"/>
      <c r="AH838" s="205"/>
      <c r="AI838" s="205"/>
      <c r="AJ838" s="205"/>
      <c r="AK838" s="126"/>
      <c r="AL838" s="126"/>
    </row>
    <row r="839">
      <c r="A839" s="119"/>
      <c r="B839" s="154"/>
      <c r="C839" s="89"/>
      <c r="D839" s="55"/>
      <c r="E839" s="119"/>
      <c r="F839" s="154"/>
      <c r="G839" s="192"/>
      <c r="H839" s="193"/>
      <c r="I839" s="119"/>
      <c r="J839" s="154"/>
      <c r="K839" s="89"/>
      <c r="L839" s="55"/>
      <c r="M839" s="119"/>
      <c r="N839" s="194"/>
      <c r="O839" s="89"/>
      <c r="P839" s="55"/>
      <c r="Q839" s="195"/>
      <c r="R839" s="196"/>
      <c r="S839" s="125"/>
      <c r="T839" s="126"/>
      <c r="U839" s="195"/>
      <c r="V839" s="196"/>
      <c r="W839" s="125"/>
      <c r="X839" s="126"/>
      <c r="Y839" s="119"/>
      <c r="Z839" s="197"/>
      <c r="AA839" s="198"/>
      <c r="AB839" s="199"/>
      <c r="AC839" s="119"/>
      <c r="AD839" s="196"/>
      <c r="AE839" s="200"/>
      <c r="AF839" s="201"/>
      <c r="AG839" s="205"/>
      <c r="AH839" s="205"/>
      <c r="AI839" s="205"/>
      <c r="AJ839" s="205"/>
      <c r="AK839" s="126"/>
      <c r="AL839" s="126"/>
    </row>
    <row r="840">
      <c r="A840" s="119"/>
      <c r="B840" s="154"/>
      <c r="C840" s="89"/>
      <c r="D840" s="55"/>
      <c r="E840" s="119"/>
      <c r="F840" s="154"/>
      <c r="G840" s="192"/>
      <c r="H840" s="193"/>
      <c r="I840" s="119"/>
      <c r="J840" s="154"/>
      <c r="K840" s="89"/>
      <c r="L840" s="55"/>
      <c r="M840" s="119"/>
      <c r="N840" s="194"/>
      <c r="O840" s="89"/>
      <c r="P840" s="55"/>
      <c r="Q840" s="195"/>
      <c r="R840" s="196"/>
      <c r="S840" s="125"/>
      <c r="T840" s="126"/>
      <c r="U840" s="195"/>
      <c r="V840" s="196"/>
      <c r="W840" s="125"/>
      <c r="X840" s="126"/>
      <c r="Y840" s="119"/>
      <c r="Z840" s="197"/>
      <c r="AA840" s="198"/>
      <c r="AB840" s="199"/>
      <c r="AC840" s="119"/>
      <c r="AD840" s="196"/>
      <c r="AE840" s="200"/>
      <c r="AF840" s="201"/>
      <c r="AG840" s="205"/>
      <c r="AH840" s="205"/>
      <c r="AI840" s="205"/>
      <c r="AJ840" s="205"/>
      <c r="AK840" s="126"/>
      <c r="AL840" s="126"/>
    </row>
    <row r="841">
      <c r="A841" s="119"/>
      <c r="B841" s="154"/>
      <c r="C841" s="89"/>
      <c r="D841" s="55"/>
      <c r="E841" s="119"/>
      <c r="F841" s="154"/>
      <c r="G841" s="192"/>
      <c r="H841" s="193"/>
      <c r="I841" s="119"/>
      <c r="J841" s="154"/>
      <c r="K841" s="89"/>
      <c r="L841" s="55"/>
      <c r="M841" s="119"/>
      <c r="N841" s="194"/>
      <c r="O841" s="89"/>
      <c r="P841" s="55"/>
      <c r="Q841" s="195"/>
      <c r="R841" s="196"/>
      <c r="S841" s="125"/>
      <c r="T841" s="126"/>
      <c r="U841" s="195"/>
      <c r="V841" s="196"/>
      <c r="W841" s="125"/>
      <c r="X841" s="126"/>
      <c r="Y841" s="119"/>
      <c r="Z841" s="197"/>
      <c r="AA841" s="198"/>
      <c r="AB841" s="199"/>
      <c r="AC841" s="119"/>
      <c r="AD841" s="196"/>
      <c r="AE841" s="200"/>
      <c r="AF841" s="201"/>
      <c r="AG841" s="205"/>
      <c r="AH841" s="205"/>
      <c r="AI841" s="205"/>
      <c r="AJ841" s="205"/>
      <c r="AK841" s="126"/>
      <c r="AL841" s="126"/>
    </row>
    <row r="842">
      <c r="A842" s="119"/>
      <c r="B842" s="154"/>
      <c r="C842" s="89"/>
      <c r="D842" s="55"/>
      <c r="E842" s="119"/>
      <c r="F842" s="154"/>
      <c r="G842" s="192"/>
      <c r="H842" s="193"/>
      <c r="I842" s="119"/>
      <c r="J842" s="154"/>
      <c r="K842" s="89"/>
      <c r="L842" s="55"/>
      <c r="M842" s="119"/>
      <c r="N842" s="194"/>
      <c r="O842" s="89"/>
      <c r="P842" s="55"/>
      <c r="Q842" s="195"/>
      <c r="R842" s="196"/>
      <c r="S842" s="125"/>
      <c r="T842" s="126"/>
      <c r="U842" s="195"/>
      <c r="V842" s="196"/>
      <c r="W842" s="125"/>
      <c r="X842" s="126"/>
      <c r="Y842" s="119"/>
      <c r="Z842" s="197"/>
      <c r="AA842" s="198"/>
      <c r="AB842" s="199"/>
      <c r="AC842" s="119"/>
      <c r="AD842" s="196"/>
      <c r="AE842" s="200"/>
      <c r="AF842" s="201"/>
      <c r="AG842" s="205"/>
      <c r="AH842" s="205"/>
      <c r="AI842" s="205"/>
      <c r="AJ842" s="205"/>
      <c r="AK842" s="126"/>
      <c r="AL842" s="126"/>
    </row>
    <row r="843">
      <c r="A843" s="119"/>
      <c r="B843" s="154"/>
      <c r="C843" s="89"/>
      <c r="D843" s="55"/>
      <c r="E843" s="119"/>
      <c r="F843" s="154"/>
      <c r="G843" s="192"/>
      <c r="H843" s="193"/>
      <c r="I843" s="119"/>
      <c r="J843" s="154"/>
      <c r="K843" s="89"/>
      <c r="L843" s="55"/>
      <c r="M843" s="119"/>
      <c r="N843" s="194"/>
      <c r="O843" s="89"/>
      <c r="P843" s="55"/>
      <c r="Q843" s="195"/>
      <c r="R843" s="196"/>
      <c r="S843" s="125"/>
      <c r="T843" s="126"/>
      <c r="U843" s="195"/>
      <c r="V843" s="196"/>
      <c r="W843" s="125"/>
      <c r="X843" s="126"/>
      <c r="Y843" s="119"/>
      <c r="Z843" s="197"/>
      <c r="AA843" s="198"/>
      <c r="AB843" s="199"/>
      <c r="AC843" s="119"/>
      <c r="AD843" s="196"/>
      <c r="AE843" s="200"/>
      <c r="AF843" s="201"/>
      <c r="AG843" s="205"/>
      <c r="AH843" s="205"/>
      <c r="AI843" s="205"/>
      <c r="AJ843" s="205"/>
      <c r="AK843" s="126"/>
      <c r="AL843" s="126"/>
    </row>
    <row r="844">
      <c r="A844" s="119"/>
      <c r="B844" s="154"/>
      <c r="C844" s="89"/>
      <c r="D844" s="55"/>
      <c r="E844" s="119"/>
      <c r="F844" s="154"/>
      <c r="G844" s="192"/>
      <c r="H844" s="193"/>
      <c r="I844" s="119"/>
      <c r="J844" s="154"/>
      <c r="K844" s="89"/>
      <c r="L844" s="55"/>
      <c r="M844" s="119"/>
      <c r="N844" s="194"/>
      <c r="O844" s="89"/>
      <c r="P844" s="55"/>
      <c r="Q844" s="195"/>
      <c r="R844" s="196"/>
      <c r="S844" s="125"/>
      <c r="T844" s="126"/>
      <c r="U844" s="195"/>
      <c r="V844" s="196"/>
      <c r="W844" s="125"/>
      <c r="X844" s="126"/>
      <c r="Y844" s="119"/>
      <c r="Z844" s="197"/>
      <c r="AA844" s="198"/>
      <c r="AB844" s="199"/>
      <c r="AC844" s="119"/>
      <c r="AD844" s="196"/>
      <c r="AE844" s="200"/>
      <c r="AF844" s="201"/>
      <c r="AG844" s="205"/>
      <c r="AH844" s="205"/>
      <c r="AI844" s="205"/>
      <c r="AJ844" s="205"/>
      <c r="AK844" s="126"/>
      <c r="AL844" s="126"/>
    </row>
    <row r="845">
      <c r="A845" s="119"/>
      <c r="B845" s="154"/>
      <c r="C845" s="89"/>
      <c r="D845" s="55"/>
      <c r="E845" s="119"/>
      <c r="F845" s="154"/>
      <c r="G845" s="192"/>
      <c r="H845" s="193"/>
      <c r="I845" s="119"/>
      <c r="J845" s="154"/>
      <c r="K845" s="89"/>
      <c r="L845" s="55"/>
      <c r="M845" s="119"/>
      <c r="N845" s="194"/>
      <c r="O845" s="89"/>
      <c r="P845" s="55"/>
      <c r="Q845" s="195"/>
      <c r="R845" s="196"/>
      <c r="S845" s="125"/>
      <c r="T845" s="126"/>
      <c r="U845" s="195"/>
      <c r="V845" s="196"/>
      <c r="W845" s="125"/>
      <c r="X845" s="126"/>
      <c r="Y845" s="119"/>
      <c r="Z845" s="197"/>
      <c r="AA845" s="198"/>
      <c r="AB845" s="199"/>
      <c r="AC845" s="119"/>
      <c r="AD845" s="196"/>
      <c r="AE845" s="200"/>
      <c r="AF845" s="201"/>
      <c r="AG845" s="205"/>
      <c r="AH845" s="205"/>
      <c r="AI845" s="205"/>
      <c r="AJ845" s="205"/>
      <c r="AK845" s="126"/>
      <c r="AL845" s="126"/>
    </row>
    <row r="846">
      <c r="A846" s="119"/>
      <c r="B846" s="154"/>
      <c r="C846" s="89"/>
      <c r="D846" s="55"/>
      <c r="E846" s="119"/>
      <c r="F846" s="154"/>
      <c r="G846" s="192"/>
      <c r="H846" s="193"/>
      <c r="I846" s="119"/>
      <c r="J846" s="154"/>
      <c r="K846" s="89"/>
      <c r="L846" s="55"/>
      <c r="M846" s="119"/>
      <c r="N846" s="194"/>
      <c r="O846" s="89"/>
      <c r="P846" s="55"/>
      <c r="Q846" s="195"/>
      <c r="R846" s="196"/>
      <c r="S846" s="125"/>
      <c r="T846" s="126"/>
      <c r="U846" s="195"/>
      <c r="V846" s="196"/>
      <c r="W846" s="125"/>
      <c r="X846" s="126"/>
      <c r="Y846" s="119"/>
      <c r="Z846" s="197"/>
      <c r="AA846" s="198"/>
      <c r="AB846" s="199"/>
      <c r="AC846" s="119"/>
      <c r="AD846" s="196"/>
      <c r="AE846" s="200"/>
      <c r="AF846" s="201"/>
      <c r="AG846" s="205"/>
      <c r="AH846" s="205"/>
      <c r="AI846" s="205"/>
      <c r="AJ846" s="205"/>
      <c r="AK846" s="126"/>
      <c r="AL846" s="126"/>
    </row>
    <row r="847">
      <c r="A847" s="119"/>
      <c r="B847" s="154"/>
      <c r="C847" s="89"/>
      <c r="D847" s="55"/>
      <c r="E847" s="119"/>
      <c r="F847" s="154"/>
      <c r="G847" s="192"/>
      <c r="H847" s="193"/>
      <c r="I847" s="119"/>
      <c r="J847" s="154"/>
      <c r="K847" s="89"/>
      <c r="L847" s="55"/>
      <c r="M847" s="119"/>
      <c r="N847" s="194"/>
      <c r="O847" s="89"/>
      <c r="P847" s="55"/>
      <c r="Q847" s="195"/>
      <c r="R847" s="196"/>
      <c r="S847" s="125"/>
      <c r="T847" s="126"/>
      <c r="U847" s="195"/>
      <c r="V847" s="196"/>
      <c r="W847" s="125"/>
      <c r="X847" s="126"/>
      <c r="Y847" s="119"/>
      <c r="Z847" s="197"/>
      <c r="AA847" s="198"/>
      <c r="AB847" s="199"/>
      <c r="AC847" s="119"/>
      <c r="AD847" s="196"/>
      <c r="AE847" s="200"/>
      <c r="AF847" s="201"/>
      <c r="AG847" s="205"/>
      <c r="AH847" s="205"/>
      <c r="AI847" s="205"/>
      <c r="AJ847" s="205"/>
      <c r="AK847" s="126"/>
      <c r="AL847" s="126"/>
    </row>
    <row r="848">
      <c r="A848" s="119"/>
      <c r="B848" s="154"/>
      <c r="C848" s="89"/>
      <c r="D848" s="55"/>
      <c r="E848" s="119"/>
      <c r="F848" s="154"/>
      <c r="G848" s="192"/>
      <c r="H848" s="193"/>
      <c r="I848" s="119"/>
      <c r="J848" s="154"/>
      <c r="K848" s="89"/>
      <c r="L848" s="55"/>
      <c r="M848" s="119"/>
      <c r="N848" s="194"/>
      <c r="O848" s="89"/>
      <c r="P848" s="55"/>
      <c r="Q848" s="195"/>
      <c r="R848" s="196"/>
      <c r="S848" s="125"/>
      <c r="T848" s="126"/>
      <c r="U848" s="195"/>
      <c r="V848" s="196"/>
      <c r="W848" s="125"/>
      <c r="X848" s="126"/>
      <c r="Y848" s="119"/>
      <c r="Z848" s="197"/>
      <c r="AA848" s="198"/>
      <c r="AB848" s="199"/>
      <c r="AC848" s="119"/>
      <c r="AD848" s="196"/>
      <c r="AE848" s="200"/>
      <c r="AF848" s="201"/>
      <c r="AG848" s="205"/>
      <c r="AH848" s="205"/>
      <c r="AI848" s="205"/>
      <c r="AJ848" s="205"/>
      <c r="AK848" s="126"/>
      <c r="AL848" s="126"/>
    </row>
    <row r="849">
      <c r="A849" s="119"/>
      <c r="B849" s="154"/>
      <c r="C849" s="89"/>
      <c r="D849" s="55"/>
      <c r="E849" s="119"/>
      <c r="F849" s="154"/>
      <c r="G849" s="192"/>
      <c r="H849" s="193"/>
      <c r="I849" s="119"/>
      <c r="J849" s="154"/>
      <c r="K849" s="89"/>
      <c r="L849" s="55"/>
      <c r="M849" s="119"/>
      <c r="N849" s="194"/>
      <c r="O849" s="89"/>
      <c r="P849" s="55"/>
      <c r="Q849" s="195"/>
      <c r="R849" s="196"/>
      <c r="S849" s="125"/>
      <c r="T849" s="126"/>
      <c r="U849" s="195"/>
      <c r="V849" s="196"/>
      <c r="W849" s="125"/>
      <c r="X849" s="126"/>
      <c r="Y849" s="119"/>
      <c r="Z849" s="197"/>
      <c r="AA849" s="198"/>
      <c r="AB849" s="199"/>
      <c r="AC849" s="119"/>
      <c r="AD849" s="196"/>
      <c r="AE849" s="200"/>
      <c r="AF849" s="201"/>
      <c r="AG849" s="205"/>
      <c r="AH849" s="205"/>
      <c r="AI849" s="205"/>
      <c r="AJ849" s="205"/>
      <c r="AK849" s="126"/>
      <c r="AL849" s="126"/>
    </row>
    <row r="850">
      <c r="A850" s="119"/>
      <c r="B850" s="154"/>
      <c r="C850" s="89"/>
      <c r="D850" s="55"/>
      <c r="E850" s="119"/>
      <c r="F850" s="154"/>
      <c r="G850" s="192"/>
      <c r="H850" s="193"/>
      <c r="I850" s="119"/>
      <c r="J850" s="154"/>
      <c r="K850" s="89"/>
      <c r="L850" s="55"/>
      <c r="M850" s="119"/>
      <c r="N850" s="194"/>
      <c r="O850" s="89"/>
      <c r="P850" s="55"/>
      <c r="Q850" s="195"/>
      <c r="R850" s="196"/>
      <c r="S850" s="125"/>
      <c r="T850" s="126"/>
      <c r="U850" s="195"/>
      <c r="V850" s="196"/>
      <c r="W850" s="125"/>
      <c r="X850" s="126"/>
      <c r="Y850" s="119"/>
      <c r="Z850" s="197"/>
      <c r="AA850" s="198"/>
      <c r="AB850" s="199"/>
      <c r="AC850" s="119"/>
      <c r="AD850" s="196"/>
      <c r="AE850" s="200"/>
      <c r="AF850" s="201"/>
      <c r="AG850" s="205"/>
      <c r="AH850" s="205"/>
      <c r="AI850" s="205"/>
      <c r="AJ850" s="205"/>
      <c r="AK850" s="126"/>
      <c r="AL850" s="126"/>
    </row>
    <row r="851">
      <c r="A851" s="119"/>
      <c r="B851" s="154"/>
      <c r="C851" s="89"/>
      <c r="D851" s="55"/>
      <c r="E851" s="119"/>
      <c r="F851" s="154"/>
      <c r="G851" s="192"/>
      <c r="H851" s="193"/>
      <c r="I851" s="119"/>
      <c r="J851" s="154"/>
      <c r="K851" s="89"/>
      <c r="L851" s="55"/>
      <c r="M851" s="119"/>
      <c r="N851" s="194"/>
      <c r="O851" s="89"/>
      <c r="P851" s="55"/>
      <c r="Q851" s="195"/>
      <c r="R851" s="196"/>
      <c r="S851" s="125"/>
      <c r="T851" s="126"/>
      <c r="U851" s="195"/>
      <c r="V851" s="196"/>
      <c r="W851" s="125"/>
      <c r="X851" s="126"/>
      <c r="Y851" s="119"/>
      <c r="Z851" s="197"/>
      <c r="AA851" s="198"/>
      <c r="AB851" s="199"/>
      <c r="AC851" s="119"/>
      <c r="AD851" s="196"/>
      <c r="AE851" s="200"/>
      <c r="AF851" s="201"/>
      <c r="AG851" s="205"/>
      <c r="AH851" s="205"/>
      <c r="AI851" s="205"/>
      <c r="AJ851" s="205"/>
      <c r="AK851" s="126"/>
      <c r="AL851" s="126"/>
    </row>
    <row r="852">
      <c r="A852" s="119"/>
      <c r="B852" s="154"/>
      <c r="C852" s="89"/>
      <c r="D852" s="55"/>
      <c r="E852" s="119"/>
      <c r="F852" s="154"/>
      <c r="G852" s="192"/>
      <c r="H852" s="193"/>
      <c r="I852" s="119"/>
      <c r="J852" s="154"/>
      <c r="K852" s="89"/>
      <c r="L852" s="55"/>
      <c r="M852" s="119"/>
      <c r="N852" s="194"/>
      <c r="O852" s="89"/>
      <c r="P852" s="55"/>
      <c r="Q852" s="195"/>
      <c r="R852" s="196"/>
      <c r="S852" s="125"/>
      <c r="T852" s="126"/>
      <c r="U852" s="195"/>
      <c r="V852" s="196"/>
      <c r="W852" s="125"/>
      <c r="X852" s="126"/>
      <c r="Y852" s="119"/>
      <c r="Z852" s="197"/>
      <c r="AA852" s="198"/>
      <c r="AB852" s="199"/>
      <c r="AC852" s="119"/>
      <c r="AD852" s="196"/>
      <c r="AE852" s="200"/>
      <c r="AF852" s="201"/>
      <c r="AG852" s="205"/>
      <c r="AH852" s="205"/>
      <c r="AI852" s="205"/>
      <c r="AJ852" s="205"/>
      <c r="AK852" s="126"/>
      <c r="AL852" s="126"/>
    </row>
    <row r="853">
      <c r="A853" s="119"/>
      <c r="B853" s="154"/>
      <c r="C853" s="89"/>
      <c r="D853" s="55"/>
      <c r="E853" s="119"/>
      <c r="F853" s="154"/>
      <c r="G853" s="192"/>
      <c r="H853" s="193"/>
      <c r="I853" s="119"/>
      <c r="J853" s="154"/>
      <c r="K853" s="89"/>
      <c r="L853" s="55"/>
      <c r="M853" s="119"/>
      <c r="N853" s="194"/>
      <c r="O853" s="89"/>
      <c r="P853" s="55"/>
      <c r="Q853" s="195"/>
      <c r="R853" s="196"/>
      <c r="S853" s="125"/>
      <c r="T853" s="126"/>
      <c r="U853" s="195"/>
      <c r="V853" s="196"/>
      <c r="W853" s="125"/>
      <c r="X853" s="126"/>
      <c r="Y853" s="119"/>
      <c r="Z853" s="197"/>
      <c r="AA853" s="198"/>
      <c r="AB853" s="199"/>
      <c r="AC853" s="119"/>
      <c r="AD853" s="196"/>
      <c r="AE853" s="200"/>
      <c r="AF853" s="201"/>
      <c r="AG853" s="205"/>
      <c r="AH853" s="205"/>
      <c r="AI853" s="205"/>
      <c r="AJ853" s="205"/>
      <c r="AK853" s="126"/>
      <c r="AL853" s="126"/>
    </row>
    <row r="854">
      <c r="A854" s="119"/>
      <c r="B854" s="154"/>
      <c r="C854" s="89"/>
      <c r="D854" s="55"/>
      <c r="E854" s="119"/>
      <c r="F854" s="154"/>
      <c r="G854" s="192"/>
      <c r="H854" s="193"/>
      <c r="I854" s="119"/>
      <c r="J854" s="154"/>
      <c r="K854" s="89"/>
      <c r="L854" s="55"/>
      <c r="M854" s="119"/>
      <c r="N854" s="194"/>
      <c r="O854" s="89"/>
      <c r="P854" s="55"/>
      <c r="Q854" s="195"/>
      <c r="R854" s="196"/>
      <c r="S854" s="125"/>
      <c r="T854" s="126"/>
      <c r="U854" s="195"/>
      <c r="V854" s="196"/>
      <c r="W854" s="125"/>
      <c r="X854" s="126"/>
      <c r="Y854" s="119"/>
      <c r="Z854" s="197"/>
      <c r="AA854" s="198"/>
      <c r="AB854" s="199"/>
      <c r="AC854" s="119"/>
      <c r="AD854" s="196"/>
      <c r="AE854" s="200"/>
      <c r="AF854" s="201"/>
      <c r="AG854" s="205"/>
      <c r="AH854" s="205"/>
      <c r="AI854" s="205"/>
      <c r="AJ854" s="205"/>
      <c r="AK854" s="126"/>
      <c r="AL854" s="126"/>
    </row>
    <row r="855">
      <c r="A855" s="119"/>
      <c r="B855" s="154"/>
      <c r="C855" s="89"/>
      <c r="D855" s="55"/>
      <c r="E855" s="119"/>
      <c r="F855" s="154"/>
      <c r="G855" s="192"/>
      <c r="H855" s="193"/>
      <c r="I855" s="119"/>
      <c r="J855" s="154"/>
      <c r="K855" s="89"/>
      <c r="L855" s="55"/>
      <c r="M855" s="119"/>
      <c r="N855" s="194"/>
      <c r="O855" s="89"/>
      <c r="P855" s="55"/>
      <c r="Q855" s="195"/>
      <c r="R855" s="196"/>
      <c r="S855" s="125"/>
      <c r="T855" s="126"/>
      <c r="U855" s="195"/>
      <c r="V855" s="196"/>
      <c r="W855" s="125"/>
      <c r="X855" s="126"/>
      <c r="Y855" s="119"/>
      <c r="Z855" s="197"/>
      <c r="AA855" s="198"/>
      <c r="AB855" s="199"/>
      <c r="AC855" s="119"/>
      <c r="AD855" s="196"/>
      <c r="AE855" s="200"/>
      <c r="AF855" s="201"/>
      <c r="AG855" s="205"/>
      <c r="AH855" s="205"/>
      <c r="AI855" s="205"/>
      <c r="AJ855" s="205"/>
      <c r="AK855" s="126"/>
      <c r="AL855" s="126"/>
    </row>
    <row r="856">
      <c r="A856" s="119"/>
      <c r="B856" s="154"/>
      <c r="C856" s="89"/>
      <c r="D856" s="55"/>
      <c r="E856" s="119"/>
      <c r="F856" s="154"/>
      <c r="G856" s="192"/>
      <c r="H856" s="193"/>
      <c r="I856" s="119"/>
      <c r="J856" s="154"/>
      <c r="K856" s="89"/>
      <c r="L856" s="55"/>
      <c r="M856" s="119"/>
      <c r="N856" s="194"/>
      <c r="O856" s="89"/>
      <c r="P856" s="55"/>
      <c r="Q856" s="195"/>
      <c r="R856" s="196"/>
      <c r="S856" s="125"/>
      <c r="T856" s="126"/>
      <c r="U856" s="195"/>
      <c r="V856" s="196"/>
      <c r="W856" s="125"/>
      <c r="X856" s="126"/>
      <c r="Y856" s="119"/>
      <c r="Z856" s="197"/>
      <c r="AA856" s="198"/>
      <c r="AB856" s="199"/>
      <c r="AC856" s="119"/>
      <c r="AD856" s="196"/>
      <c r="AE856" s="200"/>
      <c r="AF856" s="201"/>
      <c r="AG856" s="205"/>
      <c r="AH856" s="205"/>
      <c r="AI856" s="205"/>
      <c r="AJ856" s="205"/>
      <c r="AK856" s="126"/>
      <c r="AL856" s="126"/>
    </row>
    <row r="857">
      <c r="A857" s="119"/>
      <c r="B857" s="154"/>
      <c r="C857" s="89"/>
      <c r="D857" s="55"/>
      <c r="E857" s="119"/>
      <c r="F857" s="154"/>
      <c r="G857" s="192"/>
      <c r="H857" s="193"/>
      <c r="I857" s="119"/>
      <c r="J857" s="154"/>
      <c r="K857" s="89"/>
      <c r="L857" s="55"/>
      <c r="M857" s="119"/>
      <c r="N857" s="194"/>
      <c r="O857" s="89"/>
      <c r="P857" s="55"/>
      <c r="Q857" s="195"/>
      <c r="R857" s="196"/>
      <c r="S857" s="125"/>
      <c r="T857" s="126"/>
      <c r="U857" s="195"/>
      <c r="V857" s="196"/>
      <c r="W857" s="125"/>
      <c r="X857" s="126"/>
      <c r="Y857" s="119"/>
      <c r="Z857" s="197"/>
      <c r="AA857" s="198"/>
      <c r="AB857" s="199"/>
      <c r="AC857" s="119"/>
      <c r="AD857" s="196"/>
      <c r="AE857" s="200"/>
      <c r="AF857" s="201"/>
      <c r="AG857" s="205"/>
      <c r="AH857" s="205"/>
      <c r="AI857" s="205"/>
      <c r="AJ857" s="205"/>
      <c r="AK857" s="126"/>
      <c r="AL857" s="126"/>
    </row>
    <row r="858">
      <c r="A858" s="119"/>
      <c r="B858" s="154"/>
      <c r="C858" s="89"/>
      <c r="D858" s="55"/>
      <c r="E858" s="119"/>
      <c r="F858" s="154"/>
      <c r="G858" s="192"/>
      <c r="H858" s="193"/>
      <c r="I858" s="119"/>
      <c r="J858" s="154"/>
      <c r="K858" s="89"/>
      <c r="L858" s="55"/>
      <c r="M858" s="119"/>
      <c r="N858" s="194"/>
      <c r="O858" s="89"/>
      <c r="P858" s="55"/>
      <c r="Q858" s="195"/>
      <c r="R858" s="196"/>
      <c r="S858" s="125"/>
      <c r="T858" s="126"/>
      <c r="U858" s="195"/>
      <c r="V858" s="196"/>
      <c r="W858" s="125"/>
      <c r="X858" s="126"/>
      <c r="Y858" s="119"/>
      <c r="Z858" s="197"/>
      <c r="AA858" s="198"/>
      <c r="AB858" s="199"/>
      <c r="AC858" s="119"/>
      <c r="AD858" s="196"/>
      <c r="AE858" s="200"/>
      <c r="AF858" s="201"/>
      <c r="AG858" s="205"/>
      <c r="AH858" s="205"/>
      <c r="AI858" s="205"/>
      <c r="AJ858" s="205"/>
      <c r="AK858" s="126"/>
      <c r="AL858" s="126"/>
    </row>
    <row r="859">
      <c r="A859" s="119"/>
      <c r="B859" s="154"/>
      <c r="C859" s="89"/>
      <c r="D859" s="55"/>
      <c r="E859" s="119"/>
      <c r="F859" s="154"/>
      <c r="G859" s="192"/>
      <c r="H859" s="193"/>
      <c r="I859" s="119"/>
      <c r="J859" s="154"/>
      <c r="K859" s="89"/>
      <c r="L859" s="55"/>
      <c r="M859" s="119"/>
      <c r="N859" s="194"/>
      <c r="O859" s="89"/>
      <c r="P859" s="55"/>
      <c r="Q859" s="195"/>
      <c r="R859" s="196"/>
      <c r="S859" s="125"/>
      <c r="T859" s="126"/>
      <c r="U859" s="195"/>
      <c r="V859" s="196"/>
      <c r="W859" s="125"/>
      <c r="X859" s="126"/>
      <c r="Y859" s="119"/>
      <c r="Z859" s="197"/>
      <c r="AA859" s="198"/>
      <c r="AB859" s="199"/>
      <c r="AC859" s="119"/>
      <c r="AD859" s="196"/>
      <c r="AE859" s="200"/>
      <c r="AF859" s="201"/>
      <c r="AG859" s="205"/>
      <c r="AH859" s="205"/>
      <c r="AI859" s="205"/>
      <c r="AJ859" s="205"/>
      <c r="AK859" s="126"/>
      <c r="AL859" s="126"/>
    </row>
    <row r="860">
      <c r="A860" s="119"/>
      <c r="B860" s="154"/>
      <c r="C860" s="89"/>
      <c r="D860" s="55"/>
      <c r="E860" s="119"/>
      <c r="F860" s="154"/>
      <c r="G860" s="192"/>
      <c r="H860" s="193"/>
      <c r="I860" s="119"/>
      <c r="J860" s="154"/>
      <c r="K860" s="89"/>
      <c r="L860" s="55"/>
      <c r="M860" s="119"/>
      <c r="N860" s="194"/>
      <c r="O860" s="89"/>
      <c r="P860" s="55"/>
      <c r="Q860" s="195"/>
      <c r="R860" s="196"/>
      <c r="S860" s="125"/>
      <c r="T860" s="126"/>
      <c r="U860" s="195"/>
      <c r="V860" s="196"/>
      <c r="W860" s="125"/>
      <c r="X860" s="126"/>
      <c r="Y860" s="119"/>
      <c r="Z860" s="197"/>
      <c r="AA860" s="198"/>
      <c r="AB860" s="199"/>
      <c r="AC860" s="119"/>
      <c r="AD860" s="196"/>
      <c r="AE860" s="200"/>
      <c r="AF860" s="201"/>
      <c r="AG860" s="205"/>
      <c r="AH860" s="205"/>
      <c r="AI860" s="205"/>
      <c r="AJ860" s="205"/>
      <c r="AK860" s="126"/>
      <c r="AL860" s="126"/>
    </row>
    <row r="861">
      <c r="A861" s="119"/>
      <c r="B861" s="154"/>
      <c r="C861" s="89"/>
      <c r="D861" s="55"/>
      <c r="E861" s="119"/>
      <c r="F861" s="154"/>
      <c r="G861" s="192"/>
      <c r="H861" s="193"/>
      <c r="I861" s="119"/>
      <c r="J861" s="154"/>
      <c r="K861" s="89"/>
      <c r="L861" s="55"/>
      <c r="M861" s="119"/>
      <c r="N861" s="194"/>
      <c r="O861" s="89"/>
      <c r="P861" s="55"/>
      <c r="Q861" s="195"/>
      <c r="R861" s="196"/>
      <c r="S861" s="125"/>
      <c r="T861" s="126"/>
      <c r="U861" s="195"/>
      <c r="V861" s="196"/>
      <c r="W861" s="125"/>
      <c r="X861" s="126"/>
      <c r="Y861" s="119"/>
      <c r="Z861" s="197"/>
      <c r="AA861" s="198"/>
      <c r="AB861" s="199"/>
      <c r="AC861" s="119"/>
      <c r="AD861" s="196"/>
      <c r="AE861" s="200"/>
      <c r="AF861" s="201"/>
      <c r="AG861" s="205"/>
      <c r="AH861" s="205"/>
      <c r="AI861" s="205"/>
      <c r="AJ861" s="205"/>
      <c r="AK861" s="126"/>
      <c r="AL861" s="126"/>
    </row>
    <row r="862">
      <c r="A862" s="119"/>
      <c r="B862" s="154"/>
      <c r="C862" s="89"/>
      <c r="D862" s="55"/>
      <c r="E862" s="119"/>
      <c r="F862" s="154"/>
      <c r="G862" s="192"/>
      <c r="H862" s="193"/>
      <c r="I862" s="119"/>
      <c r="J862" s="154"/>
      <c r="K862" s="89"/>
      <c r="L862" s="55"/>
      <c r="M862" s="119"/>
      <c r="N862" s="194"/>
      <c r="O862" s="89"/>
      <c r="P862" s="55"/>
      <c r="Q862" s="195"/>
      <c r="R862" s="196"/>
      <c r="S862" s="125"/>
      <c r="T862" s="126"/>
      <c r="U862" s="195"/>
      <c r="V862" s="196"/>
      <c r="W862" s="125"/>
      <c r="X862" s="126"/>
      <c r="Y862" s="119"/>
      <c r="Z862" s="197"/>
      <c r="AA862" s="198"/>
      <c r="AB862" s="199"/>
      <c r="AC862" s="119"/>
      <c r="AD862" s="196"/>
      <c r="AE862" s="200"/>
      <c r="AF862" s="201"/>
      <c r="AG862" s="205"/>
      <c r="AH862" s="205"/>
      <c r="AI862" s="205"/>
      <c r="AJ862" s="205"/>
      <c r="AK862" s="126"/>
      <c r="AL862" s="126"/>
    </row>
    <row r="863">
      <c r="A863" s="119"/>
      <c r="B863" s="154"/>
      <c r="C863" s="89"/>
      <c r="D863" s="55"/>
      <c r="E863" s="119"/>
      <c r="F863" s="154"/>
      <c r="G863" s="192"/>
      <c r="H863" s="193"/>
      <c r="I863" s="119"/>
      <c r="J863" s="154"/>
      <c r="K863" s="89"/>
      <c r="L863" s="55"/>
      <c r="M863" s="119"/>
      <c r="N863" s="194"/>
      <c r="O863" s="89"/>
      <c r="P863" s="55"/>
      <c r="Q863" s="195"/>
      <c r="R863" s="196"/>
      <c r="S863" s="125"/>
      <c r="T863" s="126"/>
      <c r="U863" s="195"/>
      <c r="V863" s="196"/>
      <c r="W863" s="125"/>
      <c r="X863" s="126"/>
      <c r="Y863" s="119"/>
      <c r="Z863" s="197"/>
      <c r="AA863" s="198"/>
      <c r="AB863" s="199"/>
      <c r="AC863" s="119"/>
      <c r="AD863" s="196"/>
      <c r="AE863" s="200"/>
      <c r="AF863" s="201"/>
      <c r="AG863" s="205"/>
      <c r="AH863" s="205"/>
      <c r="AI863" s="205"/>
      <c r="AJ863" s="205"/>
      <c r="AK863" s="126"/>
      <c r="AL863" s="126"/>
    </row>
    <row r="864">
      <c r="A864" s="119"/>
      <c r="B864" s="154"/>
      <c r="C864" s="89"/>
      <c r="D864" s="55"/>
      <c r="E864" s="119"/>
      <c r="F864" s="154"/>
      <c r="G864" s="192"/>
      <c r="H864" s="193"/>
      <c r="I864" s="119"/>
      <c r="J864" s="154"/>
      <c r="K864" s="89"/>
      <c r="L864" s="55"/>
      <c r="M864" s="119"/>
      <c r="N864" s="194"/>
      <c r="O864" s="89"/>
      <c r="P864" s="55"/>
      <c r="Q864" s="195"/>
      <c r="R864" s="196"/>
      <c r="S864" s="125"/>
      <c r="T864" s="126"/>
      <c r="U864" s="195"/>
      <c r="V864" s="196"/>
      <c r="W864" s="125"/>
      <c r="X864" s="126"/>
      <c r="Y864" s="119"/>
      <c r="Z864" s="197"/>
      <c r="AA864" s="198"/>
      <c r="AB864" s="199"/>
      <c r="AC864" s="119"/>
      <c r="AD864" s="196"/>
      <c r="AE864" s="200"/>
      <c r="AF864" s="201"/>
      <c r="AG864" s="205"/>
      <c r="AH864" s="205"/>
      <c r="AI864" s="205"/>
      <c r="AJ864" s="205"/>
      <c r="AK864" s="126"/>
      <c r="AL864" s="126"/>
    </row>
    <row r="865">
      <c r="A865" s="119"/>
      <c r="B865" s="154"/>
      <c r="C865" s="89"/>
      <c r="D865" s="55"/>
      <c r="E865" s="119"/>
      <c r="F865" s="154"/>
      <c r="G865" s="192"/>
      <c r="H865" s="193"/>
      <c r="I865" s="119"/>
      <c r="J865" s="154"/>
      <c r="K865" s="89"/>
      <c r="L865" s="55"/>
      <c r="M865" s="119"/>
      <c r="N865" s="194"/>
      <c r="O865" s="89"/>
      <c r="P865" s="55"/>
      <c r="Q865" s="195"/>
      <c r="R865" s="196"/>
      <c r="S865" s="125"/>
      <c r="T865" s="126"/>
      <c r="U865" s="195"/>
      <c r="V865" s="196"/>
      <c r="W865" s="125"/>
      <c r="X865" s="126"/>
      <c r="Y865" s="119"/>
      <c r="Z865" s="197"/>
      <c r="AA865" s="198"/>
      <c r="AB865" s="199"/>
      <c r="AC865" s="119"/>
      <c r="AD865" s="196"/>
      <c r="AE865" s="200"/>
      <c r="AF865" s="201"/>
      <c r="AG865" s="205"/>
      <c r="AH865" s="205"/>
      <c r="AI865" s="205"/>
      <c r="AJ865" s="205"/>
      <c r="AK865" s="126"/>
      <c r="AL865" s="126"/>
    </row>
    <row r="866">
      <c r="A866" s="119"/>
      <c r="B866" s="154"/>
      <c r="C866" s="89"/>
      <c r="D866" s="55"/>
      <c r="E866" s="119"/>
      <c r="F866" s="154"/>
      <c r="G866" s="192"/>
      <c r="H866" s="193"/>
      <c r="I866" s="119"/>
      <c r="J866" s="154"/>
      <c r="K866" s="89"/>
      <c r="L866" s="55"/>
      <c r="M866" s="119"/>
      <c r="N866" s="194"/>
      <c r="O866" s="89"/>
      <c r="P866" s="55"/>
      <c r="Q866" s="195"/>
      <c r="R866" s="196"/>
      <c r="S866" s="125"/>
      <c r="T866" s="126"/>
      <c r="U866" s="195"/>
      <c r="V866" s="196"/>
      <c r="W866" s="125"/>
      <c r="X866" s="126"/>
      <c r="Y866" s="119"/>
      <c r="Z866" s="197"/>
      <c r="AA866" s="198"/>
      <c r="AB866" s="199"/>
      <c r="AC866" s="119"/>
      <c r="AD866" s="196"/>
      <c r="AE866" s="200"/>
      <c r="AF866" s="201"/>
      <c r="AG866" s="205"/>
      <c r="AH866" s="205"/>
      <c r="AI866" s="205"/>
      <c r="AJ866" s="205"/>
      <c r="AK866" s="126"/>
      <c r="AL866" s="126"/>
    </row>
    <row r="867">
      <c r="A867" s="119"/>
      <c r="B867" s="154"/>
      <c r="C867" s="89"/>
      <c r="D867" s="55"/>
      <c r="E867" s="119"/>
      <c r="F867" s="154"/>
      <c r="G867" s="192"/>
      <c r="H867" s="193"/>
      <c r="I867" s="119"/>
      <c r="J867" s="154"/>
      <c r="K867" s="89"/>
      <c r="L867" s="55"/>
      <c r="M867" s="119"/>
      <c r="N867" s="194"/>
      <c r="O867" s="89"/>
      <c r="P867" s="55"/>
      <c r="Q867" s="195"/>
      <c r="R867" s="196"/>
      <c r="S867" s="125"/>
      <c r="T867" s="126"/>
      <c r="U867" s="195"/>
      <c r="V867" s="196"/>
      <c r="W867" s="125"/>
      <c r="X867" s="126"/>
      <c r="Y867" s="119"/>
      <c r="Z867" s="197"/>
      <c r="AA867" s="198"/>
      <c r="AB867" s="199"/>
      <c r="AC867" s="119"/>
      <c r="AD867" s="196"/>
      <c r="AE867" s="200"/>
      <c r="AF867" s="201"/>
      <c r="AG867" s="205"/>
      <c r="AH867" s="205"/>
      <c r="AI867" s="205"/>
      <c r="AJ867" s="205"/>
      <c r="AK867" s="126"/>
      <c r="AL867" s="126"/>
    </row>
    <row r="868">
      <c r="A868" s="119"/>
      <c r="B868" s="154"/>
      <c r="C868" s="89"/>
      <c r="D868" s="55"/>
      <c r="E868" s="119"/>
      <c r="F868" s="154"/>
      <c r="G868" s="192"/>
      <c r="H868" s="193"/>
      <c r="I868" s="119"/>
      <c r="J868" s="154"/>
      <c r="K868" s="89"/>
      <c r="L868" s="55"/>
      <c r="M868" s="119"/>
      <c r="N868" s="194"/>
      <c r="O868" s="89"/>
      <c r="P868" s="55"/>
      <c r="Q868" s="195"/>
      <c r="R868" s="196"/>
      <c r="S868" s="125"/>
      <c r="T868" s="126"/>
      <c r="U868" s="195"/>
      <c r="V868" s="196"/>
      <c r="W868" s="125"/>
      <c r="X868" s="126"/>
      <c r="Y868" s="119"/>
      <c r="Z868" s="197"/>
      <c r="AA868" s="198"/>
      <c r="AB868" s="199"/>
      <c r="AC868" s="119"/>
      <c r="AD868" s="196"/>
      <c r="AE868" s="200"/>
      <c r="AF868" s="201"/>
      <c r="AG868" s="205"/>
      <c r="AH868" s="205"/>
      <c r="AI868" s="205"/>
      <c r="AJ868" s="205"/>
      <c r="AK868" s="126"/>
      <c r="AL868" s="126"/>
    </row>
    <row r="869">
      <c r="A869" s="119"/>
      <c r="B869" s="154"/>
      <c r="C869" s="89"/>
      <c r="D869" s="55"/>
      <c r="E869" s="119"/>
      <c r="F869" s="154"/>
      <c r="G869" s="192"/>
      <c r="H869" s="193"/>
      <c r="I869" s="119"/>
      <c r="J869" s="154"/>
      <c r="K869" s="89"/>
      <c r="L869" s="55"/>
      <c r="M869" s="119"/>
      <c r="N869" s="194"/>
      <c r="O869" s="89"/>
      <c r="P869" s="55"/>
      <c r="Q869" s="195"/>
      <c r="R869" s="196"/>
      <c r="S869" s="125"/>
      <c r="T869" s="126"/>
      <c r="U869" s="195"/>
      <c r="V869" s="196"/>
      <c r="W869" s="125"/>
      <c r="X869" s="126"/>
      <c r="Y869" s="119"/>
      <c r="Z869" s="197"/>
      <c r="AA869" s="198"/>
      <c r="AB869" s="199"/>
      <c r="AC869" s="119"/>
      <c r="AD869" s="196"/>
      <c r="AE869" s="200"/>
      <c r="AF869" s="201"/>
      <c r="AG869" s="205"/>
      <c r="AH869" s="205"/>
      <c r="AI869" s="205"/>
      <c r="AJ869" s="205"/>
      <c r="AK869" s="126"/>
      <c r="AL869" s="126"/>
    </row>
    <row r="870">
      <c r="A870" s="119"/>
      <c r="B870" s="154"/>
      <c r="C870" s="89"/>
      <c r="D870" s="55"/>
      <c r="E870" s="119"/>
      <c r="F870" s="154"/>
      <c r="G870" s="192"/>
      <c r="H870" s="193"/>
      <c r="I870" s="119"/>
      <c r="J870" s="154"/>
      <c r="K870" s="89"/>
      <c r="L870" s="55"/>
      <c r="M870" s="119"/>
      <c r="N870" s="194"/>
      <c r="O870" s="89"/>
      <c r="P870" s="55"/>
      <c r="Q870" s="195"/>
      <c r="R870" s="196"/>
      <c r="S870" s="125"/>
      <c r="T870" s="126"/>
      <c r="U870" s="195"/>
      <c r="V870" s="196"/>
      <c r="W870" s="125"/>
      <c r="X870" s="126"/>
      <c r="Y870" s="119"/>
      <c r="Z870" s="197"/>
      <c r="AA870" s="198"/>
      <c r="AB870" s="199"/>
      <c r="AC870" s="119"/>
      <c r="AD870" s="196"/>
      <c r="AE870" s="200"/>
      <c r="AF870" s="201"/>
      <c r="AG870" s="205"/>
      <c r="AH870" s="205"/>
      <c r="AI870" s="205"/>
      <c r="AJ870" s="205"/>
      <c r="AK870" s="126"/>
      <c r="AL870" s="126"/>
    </row>
    <row r="871">
      <c r="A871" s="119"/>
      <c r="B871" s="154"/>
      <c r="C871" s="89"/>
      <c r="D871" s="55"/>
      <c r="E871" s="119"/>
      <c r="F871" s="154"/>
      <c r="G871" s="192"/>
      <c r="H871" s="193"/>
      <c r="I871" s="119"/>
      <c r="J871" s="154"/>
      <c r="K871" s="89"/>
      <c r="L871" s="55"/>
      <c r="M871" s="119"/>
      <c r="N871" s="194"/>
      <c r="O871" s="89"/>
      <c r="P871" s="55"/>
      <c r="Q871" s="195"/>
      <c r="R871" s="196"/>
      <c r="S871" s="125"/>
      <c r="T871" s="126"/>
      <c r="U871" s="195"/>
      <c r="V871" s="196"/>
      <c r="W871" s="125"/>
      <c r="X871" s="126"/>
      <c r="Y871" s="119"/>
      <c r="Z871" s="197"/>
      <c r="AA871" s="198"/>
      <c r="AB871" s="199"/>
      <c r="AC871" s="119"/>
      <c r="AD871" s="196"/>
      <c r="AE871" s="200"/>
      <c r="AF871" s="201"/>
      <c r="AG871" s="205"/>
      <c r="AH871" s="205"/>
      <c r="AI871" s="205"/>
      <c r="AJ871" s="205"/>
      <c r="AK871" s="126"/>
      <c r="AL871" s="126"/>
    </row>
    <row r="872">
      <c r="A872" s="119"/>
      <c r="B872" s="154"/>
      <c r="C872" s="89"/>
      <c r="D872" s="55"/>
      <c r="E872" s="119"/>
      <c r="F872" s="154"/>
      <c r="G872" s="192"/>
      <c r="H872" s="193"/>
      <c r="I872" s="119"/>
      <c r="J872" s="154"/>
      <c r="K872" s="89"/>
      <c r="L872" s="55"/>
      <c r="M872" s="119"/>
      <c r="N872" s="194"/>
      <c r="O872" s="89"/>
      <c r="P872" s="55"/>
      <c r="Q872" s="195"/>
      <c r="R872" s="196"/>
      <c r="S872" s="125"/>
      <c r="T872" s="126"/>
      <c r="U872" s="195"/>
      <c r="V872" s="196"/>
      <c r="W872" s="125"/>
      <c r="X872" s="126"/>
      <c r="Y872" s="119"/>
      <c r="Z872" s="197"/>
      <c r="AA872" s="198"/>
      <c r="AB872" s="199"/>
      <c r="AC872" s="119"/>
      <c r="AD872" s="196"/>
      <c r="AE872" s="200"/>
      <c r="AF872" s="201"/>
      <c r="AG872" s="205"/>
      <c r="AH872" s="205"/>
      <c r="AI872" s="205"/>
      <c r="AJ872" s="205"/>
      <c r="AK872" s="126"/>
      <c r="AL872" s="126"/>
    </row>
    <row r="873">
      <c r="A873" s="119"/>
      <c r="B873" s="154"/>
      <c r="C873" s="89"/>
      <c r="D873" s="55"/>
      <c r="E873" s="119"/>
      <c r="F873" s="154"/>
      <c r="G873" s="192"/>
      <c r="H873" s="193"/>
      <c r="I873" s="119"/>
      <c r="J873" s="154"/>
      <c r="K873" s="89"/>
      <c r="L873" s="55"/>
      <c r="M873" s="119"/>
      <c r="N873" s="194"/>
      <c r="O873" s="89"/>
      <c r="P873" s="55"/>
      <c r="Q873" s="195"/>
      <c r="R873" s="196"/>
      <c r="S873" s="125"/>
      <c r="T873" s="126"/>
      <c r="U873" s="195"/>
      <c r="V873" s="196"/>
      <c r="W873" s="125"/>
      <c r="X873" s="126"/>
      <c r="Y873" s="119"/>
      <c r="Z873" s="197"/>
      <c r="AA873" s="198"/>
      <c r="AB873" s="199"/>
      <c r="AC873" s="119"/>
      <c r="AD873" s="196"/>
      <c r="AE873" s="200"/>
      <c r="AF873" s="201"/>
      <c r="AG873" s="205"/>
      <c r="AH873" s="205"/>
      <c r="AI873" s="205"/>
      <c r="AJ873" s="205"/>
      <c r="AK873" s="126"/>
      <c r="AL873" s="126"/>
    </row>
    <row r="874">
      <c r="A874" s="119"/>
      <c r="B874" s="154"/>
      <c r="C874" s="89"/>
      <c r="D874" s="55"/>
      <c r="E874" s="119"/>
      <c r="F874" s="154"/>
      <c r="G874" s="192"/>
      <c r="H874" s="193"/>
      <c r="I874" s="119"/>
      <c r="J874" s="154"/>
      <c r="K874" s="89"/>
      <c r="L874" s="55"/>
      <c r="M874" s="119"/>
      <c r="N874" s="194"/>
      <c r="O874" s="89"/>
      <c r="P874" s="55"/>
      <c r="Q874" s="195"/>
      <c r="R874" s="196"/>
      <c r="S874" s="125"/>
      <c r="T874" s="126"/>
      <c r="U874" s="195"/>
      <c r="V874" s="196"/>
      <c r="W874" s="125"/>
      <c r="X874" s="126"/>
      <c r="Y874" s="119"/>
      <c r="Z874" s="197"/>
      <c r="AA874" s="198"/>
      <c r="AB874" s="199"/>
      <c r="AC874" s="119"/>
      <c r="AD874" s="196"/>
      <c r="AE874" s="200"/>
      <c r="AF874" s="201"/>
      <c r="AG874" s="205"/>
      <c r="AH874" s="205"/>
      <c r="AI874" s="205"/>
      <c r="AJ874" s="205"/>
      <c r="AK874" s="126"/>
      <c r="AL874" s="126"/>
    </row>
    <row r="875">
      <c r="A875" s="119"/>
      <c r="B875" s="154"/>
      <c r="C875" s="89"/>
      <c r="D875" s="55"/>
      <c r="E875" s="119"/>
      <c r="F875" s="154"/>
      <c r="G875" s="192"/>
      <c r="H875" s="193"/>
      <c r="I875" s="119"/>
      <c r="J875" s="154"/>
      <c r="K875" s="89"/>
      <c r="L875" s="55"/>
      <c r="M875" s="119"/>
      <c r="N875" s="194"/>
      <c r="O875" s="89"/>
      <c r="P875" s="55"/>
      <c r="Q875" s="195"/>
      <c r="R875" s="196"/>
      <c r="S875" s="125"/>
      <c r="T875" s="126"/>
      <c r="U875" s="195"/>
      <c r="V875" s="196"/>
      <c r="W875" s="125"/>
      <c r="X875" s="126"/>
      <c r="Y875" s="119"/>
      <c r="Z875" s="197"/>
      <c r="AA875" s="198"/>
      <c r="AB875" s="199"/>
      <c r="AC875" s="119"/>
      <c r="AD875" s="196"/>
      <c r="AE875" s="200"/>
      <c r="AF875" s="201"/>
      <c r="AG875" s="205"/>
      <c r="AH875" s="205"/>
      <c r="AI875" s="205"/>
      <c r="AJ875" s="205"/>
      <c r="AK875" s="126"/>
      <c r="AL875" s="126"/>
    </row>
    <row r="876">
      <c r="A876" s="119"/>
      <c r="B876" s="154"/>
      <c r="C876" s="89"/>
      <c r="D876" s="55"/>
      <c r="E876" s="119"/>
      <c r="F876" s="154"/>
      <c r="G876" s="192"/>
      <c r="H876" s="193"/>
      <c r="I876" s="119"/>
      <c r="J876" s="154"/>
      <c r="K876" s="89"/>
      <c r="L876" s="55"/>
      <c r="M876" s="119"/>
      <c r="N876" s="194"/>
      <c r="O876" s="89"/>
      <c r="P876" s="55"/>
      <c r="Q876" s="195"/>
      <c r="R876" s="196"/>
      <c r="S876" s="125"/>
      <c r="T876" s="126"/>
      <c r="U876" s="195"/>
      <c r="V876" s="196"/>
      <c r="W876" s="125"/>
      <c r="X876" s="126"/>
      <c r="Y876" s="119"/>
      <c r="Z876" s="197"/>
      <c r="AA876" s="198"/>
      <c r="AB876" s="199"/>
      <c r="AC876" s="119"/>
      <c r="AD876" s="196"/>
      <c r="AE876" s="200"/>
      <c r="AF876" s="201"/>
      <c r="AG876" s="205"/>
      <c r="AH876" s="205"/>
      <c r="AI876" s="205"/>
      <c r="AJ876" s="205"/>
      <c r="AK876" s="126"/>
      <c r="AL876" s="126"/>
    </row>
    <row r="877">
      <c r="A877" s="119"/>
      <c r="B877" s="154"/>
      <c r="C877" s="89"/>
      <c r="D877" s="55"/>
      <c r="E877" s="119"/>
      <c r="F877" s="154"/>
      <c r="G877" s="192"/>
      <c r="H877" s="193"/>
      <c r="I877" s="119"/>
      <c r="J877" s="154"/>
      <c r="K877" s="89"/>
      <c r="L877" s="55"/>
      <c r="M877" s="119"/>
      <c r="N877" s="194"/>
      <c r="O877" s="89"/>
      <c r="P877" s="55"/>
      <c r="Q877" s="195"/>
      <c r="R877" s="196"/>
      <c r="S877" s="125"/>
      <c r="T877" s="126"/>
      <c r="U877" s="195"/>
      <c r="V877" s="196"/>
      <c r="W877" s="125"/>
      <c r="X877" s="126"/>
      <c r="Y877" s="119"/>
      <c r="Z877" s="197"/>
      <c r="AA877" s="198"/>
      <c r="AB877" s="199"/>
      <c r="AC877" s="119"/>
      <c r="AD877" s="196"/>
      <c r="AE877" s="200"/>
      <c r="AF877" s="201"/>
      <c r="AG877" s="205"/>
      <c r="AH877" s="205"/>
      <c r="AI877" s="205"/>
      <c r="AJ877" s="205"/>
      <c r="AK877" s="126"/>
      <c r="AL877" s="126"/>
    </row>
    <row r="878">
      <c r="A878" s="119"/>
      <c r="B878" s="154"/>
      <c r="C878" s="89"/>
      <c r="D878" s="55"/>
      <c r="E878" s="119"/>
      <c r="F878" s="154"/>
      <c r="G878" s="192"/>
      <c r="H878" s="193"/>
      <c r="I878" s="119"/>
      <c r="J878" s="154"/>
      <c r="K878" s="89"/>
      <c r="L878" s="55"/>
      <c r="M878" s="119"/>
      <c r="N878" s="194"/>
      <c r="O878" s="89"/>
      <c r="P878" s="55"/>
      <c r="Q878" s="195"/>
      <c r="R878" s="196"/>
      <c r="S878" s="125"/>
      <c r="T878" s="126"/>
      <c r="U878" s="195"/>
      <c r="V878" s="196"/>
      <c r="W878" s="125"/>
      <c r="X878" s="126"/>
      <c r="Y878" s="119"/>
      <c r="Z878" s="197"/>
      <c r="AA878" s="198"/>
      <c r="AB878" s="199"/>
      <c r="AC878" s="119"/>
      <c r="AD878" s="196"/>
      <c r="AE878" s="200"/>
      <c r="AF878" s="201"/>
      <c r="AG878" s="205"/>
      <c r="AH878" s="205"/>
      <c r="AI878" s="205"/>
      <c r="AJ878" s="205"/>
      <c r="AK878" s="126"/>
      <c r="AL878" s="126"/>
    </row>
    <row r="879">
      <c r="A879" s="119"/>
      <c r="B879" s="154"/>
      <c r="C879" s="89"/>
      <c r="D879" s="55"/>
      <c r="E879" s="119"/>
      <c r="F879" s="154"/>
      <c r="G879" s="192"/>
      <c r="H879" s="193"/>
      <c r="I879" s="119"/>
      <c r="J879" s="154"/>
      <c r="K879" s="89"/>
      <c r="L879" s="55"/>
      <c r="M879" s="119"/>
      <c r="N879" s="194"/>
      <c r="O879" s="89"/>
      <c r="P879" s="55"/>
      <c r="Q879" s="195"/>
      <c r="R879" s="196"/>
      <c r="S879" s="125"/>
      <c r="T879" s="126"/>
      <c r="U879" s="195"/>
      <c r="V879" s="196"/>
      <c r="W879" s="125"/>
      <c r="X879" s="126"/>
      <c r="Y879" s="119"/>
      <c r="Z879" s="197"/>
      <c r="AA879" s="198"/>
      <c r="AB879" s="199"/>
      <c r="AC879" s="119"/>
      <c r="AD879" s="196"/>
      <c r="AE879" s="200"/>
      <c r="AF879" s="201"/>
      <c r="AG879" s="205"/>
      <c r="AH879" s="205"/>
      <c r="AI879" s="205"/>
      <c r="AJ879" s="205"/>
      <c r="AK879" s="126"/>
      <c r="AL879" s="126"/>
    </row>
    <row r="880">
      <c r="A880" s="119"/>
      <c r="B880" s="154"/>
      <c r="C880" s="89"/>
      <c r="D880" s="55"/>
      <c r="E880" s="119"/>
      <c r="F880" s="154"/>
      <c r="G880" s="192"/>
      <c r="H880" s="193"/>
      <c r="I880" s="119"/>
      <c r="J880" s="154"/>
      <c r="K880" s="89"/>
      <c r="L880" s="55"/>
      <c r="M880" s="119"/>
      <c r="N880" s="194"/>
      <c r="O880" s="89"/>
      <c r="P880" s="55"/>
      <c r="Q880" s="195"/>
      <c r="R880" s="196"/>
      <c r="S880" s="125"/>
      <c r="T880" s="126"/>
      <c r="U880" s="195"/>
      <c r="V880" s="196"/>
      <c r="W880" s="125"/>
      <c r="X880" s="126"/>
      <c r="Y880" s="119"/>
      <c r="Z880" s="197"/>
      <c r="AA880" s="198"/>
      <c r="AB880" s="199"/>
      <c r="AC880" s="119"/>
      <c r="AD880" s="196"/>
      <c r="AE880" s="200"/>
      <c r="AF880" s="201"/>
      <c r="AG880" s="205"/>
      <c r="AH880" s="205"/>
      <c r="AI880" s="205"/>
      <c r="AJ880" s="205"/>
      <c r="AK880" s="126"/>
      <c r="AL880" s="126"/>
    </row>
    <row r="881">
      <c r="A881" s="119"/>
      <c r="B881" s="154"/>
      <c r="C881" s="89"/>
      <c r="D881" s="55"/>
      <c r="E881" s="119"/>
      <c r="F881" s="154"/>
      <c r="G881" s="192"/>
      <c r="H881" s="193"/>
      <c r="I881" s="119"/>
      <c r="J881" s="154"/>
      <c r="K881" s="89"/>
      <c r="L881" s="55"/>
      <c r="M881" s="119"/>
      <c r="N881" s="194"/>
      <c r="O881" s="89"/>
      <c r="P881" s="55"/>
      <c r="Q881" s="195"/>
      <c r="R881" s="196"/>
      <c r="S881" s="125"/>
      <c r="T881" s="126"/>
      <c r="U881" s="195"/>
      <c r="V881" s="196"/>
      <c r="W881" s="125"/>
      <c r="X881" s="126"/>
      <c r="Y881" s="119"/>
      <c r="Z881" s="197"/>
      <c r="AA881" s="198"/>
      <c r="AB881" s="199"/>
      <c r="AC881" s="119"/>
      <c r="AD881" s="196"/>
      <c r="AE881" s="200"/>
      <c r="AF881" s="201"/>
      <c r="AG881" s="205"/>
      <c r="AH881" s="205"/>
      <c r="AI881" s="205"/>
      <c r="AJ881" s="205"/>
      <c r="AK881" s="126"/>
      <c r="AL881" s="126"/>
    </row>
    <row r="882">
      <c r="A882" s="119"/>
      <c r="B882" s="154"/>
      <c r="C882" s="89"/>
      <c r="D882" s="55"/>
      <c r="E882" s="119"/>
      <c r="F882" s="154"/>
      <c r="G882" s="192"/>
      <c r="H882" s="193"/>
      <c r="I882" s="119"/>
      <c r="J882" s="154"/>
      <c r="K882" s="89"/>
      <c r="L882" s="55"/>
      <c r="M882" s="119"/>
      <c r="N882" s="194"/>
      <c r="O882" s="89"/>
      <c r="P882" s="55"/>
      <c r="Q882" s="195"/>
      <c r="R882" s="196"/>
      <c r="S882" s="125"/>
      <c r="T882" s="126"/>
      <c r="U882" s="195"/>
      <c r="V882" s="196"/>
      <c r="W882" s="125"/>
      <c r="X882" s="126"/>
      <c r="Y882" s="119"/>
      <c r="Z882" s="197"/>
      <c r="AA882" s="198"/>
      <c r="AB882" s="199"/>
      <c r="AC882" s="119"/>
      <c r="AD882" s="196"/>
      <c r="AE882" s="200"/>
      <c r="AF882" s="201"/>
      <c r="AG882" s="205"/>
      <c r="AH882" s="205"/>
      <c r="AI882" s="205"/>
      <c r="AJ882" s="205"/>
      <c r="AK882" s="126"/>
      <c r="AL882" s="126"/>
    </row>
    <row r="883">
      <c r="A883" s="119"/>
      <c r="B883" s="154"/>
      <c r="C883" s="89"/>
      <c r="D883" s="55"/>
      <c r="E883" s="119"/>
      <c r="F883" s="154"/>
      <c r="G883" s="192"/>
      <c r="H883" s="193"/>
      <c r="I883" s="119"/>
      <c r="J883" s="154"/>
      <c r="K883" s="89"/>
      <c r="L883" s="55"/>
      <c r="M883" s="119"/>
      <c r="N883" s="194"/>
      <c r="O883" s="89"/>
      <c r="P883" s="55"/>
      <c r="Q883" s="195"/>
      <c r="R883" s="196"/>
      <c r="S883" s="125"/>
      <c r="T883" s="126"/>
      <c r="U883" s="195"/>
      <c r="V883" s="196"/>
      <c r="W883" s="125"/>
      <c r="X883" s="126"/>
      <c r="Y883" s="119"/>
      <c r="Z883" s="197"/>
      <c r="AA883" s="198"/>
      <c r="AB883" s="199"/>
      <c r="AC883" s="119"/>
      <c r="AD883" s="196"/>
      <c r="AE883" s="200"/>
      <c r="AF883" s="201"/>
      <c r="AG883" s="205"/>
      <c r="AH883" s="205"/>
      <c r="AI883" s="205"/>
      <c r="AJ883" s="205"/>
      <c r="AK883" s="126"/>
      <c r="AL883" s="126"/>
    </row>
    <row r="884">
      <c r="A884" s="119"/>
      <c r="B884" s="154"/>
      <c r="C884" s="89"/>
      <c r="D884" s="55"/>
      <c r="E884" s="119"/>
      <c r="F884" s="154"/>
      <c r="G884" s="192"/>
      <c r="H884" s="193"/>
      <c r="I884" s="119"/>
      <c r="J884" s="154"/>
      <c r="K884" s="89"/>
      <c r="L884" s="55"/>
      <c r="M884" s="119"/>
      <c r="N884" s="194"/>
      <c r="O884" s="89"/>
      <c r="P884" s="55"/>
      <c r="Q884" s="195"/>
      <c r="R884" s="196"/>
      <c r="S884" s="125"/>
      <c r="T884" s="126"/>
      <c r="U884" s="195"/>
      <c r="V884" s="196"/>
      <c r="W884" s="125"/>
      <c r="X884" s="126"/>
      <c r="Y884" s="119"/>
      <c r="Z884" s="197"/>
      <c r="AA884" s="198"/>
      <c r="AB884" s="199"/>
      <c r="AC884" s="119"/>
      <c r="AD884" s="196"/>
      <c r="AE884" s="200"/>
      <c r="AF884" s="201"/>
      <c r="AG884" s="205"/>
      <c r="AH884" s="205"/>
      <c r="AI884" s="205"/>
      <c r="AJ884" s="205"/>
      <c r="AK884" s="126"/>
      <c r="AL884" s="126"/>
    </row>
    <row r="885">
      <c r="A885" s="119"/>
      <c r="B885" s="154"/>
      <c r="C885" s="89"/>
      <c r="D885" s="55"/>
      <c r="E885" s="119"/>
      <c r="F885" s="154"/>
      <c r="G885" s="192"/>
      <c r="H885" s="193"/>
      <c r="I885" s="119"/>
      <c r="J885" s="154"/>
      <c r="K885" s="89"/>
      <c r="L885" s="55"/>
      <c r="M885" s="119"/>
      <c r="N885" s="194"/>
      <c r="O885" s="89"/>
      <c r="P885" s="55"/>
      <c r="Q885" s="195"/>
      <c r="R885" s="196"/>
      <c r="S885" s="125"/>
      <c r="T885" s="126"/>
      <c r="U885" s="195"/>
      <c r="V885" s="196"/>
      <c r="W885" s="125"/>
      <c r="X885" s="126"/>
      <c r="Y885" s="119"/>
      <c r="Z885" s="197"/>
      <c r="AA885" s="198"/>
      <c r="AB885" s="199"/>
      <c r="AC885" s="119"/>
      <c r="AD885" s="196"/>
      <c r="AE885" s="200"/>
      <c r="AF885" s="201"/>
      <c r="AG885" s="205"/>
      <c r="AH885" s="205"/>
      <c r="AI885" s="205"/>
      <c r="AJ885" s="205"/>
      <c r="AK885" s="126"/>
      <c r="AL885" s="126"/>
    </row>
    <row r="886">
      <c r="A886" s="119"/>
      <c r="B886" s="154"/>
      <c r="C886" s="89"/>
      <c r="D886" s="55"/>
      <c r="E886" s="119"/>
      <c r="F886" s="154"/>
      <c r="G886" s="192"/>
      <c r="H886" s="193"/>
      <c r="I886" s="119"/>
      <c r="J886" s="154"/>
      <c r="K886" s="89"/>
      <c r="L886" s="55"/>
      <c r="M886" s="119"/>
      <c r="N886" s="194"/>
      <c r="O886" s="89"/>
      <c r="P886" s="55"/>
      <c r="Q886" s="195"/>
      <c r="R886" s="196"/>
      <c r="S886" s="125"/>
      <c r="T886" s="126"/>
      <c r="U886" s="195"/>
      <c r="V886" s="196"/>
      <c r="W886" s="125"/>
      <c r="X886" s="126"/>
      <c r="Y886" s="119"/>
      <c r="Z886" s="197"/>
      <c r="AA886" s="198"/>
      <c r="AB886" s="199"/>
      <c r="AC886" s="119"/>
      <c r="AD886" s="196"/>
      <c r="AE886" s="200"/>
      <c r="AF886" s="201"/>
      <c r="AG886" s="205"/>
      <c r="AH886" s="205"/>
      <c r="AI886" s="205"/>
      <c r="AJ886" s="205"/>
      <c r="AK886" s="126"/>
      <c r="AL886" s="126"/>
    </row>
    <row r="887">
      <c r="A887" s="119"/>
      <c r="B887" s="154"/>
      <c r="C887" s="89"/>
      <c r="D887" s="55"/>
      <c r="E887" s="119"/>
      <c r="F887" s="154"/>
      <c r="G887" s="192"/>
      <c r="H887" s="193"/>
      <c r="I887" s="119"/>
      <c r="J887" s="154"/>
      <c r="K887" s="89"/>
      <c r="L887" s="55"/>
      <c r="M887" s="119"/>
      <c r="N887" s="194"/>
      <c r="O887" s="89"/>
      <c r="P887" s="55"/>
      <c r="Q887" s="195"/>
      <c r="R887" s="196"/>
      <c r="S887" s="125"/>
      <c r="T887" s="126"/>
      <c r="U887" s="195"/>
      <c r="V887" s="196"/>
      <c r="W887" s="125"/>
      <c r="X887" s="126"/>
      <c r="Y887" s="119"/>
      <c r="Z887" s="197"/>
      <c r="AA887" s="198"/>
      <c r="AB887" s="199"/>
      <c r="AC887" s="119"/>
      <c r="AD887" s="196"/>
      <c r="AE887" s="200"/>
      <c r="AF887" s="201"/>
      <c r="AG887" s="205"/>
      <c r="AH887" s="205"/>
      <c r="AI887" s="205"/>
      <c r="AJ887" s="205"/>
      <c r="AK887" s="126"/>
      <c r="AL887" s="126"/>
    </row>
    <row r="888">
      <c r="A888" s="119"/>
      <c r="B888" s="154"/>
      <c r="C888" s="89"/>
      <c r="D888" s="55"/>
      <c r="E888" s="119"/>
      <c r="F888" s="154"/>
      <c r="G888" s="192"/>
      <c r="H888" s="193"/>
      <c r="I888" s="119"/>
      <c r="J888" s="154"/>
      <c r="K888" s="89"/>
      <c r="L888" s="55"/>
      <c r="M888" s="119"/>
      <c r="N888" s="194"/>
      <c r="O888" s="89"/>
      <c r="P888" s="55"/>
      <c r="Q888" s="195"/>
      <c r="R888" s="196"/>
      <c r="S888" s="125"/>
      <c r="T888" s="126"/>
      <c r="U888" s="195"/>
      <c r="V888" s="196"/>
      <c r="W888" s="125"/>
      <c r="X888" s="126"/>
      <c r="Y888" s="119"/>
      <c r="Z888" s="197"/>
      <c r="AA888" s="198"/>
      <c r="AB888" s="199"/>
      <c r="AC888" s="119"/>
      <c r="AD888" s="196"/>
      <c r="AE888" s="200"/>
      <c r="AF888" s="201"/>
      <c r="AG888" s="205"/>
      <c r="AH888" s="205"/>
      <c r="AI888" s="205"/>
      <c r="AJ888" s="205"/>
      <c r="AK888" s="126"/>
      <c r="AL888" s="126"/>
    </row>
    <row r="889">
      <c r="A889" s="119"/>
      <c r="B889" s="154"/>
      <c r="C889" s="89"/>
      <c r="D889" s="55"/>
      <c r="E889" s="119"/>
      <c r="F889" s="154"/>
      <c r="G889" s="192"/>
      <c r="H889" s="193"/>
      <c r="I889" s="119"/>
      <c r="J889" s="154"/>
      <c r="K889" s="89"/>
      <c r="L889" s="55"/>
      <c r="M889" s="119"/>
      <c r="N889" s="194"/>
      <c r="O889" s="89"/>
      <c r="P889" s="55"/>
      <c r="Q889" s="195"/>
      <c r="R889" s="196"/>
      <c r="S889" s="125"/>
      <c r="T889" s="126"/>
      <c r="U889" s="195"/>
      <c r="V889" s="196"/>
      <c r="W889" s="125"/>
      <c r="X889" s="126"/>
      <c r="Y889" s="119"/>
      <c r="Z889" s="197"/>
      <c r="AA889" s="198"/>
      <c r="AB889" s="199"/>
      <c r="AC889" s="119"/>
      <c r="AD889" s="196"/>
      <c r="AE889" s="200"/>
      <c r="AF889" s="201"/>
      <c r="AG889" s="205"/>
      <c r="AH889" s="205"/>
      <c r="AI889" s="205"/>
      <c r="AJ889" s="205"/>
      <c r="AK889" s="126"/>
      <c r="AL889" s="126"/>
    </row>
    <row r="890">
      <c r="A890" s="119"/>
      <c r="B890" s="154"/>
      <c r="C890" s="89"/>
      <c r="D890" s="55"/>
      <c r="E890" s="119"/>
      <c r="F890" s="154"/>
      <c r="G890" s="192"/>
      <c r="H890" s="193"/>
      <c r="I890" s="119"/>
      <c r="J890" s="154"/>
      <c r="K890" s="89"/>
      <c r="L890" s="55"/>
      <c r="M890" s="119"/>
      <c r="N890" s="194"/>
      <c r="O890" s="89"/>
      <c r="P890" s="55"/>
      <c r="Q890" s="195"/>
      <c r="R890" s="196"/>
      <c r="S890" s="125"/>
      <c r="T890" s="126"/>
      <c r="U890" s="195"/>
      <c r="V890" s="196"/>
      <c r="W890" s="125"/>
      <c r="X890" s="126"/>
      <c r="Y890" s="119"/>
      <c r="Z890" s="197"/>
      <c r="AA890" s="198"/>
      <c r="AB890" s="199"/>
      <c r="AC890" s="119"/>
      <c r="AD890" s="196"/>
      <c r="AE890" s="200"/>
      <c r="AF890" s="201"/>
      <c r="AG890" s="205"/>
      <c r="AH890" s="205"/>
      <c r="AI890" s="205"/>
      <c r="AJ890" s="205"/>
      <c r="AK890" s="126"/>
      <c r="AL890" s="126"/>
    </row>
    <row r="891">
      <c r="A891" s="119"/>
      <c r="B891" s="154"/>
      <c r="C891" s="89"/>
      <c r="D891" s="55"/>
      <c r="E891" s="119"/>
      <c r="F891" s="154"/>
      <c r="G891" s="192"/>
      <c r="H891" s="193"/>
      <c r="I891" s="119"/>
      <c r="J891" s="154"/>
      <c r="K891" s="89"/>
      <c r="L891" s="55"/>
      <c r="M891" s="119"/>
      <c r="N891" s="194"/>
      <c r="O891" s="89"/>
      <c r="P891" s="55"/>
      <c r="Q891" s="195"/>
      <c r="R891" s="196"/>
      <c r="S891" s="125"/>
      <c r="T891" s="126"/>
      <c r="U891" s="195"/>
      <c r="V891" s="196"/>
      <c r="W891" s="125"/>
      <c r="X891" s="126"/>
      <c r="Y891" s="119"/>
      <c r="Z891" s="197"/>
      <c r="AA891" s="198"/>
      <c r="AB891" s="199"/>
      <c r="AC891" s="119"/>
      <c r="AD891" s="196"/>
      <c r="AE891" s="200"/>
      <c r="AF891" s="201"/>
      <c r="AG891" s="205"/>
      <c r="AH891" s="205"/>
      <c r="AI891" s="205"/>
      <c r="AJ891" s="205"/>
      <c r="AK891" s="126"/>
      <c r="AL891" s="126"/>
    </row>
    <row r="892">
      <c r="A892" s="119"/>
      <c r="B892" s="154"/>
      <c r="C892" s="89"/>
      <c r="D892" s="55"/>
      <c r="E892" s="119"/>
      <c r="F892" s="154"/>
      <c r="G892" s="192"/>
      <c r="H892" s="193"/>
      <c r="I892" s="119"/>
      <c r="J892" s="154"/>
      <c r="K892" s="89"/>
      <c r="L892" s="55"/>
      <c r="M892" s="119"/>
      <c r="N892" s="194"/>
      <c r="O892" s="89"/>
      <c r="P892" s="55"/>
      <c r="Q892" s="195"/>
      <c r="R892" s="196"/>
      <c r="S892" s="125"/>
      <c r="T892" s="126"/>
      <c r="U892" s="195"/>
      <c r="V892" s="196"/>
      <c r="W892" s="125"/>
      <c r="X892" s="126"/>
      <c r="Y892" s="119"/>
      <c r="Z892" s="197"/>
      <c r="AA892" s="198"/>
      <c r="AB892" s="199"/>
      <c r="AC892" s="119"/>
      <c r="AD892" s="196"/>
      <c r="AE892" s="200"/>
      <c r="AF892" s="201"/>
      <c r="AG892" s="205"/>
      <c r="AH892" s="205"/>
      <c r="AI892" s="205"/>
      <c r="AJ892" s="205"/>
      <c r="AK892" s="126"/>
      <c r="AL892" s="126"/>
    </row>
    <row r="893">
      <c r="A893" s="119"/>
      <c r="B893" s="154"/>
      <c r="C893" s="89"/>
      <c r="D893" s="55"/>
      <c r="E893" s="119"/>
      <c r="F893" s="154"/>
      <c r="G893" s="192"/>
      <c r="H893" s="193"/>
      <c r="I893" s="119"/>
      <c r="J893" s="154"/>
      <c r="K893" s="89"/>
      <c r="L893" s="55"/>
      <c r="M893" s="119"/>
      <c r="N893" s="194"/>
      <c r="O893" s="89"/>
      <c r="P893" s="55"/>
      <c r="Q893" s="195"/>
      <c r="R893" s="196"/>
      <c r="S893" s="125"/>
      <c r="T893" s="126"/>
      <c r="U893" s="195"/>
      <c r="V893" s="196"/>
      <c r="W893" s="125"/>
      <c r="X893" s="126"/>
      <c r="Y893" s="119"/>
      <c r="Z893" s="197"/>
      <c r="AA893" s="198"/>
      <c r="AB893" s="199"/>
      <c r="AC893" s="119"/>
      <c r="AD893" s="196"/>
      <c r="AE893" s="200"/>
      <c r="AF893" s="201"/>
      <c r="AG893" s="205"/>
      <c r="AH893" s="205"/>
      <c r="AI893" s="205"/>
      <c r="AJ893" s="205"/>
      <c r="AK893" s="126"/>
      <c r="AL893" s="126"/>
    </row>
    <row r="894">
      <c r="A894" s="119"/>
      <c r="B894" s="154"/>
      <c r="C894" s="89"/>
      <c r="D894" s="55"/>
      <c r="E894" s="119"/>
      <c r="F894" s="154"/>
      <c r="G894" s="192"/>
      <c r="H894" s="193"/>
      <c r="I894" s="119"/>
      <c r="J894" s="154"/>
      <c r="K894" s="89"/>
      <c r="L894" s="55"/>
      <c r="M894" s="119"/>
      <c r="N894" s="194"/>
      <c r="O894" s="89"/>
      <c r="P894" s="55"/>
      <c r="Q894" s="195"/>
      <c r="R894" s="196"/>
      <c r="S894" s="125"/>
      <c r="T894" s="126"/>
      <c r="U894" s="195"/>
      <c r="V894" s="196"/>
      <c r="W894" s="125"/>
      <c r="X894" s="126"/>
      <c r="Y894" s="119"/>
      <c r="Z894" s="197"/>
      <c r="AA894" s="198"/>
      <c r="AB894" s="199"/>
      <c r="AC894" s="119"/>
      <c r="AD894" s="196"/>
      <c r="AE894" s="200"/>
      <c r="AF894" s="201"/>
      <c r="AG894" s="205"/>
      <c r="AH894" s="205"/>
      <c r="AI894" s="205"/>
      <c r="AJ894" s="205"/>
      <c r="AK894" s="126"/>
      <c r="AL894" s="126"/>
    </row>
    <row r="895">
      <c r="A895" s="119"/>
      <c r="B895" s="154"/>
      <c r="C895" s="89"/>
      <c r="D895" s="55"/>
      <c r="E895" s="119"/>
      <c r="F895" s="154"/>
      <c r="G895" s="192"/>
      <c r="H895" s="193"/>
      <c r="I895" s="119"/>
      <c r="J895" s="154"/>
      <c r="K895" s="89"/>
      <c r="L895" s="55"/>
      <c r="M895" s="119"/>
      <c r="N895" s="194"/>
      <c r="O895" s="89"/>
      <c r="P895" s="55"/>
      <c r="Q895" s="195"/>
      <c r="R895" s="196"/>
      <c r="S895" s="125"/>
      <c r="T895" s="126"/>
      <c r="U895" s="195"/>
      <c r="V895" s="196"/>
      <c r="W895" s="125"/>
      <c r="X895" s="126"/>
      <c r="Y895" s="119"/>
      <c r="Z895" s="197"/>
      <c r="AA895" s="198"/>
      <c r="AB895" s="199"/>
      <c r="AC895" s="119"/>
      <c r="AD895" s="196"/>
      <c r="AE895" s="200"/>
      <c r="AF895" s="201"/>
      <c r="AG895" s="205"/>
      <c r="AH895" s="205"/>
      <c r="AI895" s="205"/>
      <c r="AJ895" s="205"/>
      <c r="AK895" s="126"/>
      <c r="AL895" s="126"/>
    </row>
    <row r="896">
      <c r="A896" s="119"/>
      <c r="B896" s="154"/>
      <c r="C896" s="89"/>
      <c r="D896" s="55"/>
      <c r="E896" s="119"/>
      <c r="F896" s="154"/>
      <c r="G896" s="192"/>
      <c r="H896" s="193"/>
      <c r="I896" s="119"/>
      <c r="J896" s="154"/>
      <c r="K896" s="89"/>
      <c r="L896" s="55"/>
      <c r="M896" s="119"/>
      <c r="N896" s="194"/>
      <c r="O896" s="89"/>
      <c r="P896" s="55"/>
      <c r="Q896" s="195"/>
      <c r="R896" s="196"/>
      <c r="S896" s="125"/>
      <c r="T896" s="126"/>
      <c r="U896" s="195"/>
      <c r="V896" s="196"/>
      <c r="W896" s="125"/>
      <c r="X896" s="126"/>
      <c r="Y896" s="119"/>
      <c r="Z896" s="197"/>
      <c r="AA896" s="198"/>
      <c r="AB896" s="199"/>
      <c r="AC896" s="119"/>
      <c r="AD896" s="196"/>
      <c r="AE896" s="200"/>
      <c r="AF896" s="201"/>
      <c r="AG896" s="205"/>
      <c r="AH896" s="205"/>
      <c r="AI896" s="205"/>
      <c r="AJ896" s="205"/>
      <c r="AK896" s="126"/>
      <c r="AL896" s="126"/>
    </row>
    <row r="897">
      <c r="A897" s="119"/>
      <c r="B897" s="154"/>
      <c r="C897" s="89"/>
      <c r="D897" s="55"/>
      <c r="E897" s="119"/>
      <c r="F897" s="154"/>
      <c r="G897" s="192"/>
      <c r="H897" s="193"/>
      <c r="I897" s="119"/>
      <c r="J897" s="154"/>
      <c r="K897" s="89"/>
      <c r="L897" s="55"/>
      <c r="M897" s="119"/>
      <c r="N897" s="194"/>
      <c r="O897" s="89"/>
      <c r="P897" s="55"/>
      <c r="Q897" s="195"/>
      <c r="R897" s="196"/>
      <c r="S897" s="125"/>
      <c r="T897" s="126"/>
      <c r="U897" s="195"/>
      <c r="V897" s="196"/>
      <c r="W897" s="125"/>
      <c r="X897" s="126"/>
      <c r="Y897" s="119"/>
      <c r="Z897" s="197"/>
      <c r="AA897" s="198"/>
      <c r="AB897" s="199"/>
      <c r="AC897" s="119"/>
      <c r="AD897" s="196"/>
      <c r="AE897" s="200"/>
      <c r="AF897" s="201"/>
      <c r="AG897" s="205"/>
      <c r="AH897" s="205"/>
      <c r="AI897" s="205"/>
      <c r="AJ897" s="205"/>
      <c r="AK897" s="126"/>
      <c r="AL897" s="126"/>
    </row>
    <row r="898">
      <c r="A898" s="119"/>
      <c r="B898" s="154"/>
      <c r="C898" s="89"/>
      <c r="D898" s="55"/>
      <c r="E898" s="119"/>
      <c r="F898" s="154"/>
      <c r="G898" s="192"/>
      <c r="H898" s="193"/>
      <c r="I898" s="119"/>
      <c r="J898" s="154"/>
      <c r="K898" s="89"/>
      <c r="L898" s="55"/>
      <c r="M898" s="119"/>
      <c r="N898" s="194"/>
      <c r="O898" s="89"/>
      <c r="P898" s="55"/>
      <c r="Q898" s="195"/>
      <c r="R898" s="196"/>
      <c r="S898" s="125"/>
      <c r="T898" s="126"/>
      <c r="U898" s="195"/>
      <c r="V898" s="196"/>
      <c r="W898" s="125"/>
      <c r="X898" s="126"/>
      <c r="Y898" s="119"/>
      <c r="Z898" s="197"/>
      <c r="AA898" s="198"/>
      <c r="AB898" s="199"/>
      <c r="AC898" s="119"/>
      <c r="AD898" s="196"/>
      <c r="AE898" s="200"/>
      <c r="AF898" s="201"/>
      <c r="AG898" s="205"/>
      <c r="AH898" s="205"/>
      <c r="AI898" s="205"/>
      <c r="AJ898" s="205"/>
      <c r="AK898" s="126"/>
      <c r="AL898" s="126"/>
    </row>
    <row r="899">
      <c r="A899" s="119"/>
      <c r="B899" s="154"/>
      <c r="C899" s="89"/>
      <c r="D899" s="55"/>
      <c r="E899" s="119"/>
      <c r="F899" s="154"/>
      <c r="G899" s="192"/>
      <c r="H899" s="193"/>
      <c r="I899" s="119"/>
      <c r="J899" s="154"/>
      <c r="K899" s="89"/>
      <c r="L899" s="55"/>
      <c r="M899" s="119"/>
      <c r="N899" s="194"/>
      <c r="O899" s="89"/>
      <c r="P899" s="55"/>
      <c r="Q899" s="195"/>
      <c r="R899" s="196"/>
      <c r="S899" s="125"/>
      <c r="T899" s="126"/>
      <c r="U899" s="195"/>
      <c r="V899" s="196"/>
      <c r="W899" s="125"/>
      <c r="X899" s="126"/>
      <c r="Y899" s="119"/>
      <c r="Z899" s="197"/>
      <c r="AA899" s="198"/>
      <c r="AB899" s="199"/>
      <c r="AC899" s="119"/>
      <c r="AD899" s="196"/>
      <c r="AE899" s="200"/>
      <c r="AF899" s="201"/>
      <c r="AG899" s="205"/>
      <c r="AH899" s="205"/>
      <c r="AI899" s="205"/>
      <c r="AJ899" s="205"/>
      <c r="AK899" s="126"/>
      <c r="AL899" s="126"/>
    </row>
    <row r="900">
      <c r="A900" s="119"/>
      <c r="B900" s="154"/>
      <c r="C900" s="89"/>
      <c r="D900" s="55"/>
      <c r="E900" s="119"/>
      <c r="F900" s="154"/>
      <c r="G900" s="192"/>
      <c r="H900" s="193"/>
      <c r="I900" s="119"/>
      <c r="J900" s="154"/>
      <c r="K900" s="89"/>
      <c r="L900" s="55"/>
      <c r="M900" s="119"/>
      <c r="N900" s="194"/>
      <c r="O900" s="89"/>
      <c r="P900" s="55"/>
      <c r="Q900" s="195"/>
      <c r="R900" s="196"/>
      <c r="S900" s="125"/>
      <c r="T900" s="126"/>
      <c r="U900" s="195"/>
      <c r="V900" s="196"/>
      <c r="W900" s="125"/>
      <c r="X900" s="126"/>
      <c r="Y900" s="119"/>
      <c r="Z900" s="197"/>
      <c r="AA900" s="198"/>
      <c r="AB900" s="199"/>
      <c r="AC900" s="119"/>
      <c r="AD900" s="196"/>
      <c r="AE900" s="200"/>
      <c r="AF900" s="201"/>
      <c r="AG900" s="205"/>
      <c r="AH900" s="205"/>
      <c r="AI900" s="205"/>
      <c r="AJ900" s="205"/>
      <c r="AK900" s="126"/>
      <c r="AL900" s="126"/>
    </row>
    <row r="901">
      <c r="A901" s="119"/>
      <c r="B901" s="154"/>
      <c r="C901" s="89"/>
      <c r="D901" s="55"/>
      <c r="E901" s="119"/>
      <c r="F901" s="154"/>
      <c r="G901" s="192"/>
      <c r="H901" s="193"/>
      <c r="I901" s="119"/>
      <c r="J901" s="154"/>
      <c r="K901" s="89"/>
      <c r="L901" s="55"/>
      <c r="M901" s="119"/>
      <c r="N901" s="194"/>
      <c r="O901" s="89"/>
      <c r="P901" s="55"/>
      <c r="Q901" s="195"/>
      <c r="R901" s="196"/>
      <c r="S901" s="125"/>
      <c r="T901" s="126"/>
      <c r="U901" s="195"/>
      <c r="V901" s="196"/>
      <c r="W901" s="125"/>
      <c r="X901" s="126"/>
      <c r="Y901" s="119"/>
      <c r="Z901" s="197"/>
      <c r="AA901" s="198"/>
      <c r="AB901" s="199"/>
      <c r="AC901" s="119"/>
      <c r="AD901" s="196"/>
      <c r="AE901" s="200"/>
      <c r="AF901" s="201"/>
      <c r="AG901" s="205"/>
      <c r="AH901" s="205"/>
      <c r="AI901" s="205"/>
      <c r="AJ901" s="205"/>
      <c r="AK901" s="126"/>
      <c r="AL901" s="126"/>
    </row>
    <row r="902">
      <c r="A902" s="119"/>
      <c r="B902" s="154"/>
      <c r="C902" s="89"/>
      <c r="D902" s="55"/>
      <c r="E902" s="119"/>
      <c r="F902" s="154"/>
      <c r="G902" s="192"/>
      <c r="H902" s="193"/>
      <c r="I902" s="119"/>
      <c r="J902" s="154"/>
      <c r="K902" s="89"/>
      <c r="L902" s="55"/>
      <c r="M902" s="119"/>
      <c r="N902" s="194"/>
      <c r="O902" s="89"/>
      <c r="P902" s="55"/>
      <c r="Q902" s="195"/>
      <c r="R902" s="196"/>
      <c r="S902" s="125"/>
      <c r="T902" s="126"/>
      <c r="U902" s="195"/>
      <c r="V902" s="196"/>
      <c r="W902" s="125"/>
      <c r="X902" s="126"/>
      <c r="Y902" s="119"/>
      <c r="Z902" s="197"/>
      <c r="AA902" s="198"/>
      <c r="AB902" s="199"/>
      <c r="AC902" s="119"/>
      <c r="AD902" s="196"/>
      <c r="AE902" s="200"/>
      <c r="AF902" s="201"/>
      <c r="AG902" s="205"/>
      <c r="AH902" s="205"/>
      <c r="AI902" s="205"/>
      <c r="AJ902" s="205"/>
      <c r="AK902" s="126"/>
      <c r="AL902" s="126"/>
    </row>
    <row r="903">
      <c r="A903" s="119"/>
      <c r="B903" s="154"/>
      <c r="C903" s="89"/>
      <c r="D903" s="55"/>
      <c r="E903" s="119"/>
      <c r="F903" s="154"/>
      <c r="G903" s="192"/>
      <c r="H903" s="193"/>
      <c r="I903" s="119"/>
      <c r="J903" s="154"/>
      <c r="K903" s="89"/>
      <c r="L903" s="55"/>
      <c r="M903" s="119"/>
      <c r="N903" s="194"/>
      <c r="O903" s="89"/>
      <c r="P903" s="55"/>
      <c r="Q903" s="195"/>
      <c r="R903" s="196"/>
      <c r="S903" s="125"/>
      <c r="T903" s="126"/>
      <c r="U903" s="195"/>
      <c r="V903" s="196"/>
      <c r="W903" s="125"/>
      <c r="X903" s="126"/>
      <c r="Y903" s="119"/>
      <c r="Z903" s="197"/>
      <c r="AA903" s="198"/>
      <c r="AB903" s="199"/>
      <c r="AC903" s="119"/>
      <c r="AD903" s="196"/>
      <c r="AE903" s="200"/>
      <c r="AF903" s="201"/>
      <c r="AG903" s="205"/>
      <c r="AH903" s="205"/>
      <c r="AI903" s="205"/>
      <c r="AJ903" s="205"/>
      <c r="AK903" s="126"/>
      <c r="AL903" s="126"/>
    </row>
    <row r="904">
      <c r="A904" s="119"/>
      <c r="B904" s="154"/>
      <c r="C904" s="89"/>
      <c r="D904" s="55"/>
      <c r="E904" s="119"/>
      <c r="F904" s="154"/>
      <c r="G904" s="192"/>
      <c r="H904" s="193"/>
      <c r="I904" s="119"/>
      <c r="J904" s="154"/>
      <c r="K904" s="89"/>
      <c r="L904" s="55"/>
      <c r="M904" s="119"/>
      <c r="N904" s="194"/>
      <c r="O904" s="89"/>
      <c r="P904" s="55"/>
      <c r="Q904" s="195"/>
      <c r="R904" s="196"/>
      <c r="S904" s="125"/>
      <c r="T904" s="126"/>
      <c r="U904" s="195"/>
      <c r="V904" s="196"/>
      <c r="W904" s="125"/>
      <c r="X904" s="126"/>
      <c r="Y904" s="119"/>
      <c r="Z904" s="197"/>
      <c r="AA904" s="198"/>
      <c r="AB904" s="199"/>
      <c r="AC904" s="119"/>
      <c r="AD904" s="196"/>
      <c r="AE904" s="200"/>
      <c r="AF904" s="201"/>
      <c r="AG904" s="205"/>
      <c r="AH904" s="205"/>
      <c r="AI904" s="205"/>
      <c r="AJ904" s="205"/>
      <c r="AK904" s="126"/>
      <c r="AL904" s="126"/>
    </row>
    <row r="905">
      <c r="A905" s="119"/>
      <c r="B905" s="154"/>
      <c r="C905" s="89"/>
      <c r="D905" s="55"/>
      <c r="E905" s="119"/>
      <c r="F905" s="154"/>
      <c r="G905" s="192"/>
      <c r="H905" s="193"/>
      <c r="I905" s="119"/>
      <c r="J905" s="154"/>
      <c r="K905" s="89"/>
      <c r="L905" s="55"/>
      <c r="M905" s="119"/>
      <c r="N905" s="194"/>
      <c r="O905" s="89"/>
      <c r="P905" s="55"/>
      <c r="Q905" s="195"/>
      <c r="R905" s="196"/>
      <c r="S905" s="125"/>
      <c r="T905" s="126"/>
      <c r="U905" s="195"/>
      <c r="V905" s="196"/>
      <c r="W905" s="125"/>
      <c r="X905" s="126"/>
      <c r="Y905" s="119"/>
      <c r="Z905" s="197"/>
      <c r="AA905" s="198"/>
      <c r="AB905" s="199"/>
      <c r="AC905" s="119"/>
      <c r="AD905" s="196"/>
      <c r="AE905" s="200"/>
      <c r="AF905" s="201"/>
      <c r="AG905" s="205"/>
      <c r="AH905" s="205"/>
      <c r="AI905" s="205"/>
      <c r="AJ905" s="205"/>
      <c r="AK905" s="126"/>
      <c r="AL905" s="126"/>
    </row>
    <row r="906">
      <c r="A906" s="119"/>
      <c r="B906" s="154"/>
      <c r="C906" s="89"/>
      <c r="D906" s="55"/>
      <c r="E906" s="119"/>
      <c r="F906" s="154"/>
      <c r="G906" s="192"/>
      <c r="H906" s="193"/>
      <c r="I906" s="119"/>
      <c r="J906" s="154"/>
      <c r="K906" s="89"/>
      <c r="L906" s="55"/>
      <c r="M906" s="119"/>
      <c r="N906" s="194"/>
      <c r="O906" s="89"/>
      <c r="P906" s="55"/>
      <c r="Q906" s="195"/>
      <c r="R906" s="196"/>
      <c r="S906" s="125"/>
      <c r="T906" s="126"/>
      <c r="U906" s="195"/>
      <c r="V906" s="196"/>
      <c r="W906" s="125"/>
      <c r="X906" s="126"/>
      <c r="Y906" s="119"/>
      <c r="Z906" s="197"/>
      <c r="AA906" s="198"/>
      <c r="AB906" s="199"/>
      <c r="AC906" s="119"/>
      <c r="AD906" s="196"/>
      <c r="AE906" s="200"/>
      <c r="AF906" s="201"/>
      <c r="AG906" s="205"/>
      <c r="AH906" s="205"/>
      <c r="AI906" s="205"/>
      <c r="AJ906" s="205"/>
      <c r="AK906" s="126"/>
      <c r="AL906" s="126"/>
    </row>
    <row r="907">
      <c r="A907" s="119"/>
      <c r="B907" s="154"/>
      <c r="C907" s="89"/>
      <c r="D907" s="55"/>
      <c r="E907" s="119"/>
      <c r="F907" s="154"/>
      <c r="G907" s="192"/>
      <c r="H907" s="193"/>
      <c r="I907" s="119"/>
      <c r="J907" s="154"/>
      <c r="K907" s="89"/>
      <c r="L907" s="55"/>
      <c r="M907" s="119"/>
      <c r="N907" s="194"/>
      <c r="O907" s="89"/>
      <c r="P907" s="55"/>
      <c r="Q907" s="195"/>
      <c r="R907" s="196"/>
      <c r="S907" s="125"/>
      <c r="T907" s="126"/>
      <c r="U907" s="195"/>
      <c r="V907" s="196"/>
      <c r="W907" s="125"/>
      <c r="X907" s="126"/>
      <c r="Y907" s="119"/>
      <c r="Z907" s="197"/>
      <c r="AA907" s="198"/>
      <c r="AB907" s="199"/>
      <c r="AC907" s="119"/>
      <c r="AD907" s="196"/>
      <c r="AE907" s="200"/>
      <c r="AF907" s="201"/>
      <c r="AG907" s="205"/>
      <c r="AH907" s="205"/>
      <c r="AI907" s="205"/>
      <c r="AJ907" s="205"/>
      <c r="AK907" s="126"/>
      <c r="AL907" s="126"/>
    </row>
    <row r="908">
      <c r="A908" s="119"/>
      <c r="B908" s="154"/>
      <c r="C908" s="89"/>
      <c r="D908" s="55"/>
      <c r="E908" s="119"/>
      <c r="F908" s="154"/>
      <c r="G908" s="192"/>
      <c r="H908" s="193"/>
      <c r="I908" s="119"/>
      <c r="J908" s="154"/>
      <c r="K908" s="89"/>
      <c r="L908" s="55"/>
      <c r="M908" s="119"/>
      <c r="N908" s="194"/>
      <c r="O908" s="89"/>
      <c r="P908" s="55"/>
      <c r="Q908" s="195"/>
      <c r="R908" s="196"/>
      <c r="S908" s="125"/>
      <c r="T908" s="126"/>
      <c r="U908" s="195"/>
      <c r="V908" s="196"/>
      <c r="W908" s="125"/>
      <c r="X908" s="126"/>
      <c r="Y908" s="119"/>
      <c r="Z908" s="197"/>
      <c r="AA908" s="198"/>
      <c r="AB908" s="199"/>
      <c r="AC908" s="119"/>
      <c r="AD908" s="196"/>
      <c r="AE908" s="200"/>
      <c r="AF908" s="201"/>
      <c r="AG908" s="205"/>
      <c r="AH908" s="205"/>
      <c r="AI908" s="205"/>
      <c r="AJ908" s="205"/>
      <c r="AK908" s="126"/>
      <c r="AL908" s="126"/>
    </row>
    <row r="909">
      <c r="A909" s="119"/>
      <c r="B909" s="154"/>
      <c r="C909" s="89"/>
      <c r="D909" s="55"/>
      <c r="E909" s="119"/>
      <c r="F909" s="154"/>
      <c r="G909" s="192"/>
      <c r="H909" s="193"/>
      <c r="I909" s="119"/>
      <c r="J909" s="154"/>
      <c r="K909" s="89"/>
      <c r="L909" s="55"/>
      <c r="M909" s="119"/>
      <c r="N909" s="194"/>
      <c r="O909" s="89"/>
      <c r="P909" s="55"/>
      <c r="Q909" s="195"/>
      <c r="R909" s="196"/>
      <c r="S909" s="125"/>
      <c r="T909" s="126"/>
      <c r="U909" s="195"/>
      <c r="V909" s="196"/>
      <c r="W909" s="125"/>
      <c r="X909" s="126"/>
      <c r="Y909" s="119"/>
      <c r="Z909" s="197"/>
      <c r="AA909" s="198"/>
      <c r="AB909" s="199"/>
      <c r="AC909" s="119"/>
      <c r="AD909" s="196"/>
      <c r="AE909" s="200"/>
      <c r="AF909" s="201"/>
      <c r="AG909" s="205"/>
      <c r="AH909" s="205"/>
      <c r="AI909" s="205"/>
      <c r="AJ909" s="205"/>
      <c r="AK909" s="126"/>
      <c r="AL909" s="126"/>
    </row>
    <row r="910">
      <c r="A910" s="119"/>
      <c r="B910" s="154"/>
      <c r="C910" s="89"/>
      <c r="D910" s="55"/>
      <c r="E910" s="119"/>
      <c r="F910" s="154"/>
      <c r="G910" s="192"/>
      <c r="H910" s="193"/>
      <c r="I910" s="119"/>
      <c r="J910" s="154"/>
      <c r="K910" s="89"/>
      <c r="L910" s="55"/>
      <c r="M910" s="119"/>
      <c r="N910" s="194"/>
      <c r="O910" s="89"/>
      <c r="P910" s="55"/>
      <c r="Q910" s="195"/>
      <c r="R910" s="196"/>
      <c r="S910" s="125"/>
      <c r="T910" s="126"/>
      <c r="U910" s="195"/>
      <c r="V910" s="196"/>
      <c r="W910" s="125"/>
      <c r="X910" s="126"/>
      <c r="Y910" s="119"/>
      <c r="Z910" s="197"/>
      <c r="AA910" s="198"/>
      <c r="AB910" s="199"/>
      <c r="AC910" s="119"/>
      <c r="AD910" s="196"/>
      <c r="AE910" s="200"/>
      <c r="AF910" s="201"/>
      <c r="AG910" s="205"/>
      <c r="AH910" s="205"/>
      <c r="AI910" s="205"/>
      <c r="AJ910" s="205"/>
      <c r="AK910" s="126"/>
      <c r="AL910" s="126"/>
    </row>
    <row r="911">
      <c r="A911" s="119"/>
      <c r="B911" s="154"/>
      <c r="C911" s="89"/>
      <c r="D911" s="55"/>
      <c r="E911" s="119"/>
      <c r="F911" s="154"/>
      <c r="G911" s="192"/>
      <c r="H911" s="193"/>
      <c r="I911" s="119"/>
      <c r="J911" s="154"/>
      <c r="K911" s="89"/>
      <c r="L911" s="55"/>
      <c r="M911" s="119"/>
      <c r="N911" s="194"/>
      <c r="O911" s="89"/>
      <c r="P911" s="55"/>
      <c r="Q911" s="195"/>
      <c r="R911" s="196"/>
      <c r="S911" s="125"/>
      <c r="T911" s="126"/>
      <c r="U911" s="195"/>
      <c r="V911" s="196"/>
      <c r="W911" s="125"/>
      <c r="X911" s="126"/>
      <c r="Y911" s="119"/>
      <c r="Z911" s="197"/>
      <c r="AA911" s="198"/>
      <c r="AB911" s="199"/>
      <c r="AC911" s="119"/>
      <c r="AD911" s="196"/>
      <c r="AE911" s="200"/>
      <c r="AF911" s="201"/>
      <c r="AG911" s="205"/>
      <c r="AH911" s="205"/>
      <c r="AI911" s="205"/>
      <c r="AJ911" s="205"/>
      <c r="AK911" s="126"/>
      <c r="AL911" s="126"/>
    </row>
    <row r="912">
      <c r="A912" s="119"/>
      <c r="B912" s="154"/>
      <c r="C912" s="89"/>
      <c r="D912" s="55"/>
      <c r="E912" s="119"/>
      <c r="F912" s="154"/>
      <c r="G912" s="192"/>
      <c r="H912" s="193"/>
      <c r="I912" s="119"/>
      <c r="J912" s="154"/>
      <c r="K912" s="89"/>
      <c r="L912" s="55"/>
      <c r="M912" s="119"/>
      <c r="N912" s="194"/>
      <c r="O912" s="89"/>
      <c r="P912" s="55"/>
      <c r="Q912" s="195"/>
      <c r="R912" s="196"/>
      <c r="S912" s="125"/>
      <c r="T912" s="126"/>
      <c r="U912" s="195"/>
      <c r="V912" s="196"/>
      <c r="W912" s="125"/>
      <c r="X912" s="126"/>
      <c r="Y912" s="119"/>
      <c r="Z912" s="197"/>
      <c r="AA912" s="198"/>
      <c r="AB912" s="199"/>
      <c r="AC912" s="119"/>
      <c r="AD912" s="196"/>
      <c r="AE912" s="200"/>
      <c r="AF912" s="201"/>
      <c r="AG912" s="205"/>
      <c r="AH912" s="205"/>
      <c r="AI912" s="205"/>
      <c r="AJ912" s="205"/>
      <c r="AK912" s="126"/>
      <c r="AL912" s="126"/>
    </row>
    <row r="913">
      <c r="A913" s="119"/>
      <c r="B913" s="154"/>
      <c r="C913" s="89"/>
      <c r="D913" s="55"/>
      <c r="E913" s="119"/>
      <c r="F913" s="154"/>
      <c r="G913" s="192"/>
      <c r="H913" s="193"/>
      <c r="I913" s="119"/>
      <c r="J913" s="154"/>
      <c r="K913" s="89"/>
      <c r="L913" s="55"/>
      <c r="M913" s="119"/>
      <c r="N913" s="194"/>
      <c r="O913" s="89"/>
      <c r="P913" s="55"/>
      <c r="Q913" s="195"/>
      <c r="R913" s="196"/>
      <c r="S913" s="125"/>
      <c r="T913" s="126"/>
      <c r="U913" s="195"/>
      <c r="V913" s="196"/>
      <c r="W913" s="125"/>
      <c r="X913" s="126"/>
      <c r="Y913" s="119"/>
      <c r="Z913" s="197"/>
      <c r="AA913" s="198"/>
      <c r="AB913" s="199"/>
      <c r="AC913" s="119"/>
      <c r="AD913" s="196"/>
      <c r="AE913" s="200"/>
      <c r="AF913" s="201"/>
      <c r="AG913" s="205"/>
      <c r="AH913" s="205"/>
      <c r="AI913" s="205"/>
      <c r="AJ913" s="205"/>
      <c r="AK913" s="126"/>
      <c r="AL913" s="126"/>
    </row>
    <row r="914">
      <c r="A914" s="119"/>
      <c r="B914" s="154"/>
      <c r="C914" s="89"/>
      <c r="D914" s="55"/>
      <c r="E914" s="119"/>
      <c r="F914" s="154"/>
      <c r="G914" s="192"/>
      <c r="H914" s="193"/>
      <c r="I914" s="119"/>
      <c r="J914" s="154"/>
      <c r="K914" s="89"/>
      <c r="L914" s="55"/>
      <c r="M914" s="119"/>
      <c r="N914" s="194"/>
      <c r="O914" s="89"/>
      <c r="P914" s="55"/>
      <c r="Q914" s="195"/>
      <c r="R914" s="196"/>
      <c r="S914" s="125"/>
      <c r="T914" s="126"/>
      <c r="U914" s="195"/>
      <c r="V914" s="196"/>
      <c r="W914" s="125"/>
      <c r="X914" s="126"/>
      <c r="Y914" s="119"/>
      <c r="Z914" s="197"/>
      <c r="AA914" s="198"/>
      <c r="AB914" s="199"/>
      <c r="AC914" s="119"/>
      <c r="AD914" s="196"/>
      <c r="AE914" s="200"/>
      <c r="AF914" s="201"/>
      <c r="AG914" s="205"/>
      <c r="AH914" s="205"/>
      <c r="AI914" s="205"/>
      <c r="AJ914" s="205"/>
      <c r="AK914" s="126"/>
      <c r="AL914" s="126"/>
    </row>
    <row r="915">
      <c r="A915" s="119"/>
      <c r="B915" s="154"/>
      <c r="C915" s="89"/>
      <c r="D915" s="55"/>
      <c r="E915" s="119"/>
      <c r="F915" s="154"/>
      <c r="G915" s="192"/>
      <c r="H915" s="193"/>
      <c r="I915" s="119"/>
      <c r="J915" s="154"/>
      <c r="K915" s="89"/>
      <c r="L915" s="55"/>
      <c r="M915" s="119"/>
      <c r="N915" s="194"/>
      <c r="O915" s="89"/>
      <c r="P915" s="55"/>
      <c r="Q915" s="195"/>
      <c r="R915" s="196"/>
      <c r="S915" s="125"/>
      <c r="T915" s="126"/>
      <c r="U915" s="195"/>
      <c r="V915" s="196"/>
      <c r="W915" s="125"/>
      <c r="X915" s="126"/>
      <c r="Y915" s="119"/>
      <c r="Z915" s="197"/>
      <c r="AA915" s="198"/>
      <c r="AB915" s="199"/>
      <c r="AC915" s="119"/>
      <c r="AD915" s="196"/>
      <c r="AE915" s="200"/>
      <c r="AF915" s="201"/>
      <c r="AG915" s="205"/>
      <c r="AH915" s="205"/>
      <c r="AI915" s="205"/>
      <c r="AJ915" s="205"/>
      <c r="AK915" s="126"/>
      <c r="AL915" s="126"/>
    </row>
    <row r="916">
      <c r="A916" s="119"/>
      <c r="B916" s="154"/>
      <c r="C916" s="89"/>
      <c r="D916" s="55"/>
      <c r="E916" s="119"/>
      <c r="F916" s="154"/>
      <c r="G916" s="192"/>
      <c r="H916" s="193"/>
      <c r="I916" s="119"/>
      <c r="J916" s="154"/>
      <c r="K916" s="89"/>
      <c r="L916" s="55"/>
      <c r="M916" s="119"/>
      <c r="N916" s="194"/>
      <c r="O916" s="89"/>
      <c r="P916" s="55"/>
      <c r="Q916" s="195"/>
      <c r="R916" s="196"/>
      <c r="S916" s="125"/>
      <c r="T916" s="126"/>
      <c r="U916" s="195"/>
      <c r="V916" s="196"/>
      <c r="W916" s="125"/>
      <c r="X916" s="126"/>
      <c r="Y916" s="119"/>
      <c r="Z916" s="197"/>
      <c r="AA916" s="198"/>
      <c r="AB916" s="199"/>
      <c r="AC916" s="119"/>
      <c r="AD916" s="196"/>
      <c r="AE916" s="200"/>
      <c r="AF916" s="201"/>
      <c r="AG916" s="205"/>
      <c r="AH916" s="205"/>
      <c r="AI916" s="205"/>
      <c r="AJ916" s="205"/>
      <c r="AK916" s="126"/>
      <c r="AL916" s="126"/>
    </row>
    <row r="917">
      <c r="A917" s="119"/>
      <c r="B917" s="154"/>
      <c r="C917" s="89"/>
      <c r="D917" s="55"/>
      <c r="E917" s="119"/>
      <c r="F917" s="154"/>
      <c r="G917" s="192"/>
      <c r="H917" s="193"/>
      <c r="I917" s="119"/>
      <c r="J917" s="154"/>
      <c r="K917" s="89"/>
      <c r="L917" s="55"/>
      <c r="M917" s="119"/>
      <c r="N917" s="194"/>
      <c r="O917" s="89"/>
      <c r="P917" s="55"/>
      <c r="Q917" s="195"/>
      <c r="R917" s="196"/>
      <c r="S917" s="125"/>
      <c r="T917" s="126"/>
      <c r="U917" s="195"/>
      <c r="V917" s="196"/>
      <c r="W917" s="125"/>
      <c r="X917" s="126"/>
      <c r="Y917" s="119"/>
      <c r="Z917" s="197"/>
      <c r="AA917" s="198"/>
      <c r="AB917" s="199"/>
      <c r="AC917" s="119"/>
      <c r="AD917" s="196"/>
      <c r="AE917" s="200"/>
      <c r="AF917" s="201"/>
      <c r="AG917" s="205"/>
      <c r="AH917" s="205"/>
      <c r="AI917" s="205"/>
      <c r="AJ917" s="205"/>
      <c r="AK917" s="126"/>
      <c r="AL917" s="126"/>
    </row>
    <row r="918">
      <c r="A918" s="119"/>
      <c r="B918" s="154"/>
      <c r="C918" s="89"/>
      <c r="D918" s="55"/>
      <c r="E918" s="119"/>
      <c r="F918" s="154"/>
      <c r="G918" s="192"/>
      <c r="H918" s="193"/>
      <c r="I918" s="119"/>
      <c r="J918" s="154"/>
      <c r="K918" s="89"/>
      <c r="L918" s="55"/>
      <c r="M918" s="119"/>
      <c r="N918" s="194"/>
      <c r="O918" s="89"/>
      <c r="P918" s="55"/>
      <c r="Q918" s="195"/>
      <c r="R918" s="196"/>
      <c r="S918" s="125"/>
      <c r="T918" s="126"/>
      <c r="U918" s="195"/>
      <c r="V918" s="196"/>
      <c r="W918" s="125"/>
      <c r="X918" s="126"/>
      <c r="Y918" s="119"/>
      <c r="Z918" s="197"/>
      <c r="AA918" s="198"/>
      <c r="AB918" s="199"/>
      <c r="AC918" s="119"/>
      <c r="AD918" s="196"/>
      <c r="AE918" s="200"/>
      <c r="AF918" s="201"/>
      <c r="AG918" s="205"/>
      <c r="AH918" s="205"/>
      <c r="AI918" s="205"/>
      <c r="AJ918" s="205"/>
      <c r="AK918" s="126"/>
      <c r="AL918" s="126"/>
    </row>
    <row r="919">
      <c r="A919" s="119"/>
      <c r="B919" s="154"/>
      <c r="C919" s="89"/>
      <c r="D919" s="55"/>
      <c r="E919" s="119"/>
      <c r="F919" s="154"/>
      <c r="G919" s="192"/>
      <c r="H919" s="193"/>
      <c r="I919" s="119"/>
      <c r="J919" s="154"/>
      <c r="K919" s="89"/>
      <c r="L919" s="55"/>
      <c r="M919" s="119"/>
      <c r="N919" s="194"/>
      <c r="O919" s="89"/>
      <c r="P919" s="55"/>
      <c r="Q919" s="195"/>
      <c r="R919" s="196"/>
      <c r="S919" s="125"/>
      <c r="T919" s="126"/>
      <c r="U919" s="195"/>
      <c r="V919" s="196"/>
      <c r="W919" s="125"/>
      <c r="X919" s="126"/>
      <c r="Y919" s="119"/>
      <c r="Z919" s="197"/>
      <c r="AA919" s="198"/>
      <c r="AB919" s="199"/>
      <c r="AC919" s="119"/>
      <c r="AD919" s="196"/>
      <c r="AE919" s="200"/>
      <c r="AF919" s="201"/>
      <c r="AG919" s="205"/>
      <c r="AH919" s="205"/>
      <c r="AI919" s="205"/>
      <c r="AJ919" s="205"/>
      <c r="AK919" s="126"/>
      <c r="AL919" s="126"/>
    </row>
    <row r="920">
      <c r="A920" s="119"/>
      <c r="B920" s="154"/>
      <c r="C920" s="89"/>
      <c r="D920" s="55"/>
      <c r="E920" s="119"/>
      <c r="F920" s="154"/>
      <c r="G920" s="192"/>
      <c r="H920" s="193"/>
      <c r="I920" s="119"/>
      <c r="J920" s="154"/>
      <c r="K920" s="89"/>
      <c r="L920" s="55"/>
      <c r="M920" s="119"/>
      <c r="N920" s="194"/>
      <c r="O920" s="89"/>
      <c r="P920" s="55"/>
      <c r="Q920" s="195"/>
      <c r="R920" s="196"/>
      <c r="S920" s="125"/>
      <c r="T920" s="126"/>
      <c r="U920" s="195"/>
      <c r="V920" s="196"/>
      <c r="W920" s="125"/>
      <c r="X920" s="126"/>
      <c r="Y920" s="119"/>
      <c r="Z920" s="197"/>
      <c r="AA920" s="198"/>
      <c r="AB920" s="199"/>
      <c r="AC920" s="119"/>
      <c r="AD920" s="196"/>
      <c r="AE920" s="200"/>
      <c r="AF920" s="201"/>
      <c r="AG920" s="205"/>
      <c r="AH920" s="205"/>
      <c r="AI920" s="205"/>
      <c r="AJ920" s="205"/>
      <c r="AK920" s="126"/>
      <c r="AL920" s="126"/>
    </row>
    <row r="921">
      <c r="A921" s="119"/>
      <c r="B921" s="154"/>
      <c r="C921" s="89"/>
      <c r="D921" s="55"/>
      <c r="E921" s="119"/>
      <c r="F921" s="154"/>
      <c r="G921" s="192"/>
      <c r="H921" s="193"/>
      <c r="I921" s="119"/>
      <c r="J921" s="154"/>
      <c r="K921" s="89"/>
      <c r="L921" s="55"/>
      <c r="M921" s="119"/>
      <c r="N921" s="194"/>
      <c r="O921" s="89"/>
      <c r="P921" s="55"/>
      <c r="Q921" s="195"/>
      <c r="R921" s="196"/>
      <c r="S921" s="125"/>
      <c r="T921" s="126"/>
      <c r="U921" s="195"/>
      <c r="V921" s="196"/>
      <c r="W921" s="125"/>
      <c r="X921" s="126"/>
      <c r="Y921" s="119"/>
      <c r="Z921" s="197"/>
      <c r="AA921" s="198"/>
      <c r="AB921" s="199"/>
      <c r="AC921" s="119"/>
      <c r="AD921" s="196"/>
      <c r="AE921" s="200"/>
      <c r="AF921" s="201"/>
      <c r="AG921" s="205"/>
      <c r="AH921" s="205"/>
      <c r="AI921" s="205"/>
      <c r="AJ921" s="205"/>
      <c r="AK921" s="126"/>
      <c r="AL921" s="126"/>
    </row>
    <row r="922">
      <c r="A922" s="119"/>
      <c r="B922" s="154"/>
      <c r="C922" s="89"/>
      <c r="D922" s="55"/>
      <c r="E922" s="119"/>
      <c r="F922" s="154"/>
      <c r="G922" s="192"/>
      <c r="H922" s="193"/>
      <c r="I922" s="119"/>
      <c r="J922" s="154"/>
      <c r="K922" s="89"/>
      <c r="L922" s="55"/>
      <c r="M922" s="119"/>
      <c r="N922" s="194"/>
      <c r="O922" s="89"/>
      <c r="P922" s="55"/>
      <c r="Q922" s="195"/>
      <c r="R922" s="196"/>
      <c r="S922" s="125"/>
      <c r="T922" s="126"/>
      <c r="U922" s="195"/>
      <c r="V922" s="196"/>
      <c r="W922" s="125"/>
      <c r="X922" s="126"/>
      <c r="Y922" s="119"/>
      <c r="Z922" s="197"/>
      <c r="AA922" s="198"/>
      <c r="AB922" s="199"/>
      <c r="AC922" s="119"/>
      <c r="AD922" s="196"/>
      <c r="AE922" s="200"/>
      <c r="AF922" s="201"/>
      <c r="AG922" s="205"/>
      <c r="AH922" s="205"/>
      <c r="AI922" s="205"/>
      <c r="AJ922" s="205"/>
      <c r="AK922" s="126"/>
      <c r="AL922" s="126"/>
    </row>
    <row r="923">
      <c r="A923" s="119"/>
      <c r="B923" s="154"/>
      <c r="C923" s="89"/>
      <c r="D923" s="55"/>
      <c r="E923" s="119"/>
      <c r="F923" s="154"/>
      <c r="G923" s="192"/>
      <c r="H923" s="193"/>
      <c r="I923" s="119"/>
      <c r="J923" s="154"/>
      <c r="K923" s="89"/>
      <c r="L923" s="55"/>
      <c r="M923" s="119"/>
      <c r="N923" s="194"/>
      <c r="O923" s="89"/>
      <c r="P923" s="55"/>
      <c r="Q923" s="195"/>
      <c r="R923" s="196"/>
      <c r="S923" s="125"/>
      <c r="T923" s="126"/>
      <c r="U923" s="195"/>
      <c r="V923" s="196"/>
      <c r="W923" s="125"/>
      <c r="X923" s="126"/>
      <c r="Y923" s="119"/>
      <c r="Z923" s="197"/>
      <c r="AA923" s="198"/>
      <c r="AB923" s="199"/>
      <c r="AC923" s="119"/>
      <c r="AD923" s="196"/>
      <c r="AE923" s="200"/>
      <c r="AF923" s="201"/>
      <c r="AG923" s="205"/>
      <c r="AH923" s="205"/>
      <c r="AI923" s="205"/>
      <c r="AJ923" s="205"/>
      <c r="AK923" s="126"/>
      <c r="AL923" s="126"/>
    </row>
    <row r="924">
      <c r="A924" s="119"/>
      <c r="B924" s="154"/>
      <c r="C924" s="89"/>
      <c r="D924" s="55"/>
      <c r="E924" s="119"/>
      <c r="F924" s="154"/>
      <c r="G924" s="192"/>
      <c r="H924" s="193"/>
      <c r="I924" s="119"/>
      <c r="J924" s="154"/>
      <c r="K924" s="89"/>
      <c r="L924" s="55"/>
      <c r="M924" s="119"/>
      <c r="N924" s="194"/>
      <c r="O924" s="89"/>
      <c r="P924" s="55"/>
      <c r="Q924" s="195"/>
      <c r="R924" s="196"/>
      <c r="S924" s="125"/>
      <c r="T924" s="126"/>
      <c r="U924" s="195"/>
      <c r="V924" s="196"/>
      <c r="W924" s="125"/>
      <c r="X924" s="126"/>
      <c r="Y924" s="119"/>
      <c r="Z924" s="197"/>
      <c r="AA924" s="198"/>
      <c r="AB924" s="199"/>
      <c r="AC924" s="119"/>
      <c r="AD924" s="196"/>
      <c r="AE924" s="200"/>
      <c r="AF924" s="201"/>
      <c r="AG924" s="205"/>
      <c r="AH924" s="205"/>
      <c r="AI924" s="205"/>
      <c r="AJ924" s="205"/>
      <c r="AK924" s="126"/>
      <c r="AL924" s="126"/>
    </row>
    <row r="925">
      <c r="A925" s="119"/>
      <c r="B925" s="154"/>
      <c r="C925" s="89"/>
      <c r="D925" s="55"/>
      <c r="E925" s="119"/>
      <c r="F925" s="154"/>
      <c r="G925" s="192"/>
      <c r="H925" s="193"/>
      <c r="I925" s="119"/>
      <c r="J925" s="154"/>
      <c r="K925" s="89"/>
      <c r="L925" s="55"/>
      <c r="M925" s="119"/>
      <c r="N925" s="194"/>
      <c r="O925" s="89"/>
      <c r="P925" s="55"/>
      <c r="Q925" s="195"/>
      <c r="R925" s="196"/>
      <c r="S925" s="125"/>
      <c r="T925" s="126"/>
      <c r="U925" s="195"/>
      <c r="V925" s="196"/>
      <c r="W925" s="125"/>
      <c r="X925" s="126"/>
      <c r="Y925" s="119"/>
      <c r="Z925" s="197"/>
      <c r="AA925" s="198"/>
      <c r="AB925" s="199"/>
      <c r="AC925" s="119"/>
      <c r="AD925" s="196"/>
      <c r="AE925" s="200"/>
      <c r="AF925" s="201"/>
      <c r="AG925" s="205"/>
      <c r="AH925" s="205"/>
      <c r="AI925" s="205"/>
      <c r="AJ925" s="205"/>
      <c r="AK925" s="126"/>
      <c r="AL925" s="126"/>
    </row>
    <row r="926">
      <c r="A926" s="119"/>
      <c r="B926" s="154"/>
      <c r="C926" s="89"/>
      <c r="D926" s="55"/>
      <c r="E926" s="119"/>
      <c r="F926" s="154"/>
      <c r="G926" s="192"/>
      <c r="H926" s="193"/>
      <c r="I926" s="119"/>
      <c r="J926" s="154"/>
      <c r="K926" s="89"/>
      <c r="L926" s="55"/>
      <c r="M926" s="119"/>
      <c r="N926" s="194"/>
      <c r="O926" s="89"/>
      <c r="P926" s="55"/>
      <c r="Q926" s="195"/>
      <c r="R926" s="196"/>
      <c r="S926" s="125"/>
      <c r="T926" s="126"/>
      <c r="U926" s="195"/>
      <c r="V926" s="196"/>
      <c r="W926" s="125"/>
      <c r="X926" s="126"/>
      <c r="Y926" s="119"/>
      <c r="Z926" s="197"/>
      <c r="AA926" s="198"/>
      <c r="AB926" s="199"/>
      <c r="AC926" s="119"/>
      <c r="AD926" s="196"/>
      <c r="AE926" s="200"/>
      <c r="AF926" s="201"/>
      <c r="AG926" s="205"/>
      <c r="AH926" s="205"/>
      <c r="AI926" s="205"/>
      <c r="AJ926" s="205"/>
      <c r="AK926" s="126"/>
      <c r="AL926" s="126"/>
    </row>
    <row r="927">
      <c r="A927" s="119"/>
      <c r="B927" s="154"/>
      <c r="C927" s="89"/>
      <c r="D927" s="55"/>
      <c r="E927" s="119"/>
      <c r="F927" s="154"/>
      <c r="G927" s="192"/>
      <c r="H927" s="193"/>
      <c r="I927" s="119"/>
      <c r="J927" s="154"/>
      <c r="K927" s="89"/>
      <c r="L927" s="55"/>
      <c r="M927" s="119"/>
      <c r="N927" s="194"/>
      <c r="O927" s="89"/>
      <c r="P927" s="55"/>
      <c r="Q927" s="195"/>
      <c r="R927" s="196"/>
      <c r="S927" s="125"/>
      <c r="T927" s="126"/>
      <c r="U927" s="195"/>
      <c r="V927" s="196"/>
      <c r="W927" s="125"/>
      <c r="X927" s="126"/>
      <c r="Y927" s="119"/>
      <c r="Z927" s="197"/>
      <c r="AA927" s="198"/>
      <c r="AB927" s="199"/>
      <c r="AC927" s="119"/>
      <c r="AD927" s="196"/>
      <c r="AE927" s="200"/>
      <c r="AF927" s="201"/>
      <c r="AG927" s="205"/>
      <c r="AH927" s="205"/>
      <c r="AI927" s="205"/>
      <c r="AJ927" s="205"/>
      <c r="AK927" s="126"/>
      <c r="AL927" s="126"/>
    </row>
    <row r="928">
      <c r="A928" s="119"/>
      <c r="B928" s="154"/>
      <c r="C928" s="89"/>
      <c r="D928" s="55"/>
      <c r="E928" s="119"/>
      <c r="F928" s="154"/>
      <c r="G928" s="192"/>
      <c r="H928" s="193"/>
      <c r="I928" s="119"/>
      <c r="J928" s="154"/>
      <c r="K928" s="89"/>
      <c r="L928" s="55"/>
      <c r="M928" s="119"/>
      <c r="N928" s="194"/>
      <c r="O928" s="89"/>
      <c r="P928" s="55"/>
      <c r="Q928" s="195"/>
      <c r="R928" s="196"/>
      <c r="S928" s="125"/>
      <c r="T928" s="126"/>
      <c r="U928" s="195"/>
      <c r="V928" s="196"/>
      <c r="W928" s="125"/>
      <c r="X928" s="126"/>
      <c r="Y928" s="119"/>
      <c r="Z928" s="197"/>
      <c r="AA928" s="198"/>
      <c r="AB928" s="199"/>
      <c r="AC928" s="119"/>
      <c r="AD928" s="196"/>
      <c r="AE928" s="200"/>
      <c r="AF928" s="201"/>
      <c r="AG928" s="205"/>
      <c r="AH928" s="205"/>
      <c r="AI928" s="205"/>
      <c r="AJ928" s="205"/>
      <c r="AK928" s="126"/>
      <c r="AL928" s="126"/>
    </row>
    <row r="929">
      <c r="A929" s="119"/>
      <c r="B929" s="154"/>
      <c r="C929" s="89"/>
      <c r="D929" s="55"/>
      <c r="E929" s="119"/>
      <c r="F929" s="154"/>
      <c r="G929" s="192"/>
      <c r="H929" s="193"/>
      <c r="I929" s="119"/>
      <c r="J929" s="154"/>
      <c r="K929" s="89"/>
      <c r="L929" s="55"/>
      <c r="M929" s="119"/>
      <c r="N929" s="194"/>
      <c r="O929" s="89"/>
      <c r="P929" s="55"/>
      <c r="Q929" s="195"/>
      <c r="R929" s="196"/>
      <c r="S929" s="125"/>
      <c r="T929" s="126"/>
      <c r="U929" s="195"/>
      <c r="V929" s="196"/>
      <c r="W929" s="125"/>
      <c r="X929" s="126"/>
      <c r="Y929" s="119"/>
      <c r="Z929" s="197"/>
      <c r="AA929" s="198"/>
      <c r="AB929" s="199"/>
      <c r="AC929" s="119"/>
      <c r="AD929" s="196"/>
      <c r="AE929" s="200"/>
      <c r="AF929" s="201"/>
      <c r="AG929" s="205"/>
      <c r="AH929" s="205"/>
      <c r="AI929" s="205"/>
      <c r="AJ929" s="205"/>
      <c r="AK929" s="126"/>
      <c r="AL929" s="126"/>
    </row>
    <row r="930">
      <c r="A930" s="119"/>
      <c r="B930" s="154"/>
      <c r="C930" s="89"/>
      <c r="D930" s="55"/>
      <c r="E930" s="119"/>
      <c r="F930" s="154"/>
      <c r="G930" s="192"/>
      <c r="H930" s="193"/>
      <c r="I930" s="119"/>
      <c r="J930" s="154"/>
      <c r="K930" s="89"/>
      <c r="L930" s="55"/>
      <c r="M930" s="119"/>
      <c r="N930" s="194"/>
      <c r="O930" s="89"/>
      <c r="P930" s="55"/>
      <c r="Q930" s="195"/>
      <c r="R930" s="196"/>
      <c r="S930" s="125"/>
      <c r="T930" s="126"/>
      <c r="U930" s="195"/>
      <c r="V930" s="196"/>
      <c r="W930" s="125"/>
      <c r="X930" s="126"/>
      <c r="Y930" s="119"/>
      <c r="Z930" s="197"/>
      <c r="AA930" s="198"/>
      <c r="AB930" s="199"/>
      <c r="AC930" s="119"/>
      <c r="AD930" s="196"/>
      <c r="AE930" s="200"/>
      <c r="AF930" s="201"/>
      <c r="AG930" s="205"/>
      <c r="AH930" s="205"/>
      <c r="AI930" s="205"/>
      <c r="AJ930" s="205"/>
      <c r="AK930" s="126"/>
      <c r="AL930" s="126"/>
    </row>
    <row r="931">
      <c r="A931" s="119"/>
      <c r="B931" s="154"/>
      <c r="C931" s="89"/>
      <c r="D931" s="55"/>
      <c r="E931" s="119"/>
      <c r="F931" s="154"/>
      <c r="G931" s="192"/>
      <c r="H931" s="193"/>
      <c r="I931" s="119"/>
      <c r="J931" s="154"/>
      <c r="K931" s="89"/>
      <c r="L931" s="55"/>
      <c r="M931" s="119"/>
      <c r="N931" s="194"/>
      <c r="O931" s="89"/>
      <c r="P931" s="55"/>
      <c r="Q931" s="195"/>
      <c r="R931" s="196"/>
      <c r="S931" s="125"/>
      <c r="T931" s="126"/>
      <c r="U931" s="195"/>
      <c r="V931" s="196"/>
      <c r="W931" s="125"/>
      <c r="X931" s="126"/>
      <c r="Y931" s="119"/>
      <c r="Z931" s="197"/>
      <c r="AA931" s="198"/>
      <c r="AB931" s="199"/>
      <c r="AC931" s="119"/>
      <c r="AD931" s="196"/>
      <c r="AE931" s="200"/>
      <c r="AF931" s="201"/>
      <c r="AG931" s="205"/>
      <c r="AH931" s="205"/>
      <c r="AI931" s="205"/>
      <c r="AJ931" s="205"/>
      <c r="AK931" s="126"/>
      <c r="AL931" s="126"/>
    </row>
    <row r="932">
      <c r="A932" s="119"/>
      <c r="B932" s="154"/>
      <c r="C932" s="89"/>
      <c r="D932" s="55"/>
      <c r="E932" s="119"/>
      <c r="F932" s="154"/>
      <c r="G932" s="192"/>
      <c r="H932" s="193"/>
      <c r="I932" s="119"/>
      <c r="J932" s="154"/>
      <c r="K932" s="89"/>
      <c r="L932" s="55"/>
      <c r="M932" s="119"/>
      <c r="N932" s="194"/>
      <c r="O932" s="89"/>
      <c r="P932" s="55"/>
      <c r="Q932" s="195"/>
      <c r="R932" s="196"/>
      <c r="S932" s="125"/>
      <c r="T932" s="126"/>
      <c r="U932" s="195"/>
      <c r="V932" s="196"/>
      <c r="W932" s="125"/>
      <c r="X932" s="126"/>
      <c r="Y932" s="119"/>
      <c r="Z932" s="197"/>
      <c r="AA932" s="198"/>
      <c r="AB932" s="199"/>
      <c r="AC932" s="119"/>
      <c r="AD932" s="196"/>
      <c r="AE932" s="200"/>
      <c r="AF932" s="201"/>
      <c r="AG932" s="205"/>
      <c r="AH932" s="205"/>
      <c r="AI932" s="205"/>
      <c r="AJ932" s="205"/>
      <c r="AK932" s="126"/>
      <c r="AL932" s="126"/>
    </row>
    <row r="933">
      <c r="A933" s="119"/>
      <c r="B933" s="154"/>
      <c r="C933" s="89"/>
      <c r="D933" s="55"/>
      <c r="E933" s="119"/>
      <c r="F933" s="154"/>
      <c r="G933" s="192"/>
      <c r="H933" s="193"/>
      <c r="I933" s="119"/>
      <c r="J933" s="154"/>
      <c r="K933" s="89"/>
      <c r="L933" s="55"/>
      <c r="M933" s="119"/>
      <c r="N933" s="194"/>
      <c r="O933" s="89"/>
      <c r="P933" s="55"/>
      <c r="Q933" s="195"/>
      <c r="R933" s="196"/>
      <c r="S933" s="125"/>
      <c r="T933" s="126"/>
      <c r="U933" s="195"/>
      <c r="V933" s="196"/>
      <c r="W933" s="125"/>
      <c r="X933" s="126"/>
      <c r="Y933" s="119"/>
      <c r="Z933" s="197"/>
      <c r="AA933" s="198"/>
      <c r="AB933" s="199"/>
      <c r="AC933" s="119"/>
      <c r="AD933" s="196"/>
      <c r="AE933" s="200"/>
      <c r="AF933" s="201"/>
      <c r="AG933" s="205"/>
      <c r="AH933" s="205"/>
      <c r="AI933" s="205"/>
      <c r="AJ933" s="205"/>
      <c r="AK933" s="126"/>
      <c r="AL933" s="126"/>
    </row>
    <row r="934">
      <c r="A934" s="119"/>
      <c r="B934" s="154"/>
      <c r="C934" s="89"/>
      <c r="D934" s="55"/>
      <c r="E934" s="119"/>
      <c r="F934" s="154"/>
      <c r="G934" s="192"/>
      <c r="H934" s="193"/>
      <c r="I934" s="119"/>
      <c r="J934" s="154"/>
      <c r="K934" s="89"/>
      <c r="L934" s="55"/>
      <c r="M934" s="119"/>
      <c r="N934" s="194"/>
      <c r="O934" s="89"/>
      <c r="P934" s="55"/>
      <c r="Q934" s="195"/>
      <c r="R934" s="196"/>
      <c r="S934" s="125"/>
      <c r="T934" s="126"/>
      <c r="U934" s="195"/>
      <c r="V934" s="196"/>
      <c r="W934" s="125"/>
      <c r="X934" s="126"/>
      <c r="Y934" s="119"/>
      <c r="Z934" s="197"/>
      <c r="AA934" s="198"/>
      <c r="AB934" s="199"/>
      <c r="AC934" s="119"/>
      <c r="AD934" s="196"/>
      <c r="AE934" s="200"/>
      <c r="AF934" s="201"/>
      <c r="AG934" s="205"/>
      <c r="AH934" s="205"/>
      <c r="AI934" s="205"/>
      <c r="AJ934" s="205"/>
      <c r="AK934" s="126"/>
      <c r="AL934" s="126"/>
    </row>
    <row r="935">
      <c r="A935" s="119"/>
      <c r="B935" s="154"/>
      <c r="C935" s="89"/>
      <c r="D935" s="55"/>
      <c r="E935" s="119"/>
      <c r="F935" s="154"/>
      <c r="G935" s="192"/>
      <c r="H935" s="193"/>
      <c r="I935" s="119"/>
      <c r="J935" s="154"/>
      <c r="K935" s="89"/>
      <c r="L935" s="55"/>
      <c r="M935" s="119"/>
      <c r="N935" s="194"/>
      <c r="O935" s="89"/>
      <c r="P935" s="55"/>
      <c r="Q935" s="195"/>
      <c r="R935" s="196"/>
      <c r="S935" s="125"/>
      <c r="T935" s="126"/>
      <c r="U935" s="195"/>
      <c r="V935" s="196"/>
      <c r="W935" s="125"/>
      <c r="X935" s="126"/>
      <c r="Y935" s="119"/>
      <c r="Z935" s="197"/>
      <c r="AA935" s="198"/>
      <c r="AB935" s="199"/>
      <c r="AC935" s="119"/>
      <c r="AD935" s="196"/>
      <c r="AE935" s="200"/>
      <c r="AF935" s="201"/>
      <c r="AG935" s="205"/>
      <c r="AH935" s="205"/>
      <c r="AI935" s="205"/>
      <c r="AJ935" s="205"/>
      <c r="AK935" s="126"/>
      <c r="AL935" s="126"/>
    </row>
    <row r="936">
      <c r="A936" s="119"/>
      <c r="B936" s="154"/>
      <c r="C936" s="89"/>
      <c r="D936" s="55"/>
      <c r="E936" s="119"/>
      <c r="F936" s="154"/>
      <c r="G936" s="192"/>
      <c r="H936" s="193"/>
      <c r="I936" s="119"/>
      <c r="J936" s="154"/>
      <c r="K936" s="89"/>
      <c r="L936" s="55"/>
      <c r="M936" s="119"/>
      <c r="N936" s="194"/>
      <c r="O936" s="89"/>
      <c r="P936" s="55"/>
      <c r="Q936" s="195"/>
      <c r="R936" s="196"/>
      <c r="S936" s="125"/>
      <c r="T936" s="126"/>
      <c r="U936" s="195"/>
      <c r="V936" s="196"/>
      <c r="W936" s="125"/>
      <c r="X936" s="126"/>
      <c r="Y936" s="119"/>
      <c r="Z936" s="197"/>
      <c r="AA936" s="198"/>
      <c r="AB936" s="199"/>
      <c r="AC936" s="119"/>
      <c r="AD936" s="196"/>
      <c r="AE936" s="200"/>
      <c r="AF936" s="201"/>
      <c r="AG936" s="205"/>
      <c r="AH936" s="205"/>
      <c r="AI936" s="205"/>
      <c r="AJ936" s="205"/>
      <c r="AK936" s="126"/>
      <c r="AL936" s="126"/>
    </row>
    <row r="937">
      <c r="A937" s="119"/>
      <c r="B937" s="154"/>
      <c r="C937" s="89"/>
      <c r="D937" s="55"/>
      <c r="E937" s="119"/>
      <c r="F937" s="154"/>
      <c r="G937" s="192"/>
      <c r="H937" s="193"/>
      <c r="I937" s="119"/>
      <c r="J937" s="154"/>
      <c r="K937" s="89"/>
      <c r="L937" s="55"/>
      <c r="M937" s="119"/>
      <c r="N937" s="194"/>
      <c r="O937" s="89"/>
      <c r="P937" s="55"/>
      <c r="Q937" s="195"/>
      <c r="R937" s="196"/>
      <c r="S937" s="125"/>
      <c r="T937" s="126"/>
      <c r="U937" s="195"/>
      <c r="V937" s="196"/>
      <c r="W937" s="125"/>
      <c r="X937" s="126"/>
      <c r="Y937" s="119"/>
      <c r="Z937" s="197"/>
      <c r="AA937" s="198"/>
      <c r="AB937" s="199"/>
      <c r="AC937" s="119"/>
      <c r="AD937" s="196"/>
      <c r="AE937" s="200"/>
      <c r="AF937" s="201"/>
      <c r="AG937" s="205"/>
      <c r="AH937" s="205"/>
      <c r="AI937" s="205"/>
      <c r="AJ937" s="205"/>
      <c r="AK937" s="126"/>
      <c r="AL937" s="126"/>
    </row>
    <row r="938">
      <c r="A938" s="119"/>
      <c r="B938" s="154"/>
      <c r="C938" s="89"/>
      <c r="D938" s="55"/>
      <c r="E938" s="119"/>
      <c r="F938" s="154"/>
      <c r="G938" s="192"/>
      <c r="H938" s="193"/>
      <c r="I938" s="119"/>
      <c r="J938" s="154"/>
      <c r="K938" s="89"/>
      <c r="L938" s="55"/>
      <c r="M938" s="119"/>
      <c r="N938" s="194"/>
      <c r="O938" s="89"/>
      <c r="P938" s="55"/>
      <c r="Q938" s="195"/>
      <c r="R938" s="196"/>
      <c r="S938" s="125"/>
      <c r="T938" s="126"/>
      <c r="U938" s="195"/>
      <c r="V938" s="196"/>
      <c r="W938" s="125"/>
      <c r="X938" s="126"/>
      <c r="Y938" s="119"/>
      <c r="Z938" s="197"/>
      <c r="AA938" s="198"/>
      <c r="AB938" s="199"/>
      <c r="AC938" s="119"/>
      <c r="AD938" s="196"/>
      <c r="AE938" s="200"/>
      <c r="AF938" s="201"/>
      <c r="AG938" s="205"/>
      <c r="AH938" s="205"/>
      <c r="AI938" s="205"/>
      <c r="AJ938" s="205"/>
      <c r="AK938" s="126"/>
      <c r="AL938" s="126"/>
    </row>
    <row r="939">
      <c r="A939" s="119"/>
      <c r="B939" s="154"/>
      <c r="C939" s="89"/>
      <c r="D939" s="55"/>
      <c r="E939" s="119"/>
      <c r="F939" s="154"/>
      <c r="G939" s="192"/>
      <c r="H939" s="193"/>
      <c r="I939" s="119"/>
      <c r="J939" s="154"/>
      <c r="K939" s="89"/>
      <c r="L939" s="55"/>
      <c r="M939" s="119"/>
      <c r="N939" s="194"/>
      <c r="O939" s="89"/>
      <c r="P939" s="55"/>
      <c r="Q939" s="195"/>
      <c r="R939" s="196"/>
      <c r="S939" s="125"/>
      <c r="T939" s="126"/>
      <c r="U939" s="195"/>
      <c r="V939" s="196"/>
      <c r="W939" s="125"/>
      <c r="X939" s="126"/>
      <c r="Y939" s="119"/>
      <c r="Z939" s="197"/>
      <c r="AA939" s="198"/>
      <c r="AB939" s="199"/>
      <c r="AC939" s="119"/>
      <c r="AD939" s="196"/>
      <c r="AE939" s="200"/>
      <c r="AF939" s="201"/>
      <c r="AG939" s="205"/>
      <c r="AH939" s="205"/>
      <c r="AI939" s="205"/>
      <c r="AJ939" s="205"/>
      <c r="AK939" s="126"/>
      <c r="AL939" s="126"/>
    </row>
    <row r="940">
      <c r="A940" s="119"/>
      <c r="B940" s="154"/>
      <c r="C940" s="89"/>
      <c r="D940" s="55"/>
      <c r="E940" s="119"/>
      <c r="F940" s="154"/>
      <c r="G940" s="192"/>
      <c r="H940" s="193"/>
      <c r="I940" s="119"/>
      <c r="J940" s="154"/>
      <c r="K940" s="89"/>
      <c r="L940" s="55"/>
      <c r="M940" s="119"/>
      <c r="N940" s="194"/>
      <c r="O940" s="89"/>
      <c r="P940" s="55"/>
      <c r="Q940" s="195"/>
      <c r="R940" s="196"/>
      <c r="S940" s="125"/>
      <c r="T940" s="126"/>
      <c r="U940" s="195"/>
      <c r="V940" s="196"/>
      <c r="W940" s="125"/>
      <c r="X940" s="126"/>
      <c r="Y940" s="119"/>
      <c r="Z940" s="197"/>
      <c r="AA940" s="198"/>
      <c r="AB940" s="199"/>
      <c r="AC940" s="119"/>
      <c r="AD940" s="196"/>
      <c r="AE940" s="200"/>
      <c r="AF940" s="201"/>
      <c r="AG940" s="205"/>
      <c r="AH940" s="205"/>
      <c r="AI940" s="205"/>
      <c r="AJ940" s="205"/>
      <c r="AK940" s="126"/>
      <c r="AL940" s="126"/>
    </row>
    <row r="941">
      <c r="A941" s="119"/>
      <c r="B941" s="154"/>
      <c r="C941" s="89"/>
      <c r="D941" s="55"/>
      <c r="E941" s="119"/>
      <c r="F941" s="154"/>
      <c r="G941" s="192"/>
      <c r="H941" s="193"/>
      <c r="I941" s="119"/>
      <c r="J941" s="154"/>
      <c r="K941" s="89"/>
      <c r="L941" s="55"/>
      <c r="M941" s="119"/>
      <c r="N941" s="194"/>
      <c r="O941" s="89"/>
      <c r="P941" s="55"/>
      <c r="Q941" s="195"/>
      <c r="R941" s="196"/>
      <c r="S941" s="125"/>
      <c r="T941" s="126"/>
      <c r="U941" s="195"/>
      <c r="V941" s="196"/>
      <c r="W941" s="125"/>
      <c r="X941" s="126"/>
      <c r="Y941" s="119"/>
      <c r="Z941" s="197"/>
      <c r="AA941" s="198"/>
      <c r="AB941" s="199"/>
      <c r="AC941" s="119"/>
      <c r="AD941" s="196"/>
      <c r="AE941" s="200"/>
      <c r="AF941" s="201"/>
      <c r="AG941" s="205"/>
      <c r="AH941" s="205"/>
      <c r="AI941" s="205"/>
      <c r="AJ941" s="205"/>
      <c r="AK941" s="126"/>
      <c r="AL941" s="126"/>
    </row>
    <row r="942">
      <c r="A942" s="119"/>
      <c r="B942" s="154"/>
      <c r="C942" s="89"/>
      <c r="D942" s="55"/>
      <c r="E942" s="119"/>
      <c r="F942" s="154"/>
      <c r="G942" s="192"/>
      <c r="H942" s="193"/>
      <c r="I942" s="119"/>
      <c r="J942" s="154"/>
      <c r="K942" s="89"/>
      <c r="L942" s="55"/>
      <c r="M942" s="119"/>
      <c r="N942" s="194"/>
      <c r="O942" s="89"/>
      <c r="P942" s="55"/>
      <c r="Q942" s="195"/>
      <c r="R942" s="196"/>
      <c r="S942" s="125"/>
      <c r="T942" s="126"/>
      <c r="U942" s="195"/>
      <c r="V942" s="196"/>
      <c r="W942" s="125"/>
      <c r="X942" s="126"/>
      <c r="Y942" s="119"/>
      <c r="Z942" s="197"/>
      <c r="AA942" s="198"/>
      <c r="AB942" s="199"/>
      <c r="AC942" s="119"/>
      <c r="AD942" s="196"/>
      <c r="AE942" s="200"/>
      <c r="AF942" s="201"/>
      <c r="AG942" s="205"/>
      <c r="AH942" s="205"/>
      <c r="AI942" s="205"/>
      <c r="AJ942" s="205"/>
      <c r="AK942" s="126"/>
      <c r="AL942" s="126"/>
    </row>
    <row r="943">
      <c r="A943" s="119"/>
      <c r="B943" s="154"/>
      <c r="C943" s="89"/>
      <c r="D943" s="55"/>
      <c r="E943" s="119"/>
      <c r="F943" s="154"/>
      <c r="G943" s="192"/>
      <c r="H943" s="193"/>
      <c r="I943" s="119"/>
      <c r="J943" s="154"/>
      <c r="K943" s="89"/>
      <c r="L943" s="55"/>
      <c r="M943" s="119"/>
      <c r="N943" s="194"/>
      <c r="O943" s="89"/>
      <c r="P943" s="55"/>
      <c r="Q943" s="195"/>
      <c r="R943" s="196"/>
      <c r="S943" s="125"/>
      <c r="T943" s="126"/>
      <c r="U943" s="195"/>
      <c r="V943" s="196"/>
      <c r="W943" s="125"/>
      <c r="X943" s="126"/>
      <c r="Y943" s="119"/>
      <c r="Z943" s="197"/>
      <c r="AA943" s="198"/>
      <c r="AB943" s="199"/>
      <c r="AC943" s="119"/>
      <c r="AD943" s="196"/>
      <c r="AE943" s="200"/>
      <c r="AF943" s="201"/>
      <c r="AG943" s="205"/>
      <c r="AH943" s="205"/>
      <c r="AI943" s="205"/>
      <c r="AJ943" s="205"/>
      <c r="AK943" s="126"/>
      <c r="AL943" s="126"/>
    </row>
    <row r="944">
      <c r="A944" s="119"/>
      <c r="B944" s="154"/>
      <c r="C944" s="89"/>
      <c r="D944" s="55"/>
      <c r="E944" s="119"/>
      <c r="F944" s="154"/>
      <c r="G944" s="192"/>
      <c r="H944" s="193"/>
      <c r="I944" s="119"/>
      <c r="J944" s="154"/>
      <c r="K944" s="89"/>
      <c r="L944" s="55"/>
      <c r="M944" s="119"/>
      <c r="N944" s="194"/>
      <c r="O944" s="89"/>
      <c r="P944" s="55"/>
      <c r="Q944" s="195"/>
      <c r="R944" s="196"/>
      <c r="S944" s="125"/>
      <c r="T944" s="126"/>
      <c r="U944" s="195"/>
      <c r="V944" s="196"/>
      <c r="W944" s="125"/>
      <c r="X944" s="126"/>
      <c r="Y944" s="119"/>
      <c r="Z944" s="197"/>
      <c r="AA944" s="198"/>
      <c r="AB944" s="199"/>
      <c r="AC944" s="119"/>
      <c r="AD944" s="196"/>
      <c r="AE944" s="200"/>
      <c r="AF944" s="201"/>
      <c r="AG944" s="205"/>
      <c r="AH944" s="205"/>
      <c r="AI944" s="205"/>
      <c r="AJ944" s="205"/>
      <c r="AK944" s="126"/>
      <c r="AL944" s="126"/>
    </row>
    <row r="945">
      <c r="A945" s="119"/>
      <c r="B945" s="154"/>
      <c r="C945" s="89"/>
      <c r="D945" s="55"/>
      <c r="E945" s="119"/>
      <c r="F945" s="154"/>
      <c r="G945" s="192"/>
      <c r="H945" s="193"/>
      <c r="I945" s="119"/>
      <c r="J945" s="154"/>
      <c r="K945" s="89"/>
      <c r="L945" s="55"/>
      <c r="M945" s="119"/>
      <c r="N945" s="194"/>
      <c r="O945" s="89"/>
      <c r="P945" s="55"/>
      <c r="Q945" s="195"/>
      <c r="R945" s="196"/>
      <c r="S945" s="125"/>
      <c r="T945" s="126"/>
      <c r="U945" s="195"/>
      <c r="V945" s="196"/>
      <c r="W945" s="125"/>
      <c r="X945" s="126"/>
      <c r="Y945" s="119"/>
      <c r="Z945" s="197"/>
      <c r="AA945" s="198"/>
      <c r="AB945" s="199"/>
      <c r="AC945" s="119"/>
      <c r="AD945" s="196"/>
      <c r="AE945" s="200"/>
      <c r="AF945" s="201"/>
      <c r="AG945" s="205"/>
      <c r="AH945" s="205"/>
      <c r="AI945" s="205"/>
      <c r="AJ945" s="205"/>
      <c r="AK945" s="126"/>
      <c r="AL945" s="126"/>
    </row>
    <row r="946">
      <c r="A946" s="119"/>
      <c r="B946" s="154"/>
      <c r="C946" s="89"/>
      <c r="D946" s="55"/>
      <c r="E946" s="119"/>
      <c r="F946" s="154"/>
      <c r="G946" s="192"/>
      <c r="H946" s="193"/>
      <c r="I946" s="119"/>
      <c r="J946" s="154"/>
      <c r="K946" s="89"/>
      <c r="L946" s="55"/>
      <c r="M946" s="119"/>
      <c r="N946" s="194"/>
      <c r="O946" s="89"/>
      <c r="P946" s="55"/>
      <c r="Q946" s="195"/>
      <c r="R946" s="196"/>
      <c r="S946" s="125"/>
      <c r="T946" s="126"/>
      <c r="U946" s="195"/>
      <c r="V946" s="196"/>
      <c r="W946" s="125"/>
      <c r="X946" s="126"/>
      <c r="Y946" s="119"/>
      <c r="Z946" s="197"/>
      <c r="AA946" s="198"/>
      <c r="AB946" s="199"/>
      <c r="AC946" s="119"/>
      <c r="AD946" s="196"/>
      <c r="AE946" s="200"/>
      <c r="AF946" s="201"/>
      <c r="AG946" s="205"/>
      <c r="AH946" s="205"/>
      <c r="AI946" s="205"/>
      <c r="AJ946" s="205"/>
      <c r="AK946" s="126"/>
      <c r="AL946" s="126"/>
    </row>
    <row r="947">
      <c r="A947" s="119"/>
      <c r="B947" s="154"/>
      <c r="C947" s="89"/>
      <c r="D947" s="55"/>
      <c r="E947" s="119"/>
      <c r="F947" s="154"/>
      <c r="G947" s="192"/>
      <c r="H947" s="193"/>
      <c r="I947" s="119"/>
      <c r="J947" s="154"/>
      <c r="K947" s="89"/>
      <c r="L947" s="55"/>
      <c r="M947" s="119"/>
      <c r="N947" s="194"/>
      <c r="O947" s="89"/>
      <c r="P947" s="55"/>
      <c r="Q947" s="195"/>
      <c r="R947" s="196"/>
      <c r="S947" s="125"/>
      <c r="T947" s="126"/>
      <c r="U947" s="195"/>
      <c r="V947" s="196"/>
      <c r="W947" s="125"/>
      <c r="X947" s="126"/>
      <c r="Y947" s="119"/>
      <c r="Z947" s="197"/>
      <c r="AA947" s="198"/>
      <c r="AB947" s="199"/>
      <c r="AC947" s="119"/>
      <c r="AD947" s="196"/>
      <c r="AE947" s="200"/>
      <c r="AF947" s="201"/>
      <c r="AG947" s="205"/>
      <c r="AH947" s="205"/>
      <c r="AI947" s="205"/>
      <c r="AJ947" s="205"/>
      <c r="AK947" s="126"/>
      <c r="AL947" s="126"/>
    </row>
    <row r="948">
      <c r="A948" s="119"/>
      <c r="B948" s="154"/>
      <c r="C948" s="89"/>
      <c r="D948" s="55"/>
      <c r="E948" s="119"/>
      <c r="F948" s="154"/>
      <c r="G948" s="192"/>
      <c r="H948" s="193"/>
      <c r="I948" s="119"/>
      <c r="J948" s="154"/>
      <c r="K948" s="89"/>
      <c r="L948" s="55"/>
      <c r="M948" s="119"/>
      <c r="N948" s="194"/>
      <c r="O948" s="89"/>
      <c r="P948" s="55"/>
      <c r="Q948" s="195"/>
      <c r="R948" s="196"/>
      <c r="S948" s="125"/>
      <c r="T948" s="126"/>
      <c r="U948" s="195"/>
      <c r="V948" s="196"/>
      <c r="W948" s="125"/>
      <c r="X948" s="126"/>
      <c r="Y948" s="119"/>
      <c r="Z948" s="197"/>
      <c r="AA948" s="198"/>
      <c r="AB948" s="199"/>
      <c r="AC948" s="119"/>
      <c r="AD948" s="196"/>
      <c r="AE948" s="200"/>
      <c r="AF948" s="201"/>
      <c r="AG948" s="205"/>
      <c r="AH948" s="205"/>
      <c r="AI948" s="205"/>
      <c r="AJ948" s="205"/>
      <c r="AK948" s="126"/>
      <c r="AL948" s="126"/>
    </row>
    <row r="949">
      <c r="A949" s="119"/>
      <c r="B949" s="154"/>
      <c r="C949" s="89"/>
      <c r="D949" s="55"/>
      <c r="E949" s="119"/>
      <c r="F949" s="154"/>
      <c r="G949" s="192"/>
      <c r="H949" s="193"/>
      <c r="I949" s="119"/>
      <c r="J949" s="154"/>
      <c r="K949" s="89"/>
      <c r="L949" s="55"/>
      <c r="M949" s="119"/>
      <c r="N949" s="194"/>
      <c r="O949" s="89"/>
      <c r="P949" s="55"/>
      <c r="Q949" s="195"/>
      <c r="R949" s="196"/>
      <c r="S949" s="125"/>
      <c r="T949" s="126"/>
      <c r="U949" s="195"/>
      <c r="V949" s="196"/>
      <c r="W949" s="125"/>
      <c r="X949" s="126"/>
      <c r="Y949" s="119"/>
      <c r="Z949" s="197"/>
      <c r="AA949" s="198"/>
      <c r="AB949" s="199"/>
      <c r="AC949" s="119"/>
      <c r="AD949" s="196"/>
      <c r="AE949" s="200"/>
      <c r="AF949" s="201"/>
      <c r="AG949" s="205"/>
      <c r="AH949" s="205"/>
      <c r="AI949" s="205"/>
      <c r="AJ949" s="205"/>
      <c r="AK949" s="126"/>
      <c r="AL949" s="126"/>
    </row>
    <row r="950">
      <c r="A950" s="119"/>
      <c r="B950" s="154"/>
      <c r="C950" s="89"/>
      <c r="D950" s="55"/>
      <c r="E950" s="119"/>
      <c r="F950" s="154"/>
      <c r="G950" s="192"/>
      <c r="H950" s="193"/>
      <c r="I950" s="119"/>
      <c r="J950" s="154"/>
      <c r="K950" s="89"/>
      <c r="L950" s="55"/>
      <c r="M950" s="119"/>
      <c r="N950" s="194"/>
      <c r="O950" s="89"/>
      <c r="P950" s="55"/>
      <c r="Q950" s="195"/>
      <c r="R950" s="196"/>
      <c r="S950" s="125"/>
      <c r="T950" s="126"/>
      <c r="U950" s="195"/>
      <c r="V950" s="196"/>
      <c r="W950" s="125"/>
      <c r="X950" s="126"/>
      <c r="Y950" s="119"/>
      <c r="Z950" s="197"/>
      <c r="AA950" s="198"/>
      <c r="AB950" s="199"/>
      <c r="AC950" s="119"/>
      <c r="AD950" s="196"/>
      <c r="AE950" s="200"/>
      <c r="AF950" s="201"/>
      <c r="AG950" s="205"/>
      <c r="AH950" s="205"/>
      <c r="AI950" s="205"/>
      <c r="AJ950" s="205"/>
      <c r="AK950" s="126"/>
      <c r="AL950" s="126"/>
    </row>
    <row r="951">
      <c r="A951" s="119"/>
      <c r="B951" s="154"/>
      <c r="C951" s="89"/>
      <c r="D951" s="55"/>
      <c r="E951" s="119"/>
      <c r="F951" s="154"/>
      <c r="G951" s="192"/>
      <c r="H951" s="193"/>
      <c r="I951" s="119"/>
      <c r="J951" s="154"/>
      <c r="K951" s="89"/>
      <c r="L951" s="55"/>
      <c r="M951" s="119"/>
      <c r="N951" s="194"/>
      <c r="O951" s="89"/>
      <c r="P951" s="55"/>
      <c r="Q951" s="195"/>
      <c r="R951" s="196"/>
      <c r="S951" s="125"/>
      <c r="T951" s="126"/>
      <c r="U951" s="195"/>
      <c r="V951" s="196"/>
      <c r="W951" s="125"/>
      <c r="X951" s="126"/>
      <c r="Y951" s="119"/>
      <c r="Z951" s="197"/>
      <c r="AA951" s="198"/>
      <c r="AB951" s="199"/>
      <c r="AC951" s="119"/>
      <c r="AD951" s="196"/>
      <c r="AE951" s="200"/>
      <c r="AF951" s="201"/>
      <c r="AG951" s="205"/>
      <c r="AH951" s="205"/>
      <c r="AI951" s="205"/>
      <c r="AJ951" s="205"/>
      <c r="AK951" s="126"/>
      <c r="AL951" s="126"/>
    </row>
    <row r="952">
      <c r="A952" s="119"/>
      <c r="B952" s="154"/>
      <c r="C952" s="89"/>
      <c r="D952" s="55"/>
      <c r="E952" s="119"/>
      <c r="F952" s="154"/>
      <c r="G952" s="192"/>
      <c r="H952" s="193"/>
      <c r="I952" s="119"/>
      <c r="J952" s="154"/>
      <c r="K952" s="89"/>
      <c r="L952" s="55"/>
      <c r="M952" s="119"/>
      <c r="N952" s="194"/>
      <c r="O952" s="89"/>
      <c r="P952" s="55"/>
      <c r="Q952" s="195"/>
      <c r="R952" s="196"/>
      <c r="S952" s="125"/>
      <c r="T952" s="126"/>
      <c r="U952" s="195"/>
      <c r="V952" s="196"/>
      <c r="W952" s="125"/>
      <c r="X952" s="126"/>
      <c r="Y952" s="119"/>
      <c r="Z952" s="197"/>
      <c r="AA952" s="198"/>
      <c r="AB952" s="199"/>
      <c r="AC952" s="119"/>
      <c r="AD952" s="196"/>
      <c r="AE952" s="200"/>
      <c r="AF952" s="201"/>
      <c r="AG952" s="205"/>
      <c r="AH952" s="205"/>
      <c r="AI952" s="205"/>
      <c r="AJ952" s="205"/>
      <c r="AK952" s="126"/>
      <c r="AL952" s="126"/>
    </row>
    <row r="953">
      <c r="A953" s="119"/>
      <c r="B953" s="154"/>
      <c r="C953" s="89"/>
      <c r="D953" s="55"/>
      <c r="E953" s="119"/>
      <c r="F953" s="154"/>
      <c r="G953" s="192"/>
      <c r="H953" s="193"/>
      <c r="I953" s="119"/>
      <c r="J953" s="154"/>
      <c r="K953" s="89"/>
      <c r="L953" s="55"/>
      <c r="M953" s="119"/>
      <c r="N953" s="194"/>
      <c r="O953" s="89"/>
      <c r="P953" s="55"/>
      <c r="Q953" s="195"/>
      <c r="R953" s="196"/>
      <c r="S953" s="125"/>
      <c r="T953" s="126"/>
      <c r="U953" s="195"/>
      <c r="V953" s="196"/>
      <c r="W953" s="125"/>
      <c r="X953" s="126"/>
      <c r="Y953" s="119"/>
      <c r="Z953" s="197"/>
      <c r="AA953" s="198"/>
      <c r="AB953" s="199"/>
      <c r="AC953" s="119"/>
      <c r="AD953" s="196"/>
      <c r="AE953" s="200"/>
      <c r="AF953" s="201"/>
      <c r="AG953" s="205"/>
      <c r="AH953" s="205"/>
      <c r="AI953" s="205"/>
      <c r="AJ953" s="205"/>
      <c r="AK953" s="126"/>
      <c r="AL953" s="126"/>
    </row>
    <row r="954">
      <c r="A954" s="119"/>
      <c r="B954" s="154"/>
      <c r="C954" s="89"/>
      <c r="D954" s="55"/>
      <c r="E954" s="119"/>
      <c r="F954" s="154"/>
      <c r="G954" s="192"/>
      <c r="H954" s="193"/>
      <c r="I954" s="119"/>
      <c r="J954" s="154"/>
      <c r="K954" s="89"/>
      <c r="L954" s="55"/>
      <c r="M954" s="119"/>
      <c r="N954" s="194"/>
      <c r="O954" s="89"/>
      <c r="P954" s="55"/>
      <c r="Q954" s="195"/>
      <c r="R954" s="196"/>
      <c r="S954" s="125"/>
      <c r="T954" s="126"/>
      <c r="U954" s="195"/>
      <c r="V954" s="196"/>
      <c r="W954" s="125"/>
      <c r="X954" s="126"/>
      <c r="Y954" s="119"/>
      <c r="Z954" s="197"/>
      <c r="AA954" s="198"/>
      <c r="AB954" s="199"/>
      <c r="AC954" s="119"/>
      <c r="AD954" s="196"/>
      <c r="AE954" s="200"/>
      <c r="AF954" s="201"/>
      <c r="AG954" s="205"/>
      <c r="AH954" s="205"/>
      <c r="AI954" s="205"/>
      <c r="AJ954" s="205"/>
      <c r="AK954" s="126"/>
      <c r="AL954" s="126"/>
    </row>
    <row r="955">
      <c r="A955" s="119"/>
      <c r="B955" s="154"/>
      <c r="C955" s="89"/>
      <c r="D955" s="55"/>
      <c r="E955" s="119"/>
      <c r="F955" s="154"/>
      <c r="G955" s="192"/>
      <c r="H955" s="193"/>
      <c r="I955" s="119"/>
      <c r="J955" s="154"/>
      <c r="K955" s="89"/>
      <c r="L955" s="55"/>
      <c r="M955" s="119"/>
      <c r="N955" s="194"/>
      <c r="O955" s="89"/>
      <c r="P955" s="55"/>
      <c r="Q955" s="195"/>
      <c r="R955" s="196"/>
      <c r="S955" s="125"/>
      <c r="T955" s="126"/>
      <c r="U955" s="195"/>
      <c r="V955" s="196"/>
      <c r="W955" s="125"/>
      <c r="X955" s="126"/>
      <c r="Y955" s="119"/>
      <c r="Z955" s="197"/>
      <c r="AA955" s="198"/>
      <c r="AB955" s="199"/>
      <c r="AC955" s="119"/>
      <c r="AD955" s="196"/>
      <c r="AE955" s="200"/>
      <c r="AF955" s="201"/>
      <c r="AG955" s="205"/>
      <c r="AH955" s="205"/>
      <c r="AI955" s="205"/>
      <c r="AJ955" s="205"/>
      <c r="AK955" s="126"/>
      <c r="AL955" s="126"/>
    </row>
    <row r="956">
      <c r="A956" s="119"/>
      <c r="B956" s="154"/>
      <c r="C956" s="89"/>
      <c r="D956" s="55"/>
      <c r="E956" s="119"/>
      <c r="F956" s="154"/>
      <c r="G956" s="192"/>
      <c r="H956" s="193"/>
      <c r="I956" s="119"/>
      <c r="J956" s="154"/>
      <c r="K956" s="89"/>
      <c r="L956" s="55"/>
      <c r="M956" s="119"/>
      <c r="N956" s="194"/>
      <c r="O956" s="89"/>
      <c r="P956" s="55"/>
      <c r="Q956" s="195"/>
      <c r="R956" s="196"/>
      <c r="S956" s="125"/>
      <c r="T956" s="126"/>
      <c r="U956" s="195"/>
      <c r="V956" s="196"/>
      <c r="W956" s="125"/>
      <c r="X956" s="126"/>
      <c r="Y956" s="119"/>
      <c r="Z956" s="197"/>
      <c r="AA956" s="198"/>
      <c r="AB956" s="199"/>
      <c r="AC956" s="119"/>
      <c r="AD956" s="196"/>
      <c r="AE956" s="200"/>
      <c r="AF956" s="201"/>
      <c r="AG956" s="205"/>
      <c r="AH956" s="205"/>
      <c r="AI956" s="205"/>
      <c r="AJ956" s="205"/>
      <c r="AK956" s="126"/>
      <c r="AL956" s="126"/>
    </row>
    <row r="957">
      <c r="A957" s="119"/>
      <c r="B957" s="154"/>
      <c r="C957" s="89"/>
      <c r="D957" s="55"/>
      <c r="E957" s="119"/>
      <c r="F957" s="154"/>
      <c r="G957" s="192"/>
      <c r="H957" s="193"/>
      <c r="I957" s="119"/>
      <c r="J957" s="154"/>
      <c r="K957" s="89"/>
      <c r="L957" s="55"/>
      <c r="M957" s="119"/>
      <c r="N957" s="194"/>
      <c r="O957" s="89"/>
      <c r="P957" s="55"/>
      <c r="Q957" s="195"/>
      <c r="R957" s="196"/>
      <c r="S957" s="125"/>
      <c r="T957" s="126"/>
      <c r="U957" s="195"/>
      <c r="V957" s="196"/>
      <c r="W957" s="125"/>
      <c r="X957" s="126"/>
      <c r="Y957" s="119"/>
      <c r="Z957" s="197"/>
      <c r="AA957" s="198"/>
      <c r="AB957" s="199"/>
      <c r="AC957" s="119"/>
      <c r="AD957" s="196"/>
      <c r="AE957" s="200"/>
      <c r="AF957" s="201"/>
      <c r="AG957" s="205"/>
      <c r="AH957" s="205"/>
      <c r="AI957" s="205"/>
      <c r="AJ957" s="205"/>
      <c r="AK957" s="126"/>
      <c r="AL957" s="126"/>
    </row>
    <row r="958">
      <c r="A958" s="119"/>
      <c r="B958" s="154"/>
      <c r="C958" s="89"/>
      <c r="D958" s="55"/>
      <c r="E958" s="119"/>
      <c r="F958" s="154"/>
      <c r="G958" s="192"/>
      <c r="H958" s="193"/>
      <c r="I958" s="119"/>
      <c r="J958" s="154"/>
      <c r="K958" s="89"/>
      <c r="L958" s="55"/>
      <c r="M958" s="119"/>
      <c r="N958" s="194"/>
      <c r="O958" s="89"/>
      <c r="P958" s="55"/>
      <c r="Q958" s="195"/>
      <c r="R958" s="196"/>
      <c r="S958" s="125"/>
      <c r="T958" s="126"/>
      <c r="U958" s="195"/>
      <c r="V958" s="196"/>
      <c r="W958" s="125"/>
      <c r="X958" s="126"/>
      <c r="Y958" s="119"/>
      <c r="Z958" s="197"/>
      <c r="AA958" s="198"/>
      <c r="AB958" s="199"/>
      <c r="AC958" s="119"/>
      <c r="AD958" s="196"/>
      <c r="AE958" s="200"/>
      <c r="AF958" s="201"/>
      <c r="AG958" s="205"/>
      <c r="AH958" s="205"/>
      <c r="AI958" s="205"/>
      <c r="AJ958" s="205"/>
      <c r="AK958" s="126"/>
      <c r="AL958" s="126"/>
    </row>
    <row r="959">
      <c r="A959" s="119"/>
      <c r="B959" s="154"/>
      <c r="C959" s="89"/>
      <c r="D959" s="55"/>
      <c r="E959" s="119"/>
      <c r="F959" s="154"/>
      <c r="G959" s="192"/>
      <c r="H959" s="193"/>
      <c r="I959" s="119"/>
      <c r="J959" s="154"/>
      <c r="K959" s="89"/>
      <c r="L959" s="55"/>
      <c r="M959" s="119"/>
      <c r="N959" s="194"/>
      <c r="O959" s="89"/>
      <c r="P959" s="55"/>
      <c r="Q959" s="195"/>
      <c r="R959" s="196"/>
      <c r="S959" s="125"/>
      <c r="T959" s="126"/>
      <c r="U959" s="195"/>
      <c r="V959" s="196"/>
      <c r="W959" s="125"/>
      <c r="X959" s="126"/>
      <c r="Y959" s="119"/>
      <c r="Z959" s="197"/>
      <c r="AA959" s="198"/>
      <c r="AB959" s="199"/>
      <c r="AC959" s="119"/>
      <c r="AD959" s="196"/>
      <c r="AE959" s="200"/>
      <c r="AF959" s="201"/>
      <c r="AG959" s="205"/>
      <c r="AH959" s="205"/>
      <c r="AI959" s="205"/>
      <c r="AJ959" s="205"/>
      <c r="AK959" s="126"/>
      <c r="AL959" s="126"/>
    </row>
    <row r="960">
      <c r="A960" s="119"/>
      <c r="B960" s="154"/>
      <c r="C960" s="89"/>
      <c r="D960" s="55"/>
      <c r="E960" s="119"/>
      <c r="F960" s="154"/>
      <c r="G960" s="192"/>
      <c r="H960" s="193"/>
      <c r="I960" s="119"/>
      <c r="J960" s="154"/>
      <c r="K960" s="89"/>
      <c r="L960" s="55"/>
      <c r="M960" s="119"/>
      <c r="N960" s="194"/>
      <c r="O960" s="89"/>
      <c r="P960" s="55"/>
      <c r="Q960" s="195"/>
      <c r="R960" s="196"/>
      <c r="S960" s="125"/>
      <c r="T960" s="126"/>
      <c r="U960" s="195"/>
      <c r="V960" s="196"/>
      <c r="W960" s="125"/>
      <c r="X960" s="126"/>
      <c r="Y960" s="119"/>
      <c r="Z960" s="197"/>
      <c r="AA960" s="198"/>
      <c r="AB960" s="199"/>
      <c r="AC960" s="119"/>
      <c r="AD960" s="196"/>
      <c r="AE960" s="200"/>
      <c r="AF960" s="201"/>
      <c r="AG960" s="205"/>
      <c r="AH960" s="205"/>
      <c r="AI960" s="205"/>
      <c r="AJ960" s="205"/>
      <c r="AK960" s="126"/>
      <c r="AL960" s="126"/>
    </row>
    <row r="961">
      <c r="A961" s="119"/>
      <c r="B961" s="154"/>
      <c r="C961" s="89"/>
      <c r="D961" s="55"/>
      <c r="E961" s="119"/>
      <c r="F961" s="154"/>
      <c r="G961" s="192"/>
      <c r="H961" s="193"/>
      <c r="I961" s="119"/>
      <c r="J961" s="154"/>
      <c r="K961" s="89"/>
      <c r="L961" s="55"/>
      <c r="M961" s="119"/>
      <c r="N961" s="194"/>
      <c r="O961" s="89"/>
      <c r="P961" s="55"/>
      <c r="Q961" s="195"/>
      <c r="R961" s="196"/>
      <c r="S961" s="125"/>
      <c r="T961" s="126"/>
      <c r="U961" s="195"/>
      <c r="V961" s="196"/>
      <c r="W961" s="125"/>
      <c r="X961" s="126"/>
      <c r="Y961" s="119"/>
      <c r="Z961" s="197"/>
      <c r="AA961" s="198"/>
      <c r="AB961" s="199"/>
      <c r="AC961" s="119"/>
      <c r="AD961" s="196"/>
      <c r="AE961" s="200"/>
      <c r="AF961" s="201"/>
      <c r="AG961" s="205"/>
      <c r="AH961" s="205"/>
      <c r="AI961" s="205"/>
      <c r="AJ961" s="205"/>
      <c r="AK961" s="126"/>
      <c r="AL961" s="126"/>
    </row>
    <row r="962">
      <c r="A962" s="119"/>
      <c r="B962" s="154"/>
      <c r="C962" s="89"/>
      <c r="D962" s="55"/>
      <c r="E962" s="119"/>
      <c r="F962" s="154"/>
      <c r="G962" s="192"/>
      <c r="H962" s="193"/>
      <c r="I962" s="119"/>
      <c r="J962" s="154"/>
      <c r="K962" s="89"/>
      <c r="L962" s="55"/>
      <c r="M962" s="119"/>
      <c r="N962" s="194"/>
      <c r="O962" s="89"/>
      <c r="P962" s="55"/>
      <c r="Q962" s="195"/>
      <c r="R962" s="196"/>
      <c r="S962" s="125"/>
      <c r="T962" s="126"/>
      <c r="U962" s="195"/>
      <c r="V962" s="196"/>
      <c r="W962" s="125"/>
      <c r="X962" s="126"/>
      <c r="Y962" s="119"/>
      <c r="Z962" s="206"/>
      <c r="AA962" s="207"/>
      <c r="AB962" s="208"/>
      <c r="AC962" s="119"/>
      <c r="AD962" s="17"/>
      <c r="AE962" s="140"/>
      <c r="AF962" s="140"/>
      <c r="AG962" s="205"/>
      <c r="AH962" s="205"/>
      <c r="AI962" s="205"/>
      <c r="AJ962" s="205"/>
      <c r="AK962" s="46"/>
      <c r="AL962" s="46"/>
    </row>
    <row r="963">
      <c r="A963" s="119"/>
      <c r="B963" s="154"/>
      <c r="C963" s="89"/>
      <c r="D963" s="55"/>
      <c r="E963" s="119"/>
      <c r="F963" s="154"/>
      <c r="G963" s="192"/>
      <c r="H963" s="193"/>
      <c r="I963" s="119"/>
      <c r="J963" s="154"/>
      <c r="K963" s="89"/>
      <c r="L963" s="55"/>
      <c r="M963" s="119"/>
      <c r="N963" s="194"/>
      <c r="O963" s="89"/>
      <c r="P963" s="55"/>
      <c r="Q963" s="195"/>
      <c r="R963" s="196"/>
      <c r="S963" s="125"/>
      <c r="T963" s="126"/>
      <c r="U963" s="195"/>
      <c r="V963" s="196"/>
      <c r="W963" s="125"/>
      <c r="X963" s="126"/>
      <c r="Y963" s="119"/>
      <c r="Z963" s="206"/>
      <c r="AA963" s="207"/>
      <c r="AB963" s="208"/>
      <c r="AC963" s="119"/>
      <c r="AD963" s="17"/>
      <c r="AE963" s="140"/>
      <c r="AF963" s="140"/>
      <c r="AG963" s="205"/>
      <c r="AH963" s="205"/>
      <c r="AI963" s="205"/>
      <c r="AJ963" s="205"/>
      <c r="AK963" s="46"/>
      <c r="AL963" s="46"/>
    </row>
    <row r="964">
      <c r="A964" s="119"/>
      <c r="B964" s="154"/>
      <c r="C964" s="89"/>
      <c r="D964" s="55"/>
      <c r="E964" s="119"/>
      <c r="F964" s="154"/>
      <c r="G964" s="192"/>
      <c r="H964" s="193"/>
      <c r="I964" s="119"/>
      <c r="J964" s="154"/>
      <c r="K964" s="89"/>
      <c r="L964" s="55"/>
      <c r="M964" s="119"/>
      <c r="N964" s="194"/>
      <c r="O964" s="89"/>
      <c r="P964" s="55"/>
      <c r="Q964" s="195"/>
      <c r="R964" s="196"/>
      <c r="S964" s="125"/>
      <c r="T964" s="126"/>
      <c r="U964" s="195"/>
      <c r="V964" s="196"/>
      <c r="W964" s="125"/>
      <c r="X964" s="126"/>
      <c r="Y964" s="119"/>
      <c r="Z964" s="206"/>
      <c r="AA964" s="207"/>
      <c r="AB964" s="208"/>
      <c r="AC964" s="119"/>
      <c r="AD964" s="17"/>
      <c r="AE964" s="140"/>
      <c r="AF964" s="140"/>
      <c r="AG964" s="205"/>
      <c r="AH964" s="205"/>
      <c r="AI964" s="205"/>
      <c r="AJ964" s="205"/>
      <c r="AK964" s="46"/>
      <c r="AL964" s="46"/>
    </row>
    <row r="965">
      <c r="A965" s="119"/>
      <c r="B965" s="154"/>
      <c r="C965" s="89"/>
      <c r="D965" s="55"/>
      <c r="E965" s="119"/>
      <c r="F965" s="154"/>
      <c r="G965" s="192"/>
      <c r="H965" s="193"/>
      <c r="I965" s="119"/>
      <c r="J965" s="154"/>
      <c r="K965" s="89"/>
      <c r="L965" s="55"/>
      <c r="M965" s="119"/>
      <c r="N965" s="194"/>
      <c r="O965" s="89"/>
      <c r="P965" s="55"/>
      <c r="Q965" s="195"/>
      <c r="R965" s="196"/>
      <c r="S965" s="125"/>
      <c r="T965" s="126"/>
      <c r="U965" s="195"/>
      <c r="V965" s="196"/>
      <c r="W965" s="125"/>
      <c r="X965" s="126"/>
      <c r="Y965" s="119"/>
      <c r="Z965" s="206"/>
      <c r="AA965" s="207"/>
      <c r="AB965" s="208"/>
      <c r="AC965" s="119"/>
      <c r="AD965" s="17"/>
      <c r="AE965" s="140"/>
      <c r="AF965" s="140"/>
      <c r="AG965" s="205"/>
      <c r="AH965" s="205"/>
      <c r="AI965" s="205"/>
      <c r="AJ965" s="205"/>
      <c r="AK965" s="46"/>
      <c r="AL965" s="46"/>
    </row>
    <row r="966">
      <c r="A966" s="119"/>
      <c r="B966" s="154"/>
      <c r="C966" s="89"/>
      <c r="D966" s="55"/>
      <c r="E966" s="119"/>
      <c r="F966" s="154"/>
      <c r="G966" s="192"/>
      <c r="H966" s="193"/>
      <c r="I966" s="119"/>
      <c r="J966" s="154"/>
      <c r="K966" s="89"/>
      <c r="L966" s="55"/>
      <c r="M966" s="119"/>
      <c r="N966" s="194"/>
      <c r="O966" s="89"/>
      <c r="P966" s="55"/>
      <c r="Q966" s="195"/>
      <c r="R966" s="196"/>
      <c r="S966" s="125"/>
      <c r="T966" s="126"/>
      <c r="U966" s="195"/>
      <c r="V966" s="196"/>
      <c r="W966" s="125"/>
      <c r="X966" s="126"/>
      <c r="Y966" s="17"/>
      <c r="Z966" s="17"/>
      <c r="AA966" s="140"/>
      <c r="AB966" s="209"/>
      <c r="AC966" s="17"/>
      <c r="AD966" s="17"/>
      <c r="AE966" s="140"/>
      <c r="AF966" s="210"/>
      <c r="AG966" s="205"/>
      <c r="AH966" s="205"/>
      <c r="AI966" s="205"/>
      <c r="AJ966" s="205"/>
      <c r="AK966" s="17"/>
      <c r="AL966" s="17"/>
    </row>
    <row r="967">
      <c r="A967" s="119"/>
      <c r="B967" s="154"/>
      <c r="C967" s="89"/>
      <c r="D967" s="55"/>
      <c r="E967" s="119"/>
      <c r="F967" s="154"/>
      <c r="G967" s="192"/>
      <c r="H967" s="193"/>
      <c r="I967" s="119"/>
      <c r="J967" s="154"/>
      <c r="K967" s="89"/>
      <c r="L967" s="55"/>
      <c r="M967" s="119"/>
      <c r="N967" s="194"/>
      <c r="O967" s="89"/>
      <c r="P967" s="55"/>
      <c r="Q967" s="195"/>
      <c r="R967" s="196"/>
      <c r="S967" s="125"/>
      <c r="T967" s="126"/>
      <c r="U967" s="195"/>
      <c r="V967" s="196"/>
      <c r="W967" s="125"/>
      <c r="X967" s="126"/>
      <c r="Y967" s="17"/>
      <c r="Z967" s="17"/>
      <c r="AA967" s="140"/>
      <c r="AB967" s="209"/>
      <c r="AC967" s="17"/>
      <c r="AD967" s="17"/>
      <c r="AE967" s="140"/>
      <c r="AF967" s="210"/>
      <c r="AG967" s="205"/>
      <c r="AH967" s="205"/>
      <c r="AI967" s="205"/>
      <c r="AJ967" s="205"/>
      <c r="AK967" s="17"/>
      <c r="AL967" s="17"/>
    </row>
    <row r="968">
      <c r="A968" s="119"/>
      <c r="B968" s="154"/>
      <c r="C968" s="89"/>
      <c r="D968" s="55"/>
      <c r="E968" s="119"/>
      <c r="F968" s="154"/>
      <c r="G968" s="192"/>
      <c r="H968" s="193"/>
      <c r="I968" s="119"/>
      <c r="J968" s="154"/>
      <c r="K968" s="89"/>
      <c r="L968" s="55"/>
      <c r="M968" s="119"/>
      <c r="N968" s="194"/>
      <c r="O968" s="89"/>
      <c r="P968" s="55"/>
      <c r="Q968" s="195"/>
      <c r="R968" s="196"/>
      <c r="S968" s="125"/>
      <c r="T968" s="126"/>
      <c r="U968" s="195"/>
      <c r="V968" s="196"/>
      <c r="W968" s="125"/>
      <c r="X968" s="126"/>
      <c r="Y968" s="17"/>
      <c r="Z968" s="17"/>
      <c r="AA968" s="140"/>
      <c r="AB968" s="209"/>
      <c r="AC968" s="17"/>
      <c r="AD968" s="17"/>
      <c r="AE968" s="140"/>
      <c r="AF968" s="210"/>
      <c r="AG968" s="205"/>
      <c r="AH968" s="205"/>
      <c r="AI968" s="205"/>
      <c r="AJ968" s="205"/>
      <c r="AK968" s="17"/>
      <c r="AL968" s="17"/>
    </row>
    <row r="969">
      <c r="A969" s="119"/>
      <c r="B969" s="154"/>
      <c r="C969" s="89"/>
      <c r="D969" s="55"/>
      <c r="E969" s="119"/>
      <c r="F969" s="154"/>
      <c r="G969" s="192"/>
      <c r="H969" s="193"/>
      <c r="I969" s="119"/>
      <c r="J969" s="154"/>
      <c r="K969" s="89"/>
      <c r="L969" s="55"/>
      <c r="M969" s="119"/>
      <c r="N969" s="194"/>
      <c r="O969" s="89"/>
      <c r="P969" s="55"/>
      <c r="Q969" s="195"/>
      <c r="R969" s="196"/>
      <c r="S969" s="125"/>
      <c r="T969" s="126"/>
      <c r="U969" s="195"/>
      <c r="V969" s="196"/>
      <c r="W969" s="125"/>
      <c r="X969" s="126"/>
      <c r="Y969" s="17"/>
      <c r="Z969" s="17"/>
      <c r="AA969" s="140"/>
      <c r="AB969" s="209"/>
      <c r="AC969" s="17"/>
      <c r="AD969" s="17"/>
      <c r="AE969" s="140"/>
      <c r="AF969" s="210"/>
      <c r="AG969" s="205"/>
      <c r="AH969" s="205"/>
      <c r="AI969" s="205"/>
      <c r="AJ969" s="205"/>
      <c r="AK969" s="17"/>
      <c r="AL969" s="17"/>
    </row>
    <row r="970">
      <c r="A970" s="119"/>
      <c r="B970" s="154"/>
      <c r="C970" s="89"/>
      <c r="D970" s="55"/>
      <c r="E970" s="119"/>
      <c r="F970" s="154"/>
      <c r="G970" s="192"/>
      <c r="H970" s="193"/>
      <c r="I970" s="119"/>
      <c r="J970" s="154"/>
      <c r="K970" s="89"/>
      <c r="L970" s="55"/>
      <c r="M970" s="119"/>
      <c r="N970" s="194"/>
      <c r="O970" s="89"/>
      <c r="P970" s="55"/>
      <c r="Q970" s="195"/>
      <c r="R970" s="196"/>
      <c r="S970" s="125"/>
      <c r="T970" s="126"/>
      <c r="U970" s="195"/>
      <c r="V970" s="196"/>
      <c r="W970" s="125"/>
      <c r="X970" s="126"/>
      <c r="Y970" s="17"/>
      <c r="Z970" s="17"/>
      <c r="AA970" s="140"/>
      <c r="AB970" s="209"/>
      <c r="AC970" s="17"/>
      <c r="AD970" s="17"/>
      <c r="AE970" s="140"/>
      <c r="AF970" s="210"/>
      <c r="AG970" s="205"/>
      <c r="AH970" s="205"/>
      <c r="AI970" s="205"/>
      <c r="AJ970" s="205"/>
      <c r="AK970" s="17"/>
      <c r="AL970" s="17"/>
    </row>
    <row r="971">
      <c r="A971" s="119"/>
      <c r="B971" s="154"/>
      <c r="C971" s="89"/>
      <c r="D971" s="55"/>
      <c r="E971" s="119"/>
      <c r="F971" s="154"/>
      <c r="G971" s="192"/>
      <c r="H971" s="193"/>
      <c r="I971" s="119"/>
      <c r="J971" s="154"/>
      <c r="K971" s="89"/>
      <c r="L971" s="55"/>
      <c r="M971" s="119"/>
      <c r="N971" s="194"/>
      <c r="O971" s="89"/>
      <c r="P971" s="55"/>
      <c r="Q971" s="195"/>
      <c r="R971" s="196"/>
      <c r="S971" s="125"/>
      <c r="T971" s="126"/>
      <c r="U971" s="195"/>
      <c r="V971" s="196"/>
      <c r="W971" s="125"/>
      <c r="X971" s="126"/>
      <c r="Y971" s="17"/>
      <c r="Z971" s="17"/>
      <c r="AA971" s="140"/>
      <c r="AB971" s="209"/>
      <c r="AC971" s="17"/>
      <c r="AD971" s="17"/>
      <c r="AE971" s="140"/>
      <c r="AF971" s="210"/>
      <c r="AG971" s="205"/>
      <c r="AH971" s="205"/>
      <c r="AI971" s="205"/>
      <c r="AJ971" s="205"/>
      <c r="AK971" s="17"/>
      <c r="AL971" s="17"/>
    </row>
    <row r="972">
      <c r="A972" s="119"/>
      <c r="B972" s="154"/>
      <c r="C972" s="89"/>
      <c r="D972" s="55"/>
      <c r="E972" s="119"/>
      <c r="F972" s="154"/>
      <c r="G972" s="192"/>
      <c r="H972" s="193"/>
      <c r="I972" s="119"/>
      <c r="J972" s="154"/>
      <c r="K972" s="89"/>
      <c r="L972" s="55"/>
      <c r="M972" s="119"/>
      <c r="N972" s="194"/>
      <c r="O972" s="89"/>
      <c r="P972" s="55"/>
      <c r="Q972" s="195"/>
      <c r="R972" s="196"/>
      <c r="S972" s="125"/>
      <c r="T972" s="126"/>
      <c r="U972" s="195"/>
      <c r="V972" s="196"/>
      <c r="W972" s="125"/>
      <c r="X972" s="126"/>
      <c r="Y972" s="17"/>
      <c r="Z972" s="17"/>
      <c r="AA972" s="140"/>
      <c r="AB972" s="209"/>
      <c r="AC972" s="17"/>
      <c r="AD972" s="17"/>
      <c r="AE972" s="140"/>
      <c r="AF972" s="210"/>
      <c r="AG972" s="205"/>
      <c r="AH972" s="205"/>
      <c r="AI972" s="205"/>
      <c r="AJ972" s="205"/>
      <c r="AK972" s="17"/>
      <c r="AL972" s="17"/>
    </row>
    <row r="973">
      <c r="A973" s="119"/>
      <c r="B973" s="154"/>
      <c r="C973" s="89"/>
      <c r="D973" s="55"/>
      <c r="E973" s="119"/>
      <c r="F973" s="154"/>
      <c r="G973" s="192"/>
      <c r="H973" s="193"/>
      <c r="I973" s="119"/>
      <c r="J973" s="154"/>
      <c r="K973" s="89"/>
      <c r="L973" s="55"/>
      <c r="M973" s="119"/>
      <c r="N973" s="194"/>
      <c r="O973" s="89"/>
      <c r="P973" s="55"/>
      <c r="Q973" s="195"/>
      <c r="R973" s="196"/>
      <c r="S973" s="125"/>
      <c r="T973" s="126"/>
      <c r="U973" s="195"/>
      <c r="V973" s="196"/>
      <c r="W973" s="125"/>
      <c r="X973" s="126"/>
      <c r="Y973" s="17"/>
      <c r="Z973" s="17"/>
      <c r="AA973" s="140"/>
      <c r="AB973" s="209"/>
      <c r="AC973" s="17"/>
      <c r="AD973" s="17"/>
      <c r="AE973" s="140"/>
      <c r="AF973" s="210"/>
      <c r="AG973" s="205"/>
      <c r="AH973" s="205"/>
      <c r="AI973" s="205"/>
      <c r="AJ973" s="205"/>
      <c r="AK973" s="17"/>
      <c r="AL973" s="17"/>
    </row>
    <row r="974">
      <c r="A974" s="119"/>
      <c r="B974" s="154"/>
      <c r="C974" s="89"/>
      <c r="D974" s="55"/>
      <c r="E974" s="119"/>
      <c r="F974" s="154"/>
      <c r="G974" s="192"/>
      <c r="H974" s="193"/>
      <c r="I974" s="119"/>
      <c r="J974" s="154"/>
      <c r="K974" s="89"/>
      <c r="L974" s="55"/>
      <c r="M974" s="119"/>
      <c r="N974" s="194"/>
      <c r="O974" s="89"/>
      <c r="P974" s="55"/>
      <c r="Q974" s="195"/>
      <c r="R974" s="196"/>
      <c r="S974" s="125"/>
      <c r="T974" s="126"/>
      <c r="U974" s="195"/>
      <c r="V974" s="196"/>
      <c r="W974" s="125"/>
      <c r="X974" s="126"/>
      <c r="Y974" s="17"/>
      <c r="Z974" s="17"/>
      <c r="AA974" s="140"/>
      <c r="AB974" s="209"/>
      <c r="AC974" s="17"/>
      <c r="AD974" s="17"/>
      <c r="AE974" s="140"/>
      <c r="AF974" s="210"/>
      <c r="AG974" s="205"/>
      <c r="AH974" s="205"/>
      <c r="AI974" s="205"/>
      <c r="AJ974" s="205"/>
      <c r="AK974" s="17"/>
      <c r="AL974" s="17"/>
    </row>
    <row r="975">
      <c r="A975" s="119"/>
      <c r="B975" s="154"/>
      <c r="C975" s="89"/>
      <c r="D975" s="55"/>
      <c r="E975" s="119"/>
      <c r="F975" s="154"/>
      <c r="G975" s="192"/>
      <c r="H975" s="193"/>
      <c r="I975" s="119"/>
      <c r="J975" s="154"/>
      <c r="K975" s="89"/>
      <c r="L975" s="55"/>
      <c r="M975" s="119"/>
      <c r="N975" s="194"/>
      <c r="O975" s="89"/>
      <c r="P975" s="55"/>
      <c r="Q975" s="195"/>
      <c r="R975" s="196"/>
      <c r="S975" s="125"/>
      <c r="T975" s="126"/>
      <c r="U975" s="195"/>
      <c r="V975" s="196"/>
      <c r="W975" s="125"/>
      <c r="X975" s="126"/>
      <c r="Y975" s="17"/>
      <c r="Z975" s="17"/>
      <c r="AA975" s="140"/>
      <c r="AB975" s="209"/>
      <c r="AC975" s="17"/>
      <c r="AD975" s="17"/>
      <c r="AE975" s="140"/>
      <c r="AF975" s="210"/>
      <c r="AG975" s="205"/>
      <c r="AH975" s="205"/>
      <c r="AI975" s="205"/>
      <c r="AJ975" s="205"/>
      <c r="AK975" s="17"/>
      <c r="AL975" s="17"/>
    </row>
    <row r="976">
      <c r="A976" s="119"/>
      <c r="B976" s="154"/>
      <c r="C976" s="89"/>
      <c r="D976" s="55"/>
      <c r="E976" s="119"/>
      <c r="F976" s="154"/>
      <c r="G976" s="192"/>
      <c r="H976" s="193"/>
      <c r="I976" s="119"/>
      <c r="J976" s="154"/>
      <c r="K976" s="89"/>
      <c r="L976" s="55"/>
      <c r="M976" s="119"/>
      <c r="N976" s="194"/>
      <c r="O976" s="89"/>
      <c r="P976" s="55"/>
      <c r="Q976" s="195"/>
      <c r="R976" s="196"/>
      <c r="S976" s="125"/>
      <c r="T976" s="126"/>
      <c r="U976" s="195"/>
      <c r="V976" s="196"/>
      <c r="W976" s="125"/>
      <c r="X976" s="126"/>
      <c r="Y976" s="17"/>
      <c r="Z976" s="17"/>
      <c r="AA976" s="140"/>
      <c r="AB976" s="209"/>
      <c r="AC976" s="17"/>
      <c r="AD976" s="17"/>
      <c r="AE976" s="140"/>
      <c r="AF976" s="210"/>
      <c r="AG976" s="205"/>
      <c r="AH976" s="205"/>
      <c r="AI976" s="205"/>
      <c r="AJ976" s="205"/>
      <c r="AK976" s="17"/>
      <c r="AL976" s="17"/>
    </row>
    <row r="977">
      <c r="A977" s="119"/>
      <c r="B977" s="154"/>
      <c r="C977" s="89"/>
      <c r="D977" s="55"/>
      <c r="E977" s="119"/>
      <c r="F977" s="154"/>
      <c r="G977" s="192"/>
      <c r="H977" s="193"/>
      <c r="I977" s="119"/>
      <c r="J977" s="154"/>
      <c r="K977" s="89"/>
      <c r="L977" s="55"/>
      <c r="M977" s="119"/>
      <c r="N977" s="194"/>
      <c r="O977" s="89"/>
      <c r="P977" s="55"/>
      <c r="Q977" s="195"/>
      <c r="R977" s="196"/>
      <c r="S977" s="125"/>
      <c r="T977" s="126"/>
      <c r="U977" s="195"/>
      <c r="V977" s="196"/>
      <c r="W977" s="125"/>
      <c r="X977" s="126"/>
      <c r="Y977" s="17"/>
      <c r="Z977" s="17"/>
      <c r="AA977" s="140"/>
      <c r="AB977" s="209"/>
      <c r="AC977" s="17"/>
      <c r="AD977" s="17"/>
      <c r="AE977" s="140"/>
      <c r="AF977" s="210"/>
      <c r="AG977" s="205"/>
      <c r="AH977" s="205"/>
      <c r="AI977" s="205"/>
      <c r="AJ977" s="205"/>
      <c r="AK977" s="17"/>
      <c r="AL977" s="17"/>
    </row>
    <row r="978">
      <c r="A978" s="119"/>
      <c r="B978" s="154"/>
      <c r="C978" s="89"/>
      <c r="D978" s="55"/>
      <c r="E978" s="119"/>
      <c r="F978" s="154"/>
      <c r="G978" s="192"/>
      <c r="H978" s="193"/>
      <c r="I978" s="119"/>
      <c r="J978" s="154"/>
      <c r="K978" s="89"/>
      <c r="L978" s="55"/>
      <c r="M978" s="119"/>
      <c r="N978" s="194"/>
      <c r="O978" s="89"/>
      <c r="P978" s="55"/>
      <c r="Q978" s="195"/>
      <c r="R978" s="196"/>
      <c r="S978" s="125"/>
      <c r="T978" s="126"/>
      <c r="U978" s="195"/>
      <c r="V978" s="196"/>
      <c r="W978" s="125"/>
      <c r="X978" s="126"/>
      <c r="Y978" s="17"/>
      <c r="Z978" s="17"/>
      <c r="AA978" s="140"/>
      <c r="AB978" s="209"/>
      <c r="AC978" s="17"/>
      <c r="AD978" s="17"/>
      <c r="AE978" s="140"/>
      <c r="AF978" s="210"/>
      <c r="AG978" s="205"/>
      <c r="AH978" s="205"/>
      <c r="AI978" s="205"/>
      <c r="AJ978" s="205"/>
      <c r="AK978" s="17"/>
      <c r="AL978" s="17"/>
    </row>
    <row r="979">
      <c r="A979" s="119"/>
      <c r="B979" s="154"/>
      <c r="C979" s="89"/>
      <c r="D979" s="55"/>
      <c r="E979" s="119"/>
      <c r="F979" s="154"/>
      <c r="G979" s="192"/>
      <c r="H979" s="193"/>
      <c r="I979" s="119"/>
      <c r="J979" s="154"/>
      <c r="K979" s="89"/>
      <c r="L979" s="55"/>
      <c r="M979" s="119"/>
      <c r="N979" s="194"/>
      <c r="O979" s="89"/>
      <c r="P979" s="55"/>
      <c r="Q979" s="195"/>
      <c r="R979" s="196"/>
      <c r="S979" s="125"/>
      <c r="T979" s="126"/>
      <c r="U979" s="195"/>
      <c r="V979" s="196"/>
      <c r="W979" s="125"/>
      <c r="X979" s="126"/>
      <c r="Y979" s="17"/>
      <c r="Z979" s="17"/>
      <c r="AA979" s="140"/>
      <c r="AB979" s="209"/>
      <c r="AC979" s="17"/>
      <c r="AD979" s="17"/>
      <c r="AE979" s="140"/>
      <c r="AF979" s="210"/>
      <c r="AG979" s="205"/>
      <c r="AH979" s="205"/>
      <c r="AI979" s="205"/>
      <c r="AJ979" s="205"/>
      <c r="AK979" s="17"/>
      <c r="AL979" s="17"/>
    </row>
    <row r="980">
      <c r="A980" s="119"/>
      <c r="B980" s="154"/>
      <c r="C980" s="89"/>
      <c r="D980" s="55"/>
      <c r="E980" s="119"/>
      <c r="F980" s="154"/>
      <c r="G980" s="192"/>
      <c r="H980" s="193"/>
      <c r="I980" s="119"/>
      <c r="J980" s="154"/>
      <c r="K980" s="89"/>
      <c r="L980" s="55"/>
      <c r="M980" s="119"/>
      <c r="N980" s="194"/>
      <c r="O980" s="89"/>
      <c r="P980" s="55"/>
      <c r="Q980" s="195"/>
      <c r="R980" s="196"/>
      <c r="S980" s="125"/>
      <c r="T980" s="126"/>
      <c r="U980" s="195"/>
      <c r="V980" s="196"/>
      <c r="W980" s="125"/>
      <c r="X980" s="126"/>
      <c r="Y980" s="17"/>
      <c r="Z980" s="17"/>
      <c r="AA980" s="140"/>
      <c r="AB980" s="209"/>
      <c r="AC980" s="17"/>
      <c r="AD980" s="17"/>
      <c r="AE980" s="140"/>
      <c r="AF980" s="210"/>
      <c r="AG980" s="205"/>
      <c r="AH980" s="205"/>
      <c r="AI980" s="205"/>
      <c r="AJ980" s="205"/>
      <c r="AK980" s="17"/>
      <c r="AL980" s="17"/>
    </row>
    <row r="981">
      <c r="A981" s="119"/>
      <c r="B981" s="154"/>
      <c r="C981" s="89"/>
      <c r="D981" s="55"/>
      <c r="E981" s="119"/>
      <c r="F981" s="154"/>
      <c r="G981" s="192"/>
      <c r="H981" s="193"/>
      <c r="I981" s="119"/>
      <c r="J981" s="154"/>
      <c r="K981" s="89"/>
      <c r="L981" s="55"/>
      <c r="M981" s="119"/>
      <c r="N981" s="194"/>
      <c r="O981" s="89"/>
      <c r="P981" s="55"/>
      <c r="Q981" s="195"/>
      <c r="R981" s="196"/>
      <c r="S981" s="125"/>
      <c r="T981" s="126"/>
      <c r="U981" s="195"/>
      <c r="V981" s="196"/>
      <c r="W981" s="125"/>
      <c r="X981" s="126"/>
      <c r="Y981" s="17"/>
      <c r="Z981" s="17"/>
      <c r="AA981" s="140"/>
      <c r="AB981" s="209"/>
      <c r="AC981" s="17"/>
      <c r="AD981" s="17"/>
      <c r="AE981" s="140"/>
      <c r="AF981" s="210"/>
      <c r="AG981" s="205"/>
      <c r="AH981" s="205"/>
      <c r="AI981" s="205"/>
      <c r="AJ981" s="205"/>
      <c r="AK981" s="17"/>
      <c r="AL981" s="17"/>
    </row>
    <row r="982">
      <c r="A982" s="119"/>
      <c r="B982" s="154"/>
      <c r="C982" s="89"/>
      <c r="D982" s="55"/>
      <c r="E982" s="119"/>
      <c r="F982" s="154"/>
      <c r="G982" s="192"/>
      <c r="H982" s="193"/>
      <c r="I982" s="119"/>
      <c r="J982" s="154"/>
      <c r="K982" s="89"/>
      <c r="L982" s="55"/>
      <c r="M982" s="119"/>
      <c r="N982" s="194"/>
      <c r="O982" s="89"/>
      <c r="P982" s="55"/>
      <c r="Q982" s="195"/>
      <c r="R982" s="196"/>
      <c r="S982" s="125"/>
      <c r="T982" s="126"/>
      <c r="U982" s="195"/>
      <c r="V982" s="196"/>
      <c r="W982" s="125"/>
      <c r="X982" s="126"/>
      <c r="Y982" s="17"/>
      <c r="Z982" s="17"/>
      <c r="AA982" s="140"/>
      <c r="AB982" s="209"/>
      <c r="AC982" s="17"/>
      <c r="AD982" s="17"/>
      <c r="AE982" s="140"/>
      <c r="AF982" s="210"/>
      <c r="AG982" s="205"/>
      <c r="AH982" s="205"/>
      <c r="AI982" s="205"/>
      <c r="AJ982" s="205"/>
      <c r="AK982" s="17"/>
      <c r="AL982" s="17"/>
    </row>
    <row r="983">
      <c r="A983" s="119"/>
      <c r="B983" s="154"/>
      <c r="C983" s="89"/>
      <c r="D983" s="55"/>
      <c r="E983" s="119"/>
      <c r="F983" s="154"/>
      <c r="G983" s="192"/>
      <c r="H983" s="193"/>
      <c r="I983" s="119"/>
      <c r="J983" s="154"/>
      <c r="K983" s="89"/>
      <c r="L983" s="55"/>
      <c r="M983" s="119"/>
      <c r="N983" s="194"/>
      <c r="O983" s="89"/>
      <c r="P983" s="55"/>
      <c r="Q983" s="195"/>
      <c r="R983" s="196"/>
      <c r="S983" s="125"/>
      <c r="T983" s="126"/>
      <c r="U983" s="195"/>
      <c r="V983" s="196"/>
      <c r="W983" s="125"/>
      <c r="X983" s="126"/>
      <c r="Y983" s="17"/>
      <c r="Z983" s="17"/>
      <c r="AA983" s="140"/>
      <c r="AB983" s="209"/>
      <c r="AC983" s="17"/>
      <c r="AD983" s="17"/>
      <c r="AE983" s="140"/>
      <c r="AF983" s="210"/>
      <c r="AG983" s="205"/>
      <c r="AH983" s="205"/>
      <c r="AI983" s="205"/>
      <c r="AJ983" s="205"/>
      <c r="AK983" s="17"/>
      <c r="AL983" s="17"/>
    </row>
    <row r="984">
      <c r="A984" s="119"/>
      <c r="B984" s="154"/>
      <c r="C984" s="89"/>
      <c r="D984" s="55"/>
      <c r="E984" s="119"/>
      <c r="F984" s="154"/>
      <c r="G984" s="192"/>
      <c r="H984" s="193"/>
      <c r="I984" s="119"/>
      <c r="J984" s="154"/>
      <c r="K984" s="89"/>
      <c r="L984" s="55"/>
      <c r="M984" s="119"/>
      <c r="N984" s="194"/>
      <c r="O984" s="89"/>
      <c r="P984" s="55"/>
      <c r="Q984" s="195"/>
      <c r="R984" s="196"/>
      <c r="S984" s="125"/>
      <c r="T984" s="126"/>
      <c r="U984" s="195"/>
      <c r="V984" s="196"/>
      <c r="W984" s="125"/>
      <c r="X984" s="126"/>
      <c r="Y984" s="17"/>
      <c r="Z984" s="17"/>
      <c r="AA984" s="140"/>
      <c r="AB984" s="209"/>
      <c r="AC984" s="17"/>
      <c r="AD984" s="17"/>
      <c r="AE984" s="140"/>
      <c r="AF984" s="210"/>
      <c r="AG984" s="205"/>
      <c r="AH984" s="205"/>
      <c r="AI984" s="205"/>
      <c r="AJ984" s="205"/>
      <c r="AK984" s="17"/>
      <c r="AL984" s="17"/>
    </row>
    <row r="985">
      <c r="A985" s="119"/>
      <c r="B985" s="154"/>
      <c r="C985" s="89"/>
      <c r="D985" s="55"/>
      <c r="E985" s="119"/>
      <c r="F985" s="154"/>
      <c r="G985" s="192"/>
      <c r="H985" s="193"/>
      <c r="I985" s="119"/>
      <c r="J985" s="154"/>
      <c r="K985" s="89"/>
      <c r="L985" s="55"/>
      <c r="M985" s="119"/>
      <c r="N985" s="194"/>
      <c r="O985" s="89"/>
      <c r="P985" s="55"/>
      <c r="Q985" s="195"/>
      <c r="R985" s="196"/>
      <c r="S985" s="125"/>
      <c r="T985" s="126"/>
      <c r="U985" s="195"/>
      <c r="V985" s="196"/>
      <c r="W985" s="125"/>
      <c r="X985" s="126"/>
      <c r="Y985" s="17"/>
      <c r="Z985" s="17"/>
      <c r="AA985" s="140"/>
      <c r="AB985" s="209"/>
      <c r="AC985" s="17"/>
      <c r="AD985" s="17"/>
      <c r="AE985" s="140"/>
      <c r="AF985" s="210"/>
      <c r="AG985" s="205"/>
      <c r="AH985" s="205"/>
      <c r="AI985" s="205"/>
      <c r="AJ985" s="205"/>
      <c r="AK985" s="17"/>
      <c r="AL985" s="17"/>
    </row>
    <row r="986">
      <c r="A986" s="119"/>
      <c r="B986" s="154"/>
      <c r="C986" s="89"/>
      <c r="D986" s="55"/>
      <c r="E986" s="119"/>
      <c r="F986" s="154"/>
      <c r="G986" s="192"/>
      <c r="H986" s="193"/>
      <c r="I986" s="119"/>
      <c r="J986" s="154"/>
      <c r="K986" s="89"/>
      <c r="L986" s="55"/>
      <c r="M986" s="119"/>
      <c r="N986" s="194"/>
      <c r="O986" s="89"/>
      <c r="P986" s="55"/>
      <c r="Q986" s="195"/>
      <c r="R986" s="196"/>
      <c r="S986" s="125"/>
      <c r="T986" s="126"/>
      <c r="U986" s="195"/>
      <c r="V986" s="196"/>
      <c r="W986" s="125"/>
      <c r="X986" s="126"/>
      <c r="Y986" s="17"/>
      <c r="Z986" s="17"/>
      <c r="AA986" s="140"/>
      <c r="AB986" s="209"/>
      <c r="AC986" s="17"/>
      <c r="AD986" s="17"/>
      <c r="AE986" s="140"/>
      <c r="AF986" s="210"/>
      <c r="AG986" s="205"/>
      <c r="AH986" s="205"/>
      <c r="AI986" s="205"/>
      <c r="AJ986" s="205"/>
      <c r="AK986" s="17"/>
      <c r="AL986" s="17"/>
    </row>
    <row r="987">
      <c r="A987" s="119"/>
      <c r="B987" s="154"/>
      <c r="C987" s="89"/>
      <c r="D987" s="55"/>
      <c r="E987" s="119"/>
      <c r="F987" s="154"/>
      <c r="G987" s="192"/>
      <c r="H987" s="193"/>
      <c r="I987" s="119"/>
      <c r="J987" s="154"/>
      <c r="K987" s="89"/>
      <c r="L987" s="55"/>
      <c r="M987" s="119"/>
      <c r="N987" s="194"/>
      <c r="O987" s="89"/>
      <c r="P987" s="55"/>
      <c r="Q987" s="195"/>
      <c r="R987" s="196"/>
      <c r="S987" s="125"/>
      <c r="T987" s="126"/>
      <c r="U987" s="195"/>
      <c r="V987" s="196"/>
      <c r="W987" s="125"/>
      <c r="X987" s="126"/>
      <c r="Y987" s="17"/>
      <c r="Z987" s="17"/>
      <c r="AA987" s="140"/>
      <c r="AB987" s="209"/>
      <c r="AC987" s="17"/>
      <c r="AD987" s="17"/>
      <c r="AE987" s="140"/>
      <c r="AF987" s="210"/>
      <c r="AG987" s="205"/>
      <c r="AH987" s="205"/>
      <c r="AI987" s="205"/>
      <c r="AJ987" s="205"/>
      <c r="AK987" s="17"/>
      <c r="AL987" s="17"/>
    </row>
    <row r="988">
      <c r="A988" s="119"/>
      <c r="B988" s="154"/>
      <c r="C988" s="89"/>
      <c r="D988" s="55"/>
      <c r="E988" s="119"/>
      <c r="F988" s="154"/>
      <c r="G988" s="192"/>
      <c r="H988" s="193"/>
      <c r="I988" s="119"/>
      <c r="J988" s="154"/>
      <c r="K988" s="89"/>
      <c r="L988" s="55"/>
      <c r="M988" s="119"/>
      <c r="N988" s="194"/>
      <c r="O988" s="89"/>
      <c r="P988" s="55"/>
      <c r="Q988" s="195"/>
      <c r="R988" s="196"/>
      <c r="S988" s="125"/>
      <c r="T988" s="126"/>
      <c r="U988" s="195"/>
      <c r="V988" s="196"/>
      <c r="W988" s="125"/>
      <c r="X988" s="126"/>
      <c r="Y988" s="17"/>
      <c r="Z988" s="17"/>
      <c r="AA988" s="140"/>
      <c r="AB988" s="209"/>
      <c r="AC988" s="17"/>
      <c r="AD988" s="17"/>
      <c r="AE988" s="140"/>
      <c r="AF988" s="210"/>
      <c r="AG988" s="205"/>
      <c r="AH988" s="205"/>
      <c r="AI988" s="205"/>
      <c r="AJ988" s="205"/>
      <c r="AK988" s="17"/>
      <c r="AL988" s="17"/>
    </row>
    <row r="989">
      <c r="A989" s="119"/>
      <c r="B989" s="154"/>
      <c r="C989" s="89"/>
      <c r="D989" s="55"/>
      <c r="E989" s="119"/>
      <c r="F989" s="154"/>
      <c r="G989" s="192"/>
      <c r="H989" s="193"/>
      <c r="I989" s="119"/>
      <c r="J989" s="154"/>
      <c r="K989" s="89"/>
      <c r="L989" s="55"/>
      <c r="M989" s="119"/>
      <c r="N989" s="194"/>
      <c r="O989" s="89"/>
      <c r="P989" s="55"/>
      <c r="Q989" s="195"/>
      <c r="R989" s="196"/>
      <c r="S989" s="125"/>
      <c r="T989" s="126"/>
      <c r="U989" s="195"/>
      <c r="V989" s="196"/>
      <c r="W989" s="125"/>
      <c r="X989" s="126"/>
      <c r="Y989" s="17"/>
      <c r="Z989" s="17"/>
      <c r="AA989" s="140"/>
      <c r="AB989" s="209"/>
      <c r="AC989" s="17"/>
      <c r="AD989" s="17"/>
      <c r="AE989" s="140"/>
      <c r="AF989" s="210"/>
      <c r="AG989" s="205"/>
      <c r="AH989" s="205"/>
      <c r="AI989" s="205"/>
      <c r="AJ989" s="205"/>
      <c r="AK989" s="17"/>
      <c r="AL989" s="17"/>
    </row>
    <row r="990">
      <c r="A990" s="119"/>
      <c r="B990" s="154"/>
      <c r="C990" s="89"/>
      <c r="D990" s="55"/>
      <c r="E990" s="119"/>
      <c r="F990" s="154"/>
      <c r="G990" s="192"/>
      <c r="H990" s="193"/>
      <c r="I990" s="119"/>
      <c r="J990" s="154"/>
      <c r="K990" s="89"/>
      <c r="L990" s="55"/>
      <c r="M990" s="119"/>
      <c r="N990" s="194"/>
      <c r="O990" s="89"/>
      <c r="P990" s="55"/>
      <c r="Q990" s="195"/>
      <c r="R990" s="196"/>
      <c r="S990" s="125"/>
      <c r="T990" s="126"/>
      <c r="U990" s="195"/>
      <c r="V990" s="196"/>
      <c r="W990" s="125"/>
      <c r="X990" s="126"/>
      <c r="Y990" s="17"/>
      <c r="Z990" s="17"/>
      <c r="AA990" s="140"/>
      <c r="AB990" s="209"/>
      <c r="AC990" s="17"/>
      <c r="AD990" s="17"/>
      <c r="AE990" s="140"/>
      <c r="AF990" s="210"/>
      <c r="AG990" s="205"/>
      <c r="AH990" s="205"/>
      <c r="AI990" s="205"/>
      <c r="AJ990" s="205"/>
      <c r="AK990" s="17"/>
      <c r="AL990" s="17"/>
    </row>
    <row r="991">
      <c r="A991" s="119"/>
      <c r="B991" s="154"/>
      <c r="C991" s="89"/>
      <c r="D991" s="55"/>
      <c r="E991" s="119"/>
      <c r="F991" s="154"/>
      <c r="G991" s="192"/>
      <c r="H991" s="193"/>
      <c r="I991" s="119"/>
      <c r="J991" s="154"/>
      <c r="K991" s="89"/>
      <c r="L991" s="55"/>
      <c r="M991" s="119"/>
      <c r="N991" s="194"/>
      <c r="O991" s="89"/>
      <c r="P991" s="55"/>
      <c r="Q991" s="195"/>
      <c r="R991" s="196"/>
      <c r="S991" s="125"/>
      <c r="T991" s="126"/>
      <c r="U991" s="195"/>
      <c r="V991" s="196"/>
      <c r="W991" s="125"/>
      <c r="X991" s="126"/>
      <c r="Y991" s="17"/>
      <c r="Z991" s="17"/>
      <c r="AA991" s="140"/>
      <c r="AB991" s="209"/>
      <c r="AC991" s="17"/>
      <c r="AD991" s="17"/>
      <c r="AE991" s="140"/>
      <c r="AF991" s="210"/>
      <c r="AG991" s="205"/>
      <c r="AH991" s="205"/>
      <c r="AI991" s="205"/>
      <c r="AJ991" s="205"/>
      <c r="AK991" s="17"/>
      <c r="AL991" s="17"/>
    </row>
    <row r="992">
      <c r="A992" s="119"/>
      <c r="B992" s="154"/>
      <c r="C992" s="89"/>
      <c r="D992" s="55"/>
      <c r="E992" s="119"/>
      <c r="F992" s="154"/>
      <c r="G992" s="192"/>
      <c r="H992" s="193"/>
      <c r="I992" s="119"/>
      <c r="J992" s="154"/>
      <c r="K992" s="89"/>
      <c r="L992" s="55"/>
      <c r="M992" s="119"/>
      <c r="N992" s="194"/>
      <c r="O992" s="89"/>
      <c r="P992" s="55"/>
      <c r="Q992" s="195"/>
      <c r="R992" s="196"/>
      <c r="S992" s="125"/>
      <c r="T992" s="126"/>
      <c r="U992" s="195"/>
      <c r="V992" s="196"/>
      <c r="W992" s="125"/>
      <c r="X992" s="126"/>
      <c r="Y992" s="17"/>
      <c r="Z992" s="17"/>
      <c r="AA992" s="140"/>
      <c r="AB992" s="209"/>
      <c r="AC992" s="17"/>
      <c r="AD992" s="17"/>
      <c r="AE992" s="140"/>
      <c r="AF992" s="210"/>
      <c r="AG992" s="205"/>
      <c r="AH992" s="205"/>
      <c r="AI992" s="205"/>
      <c r="AJ992" s="205"/>
      <c r="AK992" s="17"/>
      <c r="AL992" s="17"/>
    </row>
    <row r="993">
      <c r="A993" s="119"/>
      <c r="B993" s="154"/>
      <c r="C993" s="89"/>
      <c r="D993" s="55"/>
      <c r="E993" s="119"/>
      <c r="F993" s="154"/>
      <c r="G993" s="192"/>
      <c r="H993" s="193"/>
      <c r="I993" s="119"/>
      <c r="J993" s="154"/>
      <c r="K993" s="89"/>
      <c r="L993" s="55"/>
      <c r="M993" s="119"/>
      <c r="N993" s="194"/>
      <c r="O993" s="89"/>
      <c r="P993" s="55"/>
      <c r="Q993" s="195"/>
      <c r="R993" s="196"/>
      <c r="S993" s="125"/>
      <c r="T993" s="126"/>
      <c r="U993" s="195"/>
      <c r="V993" s="196"/>
      <c r="W993" s="125"/>
      <c r="X993" s="126"/>
      <c r="Y993" s="17"/>
      <c r="Z993" s="17"/>
      <c r="AA993" s="140"/>
      <c r="AB993" s="209"/>
      <c r="AC993" s="17"/>
      <c r="AD993" s="17"/>
      <c r="AE993" s="140"/>
      <c r="AF993" s="210"/>
      <c r="AG993" s="205"/>
      <c r="AH993" s="205"/>
      <c r="AI993" s="205"/>
      <c r="AJ993" s="205"/>
      <c r="AK993" s="17"/>
      <c r="AL993" s="17"/>
    </row>
    <row r="994">
      <c r="A994" s="119"/>
      <c r="B994" s="154"/>
      <c r="C994" s="89"/>
      <c r="D994" s="55"/>
      <c r="E994" s="119"/>
      <c r="F994" s="154"/>
      <c r="G994" s="192"/>
      <c r="H994" s="193"/>
      <c r="I994" s="119"/>
      <c r="J994" s="154"/>
      <c r="K994" s="89"/>
      <c r="L994" s="55"/>
      <c r="M994" s="119"/>
      <c r="N994" s="194"/>
      <c r="O994" s="89"/>
      <c r="P994" s="55"/>
      <c r="Q994" s="195"/>
      <c r="R994" s="196"/>
      <c r="S994" s="125"/>
      <c r="T994" s="126"/>
      <c r="U994" s="195"/>
      <c r="V994" s="196"/>
      <c r="W994" s="125"/>
      <c r="X994" s="126"/>
      <c r="Y994" s="17"/>
      <c r="Z994" s="17"/>
      <c r="AA994" s="140"/>
      <c r="AB994" s="209"/>
      <c r="AC994" s="17"/>
      <c r="AD994" s="17"/>
      <c r="AE994" s="140"/>
      <c r="AF994" s="210"/>
      <c r="AG994" s="205"/>
      <c r="AH994" s="205"/>
      <c r="AI994" s="205"/>
      <c r="AJ994" s="205"/>
      <c r="AK994" s="17"/>
      <c r="AL994" s="17"/>
    </row>
    <row r="995">
      <c r="A995" s="119"/>
      <c r="B995" s="154"/>
      <c r="C995" s="89"/>
      <c r="D995" s="55"/>
      <c r="E995" s="119"/>
      <c r="F995" s="154"/>
      <c r="G995" s="192"/>
      <c r="H995" s="193"/>
      <c r="I995" s="119"/>
      <c r="J995" s="154"/>
      <c r="K995" s="89"/>
      <c r="L995" s="55"/>
      <c r="M995" s="119"/>
      <c r="N995" s="194"/>
      <c r="O995" s="89"/>
      <c r="P995" s="55"/>
      <c r="Q995" s="195"/>
      <c r="R995" s="196"/>
      <c r="S995" s="125"/>
      <c r="T995" s="126"/>
      <c r="U995" s="195"/>
      <c r="V995" s="196"/>
      <c r="W995" s="125"/>
      <c r="X995" s="126"/>
      <c r="Y995" s="17"/>
      <c r="Z995" s="17"/>
      <c r="AA995" s="140"/>
      <c r="AB995" s="209"/>
      <c r="AC995" s="17"/>
      <c r="AD995" s="17"/>
      <c r="AE995" s="140"/>
      <c r="AF995" s="210"/>
      <c r="AG995" s="205"/>
      <c r="AH995" s="205"/>
      <c r="AI995" s="205"/>
      <c r="AJ995" s="205"/>
      <c r="AK995" s="17"/>
      <c r="AL995" s="17"/>
    </row>
    <row r="996">
      <c r="A996" s="119"/>
      <c r="B996" s="154"/>
      <c r="C996" s="89"/>
      <c r="D996" s="55"/>
      <c r="E996" s="119"/>
      <c r="F996" s="154"/>
      <c r="G996" s="192"/>
      <c r="H996" s="193"/>
      <c r="I996" s="119"/>
      <c r="J996" s="154"/>
      <c r="K996" s="89"/>
      <c r="L996" s="55"/>
      <c r="M996" s="119"/>
      <c r="N996" s="194"/>
      <c r="O996" s="89"/>
      <c r="P996" s="55"/>
      <c r="Q996" s="195"/>
      <c r="R996" s="196"/>
      <c r="S996" s="125"/>
      <c r="T996" s="126"/>
      <c r="U996" s="195"/>
      <c r="V996" s="196"/>
      <c r="W996" s="125"/>
      <c r="X996" s="126"/>
      <c r="Y996" s="17"/>
      <c r="Z996" s="17"/>
      <c r="AA996" s="140"/>
      <c r="AB996" s="209"/>
      <c r="AC996" s="17"/>
      <c r="AD996" s="17"/>
      <c r="AE996" s="140"/>
      <c r="AF996" s="210"/>
      <c r="AG996" s="205"/>
      <c r="AH996" s="205"/>
      <c r="AI996" s="205"/>
      <c r="AJ996" s="205"/>
      <c r="AK996" s="17"/>
      <c r="AL996" s="17"/>
    </row>
    <row r="997">
      <c r="A997" s="119"/>
      <c r="B997" s="154"/>
      <c r="C997" s="89"/>
      <c r="D997" s="55"/>
      <c r="E997" s="119"/>
      <c r="F997" s="154"/>
      <c r="G997" s="192"/>
      <c r="H997" s="193"/>
      <c r="I997" s="119"/>
      <c r="J997" s="154"/>
      <c r="K997" s="89"/>
      <c r="L997" s="55"/>
      <c r="M997" s="119"/>
      <c r="N997" s="194"/>
      <c r="O997" s="89"/>
      <c r="P997" s="55"/>
      <c r="Q997" s="195"/>
      <c r="R997" s="196"/>
      <c r="S997" s="125"/>
      <c r="T997" s="126"/>
      <c r="U997" s="195"/>
      <c r="V997" s="196"/>
      <c r="W997" s="125"/>
      <c r="X997" s="126"/>
      <c r="Y997" s="17"/>
      <c r="Z997" s="17"/>
      <c r="AA997" s="140"/>
      <c r="AB997" s="209"/>
      <c r="AC997" s="17"/>
      <c r="AD997" s="17"/>
      <c r="AE997" s="140"/>
      <c r="AF997" s="210"/>
      <c r="AG997" s="205"/>
      <c r="AH997" s="205"/>
      <c r="AI997" s="205"/>
      <c r="AJ997" s="205"/>
      <c r="AK997" s="17"/>
      <c r="AL997" s="17"/>
    </row>
    <row r="998">
      <c r="A998" s="119"/>
      <c r="B998" s="154"/>
      <c r="C998" s="89"/>
      <c r="D998" s="55"/>
      <c r="E998" s="119"/>
      <c r="F998" s="154"/>
      <c r="G998" s="192"/>
      <c r="H998" s="193"/>
      <c r="I998" s="119"/>
      <c r="J998" s="154"/>
      <c r="K998" s="89"/>
      <c r="L998" s="55"/>
      <c r="M998" s="119"/>
      <c r="N998" s="194"/>
      <c r="O998" s="89"/>
      <c r="P998" s="55"/>
      <c r="Q998" s="195"/>
      <c r="R998" s="196"/>
      <c r="S998" s="125"/>
      <c r="T998" s="126"/>
      <c r="U998" s="195"/>
      <c r="V998" s="196"/>
      <c r="W998" s="125"/>
      <c r="X998" s="126"/>
      <c r="Y998" s="17"/>
      <c r="Z998" s="17"/>
      <c r="AA998" s="140"/>
      <c r="AB998" s="209"/>
      <c r="AC998" s="17"/>
      <c r="AD998" s="17"/>
      <c r="AE998" s="140"/>
      <c r="AF998" s="210"/>
      <c r="AG998" s="205"/>
      <c r="AH998" s="205"/>
      <c r="AI998" s="205"/>
      <c r="AJ998" s="205"/>
      <c r="AK998" s="17"/>
      <c r="AL998" s="17"/>
    </row>
    <row r="999">
      <c r="A999" s="119"/>
      <c r="B999" s="154"/>
      <c r="C999" s="89"/>
      <c r="D999" s="55"/>
      <c r="E999" s="119"/>
      <c r="F999" s="154"/>
      <c r="G999" s="192"/>
      <c r="H999" s="193"/>
      <c r="I999" s="119"/>
      <c r="J999" s="154"/>
      <c r="K999" s="89"/>
      <c r="L999" s="55"/>
      <c r="M999" s="119"/>
      <c r="N999" s="194"/>
      <c r="O999" s="89"/>
      <c r="P999" s="55"/>
      <c r="Q999" s="17"/>
      <c r="R999" s="17"/>
      <c r="S999" s="46"/>
      <c r="T999" s="46"/>
      <c r="U999" s="17"/>
      <c r="V999" s="17"/>
      <c r="W999" s="46"/>
      <c r="X999" s="46"/>
      <c r="Y999" s="17"/>
      <c r="Z999" s="17"/>
      <c r="AA999" s="140"/>
      <c r="AB999" s="209"/>
      <c r="AC999" s="17"/>
      <c r="AD999" s="17"/>
      <c r="AE999" s="140"/>
      <c r="AF999" s="210"/>
      <c r="AG999" s="205"/>
      <c r="AH999" s="205"/>
      <c r="AI999" s="205"/>
      <c r="AJ999" s="205"/>
      <c r="AK999" s="17"/>
      <c r="AL999" s="17"/>
    </row>
    <row r="1000">
      <c r="A1000" s="119"/>
      <c r="B1000" s="154"/>
      <c r="C1000" s="89"/>
      <c r="D1000" s="55"/>
      <c r="E1000" s="119"/>
      <c r="F1000" s="154"/>
      <c r="G1000" s="192"/>
      <c r="H1000" s="193"/>
      <c r="I1000" s="119"/>
      <c r="J1000" s="154"/>
      <c r="K1000" s="89"/>
      <c r="L1000" s="55"/>
      <c r="M1000" s="119"/>
      <c r="N1000" s="194"/>
      <c r="O1000" s="89"/>
      <c r="P1000" s="55"/>
      <c r="Q1000" s="17"/>
      <c r="R1000" s="17"/>
      <c r="S1000" s="46"/>
      <c r="T1000" s="46"/>
      <c r="U1000" s="17"/>
      <c r="V1000" s="17"/>
      <c r="W1000" s="46"/>
      <c r="X1000" s="46"/>
      <c r="Y1000" s="17"/>
      <c r="Z1000" s="17"/>
      <c r="AA1000" s="140"/>
      <c r="AB1000" s="209"/>
      <c r="AC1000" s="17"/>
      <c r="AD1000" s="17"/>
      <c r="AE1000" s="140"/>
      <c r="AF1000" s="210"/>
      <c r="AG1000" s="205"/>
      <c r="AH1000" s="205"/>
      <c r="AI1000" s="205"/>
      <c r="AJ1000" s="205"/>
      <c r="AK1000" s="17"/>
      <c r="AL1000" s="17"/>
    </row>
    <row r="1001">
      <c r="A1001" s="119"/>
      <c r="B1001" s="154"/>
      <c r="C1001" s="89"/>
      <c r="D1001" s="55"/>
      <c r="E1001" s="119"/>
      <c r="F1001" s="154"/>
      <c r="G1001" s="192"/>
      <c r="H1001" s="193"/>
      <c r="I1001" s="119"/>
      <c r="J1001" s="154"/>
      <c r="K1001" s="89"/>
      <c r="L1001" s="55"/>
      <c r="M1001" s="119"/>
      <c r="N1001" s="194"/>
      <c r="O1001" s="89"/>
      <c r="P1001" s="55"/>
      <c r="Q1001" s="17"/>
      <c r="R1001" s="17"/>
      <c r="S1001" s="46"/>
      <c r="T1001" s="46"/>
      <c r="U1001" s="17"/>
      <c r="V1001" s="17"/>
      <c r="W1001" s="46"/>
      <c r="X1001" s="46"/>
      <c r="Y1001" s="17"/>
      <c r="Z1001" s="17"/>
      <c r="AA1001" s="140"/>
      <c r="AB1001" s="209"/>
      <c r="AC1001" s="17"/>
      <c r="AD1001" s="17"/>
      <c r="AE1001" s="140"/>
      <c r="AF1001" s="210"/>
      <c r="AG1001" s="205"/>
      <c r="AH1001" s="205"/>
      <c r="AI1001" s="205"/>
      <c r="AJ1001" s="205"/>
      <c r="AK1001" s="17"/>
      <c r="AL1001" s="17"/>
    </row>
    <row r="1002">
      <c r="A1002" s="119"/>
      <c r="B1002" s="154"/>
      <c r="C1002" s="89"/>
      <c r="D1002" s="55"/>
      <c r="E1002" s="119"/>
      <c r="F1002" s="154"/>
      <c r="G1002" s="192"/>
      <c r="H1002" s="193"/>
      <c r="I1002" s="119"/>
      <c r="J1002" s="154"/>
      <c r="K1002" s="89"/>
      <c r="L1002" s="55"/>
      <c r="M1002" s="119"/>
      <c r="N1002" s="194"/>
      <c r="O1002" s="89"/>
      <c r="P1002" s="55"/>
      <c r="Q1002" s="17"/>
      <c r="R1002" s="17"/>
      <c r="S1002" s="46"/>
      <c r="T1002" s="46"/>
      <c r="U1002" s="17"/>
      <c r="V1002" s="17"/>
      <c r="W1002" s="46"/>
      <c r="X1002" s="46"/>
      <c r="Y1002" s="17"/>
      <c r="Z1002" s="17"/>
      <c r="AA1002" s="140"/>
      <c r="AB1002" s="209"/>
      <c r="AC1002" s="17"/>
      <c r="AD1002" s="17"/>
      <c r="AE1002" s="140"/>
      <c r="AF1002" s="210"/>
      <c r="AG1002" s="119"/>
      <c r="AH1002" s="154"/>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211" t="s">
        <v>213</v>
      </c>
      <c r="B1" s="212"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C1" s="213" t="s">
        <v>214</v>
      </c>
      <c r="D1" s="212"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1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F1" s="215"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G1" s="21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H1" s="215"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I1" s="191" t="s">
        <v>216</v>
      </c>
      <c r="J1" s="216"/>
      <c r="K1" s="216"/>
      <c r="L1" s="216"/>
      <c r="M1" s="216"/>
      <c r="N1" s="216"/>
      <c r="O1" s="216"/>
      <c r="P1" s="216"/>
      <c r="Q1" s="216"/>
      <c r="R1" s="216"/>
      <c r="S1" s="216"/>
      <c r="T1" s="216"/>
      <c r="U1" s="216"/>
      <c r="V1" s="216"/>
      <c r="W1" s="216"/>
    </row>
    <row r="2" ht="67.5" customHeight="1">
      <c r="J2" s="216"/>
      <c r="K2" s="216"/>
      <c r="L2" s="216"/>
      <c r="M2" s="216"/>
      <c r="N2" s="216"/>
      <c r="O2" s="216"/>
      <c r="P2" s="216"/>
      <c r="Q2" s="216"/>
      <c r="R2" s="216"/>
      <c r="S2" s="216"/>
      <c r="T2" s="216"/>
      <c r="U2" s="216"/>
      <c r="V2" s="216"/>
      <c r="W2" s="216"/>
    </row>
    <row r="3">
      <c r="A3" s="52" t="s">
        <v>3205</v>
      </c>
      <c r="B3" s="217" t="str">
        <f>IFERROR(__xludf.DUMMYFUNCTION("GOOGLETRANSLATE(A3,""zh-tw"",""ja"")"),"異なるバージョン間でゲームを保存するには、保存ファイルを www-&gt;save から新しいバージョンの同じ場所に移動するだけです。")</f>
        <v>異なるバージョン間でゲームを保存するには、保存ファイルを www-&gt;save から新しいバージョンの同じ場所に移動するだけです。</v>
      </c>
      <c r="C3" s="52" t="s">
        <v>3206</v>
      </c>
      <c r="D3" s="217" t="s">
        <v>3207</v>
      </c>
      <c r="E3" s="55" t="str">
        <f>IFERROR(__xludf.DUMMYFUNCTION("GOOGLETRANSLATE(A3,""zh-tw"",""es-MX"")"),"Para guardar tu partida en diferentes versiones, simplemente mueve el archivo de guardado desde www-&gt;save a la misma ubicación en la nueva versión.")</f>
        <v>Para guardar tu partida en diferentes versiones, simplemente mueve el archivo de guardado desde www-&gt;save a la misma ubicación en la nueva versión.</v>
      </c>
      <c r="F3" s="218" t="str">
        <f>IFERROR(__xludf.DUMMYFUNCTION("GOOGLETRANSLATE(A3,""zh-tw"",""KO"")"),"여러 버전으로 게임을 저장하려면 저장 파일을 www-&gt;save에서 새 버전의 동일한 위치로 옮기면 됩니다.")</f>
        <v>여러 버전으로 게임을 저장하려면 저장 파일을 www-&gt;save에서 새 버전의 동일한 위치로 옮기면 됩니다.</v>
      </c>
      <c r="G3" s="55" t="str">
        <f>IFERROR(__xludf.DUMMYFUNCTION("GOOGLETRANSLATE(A3,""zh-tw"",""ru"")"),"Чтобы сохранить игру в разных версиях, просто переместите файл сохранения из www-&gt;save в то же место в новой версии.")</f>
        <v>Чтобы сохранить игру в разных версиях, просто переместите файл сохранения из www-&gt;save в то же место в новой версии.</v>
      </c>
      <c r="H3" s="217" t="s">
        <v>3208</v>
      </c>
      <c r="I3" s="188" t="s">
        <v>3209</v>
      </c>
      <c r="J3" s="46"/>
      <c r="K3" s="46"/>
      <c r="L3" s="46"/>
      <c r="M3" s="46"/>
      <c r="N3" s="46"/>
      <c r="O3" s="46"/>
      <c r="P3" s="46"/>
      <c r="Q3" s="46"/>
      <c r="R3" s="46"/>
      <c r="S3" s="46"/>
      <c r="T3" s="46"/>
      <c r="U3" s="46"/>
      <c r="V3" s="46"/>
      <c r="W3" s="46"/>
    </row>
    <row r="4">
      <c r="A4" s="52" t="s">
        <v>3210</v>
      </c>
      <c r="B4" s="217" t="str">
        <f>IFERROR(__xludf.DUMMYFUNCTION("GOOGLETRANSLATE(A4,""zh-tw"",""ja"")"),"ALTはアニメーションのパフォーマンスを加速します")</f>
        <v>ALTはアニメーションのパフォーマンスを加速します</v>
      </c>
      <c r="C4" s="52" t="s">
        <v>3211</v>
      </c>
      <c r="D4" s="217"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18" t="str">
        <f>IFERROR(__xludf.DUMMYFUNCTION("GOOGLETRANSLATE(A4,""zh-tw"",""KO"")"),"ALT는 애니메이션 성능을 가속화할 수 있습니다.")</f>
        <v>ALT는 애니메이션 성능을 가속화할 수 있습니다.</v>
      </c>
      <c r="G4" s="55" t="str">
        <f>IFERROR(__xludf.DUMMYFUNCTION("GOOGLETRANSLATE(A4,""zh-tw"",""ru"")"),"ALT может ускорить производительность анимации")</f>
        <v>ALT может ускорить производительность анимации</v>
      </c>
      <c r="H4" s="219" t="s">
        <v>3212</v>
      </c>
      <c r="I4" s="188" t="s">
        <v>3213</v>
      </c>
      <c r="J4" s="46"/>
      <c r="K4" s="46"/>
      <c r="L4" s="46"/>
      <c r="M4" s="46"/>
      <c r="N4" s="46"/>
      <c r="O4" s="46"/>
      <c r="P4" s="46"/>
      <c r="Q4" s="46"/>
      <c r="R4" s="46"/>
      <c r="S4" s="46"/>
      <c r="T4" s="46"/>
      <c r="U4" s="46"/>
      <c r="V4" s="46"/>
      <c r="W4" s="46"/>
    </row>
    <row r="5">
      <c r="A5" s="52" t="s">
        <v>3214</v>
      </c>
      <c r="B5" s="217" t="str">
        <f>IFERROR(__xludf.DUMMYFUNCTION("GOOGLETRANSLATE(A5,""zh-tw"",""ja"")"),"CTRL キーを押すと会話が速くなります。")</f>
        <v>CTRL キーを押すと会話が速くなります。</v>
      </c>
      <c r="C5" s="52" t="s">
        <v>3215</v>
      </c>
      <c r="D5" s="217" t="str">
        <f>IFERROR(__xludf.DUMMYFUNCTION("GOOGLETRANSLATE(A5,""zh-tw"",""zh"")"),"CTRL可加速对话")</f>
        <v>CTRL可加速对话</v>
      </c>
      <c r="E5" s="55" t="str">
        <f>IFERROR(__xludf.DUMMYFUNCTION("GOOGLETRANSLATE(A5,""zh-tw"",""es-MX"")"),"CTRL puede acelerar la conversación.")</f>
        <v>CTRL puede acelerar la conversación.</v>
      </c>
      <c r="F5" s="218"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17" t="s">
        <v>3216</v>
      </c>
      <c r="I5" s="188" t="s">
        <v>3217</v>
      </c>
      <c r="J5" s="46"/>
      <c r="K5" s="46"/>
      <c r="L5" s="46"/>
      <c r="M5" s="46"/>
      <c r="N5" s="46"/>
      <c r="O5" s="46"/>
      <c r="P5" s="46"/>
      <c r="Q5" s="46"/>
      <c r="R5" s="46"/>
      <c r="S5" s="46"/>
      <c r="T5" s="46"/>
      <c r="U5" s="46"/>
      <c r="V5" s="46"/>
      <c r="W5" s="46"/>
    </row>
    <row r="6">
      <c r="A6" s="52" t="s">
        <v>3218</v>
      </c>
      <c r="B6" s="217" t="str">
        <f>IFERROR(__xludf.DUMMYFUNCTION("GOOGLETRANSLATE(A6,""zh-tw"",""ja"")"),"Z キーを押すと、会話が進みます。")</f>
        <v>Z キーを押すと、会話が進みます。</v>
      </c>
      <c r="C6" s="52" t="s">
        <v>3219</v>
      </c>
      <c r="D6" s="217" t="str">
        <f>IFERROR(__xludf.DUMMYFUNCTION("GOOGLETRANSLATE(A6,""zh-tw"",""zh"")"),"Z键可以推进对话")</f>
        <v>Z键可以推进对话</v>
      </c>
      <c r="E6" s="55" t="str">
        <f>IFERROR(__xludf.DUMMYFUNCTION("GOOGLETRANSLATE(A6,""zh-tw"",""es-MX"")"),"La tecla Z hace avanzar el diálogo.")</f>
        <v>La tecla Z hace avanzar el diálogo.</v>
      </c>
      <c r="F6" s="218" t="str">
        <f>IFERROR(__xludf.DUMMYFUNCTION("GOOGLETRANSLATE(A6,""zh-tw"",""KO"")"),"Z 키는 대화를 진행합니다.")</f>
        <v>Z 키는 대화를 진행합니다.</v>
      </c>
      <c r="G6" s="55" t="str">
        <f>IFERROR(__xludf.DUMMYFUNCTION("GOOGLETRANSLATE(A6,""zh-tw"",""ru"")"),"Клавиша Z перемещает диалог вперед.")</f>
        <v>Клавиша Z перемещает диалог вперед.</v>
      </c>
      <c r="H6" s="217" t="s">
        <v>3220</v>
      </c>
      <c r="I6" s="188" t="s">
        <v>3221</v>
      </c>
      <c r="J6" s="46"/>
      <c r="K6" s="46"/>
      <c r="L6" s="46"/>
      <c r="M6" s="46"/>
      <c r="N6" s="46"/>
      <c r="O6" s="46"/>
      <c r="P6" s="46"/>
      <c r="Q6" s="46"/>
      <c r="R6" s="46"/>
      <c r="S6" s="46"/>
      <c r="T6" s="46"/>
      <c r="U6" s="46"/>
      <c r="V6" s="46"/>
      <c r="W6" s="46"/>
    </row>
    <row r="7">
      <c r="A7" s="52" t="s">
        <v>3222</v>
      </c>
      <c r="B7" s="217" t="str">
        <f>IFERROR(__xludf.DUMMYFUNCTION("GOOGLETRANSLATE(A7,""zh-tw"",""ja"")"),"カメラを入手したら、F7 ですぐにスクリーンショットを撮ることができます。")</f>
        <v>カメラを入手したら、F7 ですぐにスクリーンショットを撮ることができます。</v>
      </c>
      <c r="C7" s="52" t="s">
        <v>3223</v>
      </c>
      <c r="D7" s="217" t="str">
        <f>IFERROR(__xludf.DUMMYFUNCTION("GOOGLETRANSLATE(A7,""zh-tw"",""zh"")"),"在取得相机后，F7可快速截图")</f>
        <v>在取得相机后，F7可快速截图</v>
      </c>
      <c r="E7" s="55" t="str">
        <f>IFERROR(__xludf.DUMMYFUNCTION("GOOGLETRANSLATE(A7,""zh-tw"",""es-MX"")"),"Tras obtener la cámara, el F7 puede tomar rápidamente una captura de pantalla.")</f>
        <v>Tras obtener la cámara, el F7 puede tomar rápidamente una captura de pantalla.</v>
      </c>
      <c r="F7" s="218"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доступа к камере F7 может быстро сделать снимок экрана.")</f>
        <v>После получения доступа к камере F7 может быстро сделать снимок экрана.</v>
      </c>
      <c r="H7" s="217" t="s">
        <v>3224</v>
      </c>
      <c r="I7" s="188" t="s">
        <v>3225</v>
      </c>
      <c r="J7" s="46"/>
      <c r="K7" s="46"/>
      <c r="L7" s="46"/>
      <c r="M7" s="46"/>
      <c r="N7" s="46"/>
      <c r="O7" s="46"/>
      <c r="P7" s="46"/>
      <c r="Q7" s="46"/>
      <c r="R7" s="46"/>
      <c r="S7" s="46"/>
      <c r="T7" s="46"/>
      <c r="U7" s="46"/>
      <c r="V7" s="46"/>
      <c r="W7" s="46"/>
    </row>
    <row r="8">
      <c r="A8" s="52" t="s">
        <v>3226</v>
      </c>
      <c r="B8" s="217" t="str">
        <f>IFERROR(__xludf.DUMMYFUNCTION("GOOGLETRANSLATE(A8,""zh-tw"",""ja"")"),"F12 でコンソールを表示")</f>
        <v>F12 でコンソールを表示</v>
      </c>
      <c r="C8" s="52" t="s">
        <v>3227</v>
      </c>
      <c r="D8" s="217" t="str">
        <f>IFERROR(__xludf.DUMMYFUNCTION("GOOGLETRANSLATE(A8,""zh-tw"",""zh"")"),"F12可显示控制台")</f>
        <v>F12可显示控制台</v>
      </c>
      <c r="E8" s="55" t="str">
        <f>IFERROR(__xludf.DUMMYFUNCTION("GOOGLETRANSLATE(A8,""zh-tw"",""es-MX"")"),"F12 para mostrar la consola")</f>
        <v>F12 para mostrar la consola</v>
      </c>
      <c r="F8" s="218"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17" t="s">
        <v>3228</v>
      </c>
      <c r="I8" s="188" t="s">
        <v>3229</v>
      </c>
      <c r="J8" s="46"/>
      <c r="K8" s="46"/>
      <c r="L8" s="46"/>
      <c r="M8" s="46"/>
      <c r="N8" s="46"/>
      <c r="O8" s="46"/>
      <c r="P8" s="46"/>
      <c r="Q8" s="46"/>
      <c r="R8" s="46"/>
      <c r="S8" s="46"/>
      <c r="T8" s="46"/>
      <c r="U8" s="46"/>
      <c r="V8" s="46"/>
      <c r="W8" s="46"/>
    </row>
    <row r="9">
      <c r="A9" s="52" t="s">
        <v>3230</v>
      </c>
      <c r="B9" s="217" t="str">
        <f>IFERROR(__xludf.DUMMYFUNCTION("GOOGLETRANSLATE(A9,""zh-tw"",""ja"")"),"赤い進捗バーは愛情レベルを表します。満タンになるとハート（❤️）が与えられ、最大7個まで与えられます。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夜間レイドシナリオでは、青いバーが低いほど、シスターはより深く眠っており、目覚める可能性が低"&amp;"いことを示します。
2. 青いキャンディーを使用した後、一緒にゲームをプレイし、青いバーが完全に空になると、シスターは集中できておらず、ゲームに負けていることを示します。")</f>
        <v>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夜間レイドシナリオでは、青いバーが低いほど、シスターはより深く眠っており、目覚める可能性が低いことを示します。
2. 青いキャンディーを使用した後、一緒にゲームをプレイし、青いバーが完全に空になると、シスターは集中できておらず、ゲームに負けていることを示します。</v>
      </c>
      <c r="C9" s="52" t="s">
        <v>3231</v>
      </c>
      <c r="D9" s="217"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el nivel de afecto. Se otorga un corazón (❤️) cuando está llena, con un máximo de 7 corazones.
El porcentaje representa el valor de la atmósfera, también conocido como libido. Cuando supera el 100%, un corazón se conv"&amp;"ierte en un 💜. ""No"" otorga un corazón extra. En futuras versiones, tras la implementación de los eventos H, los 💜 se usarán como consumibles.
La barra de progreso azul representa el nivel de alerta de la hermana en escenarios específicos. Por ejemplo"&amp;":
1. En un escenario de incursión nocturna, una barra azul baja indica que la hermana está durmiendo profundamente y es menos probable que despierte.
2. Tras usar caramelos azules en una partida conjunta, una barra azul completamente vacía indica que la"&amp;" hermana no puede concentrarse, lo que provoca que pierda la partida.")</f>
        <v>La barra de progreso roja representa el nivel de afecto. Se otorga un corazón (❤️) cuando está llena, con un máximo de 7 corazones.
El porcentaje representa el valor de la atmósfera, también conocido como libido. Cuando supera el 100%, un corazón se convierte en un 💜. "No" otorga un corazón extra. En futuras versiones, tras la implementación de los eventos H, los 💜 se usarán como consumibles.
La barra de progreso azul representa el nivel de alerta de la hermana en escenarios específicos. Por ejemplo:
1. En un escenario de incursión nocturna, una barra azul baja indica que la hermana está durmiendo profundamente y es menos probable que despierte.
2. Tras usar caramelos azules en una partida conjunta, una barra azul completamente vacía indica que la hermana no puede concentrarse, lo que provoca que pierda la partida.</v>
      </c>
      <c r="F9" s="218" t="str">
        <f>IFERROR(__xludf.DUMMYFUNCTION("GOOGLETRANSLATE(A9,""zh-tw"",""KO"")"),"빨간색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막"&amp;"대가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f>
        <v>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v>
      </c>
      <c r="G9" s="55" t="str">
        <f>IFERROR(__xludf.DUMMYFUNCTION("GOOGLETRANSLATE(A9,""zh-tw"",""ru"")"),"Красная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💜."&amp;"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н"&amp;"очного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"&amp;"проигрышу.")</f>
        <v>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проигрышу.</v>
      </c>
      <c r="H9" s="217" t="s">
        <v>3232</v>
      </c>
      <c r="I9" s="188" t="s">
        <v>3233</v>
      </c>
      <c r="J9" s="46"/>
      <c r="K9" s="46"/>
      <c r="L9" s="46"/>
      <c r="M9" s="46"/>
      <c r="N9" s="46"/>
      <c r="O9" s="46"/>
      <c r="P9" s="46"/>
      <c r="Q9" s="46"/>
      <c r="R9" s="46"/>
      <c r="S9" s="46"/>
      <c r="T9" s="46"/>
      <c r="U9" s="46"/>
      <c r="V9" s="46"/>
      <c r="W9" s="46"/>
    </row>
    <row r="10">
      <c r="A10" s="52" t="s">
        <v>3234</v>
      </c>
      <c r="B10" s="217"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3235</v>
      </c>
      <c r="D10" s="217"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18"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17" t="s">
        <v>3236</v>
      </c>
      <c r="I10" s="188" t="s">
        <v>3237</v>
      </c>
      <c r="J10" s="46"/>
      <c r="K10" s="46"/>
      <c r="L10" s="46"/>
      <c r="M10" s="46"/>
      <c r="N10" s="46"/>
      <c r="O10" s="46"/>
      <c r="P10" s="46"/>
      <c r="Q10" s="46"/>
      <c r="R10" s="46"/>
      <c r="S10" s="46"/>
      <c r="T10" s="46"/>
      <c r="U10" s="46"/>
      <c r="V10" s="46"/>
      <c r="W10" s="46"/>
    </row>
    <row r="11">
      <c r="A11" s="52" t="s">
        <v>3238</v>
      </c>
      <c r="B11" s="217" t="s">
        <v>3239</v>
      </c>
      <c r="C11" s="52" t="s">
        <v>3240</v>
      </c>
      <c r="D11" s="217"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IFERROR(__xludf.DUMMYFUNCTION("GOOGLETRANSLATE(A11,""zh-tw"",""es-MX"")"),"El método actual para conseguir rápidamente el máximo de corazones rojos y morados consiste en jugar con tu hermana y hacer incursiones nocturnas.")</f>
        <v>El método actual para conseguir rápidamente el máximo de corazones rojos y morados consiste en jugar con tu hermana y hacer incursiones nocturnas.</v>
      </c>
      <c r="F11" s="218" t="str">
        <f>IFERROR(__xludf.DUMMYFUNCTION("GOOGLETRANSLATE(A11,""zh-tw"",""KO"")"),"빨간색과 보라색 하트를 빠르게 최대치로 모으는 현재 방법은 여동생과 게임을 하고 야간 공격을 하는 것입니다.")</f>
        <v>빨간색과 보라색 하트를 빠르게 최대치로 모으는 현재 방법은 여동생과 게임을 하고 야간 공격을 하는 것입니다.</v>
      </c>
      <c r="G11" s="55" t="str">
        <f>IFERROR(__xludf.DUMMYFUNCTION("GOOGLETRANSLATE(A11,""zh-tw"",""ru"")"),"Текущий способ быстро получить максимум красных и фиолетовых сердец — играть в игры с сестрой и совершать ночные рейды.")</f>
        <v>Текущий способ быстро получить максимум красных и фиолетовых сердец — играть в игры с сестрой и совершать ночные рейды.</v>
      </c>
      <c r="H11" s="217" t="s">
        <v>3241</v>
      </c>
      <c r="I11" s="188" t="s">
        <v>3242</v>
      </c>
      <c r="J11" s="46"/>
      <c r="K11" s="46"/>
      <c r="L11" s="46"/>
      <c r="M11" s="46"/>
      <c r="N11" s="46"/>
      <c r="O11" s="46"/>
      <c r="P11" s="46"/>
      <c r="Q11" s="46"/>
      <c r="R11" s="46"/>
      <c r="S11" s="46"/>
      <c r="T11" s="46"/>
      <c r="U11" s="46"/>
      <c r="V11" s="46"/>
      <c r="W11" s="46"/>
    </row>
    <row r="12">
      <c r="A12" s="52" t="s">
        <v>3243</v>
      </c>
      <c r="B12" s="217" t="s">
        <v>3244</v>
      </c>
      <c r="C12" s="52" t="s">
        <v>3245</v>
      </c>
      <c r="D12" s="217" t="str">
        <f>IFERROR(__xludf.DUMMYFUNCTION("GOOGLETRANSLATE(A12,""zh-tw"",""zh"")"),"想和妹妹共浴吗? 请先到达2爱心")</f>
        <v>想和妹妹共浴吗? 请先到达2爱心</v>
      </c>
      <c r="E12" s="55" t="str">
        <f>IFERROR(__xludf.DUMMYFUNCTION("GOOGLETRANSLATE(A12,""zh-tw"",""es-MX"")"),"¿Quieres bañarte con tu hermana? Primero debes alcanzar 2 corazones.")</f>
        <v>¿Quieres bañarte con tu hermana? Primero debes alcanzar 2 corazones.</v>
      </c>
      <c r="F12" s="218" t="str">
        <f>IFERROR(__xludf.DUMMYFUNCTION("GOOGLETRANSLATE(A12,""zh-tw"",""KO"")"),"언니랑 같이 목욕하고 싶으세요? 먼저 하트 2개를 달성하세요.")</f>
        <v>언니랑 같이 목욕하고 싶으세요? 먼저 하트 2개를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17" t="s">
        <v>3246</v>
      </c>
      <c r="I12" s="188" t="s">
        <v>3247</v>
      </c>
      <c r="J12" s="46"/>
      <c r="K12" s="46"/>
      <c r="L12" s="46"/>
      <c r="M12" s="46"/>
      <c r="N12" s="46"/>
      <c r="O12" s="46"/>
      <c r="P12" s="46"/>
      <c r="Q12" s="46"/>
      <c r="R12" s="46"/>
      <c r="S12" s="46"/>
      <c r="T12" s="46"/>
      <c r="U12" s="46"/>
      <c r="V12" s="46"/>
      <c r="W12" s="46"/>
    </row>
    <row r="13">
      <c r="A13" s="52" t="s">
        <v>3248</v>
      </c>
      <c r="B13" s="217" t="s">
        <v>3249</v>
      </c>
      <c r="C13" s="52" t="s">
        <v>3250</v>
      </c>
      <c r="D13" s="217"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por desgracia te encuentras con un control, simplemente puedes esperar hasta las 5 PM y regresarás automáticamente a casa.")</f>
        <v>Si por desgracia te encuentras con un control, simplemente puedes esperar hasta las 5 PM y regresarás automáticamente a casa.</v>
      </c>
      <c r="F13" s="218" t="str">
        <f>IFERROR(__xludf.DUMMYFUNCTION("GOOGLETRANSLATE(A13,""zh-tw"",""KO"")"),"불행히도 검문소에 도착하면 오후 5시까지 기다리면 자동으로 집으로 돌아갈 수 있습니다.")</f>
        <v>불행히도 검문소에 도착하면 오후 5시까지 기다리면 자동으로 집으로 돌아갈 수 있습니다.</v>
      </c>
      <c r="G13" s="55" t="str">
        <f>IFERROR(__xludf.DUMMYFUNCTION("GOOGLETRANSLATE(A13,""zh-tw"",""ru"")"),"Если вы, к сожалению, встретите контрольно-пропускной пункт, вы можете просто подождать до 17:00 и автоматически вернуться домой.")</f>
        <v>Если вы, к сожалению, встретите контрольно-пропускной пункт, вы можете просто подождать до 17:00 и автоматически вернуться домой.</v>
      </c>
      <c r="H13" s="217" t="s">
        <v>3251</v>
      </c>
      <c r="I13" s="188" t="s">
        <v>3252</v>
      </c>
      <c r="J13" s="46"/>
      <c r="K13" s="46"/>
      <c r="L13" s="46"/>
      <c r="M13" s="46"/>
      <c r="N13" s="46"/>
      <c r="O13" s="46"/>
      <c r="P13" s="46"/>
      <c r="Q13" s="46"/>
      <c r="R13" s="46"/>
      <c r="S13" s="46"/>
      <c r="T13" s="46"/>
      <c r="U13" s="46"/>
      <c r="V13" s="46"/>
      <c r="W13" s="46"/>
    </row>
    <row r="14">
      <c r="A14" s="52" t="s">
        <v>3253</v>
      </c>
      <c r="B14" s="217" t="str">
        <f>IFERROR(__xludf.DUMMYFUNCTION("GOOGLETRANSLATE(A14,""zh-tw"",""ja"")"),"夜襲は兄の性欲が一定値を超えた時のみ発動します。")</f>
        <v>夜襲は兄の性欲が一定値を超えた時のみ発動します。</v>
      </c>
      <c r="C14" s="52" t="s">
        <v>3254</v>
      </c>
      <c r="D14" s="217" t="str">
        <f>IFERROR(__xludf.DUMMYFUNCTION("GOOGLETRANSLATE(A14,""zh-tw"",""zh"")"),"当哥哥性欲值高于一定数值才会触发夜袭")</f>
        <v>当哥哥性欲值高于一定数值才会触发夜袭</v>
      </c>
      <c r="E14" s="55" t="str">
        <f>IFERROR(__xludf.DUMMYFUNCTION("GOOGLETRANSLATE(A14,""zh-tw"",""es-MX"")"),"La incursión nocturna solo se activará cuando la libido del hermano mayor supere cierto valor.")</f>
        <v>La incursión nocturna solo se activará cuando la libido del hermano mayor supere cierto valor.</v>
      </c>
      <c r="F14" s="218" t="str">
        <f>IFERROR(__xludf.DUMMYFUNCTION("GOOGLETRANSLATE(A14,""zh-tw"",""KO"")"),"나이트 레이드는 형의 리비도가 일정 수치를 넘을 때만 발동됩니다.")</f>
        <v>나이트 레이드는 형의 리비도가 일정 수치를 넘을 때만 발동됩니다.</v>
      </c>
      <c r="G14" s="55" t="str">
        <f>IFERROR(__xludf.DUMMYFUNCTION("GOOGLETRANSLATE(A14,""zh-tw"",""ru"")"),"Ночной рейд произойдет только тогда, когда либидо старшего брата превысит определенное значение.")</f>
        <v>Ночной рейд произойдет только тогда, когда либидо старшего брата превысит определенное значение.</v>
      </c>
      <c r="H14" s="217" t="s">
        <v>3255</v>
      </c>
      <c r="I14" s="188" t="s">
        <v>3256</v>
      </c>
      <c r="J14" s="46"/>
      <c r="K14" s="46"/>
      <c r="L14" s="46"/>
      <c r="M14" s="46"/>
      <c r="N14" s="46"/>
      <c r="O14" s="46"/>
      <c r="P14" s="46"/>
      <c r="Q14" s="46"/>
      <c r="R14" s="46"/>
      <c r="S14" s="46"/>
      <c r="T14" s="46"/>
      <c r="U14" s="46"/>
      <c r="V14" s="46"/>
      <c r="W14" s="46"/>
    </row>
    <row r="15">
      <c r="A15" s="52" t="s">
        <v>3257</v>
      </c>
      <c r="B15" s="217" t="str">
        <f>IFERROR(__xludf.DUMMYFUNCTION("GOOGLETRANSLATE(A15,""zh-tw"",""ja"")"),"ガシャポンマシンを壊してしまっても心配ありません。タロットカードを使えばいつでも再召喚できます。")</f>
        <v>ガシャポンマシンを壊してしまっても心配ありません。タロットカードを使えばいつでも再召喚できます。</v>
      </c>
      <c r="C15" s="52" t="s">
        <v>3258</v>
      </c>
      <c r="D15" s="217"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rompes la máquina gashapon; puedes volver a invocarla en cualquier momento usando cartas del tarot.")</f>
        <v>No te preocupes si rompes la máquina gashapon; puedes volver a invocarla en cualquier momento usando cartas del tarot.</v>
      </c>
      <c r="F15" s="218" t="str">
        <f>IFERROR(__xludf.DUMMYFUNCTION("GOOGLETRANSLATE(A15,""zh-tw"",""KO"")"),"가샤폰 기계가 망가져도 걱정하지 마세요. 타로 카드를 사용하면 언제든지 다시 소환할 수 있습니다.")</f>
        <v>가샤폰 기계가 망가져도 걱정하지 마세요. 타로 카드를 사용하면 언제든지 다시 소환할 수 있습니다.</v>
      </c>
      <c r="G15" s="55" t="str">
        <f>IFERROR(__xludf.DUMMYFUNCTION("GOOGLETRANSLATE(A15,""zh-tw"",""ru"")"),"Не волнуйтесь, если вы сломаете машину гашапона: вы сможете вызвать ее снова в любое время с помощью карт Таро.")</f>
        <v>Не волнуйтесь, если вы сломаете машину гашапона: вы сможете вызвать ее снова в любое время с помощью карт Таро.</v>
      </c>
      <c r="H15" s="217" t="s">
        <v>3259</v>
      </c>
      <c r="I15" s="166" t="s">
        <v>3260</v>
      </c>
      <c r="J15" s="46"/>
      <c r="K15" s="46"/>
      <c r="L15" s="46"/>
      <c r="M15" s="46"/>
      <c r="N15" s="46"/>
      <c r="O15" s="46"/>
      <c r="P15" s="46"/>
      <c r="Q15" s="46"/>
      <c r="R15" s="46"/>
      <c r="S15" s="46"/>
      <c r="T15" s="46"/>
      <c r="U15" s="46"/>
      <c r="V15" s="46"/>
      <c r="W15" s="46"/>
    </row>
    <row r="16">
      <c r="A16" s="52" t="s">
        <v>3261</v>
      </c>
      <c r="B16" s="217" t="str">
        <f>IFERROR(__xludf.DUMMYFUNCTION("GOOGLETRANSLATE(A16,""zh-tw"",""ja"")"),"ガチャポンの後ろから近づくとジャンプします。")</f>
        <v>ガチャポンの後ろから近づくとジャンプします。</v>
      </c>
      <c r="C16" s="52" t="s">
        <v>3262</v>
      </c>
      <c r="D16" s="217" t="str">
        <f>IFERROR(__xludf.DUMMYFUNCTION("GOOGLETRANSLATE(A16,""zh-tw"",""zh"")"),"从后方接近扭蛋机，扭蛋机会跳起")</f>
        <v>从后方接近扭蛋机，扭蛋机会跳起</v>
      </c>
      <c r="E16" s="55" t="str">
        <f>IFERROR(__xludf.DUMMYFUNCTION("GOOGLETRANSLATE(A16,""zh-tw"",""es-MX"")"),"Acércate a la máquina Gachapon por detrás y saltará.")</f>
        <v>Acércate a la máquina Gachapon por detrás y saltará.</v>
      </c>
      <c r="F16" s="218" t="str">
        <f>IFERROR(__xludf.DUMMYFUNCTION("GOOGLETRANSLATE(A16,""zh-tw"",""KO"")"),"가챠폰 기계 뒤쪽으로 다가가면 기계가 뛰어오릅니다.")</f>
        <v>가챠폰 기계 뒤쪽으로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17" t="s">
        <v>3263</v>
      </c>
      <c r="I16" s="188" t="s">
        <v>3264</v>
      </c>
      <c r="J16" s="46"/>
      <c r="K16" s="46"/>
      <c r="L16" s="46"/>
      <c r="M16" s="46"/>
      <c r="N16" s="46"/>
      <c r="O16" s="46"/>
      <c r="P16" s="46"/>
      <c r="Q16" s="46"/>
      <c r="R16" s="46"/>
      <c r="S16" s="46"/>
      <c r="T16" s="46"/>
      <c r="U16" s="46"/>
      <c r="V16" s="46"/>
      <c r="W16" s="46"/>
    </row>
    <row r="17">
      <c r="A17" s="52" t="s">
        <v>3265</v>
      </c>
      <c r="B17" s="217" t="s">
        <v>3266</v>
      </c>
      <c r="C17" s="52" t="s">
        <v>3267</v>
      </c>
      <c r="D17" s="217" t="str">
        <f>IFERROR(__xludf.DUMMYFUNCTION("GOOGLETRANSLATE(A17,""zh-tw"",""zh"")"),"扭蛋奖品可以使用远距离武器攻击，快速开启")</f>
        <v>扭蛋奖品可以使用远距离武器攻击，快速开启</v>
      </c>
      <c r="E17" s="55" t="str">
        <f>IFERROR(__xludf.DUMMYFUNCTION("GOOGLETRANSLATE(A17,""zh-tw"",""es-MX"")"),"Los premios Gacha se pueden usar para atacar con armas a distancia y se pueden abrir rápidamente.")</f>
        <v>Los premios Gacha se pueden usar para atacar con armas a distancia y se pueden abrir rápidamente.</v>
      </c>
      <c r="F17" s="218" t="str">
        <f>IFERROR(__xludf.DUMMYFUNCTION("GOOGLETRANSLATE(A17,""zh-tw"",""KO"")"),"가챠 상품은 원거리 무기로 공격하는 데 사용할 수 있으며 빠르게 열 수 있습니다.")</f>
        <v>가챠 상품은 원거리 무기로 공격하는 데 사용할 수 있으며 빠르게 열 수 있습니다.</v>
      </c>
      <c r="G17" s="55" t="str">
        <f>IFERROR(__xludf.DUMMYFUNCTION("GOOGLETRANSLATE(A17,""zh-tw"",""ru"")"),"Призы Гачи можно использовать для атаки оружием дальнего боя и открывать их можно быстро.")</f>
        <v>Призы Гачи можно использовать для атаки оружием дальнего боя и открывать их можно быстро.</v>
      </c>
      <c r="H17" s="217" t="s">
        <v>3268</v>
      </c>
      <c r="I17" s="188" t="s">
        <v>3269</v>
      </c>
      <c r="J17" s="46"/>
      <c r="K17" s="46"/>
      <c r="L17" s="46"/>
      <c r="M17" s="46"/>
      <c r="N17" s="46"/>
      <c r="O17" s="46"/>
      <c r="P17" s="46"/>
      <c r="Q17" s="46"/>
      <c r="R17" s="46"/>
      <c r="S17" s="46"/>
      <c r="T17" s="46"/>
      <c r="U17" s="46"/>
      <c r="V17" s="46"/>
      <c r="W17" s="46"/>
    </row>
    <row r="18">
      <c r="A18" s="52" t="s">
        <v>3270</v>
      </c>
      <c r="B18" s="217" t="s">
        <v>3271</v>
      </c>
      <c r="C18" s="52" t="s">
        <v>3272</v>
      </c>
      <c r="D18" s="217" t="str">
        <f>IFERROR(__xludf.DUMMYFUNCTION("GOOGLETRANSLATE(A18,""zh-tw"",""zh"")"),"扭蛋机的金蛋只有2%概率出现")</f>
        <v>扭蛋机的金蛋只有2%概率出现</v>
      </c>
      <c r="E18" s="55" t="str">
        <f>IFERROR(__xludf.DUMMYFUNCTION("GOOGLETRANSLATE(A18,""zh-tw"",""es-MX"")"),"El huevo dorado de la máquina gashapon tiene solo un 2% de probabilidades de aparecer.")</f>
        <v>El huevo dorado de la máquina gashapon tiene solo un 2% de probabilidades de aparecer.</v>
      </c>
      <c r="F18" s="218" t="str">
        <f>IFERROR(__xludf.DUMMYFUNCTION("GOOGLETRANSLATE(A18,""zh-tw"",""KO"")"),"가샤폰 기계에서 황금알이 나올 확률은 2%에 불과합니다.")</f>
        <v>가샤폰 기계에서 황금알이 나올 확률은 2%에 불과합니다.</v>
      </c>
      <c r="G18" s="55" t="str">
        <f>IFERROR(__xludf.DUMMYFUNCTION("GOOGLETRANSLATE(A18,""zh-tw"",""ru"")"),"Вероятность появления золотого яйца в автомате по производству гасяпонов составляет всего 2%.")</f>
        <v>Вероятность появления золотого яйца в автомате по производству гасяпонов составляет всего 2%.</v>
      </c>
      <c r="H18" s="217" t="s">
        <v>3273</v>
      </c>
      <c r="I18" s="188" t="s">
        <v>3274</v>
      </c>
      <c r="J18" s="46"/>
      <c r="K18" s="46"/>
      <c r="L18" s="46"/>
      <c r="M18" s="46"/>
      <c r="N18" s="46"/>
      <c r="O18" s="46"/>
      <c r="P18" s="46"/>
      <c r="Q18" s="46"/>
      <c r="R18" s="46"/>
      <c r="S18" s="46"/>
      <c r="T18" s="46"/>
      <c r="U18" s="46"/>
      <c r="V18" s="46"/>
      <c r="W18" s="46"/>
    </row>
    <row r="19">
      <c r="A19" s="52" t="s">
        <v>3275</v>
      </c>
      <c r="B19" s="217" t="s">
        <v>3276</v>
      </c>
      <c r="C19" s="52" t="s">
        <v>3277</v>
      </c>
      <c r="D19" s="217"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18"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17" t="s">
        <v>3278</v>
      </c>
      <c r="I19" s="188" t="s">
        <v>3279</v>
      </c>
      <c r="J19" s="46"/>
      <c r="K19" s="46"/>
      <c r="L19" s="46"/>
      <c r="M19" s="46"/>
      <c r="N19" s="46"/>
      <c r="O19" s="46"/>
      <c r="P19" s="46"/>
      <c r="Q19" s="46"/>
      <c r="R19" s="46"/>
      <c r="S19" s="46"/>
      <c r="T19" s="46"/>
      <c r="U19" s="46"/>
      <c r="V19" s="46"/>
      <c r="W19" s="46"/>
    </row>
    <row r="20">
      <c r="A20" s="52" t="s">
        <v>3280</v>
      </c>
      <c r="B20" s="217" t="s">
        <v>3281</v>
      </c>
      <c r="C20" s="52" t="s">
        <v>3282</v>
      </c>
      <c r="D20" s="217"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introducir dinero en la máquina Gachapon, es mejor asegurarse de que la máquina esté intacta, ya que el estado de la máquina afectará al número de Gachapon.")</f>
        <v>Antes de introducir dinero en la máquina Gachapon, es mejor asegurarse de que la máquina esté intacta, ya que el estado de la máquina afectará al número de Gachapon.</v>
      </c>
      <c r="F20" s="218"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17" t="s">
        <v>3283</v>
      </c>
      <c r="I20" s="188" t="s">
        <v>3284</v>
      </c>
      <c r="J20" s="46"/>
      <c r="K20" s="46"/>
      <c r="L20" s="46"/>
      <c r="M20" s="46"/>
      <c r="N20" s="46"/>
      <c r="O20" s="46"/>
      <c r="P20" s="46"/>
      <c r="Q20" s="46"/>
      <c r="R20" s="46"/>
      <c r="S20" s="46"/>
      <c r="T20" s="46"/>
      <c r="U20" s="46"/>
      <c r="V20" s="46"/>
      <c r="W20" s="46"/>
    </row>
    <row r="21">
      <c r="A21" s="52" t="s">
        <v>3285</v>
      </c>
      <c r="B21" s="217" t="s">
        <v>3286</v>
      </c>
      <c r="C21" s="52" t="s">
        <v>3287</v>
      </c>
      <c r="D21" s="217" t="str">
        <f>IFERROR(__xludf.DUMMYFUNCTION("GOOGLETRANSLATE(A21,""zh-tw"",""zh"")"),"召唤门若位置不好，可以破坏并重新召唤")</f>
        <v>召唤门若位置不好，可以破坏并重新召唤</v>
      </c>
      <c r="E21" s="55" t="str">
        <f>IFERROR(__xludf.DUMMYFUNCTION("GOOGLETRANSLATE(A21,""zh-tw"",""es-MX"")"),"Si el portal de invocación está mal ubicado, puede ser destruido y vuelto a invocar.")</f>
        <v>Si el portal de invocación está mal ubicado, puede ser destruido y vuelto a invocar.</v>
      </c>
      <c r="F21" s="218" t="str">
        <f>IFERROR(__xludf.DUMMYFUNCTION("GOOGLETRANSLATE(A21,""zh-tw"",""KO"")"),"소환 포털의 위치가 좋지 않으면 파괴되었다가 다시 소환될 수 있습니다.")</f>
        <v>소환 포털의 위치가 좋지 않으면 파괴되었다가 다시 소환될 수 있습니다.</v>
      </c>
      <c r="G21" s="55" t="str">
        <f>IFERROR(__xludf.DUMMYFUNCTION("GOOGLETRANSLATE(A21,""zh-tw"",""ru"")"),"Если призывающий портал расположен неудачно, его можно разрушить и призвать заново.")</f>
        <v>Если призывающий портал расположен неудачно, его можно разрушить и призвать заново.</v>
      </c>
      <c r="H21" s="217" t="s">
        <v>3288</v>
      </c>
      <c r="I21" s="188" t="s">
        <v>3289</v>
      </c>
      <c r="J21" s="46"/>
      <c r="K21" s="46"/>
      <c r="L21" s="46"/>
      <c r="M21" s="46"/>
      <c r="N21" s="46"/>
      <c r="O21" s="46"/>
      <c r="P21" s="46"/>
      <c r="Q21" s="46"/>
      <c r="R21" s="46"/>
      <c r="S21" s="46"/>
      <c r="T21" s="46"/>
      <c r="U21" s="46"/>
      <c r="V21" s="46"/>
      <c r="W21" s="46"/>
    </row>
    <row r="22">
      <c r="A22" s="52" t="s">
        <v>3290</v>
      </c>
      <c r="B22" s="217" t="s">
        <v>3291</v>
      </c>
      <c r="C22" s="52" t="s">
        <v>3292</v>
      </c>
      <c r="D22" s="217"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IFERROR(__xludf.DUMMYFUNCTION("GOOGLETRANSLATE(A22,""zh-tw"",""es-MX"")"),"Las probabilidades de ser descubierta por la hermana menor mientras espías en una casa de baños dependen de la frecuencia con la que se abra la puerta.")</f>
        <v>Las probabilidades de ser descubierta por la hermana menor mientras espías en una casa de baños dependen de la frecuencia con la que se abra la puerta.</v>
      </c>
      <c r="F22" s="218" t="str">
        <f>IFERROR(__xludf.DUMMYFUNCTION("GOOGLETRANSLATE(A22,""zh-tw"",""KO"")"),"여동생이 목욕탕을 엿보는 것을 발견할 확률은 문을 얼마나 자주 여는지에 따라 달라집니다.")</f>
        <v>여동생이 목욕탕을 엿보는 것을 발견할 확률은 문을 얼마나 자주 여는지에 따라 달라집니다.</v>
      </c>
      <c r="G22" s="55" t="str">
        <f>IFERROR(__xludf.DUMMYFUNCTION("GOOGLETRANSLATE(A22,""zh-tw"",""ru"")"),"Вероятность того, что младшая сестра обнаружит вас, подглядывая в баню, зависит от того, как часто открывается дверь.")</f>
        <v>Вероятность того, что младшая сестра обнаружит вас, подглядывая в баню, зависит от того, как часто открывается дверь.</v>
      </c>
      <c r="H22" s="217" t="s">
        <v>3293</v>
      </c>
      <c r="I22" s="166" t="s">
        <v>3294</v>
      </c>
      <c r="J22" s="46"/>
      <c r="K22" s="46"/>
      <c r="L22" s="46"/>
      <c r="M22" s="46"/>
      <c r="N22" s="46"/>
      <c r="O22" s="46"/>
      <c r="P22" s="46"/>
      <c r="Q22" s="46"/>
      <c r="R22" s="46"/>
      <c r="S22" s="46"/>
      <c r="T22" s="46"/>
      <c r="U22" s="46"/>
      <c r="V22" s="46"/>
      <c r="W22" s="46"/>
    </row>
    <row r="23">
      <c r="A23" s="52" t="s">
        <v>3295</v>
      </c>
      <c r="B23" s="217" t="str">
        <f>IFERROR(__xludf.DUMMYFUNCTION("GOOGLETRANSLATE(A23,""zh-tw"",""ja"")"),"メカが消えるとマップ名が変わります。")</f>
        <v>メカが消えるとマップ名が変わります。</v>
      </c>
      <c r="C23" s="52" t="s">
        <v>3296</v>
      </c>
      <c r="D23" s="217" t="str">
        <f>IFERROR(__xludf.DUMMYFUNCTION("GOOGLETRANSLATE(A23,""zh-tw"",""zh"")"),"机甲消失后，该地图名称会改变")</f>
        <v>机甲消失后，该地图名称会改变</v>
      </c>
      <c r="E23" s="55" t="str">
        <f>IFERROR(__xludf.DUMMYFUNCTION("GOOGLETRANSLATE(A23,""zh-tw"",""es-MX"")"),"El nombre del mapa cambiará después de que el mecha desaparezca.")</f>
        <v>El nombre del mapa cambiará después de que el mecha desaparezca.</v>
      </c>
      <c r="F23" s="218" t="str">
        <f>IFERROR(__xludf.DUMMYFUNCTION("GOOGLETRANSLATE(A23,""zh-tw"",""KO"")"),"메카가 사라지면 맵 이름이 변경됩니다.")</f>
        <v>메카가 사라지면 맵 이름이 변경됩니다.</v>
      </c>
      <c r="G23" s="55" t="str">
        <f>IFERROR(__xludf.DUMMYFUNCTION("GOOGLETRANSLATE(A23,""zh-tw"",""ru"")"),"Название карты изменится после исчезновения меха.")</f>
        <v>Название карты изменится после исчезновения меха.</v>
      </c>
      <c r="H23" s="217" t="s">
        <v>3297</v>
      </c>
      <c r="I23" s="166" t="s">
        <v>3298</v>
      </c>
      <c r="J23" s="46"/>
      <c r="K23" s="46"/>
      <c r="L23" s="46"/>
      <c r="M23" s="46"/>
      <c r="N23" s="46"/>
      <c r="O23" s="46"/>
      <c r="P23" s="46"/>
      <c r="Q23" s="46"/>
      <c r="R23" s="46"/>
      <c r="S23" s="46"/>
      <c r="T23" s="46"/>
      <c r="U23" s="46"/>
      <c r="V23" s="46"/>
      <c r="W23" s="46"/>
    </row>
    <row r="24">
      <c r="A24" s="52" t="s">
        <v>3299</v>
      </c>
      <c r="B24" s="217" t="s">
        <v>3300</v>
      </c>
      <c r="C24" s="52" t="s">
        <v>3301</v>
      </c>
      <c r="D24" s="217"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18" t="str">
        <f>IFERROR(__xludf.DUMMYFUNCTION("GOOGLETRANSLATE(A24,""zh-tw"",""KO"")"),"다른 버전의 보관 파일을 읽을 때 특수 필드가 표시됩니다.")</f>
        <v>다른 버전의 보관 파일을 읽을 때 특수 필드가 표시됩니다.</v>
      </c>
      <c r="G24" s="55" t="str">
        <f>IFERROR(__xludf.DUMMYFUNCTION("GOOGLETRANSLATE(A24,""zh-tw"",""ru"")"),"При чтении архивов других версий будут отображаться специальные поля.")</f>
        <v>При чтении архивов других версий будут отображаться специальные поля.</v>
      </c>
      <c r="H24" s="217" t="s">
        <v>3302</v>
      </c>
      <c r="I24" s="166" t="s">
        <v>3303</v>
      </c>
      <c r="J24" s="46"/>
      <c r="K24" s="46"/>
      <c r="L24" s="46"/>
      <c r="M24" s="46"/>
      <c r="N24" s="46"/>
      <c r="O24" s="46"/>
      <c r="P24" s="46"/>
      <c r="Q24" s="46"/>
      <c r="R24" s="46"/>
      <c r="S24" s="46"/>
      <c r="T24" s="46"/>
      <c r="U24" s="46"/>
      <c r="V24" s="46"/>
      <c r="W24" s="46"/>
    </row>
    <row r="25">
      <c r="A25" s="52" t="s">
        <v>3304</v>
      </c>
      <c r="B25" s="217" t="s">
        <v>3305</v>
      </c>
      <c r="C25" s="52" t="s">
        <v>3306</v>
      </c>
      <c r="D25" s="217" t="str">
        <f>IFERROR(__xludf.DUMMYFUNCTION("GOOGLETRANSLATE(A25,""zh-tw"",""zh"")"),"矿车行进中，可使用远距离武器攻击方向舵")</f>
        <v>矿车行进中，可使用远距离武器攻击方向舵</v>
      </c>
      <c r="E25" s="55" t="str">
        <f>IFERROR(__xludf.DUMMYFUNCTION("GOOGLETRANSLATE(A25,""zh-tw"",""es-MX"")"),"Mientras la vagoneta está en movimiento, puedes usar armas de largo alcance para atacar el timón.")</f>
        <v>Mientras la vagoneta está en movimiento, puedes usar armas de largo alcance para atacar el timón.</v>
      </c>
      <c r="F25" s="218"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17" t="s">
        <v>3307</v>
      </c>
      <c r="I25" s="188" t="s">
        <v>3308</v>
      </c>
      <c r="J25" s="46"/>
      <c r="K25" s="46"/>
      <c r="L25" s="46"/>
      <c r="M25" s="46"/>
      <c r="N25" s="46"/>
      <c r="O25" s="46"/>
      <c r="P25" s="46"/>
      <c r="Q25" s="46"/>
      <c r="R25" s="46"/>
      <c r="S25" s="46"/>
      <c r="T25" s="46"/>
      <c r="U25" s="46"/>
      <c r="V25" s="46"/>
      <c r="W25" s="46"/>
    </row>
    <row r="26">
      <c r="A26" s="52" t="s">
        <v>3309</v>
      </c>
      <c r="B26" s="217" t="s">
        <v>3310</v>
      </c>
      <c r="C26" s="52" t="s">
        <v>3311</v>
      </c>
      <c r="D26" s="217" t="str">
        <f>IFERROR(__xludf.DUMMYFUNCTION("GOOGLETRANSLATE(A26,""zh-tw"",""zh"")"),"电击类武器碰到水...你懂的~ 包含下雨天")</f>
        <v>电击类武器碰到水...你懂的~ 包含下雨天</v>
      </c>
      <c r="E26" s="55" t="str">
        <f>IFERROR(__xludf.DUMMYFUNCTION("GOOGLETRANSLATE(A26,""zh-tw"",""es-MX"")"),"Las armas de electrochoque que entran en contacto con el agua... ya sabes lo que eso significa~ incluso en días lluviosos.")</f>
        <v>Las armas de electrochoque que entran en contacto con el agua... ya sabes lo que eso significa~ incluso en días lluviosos.</v>
      </c>
      <c r="F26" s="218" t="str">
        <f>IFERROR(__xludf.DUMMYFUNCTION("GOOGLETRANSLATE(A26,""zh-tw"",""KO"")"),"전기 충격 무기가 물에 닿으면... 무슨 뜻인지 아시죠~ 비오는 날도 포함해서요.")</f>
        <v>전기 충격 무기가 물에 닿으면... 무슨 뜻인지 아시죠~ 비오는 날도 포함해서요.</v>
      </c>
      <c r="G26" s="55" t="str">
        <f>IFERROR(__xludf.DUMMYFUNCTION("GOOGLETRANSLATE(A26,""zh-tw"",""ru"")"),"Электрошоковое оружие контактирует с водой...вы знаете, что это значит~включая дождливые дни.")</f>
        <v>Электрошоковое оружие контактирует с водой...вы знаете, что это значит~включая дождливые дни.</v>
      </c>
      <c r="H26" s="217" t="s">
        <v>3312</v>
      </c>
      <c r="I26" s="188" t="s">
        <v>3313</v>
      </c>
      <c r="J26" s="46"/>
      <c r="K26" s="46"/>
      <c r="L26" s="46"/>
      <c r="M26" s="46"/>
      <c r="N26" s="46"/>
      <c r="O26" s="46"/>
      <c r="P26" s="46"/>
      <c r="Q26" s="46"/>
      <c r="R26" s="46"/>
      <c r="S26" s="46"/>
      <c r="T26" s="46"/>
      <c r="U26" s="46"/>
      <c r="V26" s="46"/>
      <c r="W26" s="46"/>
    </row>
    <row r="27">
      <c r="A27" s="52" t="s">
        <v>3314</v>
      </c>
      <c r="B27" s="217" t="s">
        <v>3315</v>
      </c>
      <c r="C27" s="52" t="s">
        <v>3316</v>
      </c>
      <c r="D27" s="217" t="str">
        <f>IFERROR(__xludf.DUMMYFUNCTION("GOOGLETRANSLATE(A27,""zh-tw"",""zh"")"),"炸弹除了无视防御炸岩石、炸水面，还可以炸自己")</f>
        <v>炸弹除了无视防御炸岩石、炸水面，还可以炸自己</v>
      </c>
      <c r="E27" s="55" t="str">
        <f>IFERROR(__xludf.DUMMYFUNCTION("GOOGLETRANSLATE(A27,""zh-tw"",""es-MX"")"),"Además de ignorar las defensas y volar rocas y superficies de agua, las bombas también pueden explotar por sí mismas.")</f>
        <v>Además de ignorar las defensas y volar rocas y superficies de agua, las bombas también pueden explotar por sí mismas.</v>
      </c>
      <c r="F27" s="218"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17" t="s">
        <v>3317</v>
      </c>
      <c r="I27" s="188" t="s">
        <v>3318</v>
      </c>
      <c r="J27" s="46"/>
      <c r="K27" s="46"/>
      <c r="L27" s="46"/>
      <c r="M27" s="46"/>
      <c r="N27" s="46"/>
      <c r="O27" s="46"/>
      <c r="P27" s="46"/>
      <c r="Q27" s="46"/>
      <c r="R27" s="46"/>
      <c r="S27" s="46"/>
      <c r="T27" s="46"/>
      <c r="U27" s="46"/>
      <c r="V27" s="46"/>
      <c r="W27" s="46"/>
    </row>
    <row r="28">
      <c r="A28" s="52" t="s">
        <v>3319</v>
      </c>
      <c r="B28" s="217" t="str">
        <f>IFERROR(__xludf.DUMMYFUNCTION("GOOGLETRANSLATE(A28,""zh-tw"",""ja"")"),"ナイトはいい匂いがするらしいので、今後に期待してもいいかもしれません。")</f>
        <v>ナイトはいい匂いがするらしいので、今後に期待してもいいかもしれません。</v>
      </c>
      <c r="C28" s="52" t="s">
        <v>3320</v>
      </c>
      <c r="D28" s="217" t="s">
        <v>3321</v>
      </c>
      <c r="E28" s="55" t="str">
        <f>IFERROR(__xludf.DUMMYFUNCTION("GOOGLETRANSLATE(A28,""zh-tw"",""es-MX"")"),"He oído... que el Caballero huele muy bien, quizá podamos mirar al futuro con optimismo.")</f>
        <v>He oído... que el Caballero huele muy bien, quizá podamos mirar al futuro con optimismo.</v>
      </c>
      <c r="F28" s="218" t="str">
        <f>IFERROR(__xludf.DUMMYFUNCTION("GOOGLETRANSLATE(A28,""zh-tw"",""KO"")"),"들었어요... 기사의 냄새가 정말 좋다는군요. 앞으로의 미래를 기대할 수 있을 것 같아요.")</f>
        <v>들었어요... 기사의 냄새가 정말 좋다는군요. 앞으로의 미래를 기대할 수 있을 것 같아요.</v>
      </c>
      <c r="G28" s="55" t="str">
        <f>IFERROR(__xludf.DUMMYFUNCTION("GOOGLETRANSLATE(A28,""zh-tw"",""ru"")"),"Я слышал... Рыцарь пахнет очень хорошо, может быть, мы можем с нетерпением ждать будущего.")</f>
        <v>Я слышал... Рыцарь пахнет очень хорошо, может быть, мы можем с нетерпением ждать будущего.</v>
      </c>
      <c r="H28" s="217" t="s">
        <v>3322</v>
      </c>
      <c r="I28" s="188" t="s">
        <v>3323</v>
      </c>
      <c r="J28" s="46"/>
      <c r="K28" s="46"/>
      <c r="L28" s="46"/>
      <c r="M28" s="46"/>
      <c r="N28" s="46"/>
      <c r="O28" s="46"/>
      <c r="P28" s="46"/>
      <c r="Q28" s="46"/>
      <c r="R28" s="46"/>
      <c r="S28" s="46"/>
      <c r="T28" s="46"/>
      <c r="U28" s="46"/>
      <c r="V28" s="46"/>
      <c r="W28" s="46"/>
    </row>
    <row r="29">
      <c r="A29" s="220" t="s">
        <v>3324</v>
      </c>
      <c r="B29" s="217" t="s">
        <v>3325</v>
      </c>
      <c r="C29" s="52" t="s">
        <v>3326</v>
      </c>
      <c r="D29" s="217" t="s">
        <v>3327</v>
      </c>
      <c r="E29" s="55" t="str">
        <f>IFERROR(__xludf.DUMMYFUNCTION("GOOGLETRANSLATE(A29,""zh-tw"",""es-MX"")"),"¿Cuál es la talla de sujetador de mi hermana? He oído que es G~H.")</f>
        <v>¿Cuál es la talla de sujetador de mi hermana? He oído que es G~H.</v>
      </c>
      <c r="F29" s="218" t="str">
        <f>IFERROR(__xludf.DUMMYFUNCTION("GOOGLETRANSLATE(A29,""zh-tw"",""KO"")"),"제 여동생 브라 사이즈가 몇이야? G~H라고 들었어요.")</f>
        <v>제 여동생 브라 사이즈가 몇이야? G~H라고 들었어요.</v>
      </c>
      <c r="G29" s="55" t="str">
        <f>IFERROR(__xludf.DUMMYFUNCTION("GOOGLETRANSLATE(A29,""zh-tw"",""ru"")"),"Какой размер бюстгальтера у моей сестры? Я слышал, что G~H.")</f>
        <v>Какой размер бюстгальтера у моей сестры? Я слышал, что G~H.</v>
      </c>
      <c r="H29" s="217" t="s">
        <v>3328</v>
      </c>
      <c r="I29" s="188" t="s">
        <v>3329</v>
      </c>
      <c r="J29" s="46"/>
      <c r="K29" s="46"/>
      <c r="L29" s="46"/>
      <c r="M29" s="46"/>
      <c r="N29" s="46"/>
      <c r="O29" s="46"/>
      <c r="P29" s="46"/>
      <c r="Q29" s="46"/>
      <c r="R29" s="46"/>
      <c r="S29" s="46"/>
      <c r="T29" s="46"/>
      <c r="U29" s="46"/>
      <c r="V29" s="46"/>
      <c r="W29" s="46"/>
    </row>
    <row r="30">
      <c r="A30" s="52" t="s">
        <v>3330</v>
      </c>
      <c r="B30" s="217" t="s">
        <v>3331</v>
      </c>
      <c r="C30" s="52" t="s">
        <v>3332</v>
      </c>
      <c r="D30" s="217"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18"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17" t="s">
        <v>3333</v>
      </c>
      <c r="I30" s="188" t="s">
        <v>3334</v>
      </c>
      <c r="J30" s="46"/>
      <c r="K30" s="46"/>
      <c r="L30" s="46"/>
      <c r="M30" s="46"/>
      <c r="N30" s="46"/>
      <c r="O30" s="46"/>
      <c r="P30" s="46"/>
      <c r="Q30" s="46"/>
      <c r="R30" s="46"/>
      <c r="S30" s="46"/>
      <c r="T30" s="46"/>
      <c r="U30" s="46"/>
      <c r="V30" s="46"/>
      <c r="W30" s="46"/>
    </row>
    <row r="31">
      <c r="A31" s="52" t="s">
        <v>3335</v>
      </c>
      <c r="B31" s="217" t="s">
        <v>3336</v>
      </c>
      <c r="C31" s="55" t="str">
        <f>IFERROR(__xludf.DUMMYFUNCTION("GOOGLETRANSLATE(A31,""zh-tw"",""en"")"),"When equipped with ""Girl's Smile"", the side effects of the Sage state will be ignored.")</f>
        <v>When equipped with "Girl's Smile", the side effects of the Sage state will be ignored.</v>
      </c>
      <c r="D31" s="217" t="str">
        <f>IFERROR(__xludf.DUMMYFUNCTION("GOOGLETRANSLATE(A31,""zh-tw"",""zh"")"),"当装备""少女的笑容""时，会无视贤者状态副作用")</f>
        <v>当装备"少女的笑容"时，会无视贤者状态副作用</v>
      </c>
      <c r="E31" s="55" t="str">
        <f>IFERROR(__xludf.DUMMYFUNCTION("GOOGLETRANSLATE(A31,""zh-tw"",""es-MX"")"),"Cuando esté equipada con ""Sonrisa de Niña"", los efectos secundarios del estado Sabio se ignorarán.")</f>
        <v>Cuando esté equipada con "Sonrisa de Niña", los efectos secundarios del estado Sabio se ignorarán.</v>
      </c>
      <c r="F31" s="218" t="str">
        <f>IFERROR(__xludf.DUMMYFUNCTION("GOOGLETRANSLATE(A31,""zh-tw"",""KO"")"),"""소녀의 미소""를 장착하면, 선인 상태의 부작용이 무시됩니다.")</f>
        <v>"소녀의 미소"를 장착하면, 선인 상태의 부작용이 무시됩니다.</v>
      </c>
      <c r="G31" s="55" t="str">
        <f>IFERROR(__xludf.DUMMYFUNCTION("GOOGLETRANSLATE(A31,""zh-tw"",""ru"")"),"При использовании «Улыбки девушки» побочные эффекты состояния Мудреца будут игнорироваться.")</f>
        <v>При использовании «Улыбки девушки» побочные эффекты состояния Мудреца будут игнорироваться.</v>
      </c>
      <c r="H31" s="217" t="s">
        <v>3337</v>
      </c>
      <c r="I31" s="188" t="s">
        <v>3338</v>
      </c>
      <c r="J31" s="46"/>
      <c r="K31" s="46"/>
      <c r="L31" s="46"/>
      <c r="M31" s="46"/>
      <c r="N31" s="46"/>
      <c r="O31" s="46"/>
      <c r="P31" s="46"/>
      <c r="Q31" s="46"/>
      <c r="R31" s="46"/>
      <c r="S31" s="46"/>
      <c r="T31" s="46"/>
      <c r="U31" s="46"/>
      <c r="V31" s="46"/>
      <c r="W31" s="46"/>
    </row>
    <row r="32">
      <c r="A32" s="52" t="s">
        <v>3339</v>
      </c>
      <c r="B32" s="217" t="str">
        <f>IFERROR(__xludf.DUMMYFUNCTION("GOOGLETRANSLATE(A32,""zh-tw"",""ja"")"),"トイレにいる言葉では言い表せない生き物には、言語バージョンによって名前が異なります。")</f>
        <v>トイレにいる言葉では言い表せない生き物には、言語バージョンによって名前が異なります。</v>
      </c>
      <c r="C32" s="52" t="s">
        <v>3340</v>
      </c>
      <c r="D32" s="217" t="str">
        <f>IFERROR(__xludf.DUMMYFUNCTION("GOOGLETRANSLATE(A32,""zh-tw"",""zh"")"),"在厕所的不可名状生物，在各语系版本中有不同的称呼")</f>
        <v>在厕所的不可名状生物，在各语系版本中有不同的称呼</v>
      </c>
      <c r="E32" s="55" t="str">
        <f>IFERROR(__xludf.DUMMYFUNCTION("GOOGLETRANSLATE(A32,""zh-tw"",""es-MX"")"),"Las indescriptibles criaturas del inodoro tienen nombres diferentes en las distintas versiones lingüísticas.")</f>
        <v>Las indescriptibles criaturas del inodoro tienen nombres diferentes en las distintas versiones lingüísticas.</v>
      </c>
      <c r="F32" s="218" t="str">
        <f>IFERROR(__xludf.DUMMYFUNCTION("GOOGLETRANSLATE(A32,""zh-tw"",""KO"")"),"변기에 있는 형언할 수 없는 생물은 언어마다 이름이 다릅니다.")</f>
        <v>변기에 있는 형언할 수 없는 생물은 언어마다 이름이 다릅니다.</v>
      </c>
      <c r="G32" s="55" t="str">
        <f>IFERROR(__xludf.DUMMYFUNCTION("GOOGLETRANSLATE(A32,""zh-tw"",""ru"")"),"Неописуемые существа в туалете имеют разные названия в разных языковых версиях.")</f>
        <v>Неописуемые существа в туалете имеют разные названия в разных языковых версиях.</v>
      </c>
      <c r="H32" s="217" t="s">
        <v>3341</v>
      </c>
      <c r="I32" s="188" t="s">
        <v>3342</v>
      </c>
      <c r="J32" s="46"/>
      <c r="K32" s="46"/>
      <c r="L32" s="46"/>
      <c r="M32" s="46"/>
      <c r="N32" s="46"/>
      <c r="O32" s="46"/>
      <c r="P32" s="46"/>
      <c r="Q32" s="46"/>
      <c r="R32" s="46"/>
      <c r="S32" s="46"/>
      <c r="T32" s="46"/>
      <c r="U32" s="46"/>
      <c r="V32" s="46"/>
      <c r="W32" s="46"/>
    </row>
    <row r="33">
      <c r="A33" s="52" t="s">
        <v>3343</v>
      </c>
      <c r="B33" s="217" t="str">
        <f>IFERROR(__xludf.DUMMYFUNCTION("GOOGLETRANSLATE(A33,""zh-tw"",""ja"")"),"トイレにいたあのなんとも言えない生き物は、実は私の兄が奈落の底から連れ戻した物だった。")</f>
        <v>トイレにいたあのなんとも言えない生き物は、実は私の兄が奈落の底から連れ戻した物だった。</v>
      </c>
      <c r="C33" s="52" t="s">
        <v>3344</v>
      </c>
      <c r="D33" s="217"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que había en el inodoro fue traída de vuelta del abismo por mi hermano.")</f>
        <v>La indescriptible criatura que había en el inodoro fue traída de vuelta del abismo por mi hermano.</v>
      </c>
      <c r="F33" s="218" t="str">
        <f>IFERROR(__xludf.DUMMYFUNCTION("GOOGLETRANSLATE(A33,""zh-tw"",""KO"")"),"변기에 있던 형언할 수 없는 생물은 사실 내 동생이 심연에서 가져온 것입니다.")</f>
        <v>변기에 있던 형언할 수 없는 생물은 사실 내 동생이 심연에서 가져온 것입니다.</v>
      </c>
      <c r="G33" s="55" t="str">
        <f>IFERROR(__xludf.DUMMYFUNCTION("GOOGLETRANSLATE(A33,""zh-tw"",""ru"")"),"Неописуемое существо в туалете на самом деле было вытащено из бездны моим братом.")</f>
        <v>Неописуемое существо в туалете на самом деле было вытащено из бездны моим братом.</v>
      </c>
      <c r="H33" s="217" t="s">
        <v>3345</v>
      </c>
      <c r="I33" s="188" t="s">
        <v>3346</v>
      </c>
      <c r="J33" s="46"/>
      <c r="K33" s="46"/>
      <c r="L33" s="46"/>
      <c r="M33" s="46"/>
      <c r="N33" s="46"/>
      <c r="O33" s="46"/>
      <c r="P33" s="46"/>
      <c r="Q33" s="46"/>
      <c r="R33" s="46"/>
      <c r="S33" s="46"/>
      <c r="T33" s="46"/>
      <c r="U33" s="46"/>
      <c r="V33" s="46"/>
      <c r="W33" s="46"/>
    </row>
    <row r="34">
      <c r="A34" s="52" t="s">
        <v>3347</v>
      </c>
      <c r="B34" s="217" t="s">
        <v>3348</v>
      </c>
      <c r="C34" s="52" t="s">
        <v>3349</v>
      </c>
      <c r="D34" s="217"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bajo la lluvia? Eso sigue siendo un misterio.")</f>
        <v>¿Quién reparó la máquina expendedora bajo la lluvia? Eso sigue siendo un misterio.</v>
      </c>
      <c r="F34" s="218" t="str">
        <f>IFERROR(__xludf.DUMMYFUNCTION("GOOGLETRANSLATE(A34,""zh-tw"",""KO"")"),"비 오는 날 자판기를 누가 수리했을까? 아직도 미스터리로 남아 있다.")</f>
        <v>비 오는 날 자판기를 누가 수리했을까? 아직도 미스터리로 남아 있다.</v>
      </c>
      <c r="G34" s="55" t="str">
        <f>IFERROR(__xludf.DUMMYFUNCTION("GOOGLETRANSLATE(A34,""zh-tw"",""ru"")"),"Кто чинил торговый автомат под дождём? Это остаётся загадкой.")</f>
        <v>Кто чинил торговый автомат под дождём? Это остаётся загадкой.</v>
      </c>
      <c r="H34" s="217" t="s">
        <v>3350</v>
      </c>
      <c r="I34" s="188" t="s">
        <v>3351</v>
      </c>
      <c r="J34" s="46"/>
      <c r="K34" s="46"/>
      <c r="L34" s="46"/>
      <c r="M34" s="46"/>
      <c r="N34" s="46"/>
      <c r="O34" s="46"/>
      <c r="P34" s="46"/>
      <c r="Q34" s="46"/>
      <c r="R34" s="46"/>
      <c r="S34" s="46"/>
      <c r="T34" s="46"/>
      <c r="U34" s="46"/>
      <c r="V34" s="46"/>
      <c r="W34" s="46"/>
    </row>
    <row r="35">
      <c r="A35" s="52" t="s">
        <v>3352</v>
      </c>
      <c r="B35" s="217" t="s">
        <v>3353</v>
      </c>
      <c r="C35" s="52" t="s">
        <v>3354</v>
      </c>
      <c r="D35" s="217" t="str">
        <f>IFERROR(__xludf.DUMMYFUNCTION("GOOGLETRANSLATE(A35,""zh-tw"",""zh"")"),"早上可透过窗外状况，得知外出时的天气")</f>
        <v>早上可透过窗外状况，得知外出时的天气</v>
      </c>
      <c r="E35" s="55" t="str">
        <f>IFERROR(__xludf.DUMMYFUNCTION("GOOGLETRANSLATE(A35,""zh-tw"",""es-MX"")"),"Por la mañana, puedes consultar el tiempo fuera de la ventana para saber qué tiempo hará cuando salgas.")</f>
        <v>Por la mañana, puedes consultar el tiempo fuera de la ventana para saber qué tiempo hará cuando salgas.</v>
      </c>
      <c r="F35" s="218" t="str">
        <f>IFERROR(__xludf.DUMMYFUNCTION("GOOGLETRANSLATE(A35,""zh-tw"",""KO"")"),"아침에 창밖 날씨를 확인하면 외출할 때 날씨가 어떨지 알 수 있습니다.")</f>
        <v>아침에 창밖 날씨를 확인하면 외출할 때 날씨가 어떨지 알 수 있습니다.</v>
      </c>
      <c r="G35" s="55" t="str">
        <f>IFERROR(__xludf.DUMMYFUNCTION("GOOGLETRANSLATE(A35,""zh-tw"",""ru"")"),"Утром вы можете посмотреть на погоду за окном, чтобы знать, какая будет погода, когда вы выйдете на улицу.")</f>
        <v>Утром вы можете посмотреть на погоду за окном, чтобы знать, какая будет погода, когда вы выйдете на улицу.</v>
      </c>
      <c r="H35" s="217" t="s">
        <v>3355</v>
      </c>
      <c r="I35" s="188" t="s">
        <v>3356</v>
      </c>
      <c r="J35" s="46"/>
      <c r="K35" s="46"/>
      <c r="L35" s="46"/>
      <c r="M35" s="46"/>
      <c r="N35" s="46"/>
      <c r="O35" s="46"/>
      <c r="P35" s="46"/>
      <c r="Q35" s="46"/>
      <c r="R35" s="46"/>
      <c r="S35" s="46"/>
      <c r="T35" s="46"/>
      <c r="U35" s="46"/>
      <c r="V35" s="46"/>
      <c r="W35" s="46"/>
    </row>
    <row r="36">
      <c r="A36" s="52" t="s">
        <v>3357</v>
      </c>
      <c r="B36" s="217" t="str">
        <f>IFERROR(__xludf.DUMMYFUNCTION("GOOGLETRANSLATE(A36,""zh-tw"",""ja"")"),"生き物が可愛ければ可愛いほど、攻撃力も高くなります。")</f>
        <v>生き物が可愛ければ可愛いほど、攻撃力も高くなります。</v>
      </c>
      <c r="C36" s="52" t="s">
        <v>3358</v>
      </c>
      <c r="D36" s="217" t="s">
        <v>3359</v>
      </c>
      <c r="E36" s="55" t="str">
        <f>IFERROR(__xludf.DUMMYFUNCTION("GOOGLETRANSLATE(A36,""zh-tw"",""es-MX"")"),"Cuanto más adorable sea la criatura, mayor suele ser su poder de ataque.")</f>
        <v>Cuanto más adorable sea la criatura, mayor suele ser su poder de ataque.</v>
      </c>
      <c r="F36" s="218" t="str">
        <f>IFERROR(__xludf.DUMMYFUNCTION("GOOGLETRANSLATE(A36,""zh-tw"",""KO"")"),"생물이 귀여울수록 공격력이 일반적으로 더 높습니다.")</f>
        <v>생물이 귀여울수록 공격력이 일반적으로 더 높습니다.</v>
      </c>
      <c r="G36" s="55" t="str">
        <f>IFERROR(__xludf.DUMMYFUNCTION("GOOGLETRANSLATE(A36,""zh-tw"",""ru"")"),"Чем симпатичнее существо, тем обычно выше его сила атаки.")</f>
        <v>Чем симпатичнее существо, тем обычно выше его сила атаки.</v>
      </c>
      <c r="H36" s="217" t="s">
        <v>3360</v>
      </c>
      <c r="I36" s="188" t="s">
        <v>3361</v>
      </c>
      <c r="J36" s="46"/>
      <c r="K36" s="46"/>
      <c r="L36" s="46"/>
      <c r="M36" s="46"/>
      <c r="N36" s="46"/>
      <c r="O36" s="46"/>
      <c r="P36" s="46"/>
      <c r="Q36" s="46"/>
      <c r="R36" s="46"/>
      <c r="S36" s="46"/>
      <c r="T36" s="46"/>
      <c r="U36" s="46"/>
      <c r="V36" s="46"/>
      <c r="W36" s="46"/>
    </row>
    <row r="37">
      <c r="A37" s="52" t="s">
        <v>3362</v>
      </c>
      <c r="B37" s="217"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3363</v>
      </c>
      <c r="D37" s="217"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""La guía del autoestopista galáctico"", la respuesta a ""La respuesta definitiva a la vida, el universo y todo lo demás"".")</f>
        <v>&lt;42&gt; Meditación en el baño
De la novela de Douglas Adams "La guía del autoestopista galáctico", la respuesta a "La respuesta definitiva a la vida, el universo y todo lo demás".</v>
      </c>
      <c r="F37" s="218"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17" t="s">
        <v>3364</v>
      </c>
      <c r="I37" s="166" t="s">
        <v>3365</v>
      </c>
      <c r="J37" s="46"/>
      <c r="K37" s="46"/>
      <c r="L37" s="46"/>
      <c r="M37" s="46"/>
      <c r="N37" s="46"/>
      <c r="O37" s="46"/>
      <c r="P37" s="46"/>
      <c r="Q37" s="46"/>
      <c r="R37" s="46"/>
      <c r="S37" s="46"/>
      <c r="T37" s="46"/>
      <c r="U37" s="46"/>
      <c r="V37" s="46"/>
      <c r="W37" s="46"/>
    </row>
    <row r="38">
      <c r="A38" s="52" t="s">
        <v>3366</v>
      </c>
      <c r="B38" s="217" t="str">
        <f>IFERROR(__xludf.DUMMYFUNCTION("GOOGLETRANSLATE(A38,""zh-tw"",""ja"")"),"ウォーターモンスタースライム1個は、スライムスライム2個とほぼ同等です。")</f>
        <v>ウォーターモンスタースライム1個は、スライムスライム2個とほぼ同等です。</v>
      </c>
      <c r="C38" s="52" t="s">
        <v>3367</v>
      </c>
      <c r="D38" s="217"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18"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17" t="s">
        <v>3368</v>
      </c>
      <c r="I38" s="188" t="s">
        <v>3369</v>
      </c>
      <c r="J38" s="46"/>
      <c r="K38" s="46"/>
      <c r="L38" s="46"/>
      <c r="M38" s="46"/>
      <c r="N38" s="46"/>
      <c r="O38" s="46"/>
      <c r="P38" s="46"/>
      <c r="Q38" s="46"/>
      <c r="R38" s="46"/>
      <c r="S38" s="46"/>
      <c r="T38" s="46"/>
      <c r="U38" s="46"/>
      <c r="V38" s="46"/>
      <c r="W38" s="46"/>
    </row>
    <row r="39">
      <c r="A39" s="52" t="s">
        <v>3370</v>
      </c>
      <c r="B39" s="217" t="s">
        <v>3371</v>
      </c>
      <c r="C39" s="52" t="s">
        <v>3372</v>
      </c>
      <c r="D39" s="217"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reaparece cada siete días, y cada vez que lo hace es más fuerte. También se puede usar la carta del Tarot ""El Mundo"".")</f>
        <v>El jefe del Abismo reaparece cada siete días, y cada vez que lo hace es más fuerte. También se puede usar la carta del Tarot "El Mundo".</v>
      </c>
      <c r="F39" s="218" t="str">
        <f>IFERROR(__xludf.DUMMYFUNCTION("GOOGLETRANSLATE(A39,""zh-tw"",""KO"")"),"심연 보스는 7일마다 부활하며, 부활할 때마다 더욱 강력해집니다. ""세계"" 타로 카드도 사용할 수 있습니다.")</f>
        <v>심연 보스는 7일마다 부활하며, 부활할 때마다 더욱 강력해집니다. "세계" 타로 카드도 사용할 수 있습니다.</v>
      </c>
      <c r="G39" s="55" t="str">
        <f>IFERROR(__xludf.DUMMYFUNCTION("GOOGLETRANSLATE(A39,""zh-tw"",""ru"")"),"Босс Бездны возрождается каждые семь дней, и каждый раз он становится сильнее. Также можно использовать карту Таро «Мир».")</f>
        <v>Босс Бездны возрождается каждые семь дней, и каждый раз он становится сильнее. Также можно использовать карту Таро «Мир».</v>
      </c>
      <c r="H39" s="217" t="s">
        <v>3373</v>
      </c>
      <c r="I39" s="188" t="s">
        <v>3374</v>
      </c>
      <c r="J39" s="46"/>
      <c r="K39" s="46"/>
      <c r="L39" s="46"/>
      <c r="M39" s="46"/>
      <c r="N39" s="46"/>
      <c r="O39" s="46"/>
      <c r="P39" s="46"/>
      <c r="Q39" s="46"/>
      <c r="R39" s="46"/>
      <c r="S39" s="46"/>
      <c r="T39" s="46"/>
      <c r="U39" s="46"/>
      <c r="V39" s="46"/>
      <c r="W39" s="46"/>
    </row>
    <row r="40">
      <c r="A40" s="52" t="s">
        <v>3375</v>
      </c>
      <c r="B40" s="217" t="s">
        <v>3376</v>
      </c>
      <c r="C40" s="52" t="s">
        <v>3377</v>
      </c>
      <c r="D40" s="217" t="s">
        <v>3378</v>
      </c>
      <c r="E40" s="55" t="str">
        <f>IFERROR(__xludf.DUMMYFUNCTION("GOOGLETRANSLATE(A40,""zh-tw"",""es-MX"")"),"¿Es demasiado difícil derrotar al Jefe del Abismo? Podrías intentar quedarte al borde de un precipicio como un despreciable forastero.")</f>
        <v>¿Es demasiado difícil derrotar al Jefe del Abismo? Podrías intentar quedarte al borde de un precipicio como un despreciable forastero.</v>
      </c>
      <c r="F40" s="218" t="str">
        <f>IFERROR(__xludf.DUMMYFUNCTION("GOOGLETRANSLATE(A40,""zh-tw"",""KO"")"),"심연 보스를 물리치기가 너무 어렵나요? 비열한 아웃사이더로 절벽 끝에 서 보세요.")</f>
        <v>심연 보스를 물리치기가 너무 어렵나요? 비열한 아웃사이더로 절벽 끝에 서 보세요.</v>
      </c>
      <c r="G40" s="55" t="str">
        <f>IFERROR(__xludf.DUMMYFUNCTION("GOOGLETRANSLATE(A40,""zh-tw"",""ru"")"),"Босса Бездны так сложно победить? Попробуйте встать на край обрыва, притворившись презренным чужаком.")</f>
        <v>Босса Бездны так сложно победить? Попробуйте встать на край обрыва, притворившись презренным чужаком.</v>
      </c>
      <c r="H40" s="217" t="s">
        <v>3379</v>
      </c>
      <c r="I40" s="188" t="s">
        <v>3380</v>
      </c>
      <c r="J40" s="46"/>
      <c r="K40" s="46"/>
      <c r="L40" s="46"/>
      <c r="M40" s="46"/>
      <c r="N40" s="46"/>
      <c r="O40" s="46"/>
      <c r="P40" s="46"/>
      <c r="Q40" s="46"/>
      <c r="R40" s="46"/>
      <c r="S40" s="46"/>
      <c r="T40" s="46"/>
      <c r="U40" s="46"/>
      <c r="V40" s="46"/>
      <c r="W40" s="46"/>
    </row>
    <row r="41">
      <c r="A41" s="52" t="s">
        <v>3381</v>
      </c>
      <c r="B41" s="217" t="s">
        <v>3382</v>
      </c>
      <c r="C41" s="52" t="s">
        <v>3383</v>
      </c>
      <c r="D41" s="217"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los Guantes de Pata de Gato) también potenciarán los efectos mágicos.")</f>
        <v>Los efectos que aumentan la velocidad de ataque (por ejemplo, los Guantes de Pata de Gato) también potenciarán los efectos mágicos.</v>
      </c>
      <c r="F41" s="218" t="str">
        <f>IFERROR(__xludf.DUMMYFUNCTION("GOOGLETRANSLATE(A41,""zh-tw"",""KO"")"),"공격 속도를 증가시키는 효과(예: 고양이 발 장갑)는 마법 효과도 향상시킵니다.")</f>
        <v>공격 속도를 증가시키는 효과(예: 고양이 발 장갑)는 마법 효과도 향상시킵니다.</v>
      </c>
      <c r="G41" s="55" t="str">
        <f>IFERROR(__xludf.DUMMYFUNCTION("GOOGLETRANSLATE(A41,""zh-tw"",""ru"")"),"Эффекты, увеличивающие скорость атаки (например, перчатки «Кошачья лапка»), также усилят магические эффекты.")</f>
        <v>Эффекты, увеличивающие скорость атаки (например, перчатки «Кошачья лапка»), также усилят магические эффекты.</v>
      </c>
      <c r="H41" s="218" t="str">
        <f>IFERROR(__xludf.DUMMYFUNCTION("GOOGLETRANSLATE(A41,""zh-tw"",""de"")"),"Effekte, die die Angriffsgeschwindigkeit erhöhen (z. B. Katzenpfotenhandschuhe), verstärken auch magische Effekte.")</f>
        <v>Effekte, die die Angriffsgeschwindigkeit erhöhen (z. B. Katzenpfotenhandschuhe), verstärken auch magische Effekte.</v>
      </c>
      <c r="I41" s="188" t="s">
        <v>3384</v>
      </c>
      <c r="J41" s="46"/>
      <c r="K41" s="46"/>
      <c r="L41" s="46"/>
      <c r="M41" s="46"/>
      <c r="N41" s="46"/>
      <c r="O41" s="46"/>
      <c r="P41" s="46"/>
      <c r="Q41" s="46"/>
      <c r="R41" s="46"/>
      <c r="S41" s="46"/>
      <c r="T41" s="46"/>
      <c r="U41" s="46"/>
      <c r="V41" s="46"/>
      <c r="W41" s="46"/>
    </row>
    <row r="42">
      <c r="A42" s="52" t="s">
        <v>3385</v>
      </c>
      <c r="B42" s="217" t="str">
        <f>IFERROR(__xludf.DUMMYFUNCTION("GOOGLETRANSLATE(A42,""zh-tw"",""ja"")"),"命中率を高めるアイテム（例：Fallen Mage's Gloves）は、呪文に追加の効果も与えます。複数のアイテムを装備すると、この効果がさらに高まります。")</f>
        <v>命中率を高めるアイテム（例：Fallen Mage's Gloves）は、呪文に追加の効果も与えます。複数のアイテムを装備すると、この効果がさらに高まります。</v>
      </c>
      <c r="C42" s="52" t="s">
        <v>3386</v>
      </c>
      <c r="D42" s="217"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IFERROR(__xludf.DUMMYFUNCTION("GOOGLETRANSLATE(A42,""zh-tw"",""es-MX"")"),"Mejorar la precisión (por ejemplo, con los Guantes del Mago Caído) también otorgará efectos adicionales a los hechizos; usar varias piezas aumentará aún más este efecto.")</f>
        <v>Mejorar la precisión (por ejemplo, con los Guantes del Mago Caído) también otorgará efectos adicionales a los hechizos; usar varias piezas aumentará aún más este efecto.</v>
      </c>
      <c r="F42" s="218" t="str">
        <f>IFERROR(__xludf.DUMMYFUNCTION("GOOGLETRANSLATE(A42,""zh-tw"",""KO"")"),"명중률을 높이면(예: 타락한 마법사의 장갑) 주문에 추가 효과가 부여됩니다. 여러 개의 장비를 착용하면 이 효과가 더욱 증가합니다.")</f>
        <v>명중률을 높이면(예: 타락한 마법사의 장갑) 주문에 추가 효과가 부여됩니다. 여러 개의 장비를 착용하면 이 효과가 더욱 증가합니다.</v>
      </c>
      <c r="G42" s="55" t="str">
        <f>IFERROR(__xludf.DUMMYFUNCTION("GOOGLETRANSLATE(A42,""zh-tw"",""ru"")"),"Повышение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f>
        <v>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v>
      </c>
      <c r="H42" s="218" t="str">
        <f>IFERROR(__xludf.DUMMYFUNCTION("GOOGLETRANSLATE(A42,""zh-tw"",""de"")"),"Eine Erhöhung der Trefferquote (z. B. durch die Handschuhe des gefallenen Magiers) verleiht Zaubern auch zusätzliche Effekte; das Tragen mehrerer Ausrüstungsteile verstärkt diesen Effekt noch weiter.")</f>
        <v>Eine Erhöhung der Trefferquote (z. B. durch die Handschuhe des gefallenen Magiers) verleiht Zaubern auch zusätzliche Effekte; das Tragen mehrerer Ausrüstungsteile verstärkt diesen Effekt noch weiter.</v>
      </c>
      <c r="I42" s="188" t="s">
        <v>3387</v>
      </c>
      <c r="J42" s="46"/>
      <c r="K42" s="46"/>
      <c r="L42" s="46"/>
      <c r="M42" s="46"/>
      <c r="N42" s="46"/>
      <c r="O42" s="46"/>
      <c r="P42" s="46"/>
      <c r="Q42" s="46"/>
      <c r="R42" s="46"/>
      <c r="S42" s="46"/>
      <c r="T42" s="46"/>
      <c r="U42" s="46"/>
      <c r="V42" s="46"/>
      <c r="W42" s="46"/>
    </row>
    <row r="43">
      <c r="A43" s="52" t="s">
        <v>3388</v>
      </c>
      <c r="B43" s="217" t="s">
        <v>3389</v>
      </c>
      <c r="C43" s="52" t="s">
        <v>3390</v>
      </c>
      <c r="D43" s="217"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¡Descubre cómo llegar! Pista: Objetos de movimiento/velocidad + Habilidades")</f>
        <v>En la sala del jefe de las Ruinas, hay una ubicación secreta en el acantilado de abajo. ¡Descubre cómo llegar! Pista: Objetos de movimiento/velocidad + Habilidades</v>
      </c>
      <c r="F43" s="218" t="str">
        <f>IFERROR(__xludf.DUMMYFUNCTION("GOOGLETRANSLATE(A43,""zh-tw"",""KO"")"),"유적 보스 방 아래 절벽에 비밀 장소가 있습니다. 그곳으로 가는 방법을 찾아보세요! 힌트: 이동 아이템 / 속도 증가 아이템 + 스킬")</f>
        <v>유적 보스 방 아래 절벽에 비밀 장소가 있습니다. 그곳으로 가는 방법을 찾아보세요! 힌트: 이동 아이템 / 속도 증가 아이템 + 스킬</v>
      </c>
      <c r="G43" s="55" t="str">
        <f>IFERROR(__xludf.DUMMYFUNCTION("GOOGLETRANSLATE(A43,""zh-tw"",""ru"")"),"В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f>
        <v>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v>
      </c>
      <c r="H43" s="218" t="str">
        <f>IFERROR(__xludf.DUMMYFUNCTION("GOOGLETRANSLATE(A43,""zh-tw"",""de"")"),"Im Bossraum der Ruinen befindet sich ein geheimer Ort an der Klippe darunter. Finde heraus, wie du dorthin gelangst! Tipp: Bewegungsgegenstände/Gegenstände zur Beschleunigung + Fähigkeiten")</f>
        <v>Im Bossraum der Ruinen befindet sich ein geheimer Ort an der Klippe darunter. Finde heraus, wie du dorthin gelangst! Tipp: Bewegungsgegenstände/Gegenstände zur Beschleunigung + Fähigkeiten</v>
      </c>
      <c r="I43" s="188" t="s">
        <v>3391</v>
      </c>
      <c r="J43" s="46"/>
      <c r="K43" s="46"/>
      <c r="L43" s="46"/>
      <c r="M43" s="46"/>
      <c r="N43" s="46"/>
      <c r="O43" s="46"/>
      <c r="P43" s="46"/>
      <c r="Q43" s="46"/>
      <c r="R43" s="46"/>
      <c r="S43" s="46"/>
      <c r="T43" s="46"/>
      <c r="U43" s="46"/>
      <c r="V43" s="46"/>
      <c r="W43" s="46"/>
    </row>
    <row r="44">
      <c r="A44" s="52" t="s">
        <v>3392</v>
      </c>
      <c r="B44" s="217" t="s">
        <v>3393</v>
      </c>
      <c r="C44" s="52" t="s">
        <v>3394</v>
      </c>
      <c r="D44" s="217" t="str">
        <f>IFERROR(__xludf.DUMMYFUNCTION("GOOGLETRANSLATE(A44,""zh-tw"",""zh"")"),"利用道具，不只能和怪物，也能使NPC交换位置")</f>
        <v>利用道具，不只能和怪物，也能使NPC交换位置</v>
      </c>
      <c r="E44" s="55" t="str">
        <f>IFERROR(__xludf.DUMMYFUNCTION("GOOGLETRANSLATE(A44,""zh-tw"",""es-MX"")"),"Mediante objetos, no solo puedes intercambiar posiciones con monstruos, sino también con PNJ.")</f>
        <v>Mediante objetos, no solo puedes intercambiar posiciones con monstruos, sino también con PNJ.</v>
      </c>
      <c r="F44" s="218" t="str">
        <f>IFERROR(__xludf.DUMMYFUNCTION("GOOGLETRANSLATE(A44,""zh-tw"",""KO"")"),"아이템을 사용하면 몬스터와 위치를 바꿀 수 있을 뿐만 아니라 NPC와도 위치를 바꿀 수 있습니다.")</f>
        <v>아이템을 사용하면 몬스터와 위치를 바꿀 수 있을 뿐만 아니라 NPC와도 위치를 바꿀 수 있습니다.</v>
      </c>
      <c r="G44" s="55" t="str">
        <f>IFERROR(__xludf.DUMMYFUNCTION("GOOGLETRANSLATE(A44,""zh-tw"",""ru"")"),"Используя предметы, вы можете меняться местами не только с монстрами, но и с NPC.")</f>
        <v>Используя предметы, вы можете меняться местами не только с монстрами, но и с NPC.</v>
      </c>
      <c r="H44" s="218" t="str">
        <f>IFERROR(__xludf.DUMMYFUNCTION("GOOGLETRANSLATE(A44,""zh-tw"",""de"")"),"Mithilfe von Gegenständen kann man nicht nur mit Monstern, sondern auch mit NPCs die Position tauschen.")</f>
        <v>Mithilfe von Gegenständen kann man nicht nur mit Monstern, sondern auch mit NPCs die Position tauschen.</v>
      </c>
      <c r="I44" s="188" t="s">
        <v>3395</v>
      </c>
      <c r="J44" s="46"/>
      <c r="K44" s="46"/>
      <c r="L44" s="46"/>
      <c r="M44" s="46"/>
      <c r="N44" s="46"/>
      <c r="O44" s="46"/>
      <c r="P44" s="46"/>
      <c r="Q44" s="46"/>
      <c r="R44" s="46"/>
      <c r="S44" s="46"/>
      <c r="T44" s="46"/>
      <c r="U44" s="46"/>
      <c r="V44" s="46"/>
      <c r="W44" s="46"/>
    </row>
    <row r="45">
      <c r="A45" s="52" t="s">
        <v>3396</v>
      </c>
      <c r="B45" s="217" t="s">
        <v>3397</v>
      </c>
      <c r="C45" s="52" t="s">
        <v>3398</v>
      </c>
      <c r="D45" s="217"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monstruos le temen a los malos olores y huyen.")</f>
        <v>Los monstruos también tienen sentido del olfato, y algunos monstruos le temen a los malos olores y huyen.</v>
      </c>
      <c r="F45" s="218"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18"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88" t="s">
        <v>3399</v>
      </c>
      <c r="J45" s="46"/>
      <c r="K45" s="46"/>
      <c r="L45" s="46"/>
      <c r="M45" s="46"/>
      <c r="N45" s="46"/>
      <c r="O45" s="46"/>
      <c r="P45" s="46"/>
      <c r="Q45" s="46"/>
      <c r="R45" s="46"/>
      <c r="S45" s="46"/>
      <c r="T45" s="46"/>
      <c r="U45" s="46"/>
      <c r="V45" s="46"/>
      <c r="W45" s="46"/>
    </row>
    <row r="46">
      <c r="A46" s="52" t="s">
        <v>3400</v>
      </c>
      <c r="B46" s="217" t="s">
        <v>3401</v>
      </c>
      <c r="C46" s="52" t="s">
        <v>3402</v>
      </c>
      <c r="D46" s="217"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IFERROR(__xludf.DUMMYFUNCTION("GOOGLETRANSLATE(A46,""zh-tw"",""es-MX"")"),"Existe la posibilidad de que la hermana menor irrumpa mientras el hermano mayor se está bañando solo; cuanto menor sea su salud, mayor será la probabilidad de que esto ocurra. (Bloqueado temporalmente en la versión 0.55)")</f>
        <v>Existe la posibilidad de que la hermana menor irrumpa mientras el hermano mayor se está bañando solo; cuanto menor sea su salud, mayor será la probabilidad de que esto ocurra. (Bloqueado temporalmente en la versión 0.55)</v>
      </c>
      <c r="F46" s="218" t="str">
        <f>IFERROR(__xludf.DUMMYFUNCTION("GOOGLETRANSLATE(A46,""zh-tw"",""KO"")"),"오빠가 혼자 목욕을 하는 동안 여동생이 불쑥 끼어들 가능성이 있습니다. 오빠의 체력이 낮을수록 이 현상이 발생할 확률이 높아집니다. (0.55 버전에서 일시적으로 차단됨)")</f>
        <v>오빠가 혼자 목욕을 하는 동안 여동생이 불쑥 끼어들 가능성이 있습니다. 오빠의 체력이 낮을수록 이 현상이 발생할 확률이 높아집니다. (0.55 버전에서 일시적으로 차단됨)</v>
      </c>
      <c r="G46" s="55" t="str">
        <f>IFERROR(__xludf.DUMMYFUNCTION("GOOGLETRANSLATE(A46,""zh-tw"",""ru"")"),"Есть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f>
        <v>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v>
      </c>
      <c r="H46" s="218" t="str">
        <f>IFERROR(__xludf.DUMMYFUNCTION("GOOGLETRANSLATE(A46,""zh-tw"",""de"")"),"Es besteht die Möglichkeit, dass die jüngere Schwester hereinplatzt, während der ältere Bruder allein badet; je niedriger sein Gesundheitszustand ist, desto wahrscheinlicher tritt dieses Ereignis ein. (Vorübergehend in Version 0.55 gesperrt)")</f>
        <v>Es besteht die Möglichkeit, dass die jüngere Schwester hereinplatzt, während der ältere Bruder allein badet; je niedriger sein Gesundheitszustand ist, desto wahrscheinlicher tritt dieses Ereignis ein. (Vorübergehend in Version 0.55 gesperrt)</v>
      </c>
      <c r="I46" s="188" t="s">
        <v>3403</v>
      </c>
      <c r="J46" s="46"/>
      <c r="K46" s="46"/>
      <c r="L46" s="46"/>
      <c r="M46" s="46"/>
      <c r="N46" s="46"/>
      <c r="O46" s="46"/>
      <c r="P46" s="46"/>
      <c r="Q46" s="46"/>
      <c r="R46" s="46"/>
      <c r="S46" s="46"/>
      <c r="T46" s="46"/>
      <c r="U46" s="46"/>
      <c r="V46" s="46"/>
      <c r="W46" s="46"/>
    </row>
    <row r="47">
      <c r="A47" s="52" t="s">
        <v>3404</v>
      </c>
      <c r="B47" s="217" t="s">
        <v>3405</v>
      </c>
      <c r="C47" s="52" t="s">
        <v>3406</v>
      </c>
      <c r="D47" s="217"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gastarle bromas a tu hermana pequeña mientras juega.
Para activar la opción especial de abrir las piernas, primero debes completar la misión DCL.")</f>
        <v>Puedes gastarle bromas a tu hermana pequeña mientras juega.
Para activar la opción especial de abrir las piernas, primero debes completar la misión DCL.</v>
      </c>
      <c r="F47" s="218" t="str">
        <f>IFERROR(__xludf.DUMMYFUNCTION("GOOGLETRANSLATE(A47,""zh-tw"",""KO"")"),"여동생이 게임을 하는 동안 장난을 칠 수 있습니다.
특수 다리 벌리기 옵션을 발동하려면 먼저 DCL 미션을 완료해야 합니다.")</f>
        <v>여동생이 게임을 하는 동안 장난을 칠 수 있습니다.
특수 다리 벌리기 옵션을 발동하려면 먼저 DCL 미션을 완료해야 합니다.</v>
      </c>
      <c r="G47" s="55" t="str">
        <f>IFERROR(__xludf.DUMMYFUNCTION("GOOGLETRANSLATE(A47,""zh-tw"",""ru"")"),"Вы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f>
        <v>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v>
      </c>
      <c r="H47" s="218" t="str">
        <f>IFERROR(__xludf.DUMMYFUNCTION("GOOGLETRANSLATE(A47,""zh-tw"",""de"")"),"Du kannst deiner jüngeren Schwester Streiche spielen, während sie spielt.
Um die Option zum Spreizen der Beine freizuschalten, musst du zuerst die DCL-Mission abschließen.")</f>
        <v>Du kannst deiner jüngeren Schwester Streiche spielen, während sie spielt.
Um die Option zum Spreizen der Beine freizuschalten, musst du zuerst die DCL-Mission abschließen.</v>
      </c>
      <c r="I47" s="188" t="s">
        <v>3407</v>
      </c>
      <c r="J47" s="46"/>
      <c r="K47" s="46"/>
      <c r="L47" s="46"/>
      <c r="M47" s="46"/>
      <c r="N47" s="46"/>
      <c r="O47" s="46"/>
      <c r="P47" s="46"/>
      <c r="Q47" s="46"/>
      <c r="R47" s="46"/>
      <c r="S47" s="46"/>
      <c r="T47" s="46"/>
      <c r="U47" s="46"/>
      <c r="V47" s="46"/>
      <c r="W47" s="46"/>
    </row>
    <row r="48">
      <c r="A48" s="52" t="s">
        <v>3408</v>
      </c>
      <c r="B48" s="217" t="s">
        <v>3409</v>
      </c>
      <c r="C48" s="52" t="s">
        <v>3410</v>
      </c>
      <c r="D48" s="217"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solo se despertaba más temprano, sino que también se acostaba más tarde.")</f>
        <v>Después de que mi hermana se recuperó, no solo se despertaba más temprano, sino que también se acostaba más tarde.</v>
      </c>
      <c r="F48" s="218"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18" t="str">
        <f>IFERROR(__xludf.DUMMYFUNCTION("GOOGLETRANSLATE(A48,""zh-tw"",""de"")"),"Nach ihrer Genesung wachte meine Schwester nicht nur früher auf, sondern ging auch später ins Bett.")</f>
        <v>Nach ihrer Genesung wachte meine Schwester nicht nur früher auf, sondern ging auch später ins Bett.</v>
      </c>
      <c r="I48" s="188" t="s">
        <v>3411</v>
      </c>
      <c r="J48" s="46"/>
      <c r="K48" s="46"/>
      <c r="L48" s="46"/>
      <c r="M48" s="46"/>
      <c r="N48" s="46"/>
      <c r="O48" s="46"/>
      <c r="P48" s="46"/>
      <c r="Q48" s="46"/>
      <c r="R48" s="46"/>
      <c r="S48" s="46"/>
      <c r="T48" s="46"/>
      <c r="U48" s="46"/>
      <c r="V48" s="46"/>
      <c r="W48" s="46"/>
    </row>
    <row r="49">
      <c r="A49" s="52" t="s">
        <v>3412</v>
      </c>
      <c r="B49" s="217" t="s">
        <v>3413</v>
      </c>
      <c r="C49" s="52" t="s">
        <v>3414</v>
      </c>
      <c r="D49" s="217"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IFERROR(__xludf.DUMMYFUNCTION("GOOGLETRANSLATE(A49,""zh-tw"",""es-MX"")"),"Las estadísticas de suerte pueden influir en las tiradas de gacha y la obtención de objetos (implementado). Las estadísticas de suerte también afectan a los eventos aleatorios relacionados con la hermana (aún no implementado).")</f>
        <v>Las estadísticas de suerte pueden influir en las tiradas de gacha y la obtención de objetos (implementado). Las estadísticas de suerte también afectan a los eventos aleatorios relacionados con la hermana (aún no implementado).</v>
      </c>
      <c r="F49" s="218" t="str">
        <f>IFERROR(__xludf.DUMMYFUNCTION("GOOGLETRANSLATE(A49,""zh-tw"",""KO"")"),"행운 능력치는 가챠 뽑기 및 아이템 드랍에 영향을 줄 수 있습니다(구현됨). 행운 능력치는 자매와 관련된 확률 기반 이벤트에도 영향을 미칩니다(아직 구현되지 않음).")</f>
        <v>행운 능력치는 가챠 뽑기 및 아이템 드랍에 영향을 줄 수 있습니다(구현됨). 행운 능력치는 자매와 관련된 확률 기반 이벤트에도 영향을 미칩니다(아직 구현되지 않음).</v>
      </c>
      <c r="G49" s="55" t="str">
        <f>IFERROR(__xludf.DUMMYFUNCTION("GOOGLETRANSLATE(A49,""zh-tw"",""ru"")"),"Статистика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f>
        <v>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v>
      </c>
      <c r="H49" s="218" t="str">
        <f>IFERROR(__xludf.DUMMYFUNCTION("GOOGLETRANSLATE(A49,""zh-tw"",""de"")"),"Glückswerte können genutzt werden, um Gacha-Ziehungen und Gegenstands-Drops zu beeinflussen (implementiert). Glückswerte wirken sich auch auf zufallsbasierte Ereignisse im Zusammenhang mit der Schwester aus (noch nicht implementiert).")</f>
        <v>Glückswerte können genutzt werden, um Gacha-Ziehungen und Gegenstands-Drops zu beeinflussen (implementiert). Glückswerte wirken sich auch auf zufallsbasierte Ereignisse im Zusammenhang mit der Schwester aus (noch nicht implementiert).</v>
      </c>
      <c r="I49" s="188" t="s">
        <v>3415</v>
      </c>
      <c r="J49" s="46"/>
      <c r="K49" s="46"/>
      <c r="L49" s="46"/>
      <c r="M49" s="46"/>
      <c r="N49" s="46"/>
      <c r="O49" s="46"/>
      <c r="P49" s="46"/>
      <c r="Q49" s="46"/>
      <c r="R49" s="46"/>
      <c r="S49" s="46"/>
      <c r="T49" s="46"/>
      <c r="U49" s="46"/>
      <c r="V49" s="46"/>
      <c r="W49" s="46"/>
    </row>
    <row r="50">
      <c r="A50" s="52" t="s">
        <v>3416</v>
      </c>
      <c r="B50" s="217" t="s">
        <v>3417</v>
      </c>
      <c r="C50" s="52" t="s">
        <v>3418</v>
      </c>
      <c r="D50" s="217"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la actriz de doblaje de la hermana menor también se llama Aki.")</f>
        <v>La dueña de la tienda se llama Aki, y la actriz de doblaje de la hermana menor también se llama Aki.</v>
      </c>
      <c r="F50" s="218" t="str">
        <f>IFERROR(__xludf.DUMMYFUNCTION("GOOGLETRANSLATE(A50,""zh-tw"",""KO"")"),"가게 주인의 이름은 아키이고, 여동생의 성우도 아키입니다.")</f>
        <v>가게 주인의 이름은 아키이고, 여동생의 성우도 아키입니다.</v>
      </c>
      <c r="G50" s="55" t="str">
        <f>IFERROR(__xludf.DUMMYFUNCTION("GOOGLETRANSLATE(A50,""zh-tw"",""ru"")"),"Владелицу магазина зовут Аки, и актрису, озвучивающую младшую сестру, тоже зовут Аки.")</f>
        <v>Владелицу магазина зовут Аки, и актрису, озвучивающую младшую сестру, тоже зовут Аки.</v>
      </c>
      <c r="H50" s="218" t="str">
        <f>IFERROR(__xludf.DUMMYFUNCTION("GOOGLETRANSLATE(A50,""zh-tw"",""de"")"),"Der Name der Ladenbesitzerin ist Aki, und die Synchronsprecherin der jüngeren Schwester heißt ebenfalls Aki.")</f>
        <v>Der Name der Ladenbesitzerin ist Aki, und die Synchronsprecherin der jüngeren Schwester heißt ebenfalls Aki.</v>
      </c>
      <c r="I50" s="188" t="s">
        <v>3419</v>
      </c>
      <c r="J50" s="46"/>
      <c r="K50" s="46"/>
      <c r="L50" s="46"/>
      <c r="M50" s="46"/>
      <c r="N50" s="46"/>
      <c r="O50" s="46"/>
      <c r="P50" s="46"/>
      <c r="Q50" s="46"/>
      <c r="R50" s="46"/>
      <c r="S50" s="46"/>
      <c r="T50" s="46"/>
      <c r="U50" s="46"/>
      <c r="V50" s="46"/>
      <c r="W50" s="46"/>
    </row>
    <row r="51">
      <c r="A51" s="52" t="s">
        <v>3420</v>
      </c>
      <c r="B51" s="217" t="s">
        <v>3421</v>
      </c>
      <c r="C51" s="55" t="s">
        <v>3422</v>
      </c>
      <c r="D51" s="217"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cualquier enemigo que toque después de ser lanzada.")</f>
        <v>La runa Ehwaz intercambiará posiciones con cualquier enemigo que toque después de ser lanzada.</v>
      </c>
      <c r="F51" s="218" t="str">
        <f>IFERROR(__xludf.DUMMYFUNCTION("GOOGLETRANSLATE(A51,""zh-tw"",""KO"")"),"에바즈 룬은 던져진 후 닿는 모든 적과 위치를 바꿉니다.")</f>
        <v>에바즈 룬은 던져진 후 닿는 모든 적과 위치를 바꿉니다.</v>
      </c>
      <c r="G51" s="55" t="str">
        <f>IFERROR(__xludf.DUMMYFUNCTION("GOOGLETRANSLATE(A51,""zh-tw"",""ru"")"),"Руна Эваз поменяется местами с любым врагом, которого коснется после броска.")</f>
        <v>Руна Эваз поменяется местами с любым врагом, которого коснется после броска.</v>
      </c>
      <c r="H51" s="218" t="str">
        <f>IFERROR(__xludf.DUMMYFUNCTION("GOOGLETRANSLATE(A51,""zh-tw"",""de"")"),"Die Ehwaz-Rune tauscht nach dem Werfen die Position mit jedem Gegner, den sie berührt.")</f>
        <v>Die Ehwaz-Rune tauscht nach dem Werfen die Position mit jedem Gegner, den sie berührt.</v>
      </c>
      <c r="I51" s="188" t="s">
        <v>3423</v>
      </c>
      <c r="J51" s="46"/>
      <c r="K51" s="46"/>
      <c r="L51" s="46"/>
      <c r="M51" s="46"/>
      <c r="N51" s="46"/>
      <c r="O51" s="46"/>
      <c r="P51" s="46"/>
      <c r="Q51" s="46"/>
      <c r="R51" s="46"/>
      <c r="S51" s="46"/>
      <c r="T51" s="46"/>
      <c r="U51" s="46"/>
      <c r="V51" s="46"/>
      <c r="W51" s="46"/>
    </row>
    <row r="52">
      <c r="A52" s="52" t="s">
        <v>3424</v>
      </c>
      <c r="B52" s="217" t="s">
        <v>3425</v>
      </c>
      <c r="C52" s="52" t="s">
        <v>3426</v>
      </c>
      <c r="D52" s="217" t="s">
        <v>3427</v>
      </c>
      <c r="E52" s="55" t="str">
        <f>IFERROR(__xludf.DUMMYFUNCTION("GOOGLETRANSLATE(A52,""zh-tw"",""es-MX"")"),"Las runas Raido se lanzan y dejan un marcador al impactar. Al hacer clic en este marcador, te teletransportarás instantáneamente a esa ubicación.")</f>
        <v>Las runas Raido se lanzan y dejan un marcador al impactar. Al hacer clic en este marcador, te teletransportarás instantáneamente a esa ubicación.</v>
      </c>
      <c r="F52" s="218" t="str">
        <f>IFERROR(__xludf.DUMMYFUNCTION("GOOGLETRANSLATE(A52,""zh-tw"",""KO"")"),"라이도 룬은 던져지며 착지 시 마커를 남깁니다. 이 마커를 클릭하면 해당 위치로 즉시 순간이동합니다.")</f>
        <v>라이도 룬은 던져지며 착지 시 마커를 남깁니다. 이 마커를 클릭하면 해당 위치로 즉시 순간이동합니다.</v>
      </c>
      <c r="G52" s="55" t="str">
        <f>IFERROR(__xludf.DUMMYFUNCTION("GOOGLETRANSLATE(A52,""zh-tw"",""ru"")"),"Руны Райдо бросаются и оставляют после приземления метку. Щелкнув по этой метке, вы мгновенно телепортируетесь в это место.")</f>
        <v>Руны Райдо бросаются и оставляют после приземления метку. Щелкнув по этой метке, вы мгновенно телепортируетесь в это место.</v>
      </c>
      <c r="H52" s="218" t="str">
        <f>IFERROR(__xludf.DUMMYFUNCTION("GOOGLETRANSLATE(A52,""zh-tw"",""de"")"),"Raido-Runen werden geworfen und hinterlassen beim Aufprall eine Markierung. Ein Klick auf diese Markierung teleportiert dich sofort zu diesem Ort.")</f>
        <v>Raido-Runen werden geworfen und hinterlassen beim Aufprall eine Markierung. Ein Klick auf diese Markierung teleportiert dich sofort zu diesem Ort.</v>
      </c>
      <c r="I52" s="188" t="s">
        <v>3428</v>
      </c>
      <c r="J52" s="46"/>
      <c r="K52" s="46"/>
      <c r="L52" s="46"/>
      <c r="M52" s="46"/>
      <c r="N52" s="46"/>
      <c r="O52" s="46"/>
      <c r="P52" s="46"/>
      <c r="Q52" s="46"/>
      <c r="R52" s="46"/>
      <c r="S52" s="46"/>
      <c r="T52" s="46"/>
      <c r="U52" s="46"/>
      <c r="V52" s="46"/>
      <c r="W52" s="46"/>
    </row>
    <row r="53">
      <c r="A53" s="52" t="s">
        <v>3429</v>
      </c>
      <c r="B53" s="217" t="str">
        <f>IFERROR(__xludf.DUMMYFUNCTION("GOOGLETRANSLATE(A53,""zh-tw"",""ja"")"),"Jera ルーンを投げると、触れた敵やアイテムを変形させ、本質的にコピーを作成できます (まだ実装されていません)。")</f>
        <v>Jera ルーンを投げると、触れた敵やアイテムを変形させ、本質的にコピーを作成できます (まだ実装されていません)。</v>
      </c>
      <c r="C53" s="52" t="s">
        <v>3430</v>
      </c>
      <c r="D53" s="217"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cualquier enemigo u objeto que toque, creando esencialmente una copia (aún no implementado).")</f>
        <v>La runa Jera, al ser lanzada, puede transformar cualquier enemigo u objeto que toque, creando esencialmente una copia (aún no implementado).</v>
      </c>
      <c r="F53" s="218" t="str">
        <f>IFERROR(__xludf.DUMMYFUNCTION("GOOGLETRANSLATE(A53,""zh-tw"",""KO"")"),"제라 룬을 던지면 닿는 모든 적이나 아이템을 변형시켜 사실상 복사본을 생성합니다(아직 구현되지 않음).")</f>
        <v>제라 룬을 던지면 닿는 모든 적이나 아이템을 변형시켜 사실상 복사본을 생성합니다(아직 구현되지 않음).</v>
      </c>
      <c r="G53" s="55" t="str">
        <f>IFERROR(__xludf.DUMMYFUNCTION("GOOGLETRANSLATE(A53,""zh-tw"",""ru"")"),"Руна Йера, если ее бросить, может преобразовать любого врага или предмет, к которому она прикоснется, по сути создавая копию (пока не реализовано).")</f>
        <v>Руна Йера, если ее бросить, может преобразовать любого врага или предмет, к которому она прикоснется, по сути создавая копию (пока не реализовано).</v>
      </c>
      <c r="H53" s="218" t="str">
        <f>IFERROR(__xludf.DUMMYFUNCTION("GOOGLETRANSLATE(A53,""zh-tw"",""de"")"),"Die Jera-Rune kann, wenn sie geworfen wird, jeden Feind oder Gegenstand, den sie berührt, verwandeln und dabei im Wesentlichen eine Kopie erzeugen (noch nicht implementiert).")</f>
        <v>Die Jera-Rune kann, wenn sie geworfen wird, jeden Feind oder Gegenstand, den sie berührt, verwandeln und dabei im Wesentlichen eine Kopie erzeugen (noch nicht implementiert).</v>
      </c>
      <c r="I53" s="188" t="s">
        <v>3431</v>
      </c>
      <c r="J53" s="46"/>
      <c r="K53" s="46"/>
      <c r="L53" s="46"/>
      <c r="M53" s="46"/>
      <c r="N53" s="46"/>
      <c r="O53" s="46"/>
      <c r="P53" s="46"/>
      <c r="Q53" s="46"/>
      <c r="R53" s="46"/>
      <c r="S53" s="46"/>
      <c r="T53" s="46"/>
      <c r="U53" s="46"/>
      <c r="V53" s="46"/>
      <c r="W53" s="46"/>
    </row>
    <row r="54">
      <c r="A54" s="52" t="s">
        <v>3432</v>
      </c>
      <c r="B54" s="217"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3433</v>
      </c>
      <c r="D54" s="217"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18"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18" t="str">
        <f>IFERROR(__xludf.DUMMYFUNCTION("GOOGLETRANSLATE(A54,""zh-tw"",""de"")"),"Perth-Rune: Wird sie geworfen, hat sie einen Wirkungsbereich; Gegner oder fallengelassene Gegenstände innerhalb dieses Bereichs werden zufällig ersetzt (noch nicht implementiert).")</f>
        <v>Perth-Rune: Wird sie geworfen, hat sie einen Wirkungsbereich; Gegner oder fallengelassene Gegenstände innerhalb dieses Bereichs werden zufällig ersetzt (noch nicht implementiert).</v>
      </c>
      <c r="I54" s="188" t="s">
        <v>3434</v>
      </c>
      <c r="J54" s="46"/>
      <c r="K54" s="46"/>
      <c r="L54" s="46"/>
      <c r="M54" s="46"/>
      <c r="N54" s="46"/>
      <c r="O54" s="46"/>
      <c r="P54" s="46"/>
      <c r="Q54" s="46"/>
      <c r="R54" s="46"/>
      <c r="S54" s="46"/>
      <c r="T54" s="46"/>
      <c r="U54" s="46"/>
      <c r="V54" s="46"/>
      <c r="W54" s="46"/>
    </row>
    <row r="55">
      <c r="A55" s="52" t="s">
        <v>3435</v>
      </c>
      <c r="B55" s="217" t="s">
        <v>3436</v>
      </c>
      <c r="C55" s="52" t="s">
        <v>3437</v>
      </c>
      <c r="D55" s="217"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18"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18" t="str">
        <f>IFERROR(__xludf.DUMMYFUNCTION("GOOGLETRANSLATE(A55,""zh-tw"",""de"")"),"Der Effekt des Eiswaffelschwertes besteht darin, das Monster zu füttern. Jeder Angriff hat eine gewisse Chance, einen Wert anzusammeln. Sobald ein bestimmter Wert erreicht ist, ist das Monster überfressen und stirbt. (Nicht an Bossen getestet)")</f>
        <v>Der Effekt des Eiswaffelschwertes besteht darin, das Monster zu füttern. Jeder Angriff hat eine gewisse Chance, einen Wert anzusammeln. Sobald ein bestimmter Wert erreicht ist, ist das Monster überfressen und stirbt. (Nicht an Bossen getestet)</v>
      </c>
      <c r="I55" s="188" t="s">
        <v>3438</v>
      </c>
      <c r="J55" s="46"/>
      <c r="K55" s="46"/>
      <c r="L55" s="46"/>
      <c r="M55" s="46"/>
      <c r="N55" s="46"/>
      <c r="O55" s="46"/>
      <c r="P55" s="46"/>
      <c r="Q55" s="46"/>
      <c r="R55" s="46"/>
      <c r="S55" s="46"/>
      <c r="T55" s="46"/>
      <c r="U55" s="46"/>
      <c r="V55" s="46"/>
      <c r="W55" s="46"/>
    </row>
    <row r="56">
      <c r="A56" s="52" t="s">
        <v>3439</v>
      </c>
      <c r="B56" s="217" t="str">
        <f>IFERROR(__xludf.DUMMYFUNCTION("GOOGLETRANSLATE(A56,""zh-tw"",""ja"")"),"ガシャポンが騎士の足元に落ちた場合は、騎士が拾ってくれます。")</f>
        <v>ガシャポンが騎士の足元に落ちた場合は、騎士が拾ってくれます。</v>
      </c>
      <c r="C56" s="52" t="s">
        <v>3440</v>
      </c>
      <c r="D56" s="217" t="str">
        <f>IFERROR(__xludf.DUMMYFUNCTION("GOOGLETRANSLATE(A56,""zh-tw"",""zh"")"),"如果扭蛋掉到骑士的脚边，他会帮你捡起")</f>
        <v>如果扭蛋掉到骑士的脚边，他会帮你捡起</v>
      </c>
      <c r="E56" s="55" t="str">
        <f>IFERROR(__xludf.DUMMYFUNCTION("GOOGLETRANSLATE(A56,""zh-tw"",""es-MX"")"),"Si el gashapon cae cerca de los pies del caballero, él lo recogerá por ti.")</f>
        <v>Si el gashapon cae cerca de los pies del caballero, él lo recogerá por ti.</v>
      </c>
      <c r="F56" s="218" t="str">
        <f>IFERROR(__xludf.DUMMYFUNCTION("GOOGLETRANSLATE(A56,""zh-tw"",""KO"")"),"가샤폰이 기사의 발 근처에 떨어지면 기사가 당신을 위해 그것을 주워줄 것입니다.")</f>
        <v>가샤폰이 기사의 발 근처에 떨어지면 기사가 당신을 위해 그것을 주워줄 것입니다.</v>
      </c>
      <c r="G56" s="55" t="str">
        <f>IFERROR(__xludf.DUMMYFUNCTION("GOOGLETRANSLATE(A56,""zh-tw"",""ru"")"),"Если гасяпон упадет возле ног рыцаря, он поднимет его для вас.")</f>
        <v>Если гасяпон упадет возле ног рыцаря, он поднимет его для вас.</v>
      </c>
      <c r="H56" s="218" t="str">
        <f>IFERROR(__xludf.DUMMYFUNCTION("GOOGLETRANSLATE(A56,""zh-tw"",""de"")"),"Wenn der Gashapon in die Nähe der Füße des Ritters fällt, wird er ihn für dich aufheben.")</f>
        <v>Wenn der Gashapon in die Nähe der Füße des Ritters fällt, wird er ihn für dich aufheben.</v>
      </c>
      <c r="I56" s="188" t="s">
        <v>3441</v>
      </c>
      <c r="J56" s="46"/>
      <c r="K56" s="46"/>
      <c r="L56" s="46"/>
      <c r="M56" s="46"/>
      <c r="N56" s="46"/>
      <c r="O56" s="46"/>
      <c r="P56" s="46"/>
      <c r="Q56" s="46"/>
      <c r="R56" s="46"/>
      <c r="S56" s="46"/>
      <c r="T56" s="46"/>
      <c r="U56" s="46"/>
      <c r="V56" s="46"/>
      <c r="W56" s="46"/>
    </row>
    <row r="57">
      <c r="A57" s="52" t="s">
        <v>3442</v>
      </c>
      <c r="B57" s="217" t="s">
        <v>3443</v>
      </c>
      <c r="C57" s="52" t="s">
        <v>3444</v>
      </c>
      <c r="D57" s="217" t="s">
        <v>3445</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18"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18" t="str">
        <f>IFERROR(__xludf.DUMMYFUNCTION("GOOGLETRANSLATE(A57,""zh-tw"",""de"")"),"Die standardmäßige Haltbarkeitsgrenze für alle Waffen beträgt 114514, aus &lt;Ein Sommernachtstraum&gt;")</f>
        <v>Die standardmäßige Haltbarkeitsgrenze für alle Waffen beträgt 114514, aus &lt;Ein Sommernachtstraum&gt;</v>
      </c>
      <c r="I57" s="188" t="s">
        <v>3446</v>
      </c>
      <c r="J57" s="46"/>
      <c r="K57" s="46"/>
      <c r="L57" s="46"/>
      <c r="M57" s="46"/>
      <c r="N57" s="46"/>
      <c r="O57" s="46"/>
      <c r="P57" s="46"/>
      <c r="Q57" s="46"/>
      <c r="R57" s="46"/>
      <c r="S57" s="46"/>
      <c r="T57" s="46"/>
      <c r="U57" s="46"/>
      <c r="V57" s="46"/>
      <c r="W57" s="46"/>
    </row>
    <row r="58">
      <c r="A58" s="52" t="s">
        <v>3447</v>
      </c>
      <c r="B58" s="217" t="s">
        <v>3448</v>
      </c>
      <c r="C58" s="52" t="s">
        <v>3449</v>
      </c>
      <c r="D58" s="217"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las Chicas Gato tendrá los siguientes artículos:
1. Artículos fijos 2. Ingredientes de comida recolectados por las Chicas Gato 3. Artículos regulares aleatorios, con distribución de calidad aleatoria.")</f>
        <v>El carrito de la tienda de las Chicas Gato tendrá los siguientes artículos:
1. Artículos fijos 2. Ingredientes de comida recolectados por las Chicas Gato 3. Artículos regulares aleatorios, con distribución de calidad aleatoria.</v>
      </c>
      <c r="F58" s="218"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18"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88" t="s">
        <v>3450</v>
      </c>
      <c r="J58" s="46"/>
      <c r="K58" s="46"/>
      <c r="L58" s="46"/>
      <c r="M58" s="46"/>
      <c r="N58" s="46"/>
      <c r="O58" s="46"/>
      <c r="P58" s="46"/>
      <c r="Q58" s="46"/>
      <c r="R58" s="46"/>
      <c r="S58" s="46"/>
      <c r="T58" s="46"/>
      <c r="U58" s="46"/>
      <c r="V58" s="46"/>
      <c r="W58" s="46"/>
    </row>
    <row r="59">
      <c r="A59" s="52" t="s">
        <v>3451</v>
      </c>
      <c r="B59" s="217" t="s">
        <v>3452</v>
      </c>
      <c r="C59" s="52" t="s">
        <v>3453</v>
      </c>
      <c r="D59" s="217" t="s">
        <v>3454</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18"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18"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88" t="s">
        <v>3455</v>
      </c>
      <c r="J59" s="46"/>
      <c r="K59" s="46"/>
      <c r="L59" s="46"/>
      <c r="M59" s="46"/>
      <c r="N59" s="46"/>
      <c r="O59" s="46"/>
      <c r="P59" s="46"/>
      <c r="Q59" s="46"/>
      <c r="R59" s="46"/>
      <c r="S59" s="46"/>
      <c r="T59" s="46"/>
      <c r="U59" s="46"/>
      <c r="V59" s="46"/>
      <c r="W59" s="46"/>
    </row>
    <row r="60">
      <c r="A60" s="52" t="s">
        <v>3456</v>
      </c>
      <c r="B60" s="217" t="s">
        <v>3457</v>
      </c>
      <c r="C60" s="52" t="s">
        <v>3458</v>
      </c>
      <c r="D60" s="217"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IFERROR(__xludf.DUMMYFUNCTION("GOOGLETRANSLATE(A60,""zh-tw"",""es-MX"")"),"El dispositivo para detener el tiempo puede usarse en el carrito de la tienda de la chica gato, lo que lo convierte en un excelente método de ataque.
(P. D.: Ineficaz contra la tienda AKI)")</f>
        <v>El dispositivo para detener el tiempo puede usarse en el carrito de la tienda de la chica gato, lo que lo convierte en un excelente método de ataque.
(P. D.: Ineficaz contra la tienda AKI)</v>
      </c>
      <c r="F60" s="218" t="str">
        <f>IFERROR(__xludf.DUMMYFUNCTION("GOOGLETRANSLATE(A60,""zh-tw"",""KO"")"),"시간 정지 장치는 캣걸 상점 카트에 사용할 수 있어 훌륭한 공격 수단이 됩니다.
(추신: AKI 상점에는 효과 없음)")</f>
        <v>시간 정지 장치는 캣걸 상점 카트에 사용할 수 있어 훌륭한 공격 수단이 됩니다.
(추신: AKI 상점에는 효과 없음)</v>
      </c>
      <c r="G60" s="55" t="str">
        <f>IFERROR(__xludf.DUMMYFUNCTION("GOOGLETRANSLATE(A60,""zh-tw"",""ru"")"),"Остановка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f>
        <v>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v>
      </c>
      <c r="H60" s="218" t="str">
        <f>IFERROR(__xludf.DUMMYFUNCTION("GOOGLETRANSLATE(A60,""zh-tw"",""de"")"),"Die Zeitstoppvorrichtung kann am Einkaufswagen des Katzenmädchens angebracht werden und ist somit eine hervorragende Angriffsmethode.
(P.S.: Wirksam gegen den AKI-Laden.)")</f>
        <v>Die Zeitstoppvorrichtung kann am Einkaufswagen des Katzenmädchens angebracht werden und ist somit eine hervorragende Angriffsmethode.
(P.S.: Wirksam gegen den AKI-Laden.)</v>
      </c>
      <c r="I60" s="188" t="s">
        <v>3459</v>
      </c>
      <c r="J60" s="46"/>
      <c r="K60" s="46"/>
      <c r="L60" s="46"/>
      <c r="M60" s="46"/>
      <c r="N60" s="46"/>
      <c r="O60" s="46"/>
      <c r="P60" s="46"/>
      <c r="Q60" s="46"/>
      <c r="R60" s="46"/>
      <c r="S60" s="46"/>
      <c r="T60" s="46"/>
      <c r="U60" s="46"/>
      <c r="V60" s="46"/>
      <c r="W60" s="46"/>
    </row>
    <row r="61">
      <c r="A61" s="52" t="s">
        <v>3460</v>
      </c>
      <c r="B61" s="217" t="s">
        <v>3461</v>
      </c>
      <c r="C61" s="52" t="s">
        <v>3462</v>
      </c>
      <c r="D61" s="217" t="s">
        <v>3463</v>
      </c>
      <c r="E61" s="55" t="str">
        <f>IFERROR(__xludf.DUMMYFUNCTION("GOOGLETRANSLATE(A61,""zh-tw"",""es-MX"")"),"Ya sea un carrito de tienda en movimiento o el daño de la chica gato Asaba, ambos pueden dañar a los monstruos.
Ni siquiera el Jefe del Abismo puede resistir a la chica gato Asaba, aunque también tendrás que sacrificar tu propia vida.")</f>
        <v>Ya sea un carrito de tienda en movimiento o el daño de la chica gato Asaba, ambos pueden dañar a los monstruos.
Ni siquiera el Jefe del Abismo puede resistir a la chica gato Asaba, aunque también tendrás que sacrificar tu propia vida.</v>
      </c>
      <c r="F61" s="218" t="str">
        <f>IFERROR(__xludf.DUMMYFUNCTION("GOOGLETRANSLATE(A61,""zh-tw"",""KO"")"),"움직이는 쇼핑 카트든, 고양이 소녀 아사바의 공격이든, 둘 다 몬스터에게 피해를 입힐 수 있습니다.
심연의 보스조차 고양이 소녀 아사바를 견뎌낼 수 없지만, 당신은 자신의 목숨을 희생해야 합니다.")</f>
        <v>움직이는 쇼핑 카트든, 고양이 소녀 아사바의 공격이든, 둘 다 몬스터에게 피해를 입힐 수 있습니다.
심연의 보스조차 고양이 소녀 아사바를 견뎌낼 수 없지만, 당신은 자신의 목숨을 희생해야 합니다.</v>
      </c>
      <c r="G61" s="55" t="str">
        <f>IFERROR(__xludf.DUMMYFUNCTION("GOOGLETRANSLATE(A61,""zh-tw"",""ru"")"),"Будь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f>
        <v>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v>
      </c>
      <c r="H61" s="218" t="str">
        <f>IFERROR(__xludf.DUMMYFUNCTION("GOOGLETRANSLATE(A61,""zh-tw"",""de"")"),"Ob ein fahrender Einkaufswagen oder der Angriff der Katzenfrau Asaba – beides kann Monstern Schaden zufügen.
Selbst der Abgrundboss kann der Katzenfrau Asaba nicht widerstehen, doch dafür musst du auch dein Leben opfern.")</f>
        <v>Ob ein fahrender Einkaufswagen oder der Angriff der Katzenfrau Asaba – beides kann Monstern Schaden zufügen.
Selbst der Abgrundboss kann der Katzenfrau Asaba nicht widerstehen, doch dafür musst du auch dein Leben opfern.</v>
      </c>
      <c r="I61" s="188" t="s">
        <v>3464</v>
      </c>
      <c r="J61" s="46"/>
      <c r="K61" s="46"/>
      <c r="L61" s="46"/>
      <c r="M61" s="46"/>
      <c r="N61" s="46"/>
      <c r="O61" s="46"/>
      <c r="P61" s="46"/>
      <c r="Q61" s="46"/>
      <c r="R61" s="46"/>
      <c r="S61" s="46"/>
      <c r="T61" s="46"/>
      <c r="U61" s="46"/>
      <c r="V61" s="46"/>
      <c r="W61" s="46"/>
    </row>
    <row r="62">
      <c r="A62" s="52" t="s">
        <v>3465</v>
      </c>
      <c r="B62" s="217" t="s">
        <v>3466</v>
      </c>
      <c r="C62" s="52" t="s">
        <v>3467</v>
      </c>
      <c r="D62" s="217"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la resistencia del enemigo también influye. Algunos equipos también potencian sus efectos según la probabilidad de un desbordamiento.")</f>
        <v>Una probabilidad del 100 % no garantiza que se active, ya que la resistencia del enemigo también influye. Algunos equipos también potencian sus efectos según la probabilidad de un desbordamiento.</v>
      </c>
      <c r="F62" s="218" t="str">
        <f>IFERROR(__xludf.DUMMYFUNCTION("GOOGLETRANSLATE(A62,""zh-tw"",""KO"")"),"100% 확률이라 하더라도 발동이 보장되는 것은 아닙니다. 적의 저항력도 영향을 미치기 때문입니다. 일부 장비는 오버플로우 발생 확률에 따라 효과가 강화됩니다.")</f>
        <v>100% 확률이라 하더라도 발동이 보장되는 것은 아닙니다. 적의 저항력도 영향을 미치기 때문입니다. 일부 장비는 오버플로우 발생 확률에 따라 효과가 강화됩니다.</v>
      </c>
      <c r="G62" s="55" t="str">
        <f>IFERROR(__xludf.DUMMYFUNCTION("GOOGLETRANSLATE(A62,""zh-tw"",""ru"")"),"100%-ный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f>
        <v>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v>
      </c>
      <c r="H62" s="218" t="str">
        <f>IFERROR(__xludf.DUMMYFUNCTION("GOOGLETRANSLATE(A62,""zh-tw"",""de"")"),"Eine hundertprozentige Auslösechance garantiert keine Wirkung, da auch der Widerstand des Gegners eine Rolle spielt. Manche Ausrüstungsgegenstände verstärken ihre Effekte zudem basierend auf der Wahrscheinlichkeit eines Überlaufs.")</f>
        <v>Eine hundertprozentige Auslösechance garantiert keine Wirkung, da auch der Widerstand des Gegners eine Rolle spielt. Manche Ausrüstungsgegenstände verstärken ihre Effekte zudem basierend auf der Wahrscheinlichkeit eines Überlaufs.</v>
      </c>
      <c r="I62" s="188" t="s">
        <v>3468</v>
      </c>
      <c r="J62" s="46"/>
      <c r="K62" s="46"/>
      <c r="L62" s="46"/>
      <c r="M62" s="46"/>
      <c r="N62" s="46"/>
      <c r="O62" s="46"/>
      <c r="P62" s="46"/>
      <c r="Q62" s="46"/>
      <c r="R62" s="46"/>
      <c r="S62" s="46"/>
      <c r="T62" s="46"/>
      <c r="U62" s="46"/>
      <c r="V62" s="46"/>
      <c r="W62" s="46"/>
    </row>
    <row r="63">
      <c r="A63" s="52" t="s">
        <v>3469</v>
      </c>
      <c r="B63" s="217" t="s">
        <v>3470</v>
      </c>
      <c r="C63" s="52" t="s">
        <v>3471</v>
      </c>
      <c r="D63" s="217"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18"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18" t="str">
        <f>IFERROR(__xludf.DUMMYFUNCTION("GOOGLETRANSLATE(A63,""zh-tw"",""de"")"),"Meine Schwester trägt je nach Wetterlage unterschiedliche Nagellackfarben.")</f>
        <v>Meine Schwester trägt je nach Wetterlage unterschiedliche Nagellackfarben.</v>
      </c>
      <c r="I63" s="188" t="s">
        <v>3472</v>
      </c>
      <c r="J63" s="46"/>
      <c r="K63" s="46"/>
      <c r="L63" s="46"/>
      <c r="M63" s="46"/>
      <c r="N63" s="46"/>
      <c r="O63" s="46"/>
      <c r="P63" s="46"/>
      <c r="Q63" s="46"/>
      <c r="R63" s="46"/>
      <c r="S63" s="46"/>
      <c r="T63" s="46"/>
      <c r="U63" s="46"/>
      <c r="V63" s="46"/>
      <c r="W63" s="46"/>
    </row>
    <row r="64">
      <c r="A64" s="52" t="s">
        <v>3473</v>
      </c>
      <c r="B64" s="217" t="s">
        <v>3474</v>
      </c>
      <c r="C64" s="52" t="s">
        <v>3475</v>
      </c>
      <c r="D64" s="217"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depositen en ella no se perderán y podrán usarse como almacenamiento temporal.
Sin embargo, depositar demasiados objetos puede provocar ralentizaciones, por lo que no se recomienda hacerlo.
El número m"&amp;"áximo de objetos que se pueden depositar es de aproximadamente 200 a 600 (esta función no está totalmente implementada).")</f>
        <v>En el mapa de la Puerta Estelar, los objetos que se depositen en ella no se perderán y podrán usarse como almacenamiento temporal.
Sin embargo, depositar demasiados objetos puede provocar ralentizaciones, por lo que no se recomienda hacerlo.
El número máximo de objetos que se pueden depositar es de aproximadamente 200 a 600 (esta función no está totalmente implementada).</v>
      </c>
      <c r="F64" s="218" t="str">
        <f>IFERROR(__xludf.DUMMYFUNCTION("GOOGLETRANSLATE(A64,""zh-tw"",""KO"")"),"스타게이트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f>
        <v>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v>
      </c>
      <c r="G64" s="55" t="str">
        <f>IFERROR(__xludf.DUMMYFUNCTION("GOOGLETRANSLATE(A64,""zh-tw"",""ru"")"),"На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сл"&amp;"ишком много.
Максимальное количество выбрасываемых предметов составляет примерно 200–600 (реализовано не полностью).")</f>
        <v>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слишком много.
Максимальное количество выбрасываемых предметов составляет примерно 200–600 (реализовано не полностью).</v>
      </c>
      <c r="H64" s="218" t="str">
        <f>IFERROR(__xludf.DUMMYFUNCTION("GOOGLETRANSLATE(A64,""zh-tw"",""de"")"),"Auf der Sternentor-Karte gehen Gegenstände, die in Sternentore geworfen werden, nicht verloren und können als temporärer Lagerplatz genutzt werden.
Das Werfen zu vieler Gegenstände kann jedoch zu Verzögerungen führen. Daher wird davon abgeraten, zu viele"&amp;" Gegenstände in Sternentore zu werfen.
Die maximale Anzahl an Gegenständen, die in Sternentore geworfen werden können, liegt bei etwa 200–600 (noch nicht vollständig implementiert).")</f>
        <v>Auf der Sternentor-Karte gehen Gegenstände, die in Sternentore geworfen werden, nicht verloren und können als temporärer Lagerplatz genutzt werden.
Das Werfen zu vieler Gegenstände kann jedoch zu Verzögerungen führen. Daher wird davon abgeraten, zu viele Gegenstände in Sternentore zu werfen.
Die maximale Anzahl an Gegenständen, die in Sternentore geworfen werden können, liegt bei etwa 200–600 (noch nicht vollständig implementiert).</v>
      </c>
      <c r="I64" s="188" t="s">
        <v>3476</v>
      </c>
      <c r="J64" s="46"/>
      <c r="K64" s="46"/>
      <c r="L64" s="46"/>
      <c r="M64" s="46"/>
      <c r="N64" s="46"/>
      <c r="O64" s="46"/>
      <c r="P64" s="46"/>
      <c r="Q64" s="46"/>
      <c r="R64" s="46"/>
      <c r="S64" s="46"/>
      <c r="T64" s="46"/>
      <c r="U64" s="46"/>
      <c r="V64" s="46"/>
      <c r="W64" s="46"/>
    </row>
    <row r="65">
      <c r="A65" s="52" t="s">
        <v>3477</v>
      </c>
      <c r="B65" s="217" t="s">
        <v>3478</v>
      </c>
      <c r="C65" s="52" t="s">
        <v>3479</v>
      </c>
      <c r="D65" s="217" t="str">
        <f>IFERROR(__xludf.DUMMYFUNCTION("GOOGLETRANSLATE(A65,""zh-tw"",""zh"")"),"心情数值(0~100)是隐藏的，可以从妹妹平时的态度感受出来")</f>
        <v>心情数值(0~100)是隐藏的，可以从妹妹平时的态度感受出来</v>
      </c>
      <c r="E65" s="55" t="str">
        <f>IFERROR(__xludf.DUMMYFUNCTION("GOOGLETRANSLATE(A65,""zh-tw"",""es-MX"")"),"La puntuación del estado de ánimo (0~100) está oculta, pero se puede percibir a partir de la actitud habitual de la hermana menor.")</f>
        <v>La puntuación del estado de ánimo (0~100) está oculta, pero se puede percibir a partir de la actitud habitual de la hermana menor.</v>
      </c>
      <c r="F65" s="218" t="str">
        <f>IFERROR(__xludf.DUMMYFUNCTION("GOOGLETRANSLATE(A65,""zh-tw"",""KO"")"),"기분 점수(0~100)는 숨겨져 있지만, 여동생의 평소 태도에서 느낄 수 있다.")</f>
        <v>기분 점수(0~100)는 숨겨져 있지만, 여동생의 평소 태도에서 느낄 수 있다.</v>
      </c>
      <c r="G65" s="55" t="str">
        <f>IFERROR(__xludf.DUMMYFUNCTION("GOOGLETRANSLATE(A65,""zh-tw"",""ru"")"),"Оценка настроения (0~100) скрыта, но ее можно определить по обычному поведению младшей сестры.")</f>
        <v>Оценка настроения (0~100) скрыта, но ее можно определить по обычному поведению младшей сестры.</v>
      </c>
      <c r="H65" s="218" t="str">
        <f>IFERROR(__xludf.DUMMYFUNCTION("GOOGLETRANSLATE(A65,""zh-tw"",""de"")"),"Die Stimmungsbewertung (0~100) ist nicht sichtbar, lässt sich aber an der üblichen Haltung der jüngeren Schwester ablesen.")</f>
        <v>Die Stimmungsbewertung (0~100) ist nicht sichtbar, lässt sich aber an der üblichen Haltung der jüngeren Schwester ablesen.</v>
      </c>
      <c r="I65" s="188" t="s">
        <v>3480</v>
      </c>
      <c r="J65" s="46"/>
      <c r="K65" s="46"/>
      <c r="L65" s="46"/>
      <c r="M65" s="46"/>
      <c r="N65" s="46"/>
      <c r="O65" s="46"/>
      <c r="P65" s="46"/>
      <c r="Q65" s="46"/>
      <c r="R65" s="46"/>
      <c r="S65" s="46"/>
      <c r="T65" s="46"/>
      <c r="U65" s="46"/>
      <c r="V65" s="46"/>
      <c r="W65" s="46"/>
    </row>
    <row r="66">
      <c r="A66" s="52" t="s">
        <v>3481</v>
      </c>
      <c r="B66" s="217" t="s">
        <v>3482</v>
      </c>
      <c r="C66" s="52" t="s">
        <v>3483</v>
      </c>
      <c r="D66" s="217"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utilicen nuevos archivos de guardado pueden escuchar un sonido de gorgoteo extraño y muy tenue proveniente de una lápida.")</f>
        <v>Después de la versión 0.75, los jugadores que utilicen nuevos archivos de guardado pueden escuchar un sonido de gorgoteo extraño y muy tenue proveniente de una lápida.</v>
      </c>
      <c r="F66" s="218" t="str">
        <f>IFERROR(__xludf.DUMMYFUNCTION("GOOGLETRANSLATE(A66,""zh-tw"",""KO"")"),"0.75 버전 이후, 새로운 저장 파일을 사용하는 플레이어는 묘비에서 매우 희미하고 이상한 삐걱거리는 소리를 들을 수 있습니다.")</f>
        <v>0.75 버전 이후, 새로운 저장 파일을 사용하는 플레이어는 묘비에서 매우 희미하고 이상한 삐걱거리는 소리를 들을 수 있습니다.</v>
      </c>
      <c r="G66" s="55" t="str">
        <f>IFERROR(__xludf.DUMMYFUNCTION("GOOGLETRANSLATE(A66,""zh-tw"",""ru"")"),"После версии 0.75 игроки, использующие новые файлы сохранения, могут слышать очень слабый, странный булькающий звук, исходящий от надгробия.")</f>
        <v>После версии 0.75 игроки, использующие новые файлы сохранения, могут слышать очень слабый, странный булькающий звук, исходящий от надгробия.</v>
      </c>
      <c r="H66" s="218" t="str">
        <f>IFERROR(__xludf.DUMMYFUNCTION("GOOGLETRANSLATE(A66,""zh-tw"",""de"")"),"Ab Version 0.75 können Spieler, die neue Speicherstände verwenden, ein sehr leises, seltsames Glucksen aus einem Grabstein hören.")</f>
        <v>Ab Version 0.75 können Spieler, die neue Speicherstände verwenden, ein sehr leises, seltsames Glucksen aus einem Grabstein hören.</v>
      </c>
      <c r="I66" s="188" t="s">
        <v>3484</v>
      </c>
      <c r="J66" s="46"/>
      <c r="K66" s="46"/>
      <c r="L66" s="46"/>
      <c r="M66" s="46"/>
      <c r="N66" s="46"/>
      <c r="O66" s="46"/>
      <c r="P66" s="46"/>
      <c r="Q66" s="46"/>
      <c r="R66" s="46"/>
      <c r="S66" s="46"/>
      <c r="T66" s="46"/>
      <c r="U66" s="46"/>
      <c r="V66" s="46"/>
      <c r="W66" s="46"/>
    </row>
    <row r="67">
      <c r="A67" s="52" t="s">
        <v>3485</v>
      </c>
      <c r="B67" s="217" t="s">
        <v>3486</v>
      </c>
      <c r="C67" s="52" t="s">
        <v>3487</v>
      </c>
      <c r="D67" s="217"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menor es inmune a las toxinas, por lo que los alimentos venenosos no la envenenarán, pero el hermano mayor no es inmune.")</f>
        <v>La hermana menor es inmune a las toxinas, por lo que los alimentos venenosos no la envenenarán, pero el hermano mayor no es inmune.</v>
      </c>
      <c r="F67" s="218" t="str">
        <f>IFERROR(__xludf.DUMMYFUNCTION("GOOGLETRANSLATE(A67,""zh-tw"",""KO"")"),"여동생은 독소에 면역이 있어서 독이 있는 음식을 먹어도 중독되지 않지만, 오빠는 면역이 없습니다.")</f>
        <v>여동생은 독소에 면역이 있어서 독이 있는 음식을 먹어도 중독되지 않지만, 오빠는 면역이 없습니다.</v>
      </c>
      <c r="G67" s="55" t="str">
        <f>IFERROR(__xludf.DUMMYFUNCTION("GOOGLETRANSLATE(A67,""zh-tw"",""ru"")"),"Младшая сестра невосприимчива к токсинам, поэтому ядовитая пища не отравит ее, но у старшего брата иммунитета нет.")</f>
        <v>Младшая сестра невосприимчива к токсинам, поэтому ядовитая пища не отравит ее, но у старшего брата иммунитета нет.</v>
      </c>
      <c r="H67" s="218" t="str">
        <f>IFERROR(__xludf.DUMMYFUNCTION("GOOGLETRANSLATE(A67,""zh-tw"",""de"")"),"Die jüngere Schwester ist immun gegen Giftstoffe, daher kann sie sich durch giftige Lebensmittel nicht vergiften, der ältere Bruder hingegen nicht.")</f>
        <v>Die jüngere Schwester ist immun gegen Giftstoffe, daher kann sie sich durch giftige Lebensmittel nicht vergiften, der ältere Bruder hingegen nicht.</v>
      </c>
      <c r="I67" s="166" t="s">
        <v>3488</v>
      </c>
      <c r="J67" s="46"/>
      <c r="K67" s="46"/>
      <c r="L67" s="46"/>
      <c r="M67" s="46"/>
      <c r="N67" s="46"/>
      <c r="O67" s="46"/>
      <c r="P67" s="46"/>
      <c r="Q67" s="46"/>
      <c r="R67" s="46"/>
      <c r="S67" s="46"/>
      <c r="T67" s="46"/>
      <c r="U67" s="46"/>
      <c r="V67" s="46"/>
      <c r="W67" s="46"/>
    </row>
    <row r="68">
      <c r="A68" s="52" t="s">
        <v>3489</v>
      </c>
      <c r="B68" s="217" t="str">
        <f>IFERROR(__xludf.DUMMYFUNCTION("GOOGLETRANSLATE(A68,""zh-tw"",""ja"")"),"Shiftキーで歩行と走行の姿勢を切り替えることができます")</f>
        <v>Shiftキーで歩行と走行の姿勢を切り替えることができます</v>
      </c>
      <c r="C68" s="52" t="s">
        <v>3490</v>
      </c>
      <c r="D68" s="217" t="str">
        <f>IFERROR(__xludf.DUMMYFUNCTION("GOOGLETRANSLATE(A68,""zh-tw"",""zh"")"),"shift键可以切换走路/奔跑姿态")</f>
        <v>shift键可以切换走路/奔跑姿态</v>
      </c>
      <c r="E68" s="55" t="str">
        <f>IFERROR(__xludf.DUMMYFUNCTION("GOOGLETRANSLATE(A68,""zh-tw"",""es-MX"")"),"La tecla Shift permite alternar entre las posturas de caminar y correr.")</f>
        <v>La tecla Shift permite alternar entre las posturas de caminar y correr.</v>
      </c>
      <c r="F68" s="218"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18" t="str">
        <f>IFERROR(__xludf.DUMMYFUNCTION("GOOGLETRANSLATE(A68,""zh-tw"",""de"")"),"Mit der Umschalttaste kann zwischen Geh- und Laufhaltung umgeschaltet werden.")</f>
        <v>Mit der Umschalttaste kann zwischen Geh- und Laufhaltung umgeschaltet werden.</v>
      </c>
      <c r="I68" s="188" t="s">
        <v>3491</v>
      </c>
      <c r="J68" s="46"/>
      <c r="K68" s="46"/>
      <c r="L68" s="46"/>
      <c r="M68" s="46"/>
      <c r="N68" s="46"/>
      <c r="O68" s="46"/>
      <c r="P68" s="46"/>
      <c r="Q68" s="46"/>
      <c r="R68" s="46"/>
      <c r="S68" s="46"/>
      <c r="T68" s="46"/>
      <c r="U68" s="46"/>
      <c r="V68" s="46"/>
      <c r="W68" s="46"/>
    </row>
    <row r="69">
      <c r="A69" s="52" t="s">
        <v>3492</v>
      </c>
      <c r="B69" s="217" t="s">
        <v>3493</v>
      </c>
      <c r="C69" s="52" t="s">
        <v>3494</v>
      </c>
      <c r="D69" s="217"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a corta distancia, cambiará automáticamente a un ataque arrojadizo de largo alcance y marcará al enemigo.
«Corte Torbellino» se ha reemplazado por «Asalto»,"&amp;" que permite al usuario teletransportarse instantáneamente detrás de un enemigo marcado y aumentar el daño de los ataques por la espalda.
La habilidad «Paso Relámpago Katana» se convierte en un breve periodo de sigilo; el primer ataque durante el sigilo "&amp;"tendrá un efecto adicional de ataque por la espalda.
*Las armas tipo daga aún no están implementadas.*")</f>
        <v>Algunas armas cambiarán tras aprender habilidades ninja, como las dagas.
Cuando no haya enemigos a corta distancia, cambiará automáticamente a un ataque arrojadizo de largo alcance y marcará al enemigo.
«Corte Torbellino» se ha reemplazado por «Asalto», que permite al usuario teletransportarse instantáneamente detrás de un enemigo marcado y aumentar el daño de los ataques por la espalda.
La habilidad «Paso Relámpago Katana» se convierte en un breve periodo de sigilo; el primer ataque durante el sigilo tendrá un efecto adicional de ataque por la espalda.
*Las armas tipo daga aún no están implementadas.*</v>
      </c>
      <c r="F69" s="218" t="str">
        <f>IFERROR(__xludf.DUMMYFUNCTION("GOOGLETRANSLATE(A69,""zh-tw"",""KO"")"),"단검과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"&amp;"아직 구현되지 않았습니다.")</f>
        <v>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아직 구현되지 않았습니다.</v>
      </c>
      <c r="G69" s="55" t="str">
        <f>IFERROR(__xludf.DUMMYFUNCTION("GOOGLETRANSLATE(A69,""zh-tw"",""ru"")"),"Некоторые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"&amp;"позволяет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эфф"&amp;"ект удара в спину.
****Оружие типа кинжала пока не реализовано.")</f>
        <v>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эффект удара в спину.
****Оружие типа кинжала пока не реализовано.</v>
      </c>
      <c r="H69" s="218" t="str">
        <f>IFERROR(__xludf.DUMMYFUNCTION("GOOGLETRANSLATE(A69,""zh-tw"",""de"")"),"Einige Waffen verändern sich nach dem Erlernen von Ninja-Fertigkeiten, wie z. B. Dolche.
Wenn sich keine Gegner in der Nähe befinden, wird automatisch auf einen Fernkampfangriff umgeschaltet und der Gegner markiert.
„Wirbelwindhieb“ wurde durch „Angriff"&amp;"“ ersetzt. Mit dieser Fähigkeit kann sich der Benutzer sofort hinter einen markierten Gegner teleportieren und den Schaden von Hinterhalten erhöhen.
Die Fertigkeit „Blitzschritt Katana“ wurde in einen kurzen Schleichmodus umgewandelt; der erste Angriff w"&amp;"ährend des Schleichmodus verursacht einen zusätzlichen Hinterhaltsschaden.
****Dolche sind noch nicht implementiert.")</f>
        <v>Einige Waffen verändern sich nach dem Erlernen von Ninja-Fertigkeiten, wie z. B. Dolche.
Wenn sich keine Gegner in der Nähe befinden, wird automatisch auf einen Fernkampfangriff umgeschaltet und der Gegner markiert.
„Wirbelwindhieb“ wurde durch „Angriff“ ersetzt. Mit dieser Fähigkeit kann sich der Benutzer sofort hinter einen markierten Gegner teleportieren und den Schaden von Hinterhalten erhöhen.
Die Fertigkeit „Blitzschritt Katana“ wurde in einen kurzen Schleichmodus umgewandelt; der erste Angriff während des Schleichmodus verursacht einen zusätzlichen Hinterhaltsschaden.
****Dolche sind noch nicht implementiert.</v>
      </c>
      <c r="I69" s="188" t="s">
        <v>3495</v>
      </c>
      <c r="J69" s="46"/>
      <c r="K69" s="46"/>
      <c r="L69" s="46"/>
      <c r="M69" s="46"/>
      <c r="N69" s="46"/>
      <c r="O69" s="46"/>
      <c r="P69" s="46"/>
      <c r="Q69" s="46"/>
      <c r="R69" s="46"/>
      <c r="S69" s="46"/>
      <c r="T69" s="46"/>
      <c r="U69" s="46"/>
      <c r="V69" s="46"/>
      <c r="W69" s="46"/>
    </row>
    <row r="70">
      <c r="A70" s="52" t="s">
        <v>3496</v>
      </c>
      <c r="B70" s="217" t="s">
        <v>3497</v>
      </c>
      <c r="C70" s="52" t="s">
        <v>3498</v>
      </c>
      <c r="D70" s="217"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acumulará puntos de pecado, como por ejemplo: acosar sexualmente a tu hermana, traicionar a un enemigo, vandalizar propiedad pública y lanzar una bomba a un río.
(El sistema de puntos de pecado aún no está implementado).")</f>
        <v>Hacer cosas malas acumulará puntos de pecado, como por ejemplo: acosar sexualmente a tu hermana, traicionar a un enemigo, vandalizar propiedad pública y lanzar una bomba a un río.
(El sistema de puntos de pecado aún no está implementado).</v>
      </c>
      <c r="F70" s="218" t="str">
        <f>IFERROR(__xludf.DUMMYFUNCTION("GOOGLETRANSLATE(A70,""zh-tw"",""KO"")"),"나쁜 짓을 하면 죄점이 쌓입니다. 예를 들어 여동생을 성희롱하거나, 적을 배신하거나, 공공 시설을 파손하거나, 강에 폭탄을 던지는 등의 행위가 있습니다.
(죄점은 아직 적용되지 않았습니다)")</f>
        <v>나쁜 짓을 하면 죄점이 쌓입니다. 예를 들어 여동생을 성희롱하거나, 적을 배신하거나, 공공 시설을 파손하거나, 강에 폭탄을 던지는 등의 행위가 있습니다.
(죄점은 아직 적용되지 않았습니다)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f>
        <v>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v>
      </c>
      <c r="H70" s="218" t="str">
        <f>IFERROR(__xludf.DUMMYFUNCTION("GOOGLETRANSLATE(A70,""zh-tw"",""de"")"),"Schlechte Taten führen zu Sündenpunkten, zum Beispiel: die eigene Schwester sexuell belästigen, einen Feind hintergehen, öffentliches Eigentum beschädigen oder eine Bombe in einen Fluss werfen.
(Sündenpunkte sind noch nicht implementiert.)")</f>
        <v>Schlechte Taten führen zu Sündenpunkten, zum Beispiel: die eigene Schwester sexuell belästigen, einen Feind hintergehen, öffentliches Eigentum beschädigen oder eine Bombe in einen Fluss werfen.
(Sündenpunkte sind noch nicht implementiert.)</v>
      </c>
      <c r="I70" s="188" t="s">
        <v>3499</v>
      </c>
      <c r="J70" s="46"/>
      <c r="K70" s="46"/>
      <c r="L70" s="46"/>
      <c r="M70" s="46"/>
      <c r="N70" s="46"/>
      <c r="O70" s="46"/>
      <c r="P70" s="46"/>
      <c r="Q70" s="46"/>
      <c r="R70" s="46"/>
      <c r="S70" s="46"/>
      <c r="T70" s="46"/>
      <c r="U70" s="46"/>
      <c r="V70" s="46"/>
      <c r="W70" s="46"/>
    </row>
    <row r="71">
      <c r="A71" s="52" t="s">
        <v>3500</v>
      </c>
      <c r="B71" s="217" t="s">
        <v>3501</v>
      </c>
      <c r="C71" s="52" t="s">
        <v>3502</v>
      </c>
      <c r="D71" s="217"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habilidad para cada etapa del asesinato por la espalda: 5.27.60.120.256.530.960.1587.2452.3600")</f>
        <v>Requisitos de habilidad para cada etapa del asesinato por la espalda: 5.27.60.120.256.530.960.1587.2452.3600</v>
      </c>
      <c r="F71" s="218" t="str">
        <f>IFERROR(__xludf.DUMMYFUNCTION("GOOGLETRANSLATE(A71,""zh-tw"",""KO"")"),"각 단계의 암살에 대한 숙련도 요구 사항: 5.27.60.120.256.530.960.1587.2452.3600")</f>
        <v>각 단계의 암살에 대한 숙련도 요구 사항: 5.27.60.120.256.530.960.1587.2452.3600</v>
      </c>
      <c r="G71" s="55" t="str">
        <f>IFERROR(__xludf.DUMMYFUNCTION("GOOGLETRANSLATE(A71,""zh-tw"",""ru"")"),"Требования к навыкам для каждого этапа убийства сзади: 5.27.60.120.256.530.960.1587.2452.3600")</f>
        <v>Требования к навыкам для каждого этапа убийства сзади: 5.27.60.120.256.530.960.1587.2452.3600</v>
      </c>
      <c r="H71" s="218" t="str">
        <f>IFERROR(__xludf.DUMMYFUNCTION("GOOGLETRANSLATE(A71,""zh-tw"",""de"")"),"Fertigkeitsanforderungen für jede Phase eines Attentats von hinten: 5.27.60.120.256.530.960.1587.2452.3600")</f>
        <v>Fertigkeitsanforderungen für jede Phase eines Attentats von hinten: 5.27.60.120.256.530.960.1587.2452.3600</v>
      </c>
      <c r="I71" s="188" t="s">
        <v>3503</v>
      </c>
      <c r="J71" s="46"/>
      <c r="K71" s="46"/>
      <c r="L71" s="46"/>
      <c r="M71" s="46"/>
      <c r="N71" s="46"/>
      <c r="O71" s="46"/>
      <c r="P71" s="46"/>
      <c r="Q71" s="46"/>
      <c r="R71" s="46"/>
      <c r="S71" s="46"/>
      <c r="T71" s="46"/>
      <c r="U71" s="46"/>
      <c r="V71" s="46"/>
      <c r="W71" s="46"/>
    </row>
    <row r="72">
      <c r="A72" s="52" t="s">
        <v>3504</v>
      </c>
      <c r="B72" s="217" t="s">
        <v>3505</v>
      </c>
      <c r="C72" s="52" t="s">
        <v>3506</v>
      </c>
      <c r="D72" s="217"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IFERROR(__xludf.DUMMYFUNCTION("GOOGLETRANSLATE(A72,""zh-tw"",""es-MX"")"),"Los ataques por la espalda también pueden realizarse contra objetos del entorno (como árboles y jarrones), lo que aumenta fácilmente la habilidad.
(Ten en cuenta la ubicación de algunos objetos, como flores y setas).")</f>
        <v>Los ataques por la espalda también pueden realizarse contra objetos del entorno (como árboles y jarrones), lo que aumenta fácilmente la habilidad.
(Ten en cuenta la ubicación de algunos objetos, como flores y setas).</v>
      </c>
      <c r="F72" s="218" t="str">
        <f>IFERROR(__xludf.DUMMYFUNCTION("GOOGLETRANSLATE(A72,""zh-tw"",""KO"")"),"배후 공격은 주변 환경의 물체(예: 나무, 병)에도 사용할 수 있으며, 이를 통해 숙련도를 쉽게 높일 수 있습니다.
(꽃이나 버섯과 같은 일부 물체의 위치를 ​​확인하세요.)")</f>
        <v>배후 공격은 주변 환경의 물체(예: 나무, 병)에도 사용할 수 있으며, 이를 통해 숙련도를 쉽게 높일 수 있습니다.
(꽃이나 버섯과 같은 일부 물체의 위치를 ​​확인하세요.)</v>
      </c>
      <c r="G72" s="55" t="str">
        <f>IFERROR(__xludf.DUMMYFUNCTION("GOOGLETRANSLATE(A72,""zh-tw"",""ru"")"),"Удары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v>
      </c>
      <c r="H72" s="218" t="str">
        <f>IFERROR(__xludf.DUMMYFUNCTION("GOOGLETRANSLATE(A72,""zh-tw"",""de"")"),"Hinterhältige Angriffe lassen sich auch an Objekten in der Umgebung (wie Bäumen und Krügen) ausführen, wodurch sich die Fertigkeit leicht steigern lässt.
(Beachte die Position einiger Objekte, wie z. B. Blumen und Pilze.)")</f>
        <v>Hinterhältige Angriffe lassen sich auch an Objekten in der Umgebung (wie Bäumen und Krügen) ausführen, wodurch sich die Fertigkeit leicht steigern lässt.
(Beachte die Position einiger Objekte, wie z. B. Blumen und Pilze.)</v>
      </c>
      <c r="I72" s="188" t="s">
        <v>3507</v>
      </c>
      <c r="J72" s="46"/>
      <c r="K72" s="46"/>
      <c r="L72" s="46"/>
      <c r="M72" s="46"/>
      <c r="N72" s="46"/>
      <c r="O72" s="46"/>
      <c r="P72" s="46"/>
      <c r="Q72" s="46"/>
      <c r="R72" s="46"/>
      <c r="S72" s="46"/>
      <c r="T72" s="46"/>
      <c r="U72" s="46"/>
      <c r="V72" s="46"/>
      <c r="W72" s="46"/>
    </row>
    <row r="73">
      <c r="A73" s="52" t="s">
        <v>3508</v>
      </c>
      <c r="B73" s="217" t="s">
        <v>3509</v>
      </c>
      <c r="C73" s="52" t="s">
        <v>3510</v>
      </c>
      <c r="D73" s="217"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IFERROR(__xludf.DUMMYFUNCTION("GOOGLETRANSLATE(A73,""zh-tw"",""es-MX"")"),"La habilidad «Eliminación de Olores» se puede dominar acercándose sigilosamente a los enemigos o bailando en el baño. El nivel de maestría no se muestra; consulta el nivel de la habilidad directamente.")</f>
        <v>La habilidad «Eliminación de Olores» se puede dominar acercándose sigilosamente a los enemigos o bailando en el baño. El nivel de maestría no se muestra; consulta el nivel de la habilidad directamente.</v>
      </c>
      <c r="F73" s="218" t="str">
        <f>IFERROR(__xludf.DUMMYFUNCTION("GOOGLETRANSLATE(A73,""zh-tw"",""KO"")"),"""냄새 제거"" 스킬은 적의 뒤로 숨어들거나 화장실에서 춤을 추면 습득할 수 있습니다. 숙련도는 표시되지 않으니, 스킬 레벨을 직접 확인해 주세요.")</f>
        <v>"냄새 제거" 스킬은 적의 뒤로 숨어들거나 화장실에서 춤을 추면 습득할 수 있습니다. 숙련도는 표시되지 않으니, 스킬 레벨을 직접 확인해 주세요.</v>
      </c>
      <c r="G73" s="55" t="str">
        <f>IFERROR(__xludf.DUMMYFUNCTION("GOOGLETRANSLATE(A73,""zh-tw"",""ru"")"),"Навык «Устранение запаха» можно освоить, подкрадываясь к врагам или танцуя в туалете. Уровень мастерства не отображается; проверяйте уровень навыка напрямую.")</f>
        <v>Навык «Устранение запаха» можно освоить, подкрадываясь к врагам или танцуя в туалете. Уровень мастерства не отображается; проверяйте уровень навыка напрямую.</v>
      </c>
      <c r="H73" s="217" t="s">
        <v>3511</v>
      </c>
      <c r="I73" s="188" t="s">
        <v>3512</v>
      </c>
      <c r="J73" s="46"/>
      <c r="K73" s="46"/>
      <c r="L73" s="46"/>
      <c r="M73" s="46"/>
      <c r="N73" s="46"/>
      <c r="O73" s="46"/>
      <c r="P73" s="46"/>
      <c r="Q73" s="46"/>
      <c r="R73" s="46"/>
      <c r="S73" s="46"/>
      <c r="T73" s="46"/>
      <c r="U73" s="46"/>
      <c r="V73" s="46"/>
      <c r="W73" s="46"/>
    </row>
    <row r="74">
      <c r="A74" s="52" t="s">
        <v>3513</v>
      </c>
      <c r="B74" s="217" t="s">
        <v>3514</v>
      </c>
      <c r="C74" s="52" t="s">
        <v>3515</v>
      </c>
      <c r="D74" s="217"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derrotar a cierto número de monstruos, pueden aparecer monstruos mejorados con atributos superiores.
Actualmente, esta función está en su fase inicial; se realizarán mejoras en diversos efectos y objetos obtenidos.")</f>
        <v>Monstruos de élite: Al derrotar a cierto número de monstruos, pueden aparecer monstruos mejorados con atributos superiores.
Actualmente, esta función está en su fase inicial; se realizarán mejoras en diversos efectos y objetos obtenidos.</v>
      </c>
      <c r="F74" s="218" t="str">
        <f>IFERROR(__xludf.DUMMYFUNCTION("GOOGLETRANSLATE(A74,""zh-tw"",""KO"")"),"엘리트 몬스터: 일정 수의 몬스터를 처치하면 더 강력한 속성을 가진 강화 몬스터가 생성될 수 있습니다.
현재는 초기 구현 단계이며, 다양한 효과와 아이템 획득 방식이 향후 더욱 강화될 예정입니다.")</f>
        <v>엘리트 몬스터: 일정 수의 몬스터를 처치하면 더 강력한 속성을 가진 강화 몬스터가 생성될 수 있습니다.
현재는 초기 구현 단계이며, 다양한 효과와 아이템 획득 방식이 향후 더욱 강화될 예정입니다.</v>
      </c>
      <c r="G74" s="55" t="str">
        <f>IFERROR(__xludf.DUMMYFUNCTION("GOOGLETRANSLATE(A74,""zh-tw"",""ru"")"),"Элитные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выпадени"&amp;"е предметов.")</f>
        <v>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выпадение предметов.</v>
      </c>
      <c r="H74" s="217" t="s">
        <v>3516</v>
      </c>
      <c r="I74" s="188" t="s">
        <v>3517</v>
      </c>
      <c r="J74" s="46"/>
      <c r="K74" s="46"/>
      <c r="L74" s="46"/>
      <c r="M74" s="46"/>
      <c r="N74" s="46"/>
      <c r="O74" s="46"/>
      <c r="P74" s="46"/>
      <c r="Q74" s="46"/>
      <c r="R74" s="46"/>
      <c r="S74" s="46"/>
      <c r="T74" s="46"/>
      <c r="U74" s="46"/>
      <c r="V74" s="46"/>
      <c r="W74" s="46"/>
    </row>
    <row r="75">
      <c r="A75" s="52" t="s">
        <v>3518</v>
      </c>
      <c r="B75" s="217" t="s">
        <v>3519</v>
      </c>
      <c r="C75" s="52" t="s">
        <v>3520</v>
      </c>
      <c r="D75" s="217" t="str">
        <f>IFERROR(__xludf.DUMMYFUNCTION("GOOGLETRANSLATE(A75,""zh-tw"",""zh"")"),"同上，饮料贩卖机也有可能出现菁英饮料贩卖机")</f>
        <v>同上，饮料贩卖机也有可能出现菁英饮料贩卖机</v>
      </c>
      <c r="E75" s="55" t="str">
        <f>IFERROR(__xludf.DUMMYFUNCTION("GOOGLETRANSLATE(A75,""zh-tw"",""es-MX"")"),"Del mismo modo, también podrían aparecer máquinas expendedoras de bebidas de alta gama.")</f>
        <v>Del mismo modo, también podrían aparecer máquinas expendedoras de bebidas de alta gama.</v>
      </c>
      <c r="F75" s="218" t="str">
        <f>IFERROR(__xludf.DUMMYFUNCTION("GOOGLETRANSLATE(A75,""zh-tw"",""KO"")"),"마찬가지로, 엘리트 음료 자동판매기도 등장할 가능성이 있습니다.")</f>
        <v>마찬가지로, 엘리트 음료 자동판매기도 등장할 가능성이 있습니다.</v>
      </c>
      <c r="G75" s="55" t="str">
        <f>IFERROR(__xludf.DUMMYFUNCTION("GOOGLETRANSLATE(A75,""zh-tw"",""ru"")"),"Аналогично могут появиться и автоматы по продаже элитных напитков.")</f>
        <v>Аналогично могут появиться и автоматы по продаже элитных напитков.</v>
      </c>
      <c r="H75" s="217" t="s">
        <v>3521</v>
      </c>
      <c r="I75" s="188" t="s">
        <v>3522</v>
      </c>
      <c r="J75" s="46"/>
      <c r="K75" s="46"/>
      <c r="L75" s="46"/>
      <c r="M75" s="46"/>
      <c r="N75" s="46"/>
      <c r="O75" s="46"/>
      <c r="P75" s="46"/>
      <c r="Q75" s="46"/>
      <c r="R75" s="46"/>
      <c r="S75" s="46"/>
      <c r="T75" s="46"/>
      <c r="U75" s="46"/>
      <c r="V75" s="46"/>
      <c r="W75" s="46"/>
    </row>
    <row r="76">
      <c r="A76" s="52" t="s">
        <v>3523</v>
      </c>
      <c r="B76" s="217" t="s">
        <v>3524</v>
      </c>
      <c r="C76" s="52" t="s">
        <v>3525</v>
      </c>
      <c r="D76" s="217"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18"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17" t="s">
        <v>3526</v>
      </c>
      <c r="I76" s="188" t="s">
        <v>3527</v>
      </c>
      <c r="J76" s="46"/>
      <c r="K76" s="46"/>
      <c r="L76" s="46"/>
      <c r="M76" s="46"/>
      <c r="N76" s="46"/>
      <c r="O76" s="46"/>
      <c r="P76" s="46"/>
      <c r="Q76" s="46"/>
      <c r="R76" s="46"/>
      <c r="S76" s="46"/>
      <c r="T76" s="46"/>
      <c r="U76" s="46"/>
      <c r="V76" s="46"/>
      <c r="W76" s="46"/>
    </row>
    <row r="77">
      <c r="A77" s="52" t="s">
        <v>3528</v>
      </c>
      <c r="B77" s="217" t="str">
        <f>IFERROR(__xludf.DUMMYFUNCTION("GOOGLETRANSLATE(A77,""zh-tw"",""ja"")"),"開いた「スターゲート」は物体や弾丸を吸収できるが、防げるダメージには限界がある（アサバの攻撃を受けると約2秒後に爆発する）。")</f>
        <v>開いた「スターゲート」は物体や弾丸を吸収できるが、防げるダメージには限界がある（アサバの攻撃を受けると約2秒後に爆発する）。</v>
      </c>
      <c r="C77" s="52" t="s">
        <v>3529</v>
      </c>
      <c r="D77" s="217"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pero existe un límite en el daño que puede bloquear (explota después de unos 2 segundos si es atacada por Asaba).")</f>
        <v>La "Puerta Estelar" abierta puede absorber objetos y balas, pero existe un límite en el daño que puede bloquear (explota después de unos 2 segundos si es atacada por Asaba).</v>
      </c>
      <c r="F77" s="218" t="str">
        <f>IFERROR(__xludf.DUMMYFUNCTION("GOOGLETRANSLATE(A77,""zh-tw"",""KO"")"),"열린 ""스타게이트""는 물체와 총알을 흡수할 수 있지만, 막을 수 있는 피해에는 한계가 있습니다(아사바에게 공격받으면 약 2초 후에 폭발합니다).")</f>
        <v>열린 "스타게이트"는 물체와 총알을 흡수할 수 있지만, 막을 수 있는 피해에는 한계가 있습니다(아사바에게 공격받으면 약 2초 후에 폭발합니다).</v>
      </c>
      <c r="G77" s="55" t="str">
        <f>IFERROR(__xludf.DUMMYFUNCTION("GOOGLETRANSLATE(A77,""zh-tw"",""ru"")"),"Открытые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f>
        <v>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v>
      </c>
      <c r="H77" s="217" t="s">
        <v>3530</v>
      </c>
      <c r="I77" s="188" t="s">
        <v>3531</v>
      </c>
      <c r="J77" s="46"/>
      <c r="K77" s="46"/>
      <c r="L77" s="46"/>
      <c r="M77" s="46"/>
      <c r="N77" s="46"/>
      <c r="O77" s="46"/>
      <c r="P77" s="46"/>
      <c r="Q77" s="46"/>
      <c r="R77" s="46"/>
      <c r="S77" s="46"/>
      <c r="T77" s="46"/>
      <c r="U77" s="46"/>
      <c r="V77" s="46"/>
      <c r="W77" s="46"/>
    </row>
    <row r="78">
      <c r="A78" s="52" t="s">
        <v>3532</v>
      </c>
      <c r="B78" s="217" t="str">
        <f>IFERROR(__xludf.DUMMYFUNCTION("GOOGLETRANSLATE(A78,""zh-tw"",""ja"")"),"密着行為（入浴後、服装、気分、デザートなど、様々な場面でパフォーマンスが展開されます）。アホ毛、頭、胸、性器、耳、鎖骨、乳首、お腹など、様々な部位を対象。特にアホ毛、胸、乳首は引きずり行為の対象です。")</f>
        <v>密着行為（入浴後、服装、気分、デザートなど、様々な場面でパフォーマンスが展開されます）。アホ毛、頭、胸、性器、耳、鎖骨、乳首、お腹など、様々な部位を対象。特にアホ毛、胸、乳首は引きずり行為の対象です。</v>
      </c>
      <c r="C78" s="52" t="s">
        <v>3533</v>
      </c>
      <c r="D78" s="217"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IFERROR(__xludf.DUMMYFUNCTION("GOOGLETRANSLATE(A78,""zh-tw"",""es-MX"")"),"El contacto íntimo (las prácticas pueden variar tras el baño, con diferentes atuendos, estados de ánimo y mientras se disfrutan postres). Las partes del cuerpo incluyen: el remolino, la cabeza, el pecho, los genitales, las orejas, la clavícula, los pezone"&amp;"s y el vientre. Elementos especiales para arrastrar: el remolino, el pecho y los pezones.")</f>
        <v>El contacto íntimo (las prácticas pueden variar tras el baño, con diferentes atuendos, estados de ánimo y mientras se disfrutan postres). Las partes del cuerpo incluyen: el remolino, la cabeza, el pecho, los genitales, las orejas, la clavícula, los pezones y el vientre. Elementos especiales para arrastrar: el remolino, el pecho y los pezones.</v>
      </c>
      <c r="F78" s="218" t="str">
        <f>IFERROR(__xludf.DUMMYFUNCTION("GOOGLETRANSLATE(A78,""zh-tw"",""KO"")"),"친밀한 접촉 (목욕 후, 옷차림, 기분에 따라, 디저트를 즐기는 동안 다양한 퍼포먼스가 가능합니다). 신체 부위는 아호게(머리, 가슴, 생식기, 귀, 쇄골, 젖꼭지, 배입니다. 끌기용 특수 도구는 아호게, 가슴, 젖꼭지입니다.")</f>
        <v>친밀한 접촉 (목욕 후, 옷차림, 기분에 따라, 디저트를 즐기는 동안 다양한 퍼포먼스가 가능합니다). 신체 부위는 아호게(머리, 가슴, 생식기, 귀, 쇄골, 젖꼭지, 배입니다. 끌기용 특수 도구는 아호게, 가슴, 젖꼭지입니다.</v>
      </c>
      <c r="G78" s="55" t="str">
        <f>IFERROR(__xludf.DUMMYFUNCTION("GOOGLETRANSLATE(A78,""zh-tw"",""ru"")"),"Интимный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перет"&amp;"аскивания: ахоге, грудь и соски.")</f>
        <v>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перетаскивания: ахоге, грудь и соски.</v>
      </c>
      <c r="H78" s="217" t="s">
        <v>3534</v>
      </c>
      <c r="I78" s="188" t="s">
        <v>3535</v>
      </c>
      <c r="J78" s="46"/>
      <c r="K78" s="46"/>
      <c r="L78" s="46"/>
      <c r="M78" s="46"/>
      <c r="N78" s="46"/>
      <c r="O78" s="46"/>
      <c r="P78" s="46"/>
      <c r="Q78" s="46"/>
      <c r="R78" s="46"/>
      <c r="S78" s="46"/>
      <c r="T78" s="46"/>
      <c r="U78" s="46"/>
      <c r="V78" s="46"/>
      <c r="W78" s="46"/>
    </row>
    <row r="79">
      <c r="A79" s="52" t="s">
        <v>3536</v>
      </c>
      <c r="B79" s="217" t="str">
        <f>IFERROR(__xludf.DUMMYFUNCTION("GOOGLETRANSLATE(A79,""zh-tw"",""ja"")"),"素手で背後から攻撃すると、隠しスキル「千年死」が発動し、対象の敵を空中に吹き飛ばします。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f>
        <v>素手で背後から攻撃すると、隠しスキル「千年死」が発動し、対象の敵を空中に吹き飛ばします。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v>
      </c>
      <c r="C79" s="52" t="s">
        <v>3537</v>
      </c>
      <c r="D79" s="217"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IFERROR(__xludf.DUMMYFUNCTION("GOOGLETRANSLATE(A79,""zh-tw"",""es-MX"")"),"Al atacar por la espalda estando desarmado, se puede usar la habilidad oculta «Mil Años de Muerte», que lanza al enemigo por los aires.
※El daño se ve afectado por la habilidad de ataque por la espalda, pero no por las habilidades de entrenamiento con es"&amp;"pada.
※No se puede usar contra monstruos inmunes al retroceso; solo se puede usar contra unidades enemigas.
※En futuras implementaciones, podría incluirse una variedad con diferentes acciones eróticas contra distintos enemigos.")</f>
        <v>Al atacar por la espalda estando desarmado, se puede usar la habilidad oculta «Mil Años de Muerte», que lanza al enemigo por los aires.
※El daño se ve afectado por la habilidad de ataque por la espalda, pero no por las habilidades de entrenamiento con espada.
※No se puede usar contra monstruos inmunes al retroceso; solo se puede usar contra unidades enemigas.
※En futuras implementaciones, podría incluirse una variedad con diferentes acciones eróticas contra distintos enemigos.</v>
      </c>
      <c r="F79" s="218" t="str">
        <f>IFERROR(__xludf.DUMMYFUNCTION("GOOGLETRANSLATE(A79,""zh-tw"",""KO"")"),"비무장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선보일 수 있습니다.")</f>
        <v>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선보일 수 있습니다.</v>
      </c>
      <c r="G79" s="55" t="str">
        <f>IFERROR(__xludf.DUMMYFUNCTION("GOOGLETRANSLATE(A79,""zh-tw"",""ru"")"),"Безоружный,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о"&amp;"тбрасыванию;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f>
        <v>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v>
      </c>
      <c r="H79" s="218" t="str">
        <f>IFERROR(__xludf.DUMMYFUNCTION("GOOGLETRANSLATE(A79,""zh-tw"",""de"")"),"Im unbewaffneten Zustand und beim Hinterhalt kann die verborgene Fähigkeit „Tausend Jahre des Todes“ eingesetzt werden, die den anvisierten Gegner in die Luft schleudert.
※Der Schaden wird durch den Hinterhalt beeinflusst, jedoch nicht durch Schwertkampf"&amp;"-Trainingsfähigkeiten.
※Kann nicht gegen Monster eingesetzt werden, die immun gegen Zurückstoßen sind; nur gegen feindliche Einheiten.
※Zukünftige Implementierungen könnten Variationen mit unterschiedlichen erotischen Aktionen gegen verschiedene Gegner "&amp;"beinhalten.")</f>
        <v>Im unbewaffneten Zustand und beim Hinterhalt kann die verborgene Fähigkeit „Tausend Jahre des Todes“ eingesetzt werden, die den anvisierten Gegner in die Luft schleudert.
※Der Schaden wird durch den Hinterhalt beeinflusst, jedoch nicht durch Schwertkampf-Trainingsfähigkeiten.
※Kann nicht gegen Monster eingesetzt werden, die immun gegen Zurückstoßen sind; nur gegen feindliche Einheiten.
※Zukünftige Implementierungen könnten Variationen mit unterschiedlichen erotischen Aktionen gegen verschiedene Gegner beinhalten.</v>
      </c>
      <c r="I79" s="188" t="s">
        <v>3538</v>
      </c>
      <c r="J79" s="46"/>
      <c r="K79" s="46"/>
      <c r="L79" s="46"/>
      <c r="M79" s="46"/>
      <c r="N79" s="46"/>
      <c r="O79" s="46"/>
      <c r="P79" s="46"/>
      <c r="Q79" s="46"/>
      <c r="R79" s="46"/>
      <c r="S79" s="46"/>
      <c r="T79" s="46"/>
      <c r="U79" s="46"/>
      <c r="V79" s="46"/>
      <c r="W79" s="46"/>
    </row>
    <row r="80">
      <c r="A80" s="55" t="s">
        <v>3539</v>
      </c>
      <c r="B80" s="218" t="s">
        <v>3540</v>
      </c>
      <c r="C80" s="55" t="s">
        <v>3541</v>
      </c>
      <c r="D80" s="217" t="str">
        <f>IFERROR(__xludf.DUMMYFUNCTION("GOOGLETRANSLATE(A80,""zh-tw"",""zh"")"),"牛奶是最好的解辣饮品，能大幅缩短解除辣哭了的持续时间")</f>
        <v>牛奶是最好的解辣饮品，能大幅缩短解除辣哭了的持续时间</v>
      </c>
      <c r="E80" s="101" t="s">
        <v>3542</v>
      </c>
      <c r="F80" s="218" t="str">
        <f>IFERROR(__xludf.DUMMYFUNCTION("GOOGLETRANSLATE(A80,""zh-tw"",""KO"")"),"우유는 매운맛을 완화하는 데 가장 좋은 음료이며, 타는 듯한 감각의 지속 시간을 상당히 단축시킬 수 있습니다.")</f>
        <v>우유는 매운맛을 완화하는 데 가장 좋은 음료이며, 타는 듯한 감각의 지속 시간을 상당히 단축시킬 수 있습니다.</v>
      </c>
      <c r="G80" s="55" t="str">
        <f>IFERROR(__xludf.DUMMYFUNCTION("GOOGLETRANSLATE(A80,""zh-tw"",""ru"")"),"Лучшим напитком для снятия остроты является молоко, оно может значительно сократить продолжительность ощущения жжения.")</f>
        <v>Лучшим напитком для снятия остроты является молоко, оно может значительно сократить продолжительность ощущения жжения.</v>
      </c>
      <c r="H80" s="218" t="s">
        <v>3543</v>
      </c>
      <c r="I80" s="188" t="s">
        <v>3544</v>
      </c>
      <c r="J80" s="46"/>
      <c r="K80" s="46"/>
      <c r="L80" s="46"/>
      <c r="M80" s="46"/>
      <c r="N80" s="46"/>
      <c r="O80" s="46"/>
      <c r="P80" s="46"/>
      <c r="Q80" s="46"/>
      <c r="R80" s="46"/>
      <c r="S80" s="46"/>
      <c r="T80" s="46"/>
      <c r="U80" s="46"/>
      <c r="V80" s="46"/>
      <c r="W80" s="46"/>
    </row>
    <row r="81">
      <c r="A81" s="55" t="s">
        <v>3545</v>
      </c>
      <c r="B81" s="218" t="s">
        <v>3546</v>
      </c>
      <c r="C81" s="55" t="s">
        <v>3547</v>
      </c>
      <c r="D81" s="217"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101" t="s">
        <v>3548</v>
      </c>
      <c r="F81" s="218" t="str">
        <f>IFERROR(__xludf.DUMMYFUNCTION("GOOGLETRANSLATE(A81,""zh-tw"",""KO"")"),"거실의 TV는 현재 사용하지 않지만, 요일에 따라 매일 다른 콘텐츠(예: 뉴스, 애니메이션, 요리법, 기이한 요리, 부활절 달걀 등)를 표시할 계획입니다.")</f>
        <v>거실의 TV는 현재 사용하지 않지만, 요일에 따라 매일 다른 콘텐츠(예: 뉴스, 애니메이션, 요리법, 기이한 요리, 부활절 달걀 등)를 표시할 계획입니다.</v>
      </c>
      <c r="G81" s="55" t="str">
        <f>IFERROR(__xludf.DUMMYFUNCTION("GOOGLETRANSLATE(A81,""zh-tw"",""ru"")"),"Телевизор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f>
        <v>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v>
      </c>
      <c r="H81" s="218" t="s">
        <v>3549</v>
      </c>
      <c r="I81" s="221" t="s">
        <v>3550</v>
      </c>
      <c r="J81" s="46"/>
      <c r="K81" s="46"/>
      <c r="L81" s="46"/>
      <c r="M81" s="46"/>
      <c r="N81" s="46"/>
      <c r="O81" s="46"/>
      <c r="P81" s="46"/>
      <c r="Q81" s="46"/>
      <c r="R81" s="46"/>
      <c r="S81" s="46"/>
      <c r="T81" s="46"/>
      <c r="U81" s="46"/>
      <c r="V81" s="46"/>
      <c r="W81" s="46"/>
    </row>
    <row r="82">
      <c r="A82" s="55" t="s">
        <v>3551</v>
      </c>
      <c r="B82" s="218" t="s">
        <v>3552</v>
      </c>
      <c r="C82" s="55" t="s">
        <v>3553</v>
      </c>
      <c r="D82" s="217" t="str">
        <f>IFERROR(__xludf.DUMMYFUNCTION("GOOGLETRANSLATE(A82,""zh-tw"",""zh"")"),"ASABA通常会出现在路边的草莓丛中")</f>
        <v>ASABA通常会出现在路边的草莓丛中</v>
      </c>
      <c r="E82" s="101" t="s">
        <v>3554</v>
      </c>
      <c r="F82" s="218"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можно найти в кустах клубники вдоль дорог.")</f>
        <v>ASABA обычно можно найти в кустах клубники вдоль дорог.</v>
      </c>
      <c r="H82" s="218" t="s">
        <v>3555</v>
      </c>
      <c r="I82" s="188" t="s">
        <v>3556</v>
      </c>
      <c r="J82" s="46"/>
      <c r="K82" s="46"/>
      <c r="L82" s="46"/>
      <c r="M82" s="46"/>
      <c r="N82" s="46"/>
      <c r="O82" s="46"/>
      <c r="P82" s="46"/>
      <c r="Q82" s="46"/>
      <c r="R82" s="46"/>
      <c r="S82" s="46"/>
      <c r="T82" s="46"/>
      <c r="U82" s="46"/>
      <c r="V82" s="46"/>
      <c r="W82" s="46"/>
    </row>
    <row r="83">
      <c r="A83" s="55" t="s">
        <v>3557</v>
      </c>
      <c r="B83" s="218" t="s">
        <v>3558</v>
      </c>
      <c r="C83" s="55" t="s">
        <v>3559</v>
      </c>
      <c r="D83" s="217" t="str">
        <f>IFERROR(__xludf.DUMMYFUNCTION("GOOGLETRANSLATE(A83,""zh-tw"",""zh"")"),"""草莓""食材，目前无实际用途，等待未来更新")</f>
        <v>"草莓"食材，目前无实际用途，等待未来更新</v>
      </c>
      <c r="E83" s="101" t="s">
        <v>3560</v>
      </c>
      <c r="F83" s="218" t="str">
        <f>IFERROR(__xludf.DUMMYFUNCTION("GOOGLETRANSLATE(A83,""zh-tw"",""KO"")"),"현재 ""딸기""라는 성분은 실질적으로 사용되지 않습니다. 자세한 내용은 추후 업데이트될 예정입니다.")</f>
        <v>현재 "딸기"라는 성분은 실질적으로 사용되지 않습니다. 자세한 내용은 추후 업데이트될 예정입니다.</v>
      </c>
      <c r="G83" s="55" t="str">
        <f>IFERROR(__xludf.DUMMYFUNCTION("GOOGLETRANSLATE(A83,""zh-tw"",""ru"")"),"Ингредиент «клубника» в настоящее время не имеет практического применения; подробности будут обновлены в будущем.")</f>
        <v>Ингредиент «клубника» в настоящее время не имеет практического применения; подробности будут обновлены в будущем.</v>
      </c>
      <c r="H83" s="218" t="s">
        <v>3561</v>
      </c>
      <c r="I83" s="221" t="s">
        <v>3562</v>
      </c>
      <c r="J83" s="46"/>
      <c r="K83" s="46"/>
      <c r="L83" s="46"/>
      <c r="M83" s="46"/>
      <c r="N83" s="46"/>
      <c r="O83" s="46"/>
      <c r="P83" s="46"/>
      <c r="Q83" s="46"/>
      <c r="R83" s="46"/>
      <c r="S83" s="46"/>
      <c r="T83" s="46"/>
      <c r="U83" s="46"/>
      <c r="V83" s="46"/>
      <c r="W83" s="46"/>
    </row>
    <row r="84">
      <c r="A84" s="55" t="s">
        <v>3563</v>
      </c>
      <c r="B84" s="218" t="s">
        <v>3564</v>
      </c>
      <c r="C84" s="55" t="s">
        <v>3565</v>
      </c>
      <c r="D84" s="217"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101" t="s">
        <v>3566</v>
      </c>
      <c r="F84" s="218" t="str">
        <f>IFERROR(__xludf.DUMMYFUNCTION("GOOGLETRANSLATE(A84,""zh-tw"",""KO"")"),"허수아비에 관해서는 현재 버전에서 이를 물리칠 수 있는 유일한 방법은 죽음 타로 카드와 페이스 브레이킹 글러브, 캣 클로 글러브를 조합하여 사용하는 것입니다.")</f>
        <v>허수아비에 관해서는 현재 버전에서 이를 물리칠 수 있는 유일한 방법은 죽음 타로 카드와 페이스 브레이킹 글러브, 캣 클로 글러브를 조합하여 사용하는 것입니다.</v>
      </c>
      <c r="G84" s="55" t="str">
        <f>IFERROR(__xludf.DUMMYFUNCTION("GOOGLETRANSLATE(A84,""zh-tw"",""ru"")"),"Что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f>
        <v>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v>
      </c>
      <c r="H84" s="218" t="s">
        <v>3567</v>
      </c>
      <c r="I84" s="166" t="s">
        <v>3568</v>
      </c>
      <c r="J84" s="46"/>
      <c r="K84" s="46"/>
      <c r="L84" s="46"/>
      <c r="M84" s="46"/>
      <c r="N84" s="46"/>
      <c r="O84" s="46"/>
      <c r="P84" s="46"/>
      <c r="Q84" s="46"/>
      <c r="R84" s="46"/>
      <c r="S84" s="46"/>
      <c r="T84" s="46"/>
      <c r="U84" s="46"/>
      <c r="V84" s="46"/>
      <c r="W84" s="46"/>
    </row>
    <row r="85">
      <c r="A85" s="52" t="s">
        <v>3569</v>
      </c>
      <c r="B85" s="217" t="s">
        <v>3570</v>
      </c>
      <c r="C85" s="52" t="s">
        <v>3571</v>
      </c>
      <c r="D85" s="217"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101" t="s">
        <v>3572</v>
      </c>
      <c r="F85" s="218" t="str">
        <f>IFERROR(__xludf.DUMMYFUNCTION("GOOGLETRANSLATE(A85,""zh-tw"",""KO"")"),"치트 코드 '6a1n60ld'를 사용하면 ""100,000골드""와 ""루이카의 마법 망치""(드랍률 증가)를 즉시 획득합니다.
치트 코드 'healmeplz'를 사용하면 ""미오의 구급상자""(초당 체력 재생)를 즉시 획득합니다.
치트 코드 'unshatter'를 사용하면 ""화이트 애니힐레이션의 황금 손가락""(무기 비용 없음)을 즉시 획득합니다.
치트 코드 '60dpat'를 사용하면 ""사랑의 물결"" 아이템을 즉시 획득합니다(머리를 쓰다듬을 때마"&amp;"다 하트가 추가됩니다).
치트 코드 'muestacz'를 사용하면 ""절대 영토"" 아이템을 즉시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"&amp;"영구적으로 생성되며 삭제할 수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f>
        <v>치트 코드 '6a1n60ld'를 사용하면 "100,000골드"와 "루이카의 마법 망치"(드랍률 증가)를 즉시 획득합니다.
치트 코드 'healmeplz'를 사용하면 "미오의 구급상자"(초당 체력 재생)를 즉시 획득합니다.
치트 코드 'unshatter'를 사용하면 "화이트 애니힐레이션의 황금 손가락"(무기 비용 없음)을 즉시 획득합니다.
치트 코드 '60dpat'를 사용하면 "사랑의 물결" 아이템을 즉시 획득합니다(머리를 쓰다듬을 때마다 하트가 추가됩니다).
치트 코드 'muestacz'를 사용하면 "절대 영토" 아이템을 즉시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영구적으로 생성되며 삭제할 수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v>
      </c>
      <c r="G85" s="55" t="str">
        <f>IFERROR(__xludf.DUMMYFUNCTION("GOOGLETRANSLATE(A85,""zh-tw"",""ru"")"),"Использование чит-кода «6a1n60ld» мгновенно даёт «100 000 золота» и «Волшебный молот Руики» (увеличен шанс выпадения предметов).
Использование чит-кода «healmeplz» мгновенно даёт «Аптечку первой помощи Мио» (восстановление здоровья в секунду).
Использован"&amp;"ие чит-кода «unshatter» мгновенно даёт «Золотой палец Белого Истребления» (оружие бесплатно).
Использование чит-кода «60dpat» мгновенно даёт предмет «Пульс любви» (каждое похлопывание по голове добавляет одно сердце).
Использование чит-кода «muestacz» мгн"&amp;"овенно даёт предмет «Абсолютная территория» (количество оружия/брони в инвентаре +99).
Использование чит-кода «1f0g0ty0u» позволяет переименовать сестру; это действие не считается использованием чит-кодов.
Использование чит-кода «aut0update» повторно запу"&amp;"скает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получению титула «Миньон», который останется постоянным и не может быть отменён. Наличие этого тит"&amp;"ула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 вводите данные вручну"&amp;"ю, не копируя и не вставляя.")</f>
        <v>Использование чит-кода «6a1n60ld» мгновенно даёт «100 000 золота» и «Волшебный молот Руики» (увеличен шанс выпадения предметов).
Использование чит-кода «healmeplz» мгновенно даёт «Аптечку первой помощи Мио» (восстановление здоровья в секунду).
Использование чит-кода «unshatter» мгновенно даёт «Золотой палец Белого Истребления» (оружие бесплатно).
Использование чит-кода «60dpat» мгновенно даёт предмет «Пульс любви» (каждое похлопывание по голове добавляет одно сердце).
Использование чит-кода «muestacz» мгновенно даёт предмет «Абсолютная территория» (количество оружия/брони в инвентаре +99).
Использование чит-кода «1f0g0ty0u» позволяет переименовать сестру; это действие не считается использованием чит-кодов.
Использование чит-кода «aut0update» повторно запускает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получению титула «Миньон», который останется постоянным и не может быть отменён. Наличие этого титула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 вводите данные вручную, не копируя и не вставляя.</v>
      </c>
      <c r="H85" s="217" t="s">
        <v>3573</v>
      </c>
      <c r="I85" s="166" t="s">
        <v>3574</v>
      </c>
      <c r="J85" s="46"/>
      <c r="K85" s="46"/>
      <c r="L85" s="46"/>
      <c r="M85" s="46"/>
      <c r="N85" s="46"/>
      <c r="O85" s="46"/>
      <c r="P85" s="46"/>
      <c r="Q85" s="46"/>
      <c r="R85" s="46"/>
      <c r="S85" s="46"/>
      <c r="T85" s="46"/>
      <c r="U85" s="46"/>
      <c r="V85" s="46"/>
      <c r="W85" s="46"/>
    </row>
    <row r="86" ht="53.25" customHeight="1">
      <c r="A86" s="55" t="s">
        <v>3575</v>
      </c>
      <c r="B86" s="217" t="str">
        <f>IFERROR(__xludf.DUMMYFUNCTION("GOOGLETRANSLATE(A86,""zh-tw"",""ja"")"),"Android版では、RPGモードでアバター枠を長押しするとチートコード入力ボックスが表示されます。")</f>
        <v>Android版では、RPGモードでアバター枠を長押しするとチートコード入力ボックスが表示されます。</v>
      </c>
      <c r="C86" s="55" t="s">
        <v>3576</v>
      </c>
      <c r="D86" s="217"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en el modo RPG, al mantener pulsado el marco del avatar aparecerá un cuadro para introducir un código de trucos.")</f>
        <v>En la versión para Android, en el modo RPG, al mantener pulsado el marco del avatar aparecerá un cuadro para introducir un código de trucos.</v>
      </c>
      <c r="F86" s="218" t="str">
        <f>IFERROR(__xludf.DUMMYFUNCTION("GOOGLETRANSLATE(A86,""zh-tw"",""KO"")"),"안드로이드 버전의 RPG 모드에서 아바타 프레임을 길게 누르면 치트 코드 입력 상자가 표시됩니다.")</f>
        <v>안드로이드 버전의 RPG 모드에서 아바타 프레임을 길게 누르면 치트 코드 입력 상자가 표시됩니다.</v>
      </c>
      <c r="G86" s="55" t="str">
        <f>IFERROR(__xludf.DUMMYFUNCTION("GOOGLETRANSLATE(A86,""zh-tw"",""ru"")"),"В версии для Android в режиме RPG при длительном нажатии на рамку аватара откроется поле ввода чит-кода.")</f>
        <v>В версии для Android в режиме RPG при длительном нажатии на рамку аватара откроется поле ввода чит-кода.</v>
      </c>
      <c r="H86" s="218" t="s">
        <v>3577</v>
      </c>
      <c r="I86" s="188" t="s">
        <v>3578</v>
      </c>
      <c r="J86" s="46"/>
      <c r="K86" s="46"/>
      <c r="L86" s="46"/>
      <c r="M86" s="46"/>
      <c r="N86" s="46"/>
      <c r="O86" s="46"/>
      <c r="P86" s="46"/>
      <c r="Q86" s="46"/>
      <c r="R86" s="46"/>
      <c r="S86" s="46"/>
      <c r="T86" s="46"/>
      <c r="U86" s="46"/>
      <c r="V86" s="46"/>
      <c r="W86" s="46"/>
    </row>
    <row r="87">
      <c r="A87" s="52" t="s">
        <v>3579</v>
      </c>
      <c r="B87" s="217" t="str">
        <f>IFERROR(__xludf.DUMMYFUNCTION("GOOGLETRANSLATE(A87,""zh-tw"",""ja"")"),"命名に関する追加情報：妹にちなんだ名前を選択した場合、ゲームタイトルおよびロゴの「彼女」が「妹」に変更されます。")</f>
        <v>命名に関する追加情報：妹にちなんだ名前を選択した場合、ゲームタイトルおよびロゴの「彼女」が「妹」に変更されます。</v>
      </c>
      <c r="C87" s="52" t="s">
        <v>3580</v>
      </c>
      <c r="D87" s="217"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IFERROR(__xludf.DUMMYFUNCTION("GOOGLETRANSLATE(A87,""zh-tw"",""es-MX"")"),"Información adicional para la elección de nombres: Al elegir un nombre relacionado con tu hermana menor, ""彼女"" (Kanojo) en el título y el logotipo del juego se cambiará a ""妹"" (Imouto).")</f>
        <v>Información adicional para la elección de nombres: Al elegir un nombre relacionado con tu hermana menor, "彼女" (Kanojo) en el título y el logotipo del juego se cambiará a "妹" (Imouto).</v>
      </c>
      <c r="F87" s="218" t="str">
        <f>IFERROR(__xludf.DUMMYFUNCTION("GOOGLETRANSLATE(A87,""zh-tw"",""KO"")"),"이름 짓기에 대한 추가 정보: 여동생과 관련된 이름을 선택할 경우, 게임 타이틀과 로고에 나오는 ""彼女""(카노조)는 ""妹""(이모우토)로 변경됩니다.")</f>
        <v>이름 짓기에 대한 추가 정보: 여동생과 관련된 이름을 선택할 경우, 게임 타이틀과 로고에 나오는 "彼女"(카노조)는 "妹"(이모우토)로 변경됩니다.</v>
      </c>
      <c r="G87" s="55" t="str">
        <f>IFERROR(__xludf.DUMMYFUNCTION("GOOGLETRANSLATE(A87,""zh-tw"",""ru"")"),"Дополнительная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f>
        <v>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v>
      </c>
      <c r="H87" s="217" t="s">
        <v>3581</v>
      </c>
      <c r="I87" s="188" t="s">
        <v>3582</v>
      </c>
      <c r="J87" s="46"/>
      <c r="K87" s="46"/>
      <c r="L87" s="46"/>
      <c r="M87" s="46"/>
      <c r="N87" s="46"/>
      <c r="O87" s="46"/>
      <c r="P87" s="46"/>
      <c r="Q87" s="46"/>
      <c r="R87" s="46"/>
      <c r="S87" s="46"/>
      <c r="T87" s="46"/>
      <c r="U87" s="46"/>
      <c r="V87" s="46"/>
      <c r="W87" s="46"/>
    </row>
    <row r="88">
      <c r="A88" s="55" t="s">
        <v>3583</v>
      </c>
      <c r="B88" s="217" t="str">
        <f>IFERROR(__xludf.DUMMYFUNCTION("GOOGLETRANSLATE(A88,""zh-tw"",""ja"")"),"Android版ではRPGモード時にアバター枠をクリックすることでFPSが表示され、PC版ではF2キーを押すことで表示されます。")</f>
        <v>Android版ではRPGモード時にアバター枠をクリックすることでFPSが表示され、PC版ではF2キーを押すことで表示されます。</v>
      </c>
      <c r="C88" s="55" t="s">
        <v>3584</v>
      </c>
      <c r="D88" s="217"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la versión para Android, los FPS se muestran haciendo clic en el marco del avatar en el modo RPG; en la versión para PC, se muestran pulsando la tecla F2.")</f>
        <v>En la versión para Android, los FPS se muestran haciendo clic en el marco del avatar en el modo RPG; en la versión para PC, se muestran pulsando la tecla F2.</v>
      </c>
      <c r="F88" s="218" t="str">
        <f>IFERROR(__xludf.DUMMYFUNCTION("GOOGLETRANSLATE(A88,""zh-tw"",""KO"")"),"안드로이드 버전에서는 RPG 모드에서 아바타 프레임을 클릭하면 FPS가 표시되고, PC 버전에서는 F2 키를 누르면 FPS가 표시됩니다.")</f>
        <v>안드로이드 버전에서는 RPG 모드에서 아바타 프레임을 클릭하면 FPS가 표시되고, PC 버전에서는 F2 키를 누르면 FPS가 표시됩니다.</v>
      </c>
      <c r="G88" s="55" t="str">
        <f>IFERROR(__xludf.DUMMYFUNCTION("GOOGLETRANSLATE(A88,""zh-tw"",""ru"")"),"В версии для Android FPS отображается при нажатии на рамку аватара в режиме RPG; в версии для ПК — при нажатии клавиши F2.")</f>
        <v>В версии для Android FPS отображается при нажатии на рамку аватара в режиме RPG; в версии для ПК — при нажатии клавиши F2.</v>
      </c>
      <c r="H88" s="218" t="s">
        <v>3585</v>
      </c>
      <c r="I88" s="188" t="s">
        <v>3586</v>
      </c>
      <c r="J88" s="46"/>
      <c r="K88" s="46"/>
      <c r="L88" s="46"/>
      <c r="M88" s="46"/>
      <c r="N88" s="46"/>
      <c r="O88" s="46"/>
      <c r="P88" s="46"/>
      <c r="Q88" s="46"/>
      <c r="R88" s="46"/>
      <c r="S88" s="46"/>
      <c r="T88" s="46"/>
      <c r="U88" s="46"/>
      <c r="V88" s="46"/>
      <c r="W88" s="46"/>
    </row>
    <row r="89">
      <c r="A89" s="55" t="s">
        <v>3587</v>
      </c>
      <c r="B89" s="218" t="s">
        <v>3588</v>
      </c>
      <c r="C89" s="55" t="s">
        <v>3589</v>
      </c>
      <c r="D89" s="217"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101" t="s">
        <v>3590</v>
      </c>
      <c r="F89" s="218" t="str">
        <f>IFERROR(__xludf.DUMMYFUNCTION("GOOGLETRANSLATE(A89,""zh-tw"",""KO"")"),"뇌물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f>
        <v>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v>
      </c>
      <c r="G89" s="55" t="str">
        <f>IFERROR(__xludf.DUMMYFUNCTION("GOOGLETRANSLATE(A89,""zh-tw"",""ru"")"),"Что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условия."&amp;" Особые условия, например, течка, будут оцениваться отдельно.")</f>
        <v>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 Особые условия, например, течка, будут оцениваться отдельно.</v>
      </c>
      <c r="H89" s="218" t="s">
        <v>3591</v>
      </c>
      <c r="I89" s="188" t="s">
        <v>3592</v>
      </c>
      <c r="J89" s="46"/>
      <c r="K89" s="46"/>
      <c r="L89" s="46"/>
      <c r="M89" s="46"/>
      <c r="N89" s="46"/>
      <c r="O89" s="46"/>
      <c r="P89" s="46"/>
      <c r="Q89" s="46"/>
      <c r="R89" s="46"/>
      <c r="S89" s="46"/>
      <c r="T89" s="46"/>
      <c r="U89" s="46"/>
      <c r="V89" s="46"/>
      <c r="W89" s="46"/>
    </row>
    <row r="90">
      <c r="A90" s="52" t="s">
        <v>3593</v>
      </c>
      <c r="B90" s="217" t="str">
        <f>IFERROR(__xludf.DUMMYFUNCTION("GOOGLETRANSLATE(A90,""zh-tw"",""ja"")"),"「冒険の道：石碑」マップでは、石碑に今までに倒された回数が表示されます。")</f>
        <v>「冒険の道：石碑」マップでは、石碑に今までに倒された回数が表示されます。</v>
      </c>
      <c r="C90" s="52" t="s">
        <v>3594</v>
      </c>
      <c r="D90" s="217" t="str">
        <f>IFERROR(__xludf.DUMMYFUNCTION("GOOGLETRANSLATE(A90,""zh-tw"",""zh"")"),"在""冒险者小道:纪念碑""地图中，石碑可以查看到战败的次数了")</f>
        <v>在"冒险者小道:纪念碑"地图中，石碑可以查看到战败的次数了</v>
      </c>
      <c r="E90" s="55" t="str">
        <f>IFERROR(__xludf.DUMMYFUNCTION("GOOGLETRANSLATE(A90,""zh-tw"",""es-MX"")"),"En el mapa ""Sendero del Aventurero: Monumento"", el monumento de piedra muestra el número de veces que has sido derrotado.")</f>
        <v>En el mapa "Sendero del Aventurero: Monumento", el monumento de piedra muestra el número de veces que has sido derrotado.</v>
      </c>
      <c r="F90" s="218" t="str">
        <f>IFERROR(__xludf.DUMMYFUNCTION("GOOGLETRANSLATE(A90,""zh-tw"",""KO"")"),"""모험가의 길: 기념물"" 지도에서 돌 기념물은 당신이 패배한 횟수를 표시합니다.")</f>
        <v>"모험가의 길: 기념물" 지도에서 돌 기념물은 당신이 패배한 횟수를 표시합니다.</v>
      </c>
      <c r="G90" s="55" t="str">
        <f>IFERROR(__xludf.DUMMYFUNCTION("GOOGLETRANSLATE(A90,""zh-tw"",""ru"")"),"На карте «Тропа искателя приключений: Монумент» каменный монумент отображает количество ваших поражений.")</f>
        <v>На карте «Тропа искателя приключений: Монумент» каменный монумент отображает количество ваших поражений.</v>
      </c>
      <c r="H90" s="222" t="s">
        <v>3595</v>
      </c>
      <c r="I90" s="188" t="s">
        <v>3596</v>
      </c>
      <c r="J90" s="46"/>
      <c r="K90" s="46"/>
      <c r="L90" s="46"/>
      <c r="M90" s="46"/>
      <c r="N90" s="46"/>
      <c r="O90" s="46"/>
      <c r="P90" s="46"/>
      <c r="Q90" s="46"/>
      <c r="R90" s="46"/>
      <c r="S90" s="46"/>
      <c r="T90" s="46"/>
      <c r="U90" s="46"/>
      <c r="V90" s="46"/>
      <c r="W90" s="46"/>
    </row>
    <row r="91">
      <c r="A91" s="55" t="s">
        <v>3597</v>
      </c>
      <c r="B91" s="218" t="s">
        <v>3598</v>
      </c>
      <c r="C91" s="55" t="s">
        <v>3599</v>
      </c>
      <c r="D91" s="217" t="str">
        <f>IFERROR(__xludf.DUMMYFUNCTION("GOOGLETRANSLATE(A91,""zh-tw"",""zh"")"),"传说，在某个地区的下方藏着天上之石碎片，而导致胡萝卜巨大化；而在这里就有个想要保护胡萝卜的BOSS")</f>
        <v>传说，在某个地区的下方藏着天上之石碎片，而导致胡萝卜巨大化；而在这里就有个想要保护胡萝卜的BOSS</v>
      </c>
      <c r="E91" s="55" t="str">
        <f>IFERROR(__xludf.DUMMYFUNCTION("GOOGLETRANSLATE(A91,""zh-tw"",""es-MX"")"),"Cuenta la leyenda que un fragmento de una piedra celestial yace oculto bajo cierta región, provocando que la zanahoria crezca hasta alcanzar un tamaño descomunal; y allí vive un jefe que desea protegerla.")</f>
        <v>Cuenta la leyenda que un fragmento de una piedra celestial yace oculto bajo cierta región, provocando que la zanahoria crezca hasta alcanzar un tamaño descomunal; y allí vive un jefe que desea protegerla.</v>
      </c>
      <c r="F91" s="218" t="str">
        <f>IFERROR(__xludf.DUMMYFUNCTION("GOOGLETRANSLATE(A91,""zh-tw"",""KO"")"),"전설에 따르면, 어떤 지역 아래에 천상의 돌 조각이 숨겨져 있어서 당근이 엄청나게 커졌다고 합니다. 그리고 여기에는 당근을 보호하려는 보스가 살고 있다고 합니다.")</f>
        <v>전설에 따르면, 어떤 지역 아래에 천상의 돌 조각이 숨겨져 있어서 당근이 엄청나게 커졌다고 합니다. 그리고 여기에는 당근을 보호하려는 보스가 살고 있다고 합니다.</v>
      </c>
      <c r="G91" s="55" t="str">
        <f>IFERROR(__xludf.DUMMYFUNCTION("GOOGLETRANSLATE(A91,""zh-tw"",""ru"")"),"Легенда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f>
        <v>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v>
      </c>
      <c r="H91" s="218" t="s">
        <v>3600</v>
      </c>
      <c r="I91" s="188" t="s">
        <v>3601</v>
      </c>
      <c r="J91" s="46"/>
      <c r="K91" s="46"/>
      <c r="L91" s="46"/>
      <c r="M91" s="46"/>
      <c r="N91" s="46"/>
      <c r="O91" s="46"/>
      <c r="P91" s="46"/>
      <c r="Q91" s="46"/>
      <c r="R91" s="46"/>
      <c r="S91" s="46"/>
      <c r="T91" s="46"/>
      <c r="U91" s="46"/>
      <c r="V91" s="46"/>
      <c r="W91" s="46"/>
    </row>
    <row r="92">
      <c r="A92" s="55" t="s">
        <v>3602</v>
      </c>
      <c r="B92" s="218" t="s">
        <v>3603</v>
      </c>
      <c r="C92" s="55" t="s">
        <v>3604</v>
      </c>
      <c r="D92" s="217" t="str">
        <f>IFERROR(__xludf.DUMMYFUNCTION("GOOGLETRANSLATE(A92,""zh-tw"",""zh"")"),"卢恩符文Kenaz，只要是能攻击的对象，都可以发生效果(地图物件、怪物、BOSS、兔子洞...等)")</f>
        <v>卢恩符文Kenaz，只要是能攻击的对象，都可以发生效果(地图物件、怪物、BOSS、兔子洞...等)</v>
      </c>
      <c r="E92" s="55" t="str">
        <f>IFERROR(__xludf.DUMMYFUNCTION("GOOGLETRANSLATE(A92,""zh-tw"",""es-MX"")"),"La runa Kenaz puede afectar a cualquier objetivo que pueda ser atacado (objetos del mapa, monstruos, jefes, madrigueras de conejos, etc.).")</f>
        <v>La runa Kenaz puede afectar a cualquier objetivo que pueda ser atacado (objetos del mapa, monstruos, jefes, madrigueras de conejos, etc.).</v>
      </c>
      <c r="F92" s="218" t="str">
        <f>IFERROR(__xludf.DUMMYFUNCTION("GOOGLETRANSLATE(A92,""zh-tw"",""KO"")"),"케나즈 룬은 공격받을 수 있는 모든 대상(지도 객체, 몬스터, 보스, 토끼굴 등)에 영향을 미칠 수 있습니다.")</f>
        <v>케나즈 룬은 공격받을 수 있는 모든 대상(지도 객체, 몬스터, 보스, 토끼굴 등)에 영향을 미칠 수 있습니다.</v>
      </c>
      <c r="G92" s="55" t="str">
        <f>IFERROR(__xludf.DUMMYFUNCTION("GOOGLETRANSLATE(A92,""zh-tw"",""ru"")"),"Руна Кеназ может воздействовать на любую цель, которую можно атаковать (объекты карты, монстры, боссы, кроличьи норы и т. д.).")</f>
        <v>Руна Кеназ может воздействовать на любую цель, которую можно атаковать (объекты карты, монстры, боссы, кроличьи норы и т. д.).</v>
      </c>
      <c r="H92" s="218" t="s">
        <v>3605</v>
      </c>
      <c r="I92" s="188" t="s">
        <v>3606</v>
      </c>
      <c r="J92" s="46"/>
      <c r="K92" s="46"/>
      <c r="L92" s="46"/>
      <c r="M92" s="46"/>
      <c r="N92" s="46"/>
      <c r="O92" s="46"/>
      <c r="P92" s="46"/>
      <c r="Q92" s="46"/>
      <c r="R92" s="46"/>
      <c r="S92" s="46"/>
      <c r="T92" s="46"/>
      <c r="U92" s="46"/>
      <c r="V92" s="46"/>
      <c r="W92" s="46"/>
    </row>
    <row r="93">
      <c r="A93" s="52" t="s">
        <v>3607</v>
      </c>
      <c r="B93" s="217" t="s">
        <v>3608</v>
      </c>
      <c r="C93" s="52" t="s">
        <v>3609</v>
      </c>
      <c r="D93" s="217" t="str">
        <f>IFERROR(__xludf.DUMMYFUNCTION("GOOGLETRANSLATE(A93,""zh-tw"",""zh"")"),"不论是哥哥或妹妹，当食材全吃光后...将会触发在仓库中发现泡面的隐藏剧情")</f>
        <v>不论是哥哥或妹妹，当食材全吃光后...将会触发在仓库中发现泡面的隐藏剧情</v>
      </c>
      <c r="E93" s="55" t="str">
        <f>IFERROR(__xludf.DUMMYFUNCTION("GOOGLETRANSLATE(A93,""zh-tw"",""es-MX"")"),"No importa si eres hermano o hermana, cuando se acabe la comida... se activará un plan secreto de fideos instantáneos en el almacén.")</f>
        <v>No importa si eres hermano o hermana, cuando se acabe la comida... se activará un plan secreto de fideos instantáneos en el almacén.</v>
      </c>
      <c r="F93" s="218" t="str">
        <f>IFERROR(__xludf.DUMMYFUNCTION("GOOGLETRANSLATE(A93,""zh-tw"",""KO"")"),"형제자매든 아니든, 모든 음식을 다 먹어치우면... 창고에서 숨겨진 라면 음모가 발동됩니다.")</f>
        <v>형제자매든 아니든, 모든 음식을 다 먹어치우면... 창고에서 숨겨진 라면 음모가 발동됩니다.</v>
      </c>
      <c r="G93" s="55" t="str">
        <f>IFERROR(__xludf.DUMMYFUNCTION("GOOGLETRANSLATE(A93,""zh-tw"",""ru"")"),"Неважно,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3" s="218" t="str">
        <f>IFERROR(__xludf.DUMMYFUNCTION("GOOGLETRANSLATE(A93,""zh-tw"",""de"")"),"Egal, ob Sie ein Bruder oder eine Schwester sind, wenn das gesamte Essen aufgegessen ist, wird im Lagerhaus eine versteckte Verschwörung mit Instantnudeln ausgelöst.")</f>
        <v>Egal, ob Sie ein Bruder oder eine Schwester sind, wenn das gesamte Essen aufgegessen ist, wird im Lagerhaus eine versteckte Verschwörung mit Instantnudeln ausgelöst.</v>
      </c>
      <c r="I93" s="188" t="s">
        <v>3610</v>
      </c>
      <c r="J93" s="46"/>
      <c r="K93" s="46"/>
      <c r="L93" s="46"/>
      <c r="M93" s="46"/>
      <c r="N93" s="46"/>
      <c r="O93" s="46"/>
      <c r="P93" s="46"/>
      <c r="Q93" s="46"/>
      <c r="R93" s="46"/>
      <c r="S93" s="46"/>
      <c r="T93" s="46"/>
      <c r="U93" s="46"/>
      <c r="V93" s="46"/>
      <c r="W93" s="46"/>
    </row>
    <row r="94">
      <c r="A94" s="55" t="s">
        <v>3611</v>
      </c>
      <c r="B94" s="218" t="s">
        <v>3612</v>
      </c>
      <c r="C94" s="55" t="s">
        <v>3613</v>
      </c>
      <c r="D94" s="217" t="str">
        <f>IFERROR(__xludf.DUMMYFUNCTION("GOOGLETRANSLATE(A94,""zh-tw"",""zh"")"),"矿车移动期间，可以提前跳车(部分效果演绎也会因此发生变化)")</f>
        <v>矿车移动期间，可以提前跳车(部分效果演绎也会因此发生变化)</v>
      </c>
      <c r="E94" s="55" t="str">
        <f>IFERROR(__xludf.DUMMYFUNCTION("GOOGLETRANSLATE(A94,""zh-tw"",""es-MX"")"),"Durante el movimiento de la vagoneta, puedes saltar del vehículo con antelación (algunos efectos cambiarán en consecuencia).")</f>
        <v>Durante el movimiento de la vagoneta, puedes saltar del vehículo con antelación (algunos efectos cambiarán en consecuencia).</v>
      </c>
      <c r="F94" s="218" t="str">
        <f>IFERROR(__xludf.DUMMYFUNCTION("GOOGLETRANSLATE(A94,""zh-tw"",""KO"")"),"미니카트가 이동하는 동안 미리 차에서 뛰어내릴 수 있습니다(일부 효과도 그에 따라 변경됩니다)")</f>
        <v>미니카트가 이동하는 동안 미리 차에서 뛰어내릴 수 있습니다(일부 효과도 그에 따라 변경됩니다)</v>
      </c>
      <c r="G94" s="55" t="str">
        <f>IFERROR(__xludf.DUMMYFUNCTION("GOOGLETRANSLATE(A94,""zh-tw"",""ru"")"),"Во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4" s="218" t="s">
        <v>3614</v>
      </c>
      <c r="I94" s="188" t="s">
        <v>3615</v>
      </c>
      <c r="J94" s="46"/>
      <c r="K94" s="46"/>
      <c r="L94" s="46"/>
      <c r="M94" s="46"/>
      <c r="N94" s="46"/>
      <c r="O94" s="46"/>
      <c r="P94" s="46"/>
      <c r="Q94" s="46"/>
      <c r="R94" s="46"/>
      <c r="S94" s="46"/>
      <c r="T94" s="46"/>
      <c r="U94" s="46"/>
      <c r="V94" s="46"/>
      <c r="W94" s="46"/>
    </row>
    <row r="95">
      <c r="A95" s="52" t="s">
        <v>3616</v>
      </c>
      <c r="B95" s="217" t="s">
        <v>3617</v>
      </c>
      <c r="C95" s="52" t="s">
        <v>3618</v>
      </c>
      <c r="D95" s="217" t="str">
        <f>IFERROR(__xludf.DUMMYFUNCTION("GOOGLETRANSLATE(A95,""zh-tw"",""zh"")"),"关于水面的气泡，气泡位置于水域场景随机产生，使用炸弹时，会比平常更容易出现食材。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5" s="55" t="str">
        <f>IFERROR(__xludf.DUMMYFUNCTION("GOOGLETRANSLATE(A95,""zh-tw"",""es-MX"")"),"En cuanto a las burbujas en la superficie del agua, su ubicación se genera aleatoriamente en la zona acuática. Usar bombas facilitará la aparición de alimentos.
Además, es posible generar criaturas (función aún no implementada).")</f>
        <v>En cuanto a las burbujas en la superficie del agua, su ubicación se genera aleatoriamente en la zona acuática. Usar bombas facilitará la aparición de alimentos.
Además, es posible generar criaturas (función aún no implementada).</v>
      </c>
      <c r="F95" s="218" t="str">
        <f>IFERROR(__xludf.DUMMYFUNCTION("GOOGLETRANSLATE(A95,""zh-tw"",""KO"")"),"수면의 거품은 물 속에서 무작위로 생성됩니다. 폭탄을 사용하면 평소보다 식량 아이템을 더 쉽게 생성할 수 있습니다.
또한, 아직 구현되지 않은 생물을 생성할 수도 있습니다.")</f>
        <v>수면의 거품은 물 속에서 무작위로 생성됩니다. 폭탄을 사용하면 평소보다 식량 아이템을 더 쉽게 생성할 수 있습니다.
또한, 아직 구현되지 않은 생물을 생성할 수도 있습니다.</v>
      </c>
      <c r="G95" s="55" t="str">
        <f>IFERROR(__xludf.DUMMYFUNCTION("GOOGLETRANSLATE(A95,""zh-tw"",""ru"")"),"Что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f>
        <v>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v>
      </c>
      <c r="H95" s="217" t="s">
        <v>3619</v>
      </c>
      <c r="I95" s="188" t="s">
        <v>3620</v>
      </c>
      <c r="J95" s="46"/>
      <c r="K95" s="46"/>
      <c r="L95" s="46"/>
      <c r="M95" s="46"/>
      <c r="N95" s="46"/>
      <c r="O95" s="46"/>
      <c r="P95" s="46"/>
      <c r="Q95" s="46"/>
      <c r="R95" s="46"/>
      <c r="S95" s="46"/>
      <c r="T95" s="46"/>
      <c r="U95" s="46"/>
      <c r="V95" s="46"/>
      <c r="W95" s="46"/>
    </row>
    <row r="96">
      <c r="A96" s="55" t="s">
        <v>3621</v>
      </c>
      <c r="B96" s="217" t="s">
        <v>3622</v>
      </c>
      <c r="C96" s="55" t="s">
        <v>3623</v>
      </c>
      <c r="D96" s="217" t="str">
        <f>IFERROR(__xludf.DUMMYFUNCTION("GOOGLETRANSLATE(A96,""zh-tw"",""zh"")"),"箱庭的白兔-在兔子洞全部破坏后，会被迫弹到地面")</f>
        <v>箱庭的白兔-在兔子洞全部破坏后，会被迫弹到地面</v>
      </c>
      <c r="E96" s="55" t="str">
        <f>IFERROR(__xludf.DUMMYFUNCTION("GOOGLETRANSLATE(A96,""zh-tw"",""es-MX"")"),"El Conejo Blanco del Jardín Pequeño - Después de que la madriguera del conejo sea completamente destruida, se verá obligado a rebotar contra el suelo.")</f>
        <v>El Conejo Blanco del Jardín Pequeño - Después de que la madriguera del conejo sea completamente destruida, se verá obligado a rebotar contra el suelo.</v>
      </c>
      <c r="F96" s="218" t="str">
        <f>IFERROR(__xludf.DUMMYFUNCTION("GOOGLETRANSLATE(A96,""zh-tw"",""KO"")"),"작은 정원의 흰 토끼 - 토끼 굴이 완전히 파괴되면 땅으로 튀어 오르게 됩니다.")</f>
        <v>작은 정원의 흰 토끼 - 토끼 굴이 완전히 파괴되면 땅으로 튀어 오르게 됩니다.</v>
      </c>
      <c r="G96" s="55" t="str">
        <f>IFERROR(__xludf.DUMMYFUNCTION("GOOGLETRANSLATE(A96,""zh-tw"",""ru"")"),"Белый кролик маленького сада - После того, как кроличья нора будет полностью разрушена, она будет вынуждена упасть на землю.")</f>
        <v>Белый кролик маленького сада - После того, как кроличья нора будет полностью разрушена, она будет вынуждена упасть на землю.</v>
      </c>
      <c r="H96" s="218" t="s">
        <v>3624</v>
      </c>
      <c r="I96" s="188" t="s">
        <v>3625</v>
      </c>
      <c r="J96" s="46"/>
      <c r="K96" s="46"/>
      <c r="L96" s="46"/>
      <c r="M96" s="46"/>
      <c r="N96" s="46"/>
      <c r="O96" s="46"/>
      <c r="P96" s="46"/>
      <c r="Q96" s="46"/>
      <c r="R96" s="46"/>
      <c r="S96" s="46"/>
      <c r="T96" s="46"/>
      <c r="U96" s="46"/>
      <c r="V96" s="46"/>
      <c r="W96" s="46"/>
    </row>
    <row r="97">
      <c r="A97" s="55" t="s">
        <v>3626</v>
      </c>
      <c r="B97" s="218" t="s">
        <v>3627</v>
      </c>
      <c r="C97" s="55" t="s">
        <v>3628</v>
      </c>
      <c r="D97" s="217" t="str">
        <f>IFERROR(__xludf.DUMMYFUNCTION("GOOGLETRANSLATE(A97,""zh-tw"",""zh"")"),"箱庭的白兔-会强制玩家无法逃离(星之门也会被吞噬)，但是塔罗牌不受影响。")</f>
        <v>箱庭的白兔-会强制玩家无法逃离(星之门也会被吞噬)，但是塔罗牌不受影响。</v>
      </c>
      <c r="E97" s="55" t="str">
        <f>IFERROR(__xludf.DUMMYFUNCTION("GOOGLETRANSLATE(A97,""zh-tw"",""es-MX"")"),"El Conejo Blanco del Jardín Pequeño impedirá que el jugador escape (la Puerta Estelar también será engullida), pero las cartas del Tarot no se verán afectadas.")</f>
        <v>El Conejo Blanco del Jardín Pequeño impedirá que el jugador escape (la Puerta Estelar también será engullida), pero las cartas del Tarot no se verán afectadas.</v>
      </c>
      <c r="F97" s="218" t="str">
        <f>IFERROR(__xludf.DUMMYFUNCTION("GOOGLETRANSLATE(A97,""zh-tw"",""KO"")"),"작은 정원에 있는 흰 토끼는 플레이어가 탈출하는 것을 막습니다(스타 게이트도 삼켜집니다). 하지만 타로 카드에는 영향을 미치지 않습니다.")</f>
        <v>작은 정원에 있는 흰 토끼는 플레이어가 탈출하는 것을 막습니다(스타 게이트도 삼켜집니다). 하지만 타로 카드에는 영향을 미치지 않습니다.</v>
      </c>
      <c r="G97" s="55" t="str">
        <f>IFERROR(__xludf.DUMMYFUNCTION("GOOGLETRANSLATE(A97,""zh-tw"",""ru"")"),"Белый Кролик в Малом Саду не даст игроку сбежать (Звездные Врата также будут поглощены), но карты Таро не будут затронуты.")</f>
        <v>Белый Кролик в Малом Саду не даст игроку сбежать (Звездные Врата также будут поглощены), но карты Таро не будут затронуты.</v>
      </c>
      <c r="H97" s="218" t="s">
        <v>3629</v>
      </c>
      <c r="I97" s="188" t="s">
        <v>3630</v>
      </c>
      <c r="J97" s="46"/>
      <c r="K97" s="46"/>
      <c r="L97" s="46"/>
      <c r="M97" s="46"/>
      <c r="N97" s="46"/>
      <c r="O97" s="46"/>
      <c r="P97" s="46"/>
      <c r="Q97" s="46"/>
      <c r="R97" s="46"/>
      <c r="S97" s="46"/>
      <c r="T97" s="46"/>
      <c r="U97" s="46"/>
      <c r="V97" s="46"/>
      <c r="W97" s="46"/>
    </row>
    <row r="98">
      <c r="A98" s="55" t="s">
        <v>3631</v>
      </c>
      <c r="B98" s="218" t="s">
        <v>3632</v>
      </c>
      <c r="C98" s="55" t="s">
        <v>3633</v>
      </c>
      <c r="D98" s="217" t="str">
        <f>IFERROR(__xludf.DUMMYFUNCTION("GOOGLETRANSLATE(A98,""zh-tw"",""zh"")"),"箱庭的白兔-如果玩家战斗落败，身上的胡萝卜会被没收")</f>
        <v>箱庭的白兔-如果玩家战斗落败，身上的胡萝卜会被没收</v>
      </c>
      <c r="E98" s="55" t="str">
        <f>IFERROR(__xludf.DUMMYFUNCTION("GOOGLETRANSLATE(A98,""zh-tw"",""es-MX"")"),"El Conejo Blanco en el Jardín en Miniatura - Si el jugador pierde la batalla, se le confiscarán las zanahorias que lleve consigo.")</f>
        <v>El Conejo Blanco en el Jardín en Miniatura - Si el jugador pierde la batalla, se le confiscarán las zanahorias que lleve consigo.</v>
      </c>
      <c r="F98" s="218" t="str">
        <f>IFERROR(__xludf.DUMMYFUNCTION("GOOGLETRANSLATE(A98,""zh-tw"",""KO"")"),"미니어처 정원의 흰 토끼 - 플레이어가 전투에서 패배하면 해당 플레이어가 소지하고 있던 당근은 몰수됩니다.")</f>
        <v>미니어처 정원의 흰 토끼 - 플레이어가 전투에서 패배하면 해당 플레이어가 소지하고 있던 당근은 몰수됩니다.</v>
      </c>
      <c r="G98" s="55" t="str">
        <f>IFERROR(__xludf.DUMMYFUNCTION("GOOGLETRANSLATE(A98,""zh-tw"",""ru"")"),"Белый кролик в миниатюрном саду. Если игрок проиграет битву, вся морковь, находящаяся у него, будет конфискована.")</f>
        <v>Белый кролик в миниатюрном саду. Если игрок проиграет битву, вся морковь, находящаяся у него, будет конфискована.</v>
      </c>
      <c r="H98" s="218" t="s">
        <v>3634</v>
      </c>
      <c r="I98" s="188" t="s">
        <v>3635</v>
      </c>
      <c r="J98" s="46"/>
      <c r="K98" s="46"/>
      <c r="L98" s="46"/>
      <c r="M98" s="46"/>
      <c r="N98" s="46"/>
      <c r="O98" s="46"/>
      <c r="P98" s="46"/>
      <c r="Q98" s="46"/>
      <c r="R98" s="46"/>
      <c r="S98" s="46"/>
      <c r="T98" s="46"/>
      <c r="U98" s="46"/>
      <c r="V98" s="46"/>
      <c r="W98" s="46"/>
    </row>
    <row r="99">
      <c r="A99" s="52" t="s">
        <v>3636</v>
      </c>
      <c r="B99" s="218" t="s">
        <v>3637</v>
      </c>
      <c r="C99" s="55" t="s">
        <v>3638</v>
      </c>
      <c r="D99" s="217" t="str">
        <f>IFERROR(__xludf.DUMMYFUNCTION("GOOGLETRANSLATE(A99,""zh-tw"",""zh"")"),"胡萝卜大剑-放在篝火上烤可以召唤女仆兔为你打开传送去其他篝火存取点的兔子洞(未实装)")</f>
        <v>胡萝卜大剑-放在篝火上烤可以召唤女仆兔为你打开传送去其他篝火存取点的兔子洞(未实装)</v>
      </c>
      <c r="E99" s="55" t="str">
        <f>IFERROR(__xludf.DUMMYFUNCTION("GOOGLETRANSLATE(A99,""zh-tw"",""es-MX"")"),"Espada de zanahoria: asarla en una hoguera invocará a una coneja sirvienta que abrirá una madriguera para que puedas teletransportarte a otros puntos de acceso a hogueras (aún no implementado).")</f>
        <v>Espada de zanahoria: asarla en una hoguera invocará a una coneja sirvienta que abrirá una madriguera para que puedas teletransportarte a otros puntos de acceso a hogueras (aún no implementado).</v>
      </c>
      <c r="F99" s="218" t="str">
        <f>IFERROR(__xludf.DUMMYFUNCTION("GOOGLETRANSLATE(A99,""zh-tw"",""KO"")"),"당근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99" s="55" t="str">
        <f>IFERROR(__xludf.DUMMYFUNCTION("GOOGLETRANSLATE(A99,""zh-tw"",""ru"")"),"Морковный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99" s="218" t="s">
        <v>3639</v>
      </c>
      <c r="I99" s="188" t="s">
        <v>3640</v>
      </c>
      <c r="J99" s="46"/>
      <c r="K99" s="46"/>
      <c r="L99" s="46"/>
      <c r="M99" s="46"/>
      <c r="N99" s="46"/>
      <c r="O99" s="46"/>
      <c r="P99" s="46"/>
      <c r="Q99" s="46"/>
      <c r="R99" s="46"/>
      <c r="S99" s="46"/>
      <c r="T99" s="46"/>
      <c r="U99" s="46"/>
      <c r="V99" s="46"/>
      <c r="W99" s="46"/>
    </row>
    <row r="100">
      <c r="A100" s="52" t="s">
        <v>3641</v>
      </c>
      <c r="B100" s="218" t="s">
        <v>3642</v>
      </c>
      <c r="C100" s="55" t="s">
        <v>3643</v>
      </c>
      <c r="D100" s="217" t="str">
        <f>IFERROR(__xludf.DUMMYFUNCTION("GOOGLETRANSLATE(A100,""zh-tw"",""zh"")"),"ASABA的草莓/胡萝卜，目前对于妹妹与哥哥的饮食方面无特殊影响效果")</f>
        <v>ASABA的草莓/胡萝卜，目前对于妹妹与哥哥的饮食方面无特殊影响效果</v>
      </c>
      <c r="E100" s="55" t="str">
        <f>IFERROR(__xludf.DUMMYFUNCTION("GOOGLETRANSLATE(A100,""zh-tw"",""es-MX"")"),"Las fresas y zanahorias de ASABA actualmente no tienen ningún efecto especial en la dieta de las hermanas menores y los hermanos mayores.")</f>
        <v>Las fresas y zanahorias de ASABA actualmente no tienen ningún efecto especial en la dieta de las hermanas menores y los hermanos mayores.</v>
      </c>
      <c r="F100" s="218" t="str">
        <f>IFERROR(__xludf.DUMMYFUNCTION("GOOGLETRANSLATE(A100,""zh-tw"",""KO"")"),"아사바의 딸기/당근은 현재로선 남동생이나 여동생의 식단에 특별한 영향을 미치지 않습니다.")</f>
        <v>아사바의 딸기/당근은 현재로선 남동생이나 여동생의 식단에 특별한 영향을 미치지 않습니다.</v>
      </c>
      <c r="G100" s="55" t="str">
        <f>IFERROR(__xludf.DUMMYFUNCTION("GOOGLETRANSLATE(A100,""zh-tw"",""ru"")"),"Клубника/морковь ASABA в настоящее время не оказывают особого влияния на рацион младших сестер и старших братьев.")</f>
        <v>Клубника/морковь ASABA в настоящее время не оказывают особого влияния на рацион младших сестер и старших братьев.</v>
      </c>
      <c r="H100" s="218" t="s">
        <v>3644</v>
      </c>
      <c r="I100" s="188" t="s">
        <v>3645</v>
      </c>
      <c r="J100" s="46"/>
      <c r="K100" s="46"/>
      <c r="L100" s="46"/>
      <c r="M100" s="46"/>
      <c r="N100" s="46"/>
      <c r="O100" s="46"/>
      <c r="P100" s="46"/>
      <c r="Q100" s="46"/>
      <c r="R100" s="46"/>
      <c r="S100" s="46"/>
      <c r="T100" s="46"/>
      <c r="U100" s="46"/>
      <c r="V100" s="46"/>
      <c r="W100" s="46"/>
    </row>
    <row r="101">
      <c r="A101" s="52" t="s">
        <v>3646</v>
      </c>
      <c r="B101" s="218" t="s">
        <v>3647</v>
      </c>
      <c r="C101" s="55" t="s">
        <v>3648</v>
      </c>
      <c r="D101" s="217" t="str">
        <f>IFERROR(__xludf.DUMMYFUNCTION("GOOGLETRANSLATE(A101,""zh-tw"",""zh"")"),"""ASABA的草莓""比普通草莓更好吃，如果拿这个食材喂ASABA，会激怒它，并触发BOSS战斗")</f>
        <v>"ASABA的草莓"比普通草莓更好吃，如果拿这个食材喂ASABA，会激怒它，并触发BOSS战斗</v>
      </c>
      <c r="E101" s="55" t="str">
        <f>IFERROR(__xludf.DUMMYFUNCTION("GOOGLETRANSLATE(A101,""zh-tw"",""es-MX"")"),"Las fresas de ASABA tienen mejor sabor que las fresas normales. Si le das este ingrediente a ASABA, se enfurecerá y se desencadenará una batalla contra un jefe.")</f>
        <v>Las fresas de ASABA tienen mejor sabor que las fresas normales. Si le das este ingrediente a ASABA, se enfurecerá y se desencadenará una batalla contra un jefe.</v>
      </c>
      <c r="F101" s="218" t="str">
        <f>IFERROR(__xludf.DUMMYFUNCTION("GOOGLETRANSLATE(A101,""zh-tw"",""KO"")"),"""아사바의 딸기""는 일반 딸기보다 맛이 좋습니다. 이 재료를 아사바에게 먹이면 아사바가 격노하여 보스전이 발동됩니다.")</f>
        <v>"아사바의 딸기"는 일반 딸기보다 맛이 좋습니다. 이 재료를 아사바에게 먹이면 아사바가 격노하여 보스전이 발동됩니다.</v>
      </c>
      <c r="G101" s="55" t="str">
        <f>IFERROR(__xludf.DUMMYFUNCTION("GOOGLETRANSLATE(A101,""zh-tw"",""ru"")"),"«Клубника ASABA» вкуснее обычной клубники. Если кормить ASABA этим ингредиентом, она разозлится и спровоцирует битву с боссом.")</f>
        <v>«Клубника ASABA» вкуснее обычной клубники. Если кормить ASABA этим ингредиентом, она разозлится и спровоцирует битву с боссом.</v>
      </c>
      <c r="H101" s="218" t="s">
        <v>3649</v>
      </c>
      <c r="I101" s="188" t="s">
        <v>3650</v>
      </c>
      <c r="J101" s="46"/>
      <c r="K101" s="46"/>
      <c r="L101" s="46"/>
      <c r="M101" s="46"/>
      <c r="N101" s="46"/>
      <c r="O101" s="46"/>
      <c r="P101" s="46"/>
      <c r="Q101" s="46"/>
      <c r="R101" s="46"/>
      <c r="S101" s="46"/>
      <c r="T101" s="46"/>
      <c r="U101" s="46"/>
      <c r="V101" s="46"/>
      <c r="W101" s="46"/>
    </row>
    <row r="102">
      <c r="A102" s="52" t="s">
        <v>3651</v>
      </c>
      <c r="B102" s="217" t="s">
        <v>3652</v>
      </c>
      <c r="C102" s="52" t="s">
        <v>3653</v>
      </c>
      <c r="D102" s="217" t="str">
        <f>IFERROR(__xludf.DUMMYFUNCTION("GOOGLETRANSLATE(A102,""zh-tw"",""zh"")"),"关于""狂暴ASABA""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2" s="55" t="str">
        <f>IFERROR(__xludf.DUMMYFUNCTION("GOOGLETRANSLATE(A102,""zh-tw"",""es-MX"")"),"Acerca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2" s="218" t="str">
        <f>IFERROR(__xludf.DUMMYFUNCTION("GOOGLETRANSLATE(A102,""zh-tw"",""KO"")"),"""격노한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2" s="55" t="str">
        <f>IFERROR(__xludf.DUMMYFUNCTION("GOOGLETRANSLATE(A102,""zh-tw"",""ru"")"),"О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2" s="217" t="s">
        <v>3654</v>
      </c>
      <c r="I102" s="166" t="s">
        <v>3655</v>
      </c>
      <c r="J102" s="46"/>
      <c r="K102" s="46"/>
      <c r="L102" s="46"/>
      <c r="M102" s="46"/>
      <c r="N102" s="46"/>
      <c r="O102" s="46"/>
      <c r="P102" s="46"/>
      <c r="Q102" s="46"/>
      <c r="R102" s="46"/>
      <c r="S102" s="46"/>
      <c r="T102" s="46"/>
      <c r="U102" s="46"/>
      <c r="V102" s="46"/>
      <c r="W102" s="46"/>
    </row>
    <row r="103">
      <c r="A103" s="52" t="s">
        <v>3656</v>
      </c>
      <c r="B103" s="217" t="s">
        <v>3657</v>
      </c>
      <c r="C103" s="52" t="s">
        <v>3658</v>
      </c>
      <c r="D103" s="217" t="str">
        <f>IFERROR(__xludf.DUMMYFUNCTION("GOOGLETRANSLATE(A103,""zh-tw"",""zh"")"),"关于""铁砧""的说明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3" s="55" t="str">
        <f>IFERROR(__xludf.DUMMYFUNCTION("GOOGLETRANSLATE(A103,""zh-tw"",""es-MX"")"),"Explicación del ""Yunque"":
1. El Teletransporte se reemplazará. Usar Teletransporte se considerará como sacar el yunque y comenzar a forjar, y el arma principal se desequipará automáticamente y se reemplazará por el ""Martillo de Forja"".
2. El ""Marti"&amp;"llo de Forja"" tiene durabilidad infinita, pero se reciclará al cambiar de mapa o guardar el yunque.
3. Atacar el yunque se considera forjar. Cada golpe aumenta la temperatura del arma. Cuanto mayor sea la temperatura del arma, mayor será la probabilidad"&amp;" y el valor de la bonificación de durabilidad obtenida por golpe.
4. Cuando haya enemigos cerca del yunque, se otorgará una bonificación adicional.
5. Cuando el arma se sobrecaliente, humeará. Forjar en este momento no otorgará ningún beneficio; solo pu"&amp;"edes esperar a que se enfríe naturalmente.
6. La durabilidad de la forja no superará la durabilidad inicial original del arma. Limitada.
7. La forja solo se puede usar en tierra.
8. El jugador reaparecerá al morir mientras forja; deberá regresar al map"&amp;"a tras la transferencia. El jugador no reaparecerá inmediatamente al resucitar.
9. Actualmente, no hay previsto usar varios Exploradores de Hierro.
10. Cuando un arma alcanza una temperatura alta, se puede recuperar y forjar de nuevo inmediatamente, ign"&amp;"orando el tiempo de espera de la temperatura roja.
11. El Martillo de Forja se puede combinar con bonificaciones de armas como Garra de Gato y Amplificación de Arma para mejorar la efectividad de la forja.
12. Cuanto mayor sea el poder de ataque del per"&amp;"sonaje, mayor será la efectividad de la forja.
13. El Explorador de Hierro no se puede invocar si está desarmado.
14. En el futuro, se podrán pulir las armas para mejorar su efectividad o añadirles otros objetos. Manténganse al tanto.")</f>
        <v>Explicación del "Yunque":
1. El Teletransporte se reemplazará. Usar Teletransporte se considerará como sacar el yunque y comenzar a forjar, y el arma principal se desequipará automáticamente y se reemplazará por el "Martillo de Forja".
2. El "Martillo de Forja" tiene durabilidad infinita, pero se reciclará al cambiar de mapa o guardar el yunque.
3. Atacar el yunque se considera forjar. Cada golpe aumenta la temperatura del arma. Cuanto mayor sea la temperatura del arma, mayor será la probabilidad y el valor de la bonificación de durabilidad obtenida por golpe.
4. Cuando haya enemigos cerca del yunque, se otorgará una bonificación adicional.
5. Cuando el arma se sobrecaliente, humeará. Forjar en este momento no otorgará ningún beneficio; solo puedes esperar a que se enfríe naturalmente.
6. La durabilidad de la forja no superará la durabilidad inicial original del arma. Limitada.
7. La forja solo se puede usar en tierra.
8. El jugador reaparecerá al morir mientras forja; deberá regresar al mapa tras la transferencia. El jugador no reaparecerá inmediatamente al resucitar.
9. Actualmente, no hay previsto usar varios Exploradores de Hierro.
10. Cuando un arma alcanza una temperatura alta, se puede recuperar y forjar de nuevo inmediatamente, ignorando el tiempo de espera de la temperatura roja.
11. El Martillo de Forja se puede combinar con bonificaciones de armas como Garra de Gato y Amplificación de Arma para mejorar la efectividad de la forja.
12. Cuanto mayor sea el poder de ataque del personaje, mayor será la efectividad de la forja.
13. El Explorador de Hierro no se puede invocar si está desarmado.
14. En el futuro, se podrán pulir las armas para mejorar su efectividad o añadirles otros objetos. Manténganse al tanto.</v>
      </c>
      <c r="F103" s="218" t="str">
        <f>IFERROR(__xludf.DUMMYFUNCTION("GOOGLETRANSLATE(A103,""zh-tw"",""KO"")"),"""앤빌""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 시 무기의 온도가 상승합니다. 무기 온도가 높을수록 타격 시 획득하는 내구도 보너스의 확률과 값이 커집니다.
4. 앤빌 근"&amp;"처에 적이 있으면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제한적
7. 단조는 지상에서만 사용할 수 있습니다.
8. 단조 중 사망 시 플레이어가 회수됩니다. 이동 후 맵으로 돌아가야 합니다. 부활 시 플레이어는 즉시 회수되지 않습니다.
9. 현재 여러 개의 아이언 스카우트를 사용할 "&amp;"수 있도록 설계되지 않았습니다.
10. 무기가 고온에 도달하면 회수하여 즉시 다시 단조할 수 있으며, 적색 온도의 재사용 대기시간은 무시됩니다.
11. 단조 망치는 고양이 발톱이나 무기 증폭과 같은 무기 보너스와 결합하여 단조 효율을 높일 수 있습니다.
12. 캐릭터의 공격력이 높을수록 단조 효율이 높아집니다.
13. 아이언 스카우트는 비무장 상태에서는 소환할 수 없습니다.
14. 향후 무기를 연마하여 효율을 높이거나 다른 무기가 아닌 아이템을 장착할 "&amp;"수 있습니다. 기대해 주세요.")</f>
        <v>"앤빌"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 시 무기의 온도가 상승합니다. 무기 온도가 높을수록 타격 시 획득하는 내구도 보너스의 확률과 값이 커집니다.
4. 앤빌 근처에 적이 있으면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제한적
7. 단조는 지상에서만 사용할 수 있습니다.
8. 단조 중 사망 시 플레이어가 회수됩니다. 이동 후 맵으로 돌아가야 합니다. 부활 시 플레이어는 즉시 회수되지 않습니다.
9. 현재 여러 개의 아이언 스카우트를 사용할 수 있도록 설계되지 않았습니다.
10. 무기가 고온에 도달하면 회수하여 즉시 다시 단조할 수 있으며, 적색 온도의 재사용 대기시간은 무시됩니다.
11. 단조 망치는 고양이 발톱이나 무기 증폭과 같은 무기 보너스와 결합하여 단조 효율을 높일 수 있습니다.
12. 캐릭터의 공격력이 높을수록 단조 효율이 높아집니다.
13. 아이언 스카우트는 비무장 상태에서는 소환할 수 없습니다.
14. 향후 무기를 연마하여 효율을 높이거나 다른 무기가 아닌 아이템을 장착할 수 있습니다. 기대해 주세요.</v>
      </c>
      <c r="G103" s="55" t="str">
        <f>IFERROR(__xludf.DUMMYFUNCTION("GOOGLETRANSLATE(A103,""zh-tw"",""ru"")"),"Объяснение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прочность,"&amp;"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значение бонуса к прочности, получаемого за у"&amp;"дар.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"&amp;"превысит исходную прочность оружия. Ограничено.
7. Ковку можно использовать только на суше. 8. Игрок будет возвращен после смерти во время ковки; после переноса необходимо вернуться на карту. Игрок не будет возвращен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при красной температуре.
11. Кузнечный молот можн"&amp;"о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сможе"&amp;"те полировать оружие для повышения его эффективности или прикреплять к нему другие предметы, не являющиеся оружием. Следите за новостями.")</f>
        <v>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значение бонуса к прочности, получаемого за удар.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превысит исходную прочность оружия. Ограничено.
7. Ковку можно использовать только на суше. 8. Игрок будет возвращен после смерти во время ковки; после переноса необходимо вернуться на карту. Игрок не будет возвращен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при красной температуре.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3" s="218" t="str">
        <f>IFERROR(__xludf.DUMMYFUNCTION("GOOGLETRANSLATE(A103,""zh-tw"",""de"")"),"Erklärung des „Ambosses“:
1. Die Fähigkeit „Blinken“ wird ersetzt. Die Nutzung von „Blinken“ gilt als Entnahme des Ambosses und Beginn des Schmiedens. Die Primärwaffe wird automatisch abgelegt und durch den „Schmiedehammer“ ersetzt.
2. Der „Schmiedehamm"&amp;"er“ ist unbegrenzt haltbar, wird aber beim Wechsel auf eine andere Karte oder beim Weglegen des Ambosses wiederverwendet.
3. Angriffe auf den Amboss gelten als Schmieden. Jeder Schlag erhöht die Temperatur der Waffe. Je höher die Temperatur, desto höher "&amp;"die Wahrscheinlichkeit und der Wert des Haltbarkeitsbonus pro Schlag.
4. Befinden sich Gegner in der Nähe des Ambosses, wird ein zusätzlicher Bonus gewährt.
5. Überhitzt die Waffe, raucht sie. Schmieden bringt in diesem Zustand keine Vorteile; man muss "&amp;"warten, bis sie sich auf natürliche Weise abgekühlt hat.
6. Die Haltbarkeit beim Schmieden überschreitet nicht die ursprüngliche Haltbarkeit der Waffe.
7. Schmieden ist nur an Land möglich.
8. Der Spieler wird beim Tod während des Schmiedens wiederbeleb"&amp;"t. Nach dem Transfer musst du zur Karte zurückkehren. Der Spieler wird nach der Wiederbelebung nicht sofort wiederhergestellt.
9. Derzeit ist es nicht möglich, mehrere Eiserne Späher gleichzeitig zu beschwören.
10. Sobald eine Waffe eine hohe Temperatur"&amp;" erreicht hat, kann sie wiederhergestellt und sofort erneut geschmiedet werden, wobei die Abklingzeit der roten Temperatur ignoriert wird.
11. Der Schmiedehammer kann mit Waffenboni wie Katzenklaue und Waffenverstärkung kombiniert werden, um die Schmiede"&amp;"effektivität zu erhöhen.
12. Je höher die Angriffskraft des Charakters, desto höher die Schmiedeeffektivität.
13. Der Eiserne Späher kann nicht beschworen werden, wenn er unbewaffnet ist.
14. Zukünftig kannst du Waffen polieren, um ihre Effektivität zu"&amp;" steigern oder sie mit anderen Gegenständen ausstatten. Bleib dran!")</f>
        <v>Erklärung des „Ambosses“:
1. Die Fähigkeit „Blinken“ wird ersetzt. Die Nutzung von „Blinken“ gilt als Entnahme des Ambosses und Beginn des Schmiedens. Die Primärwaffe wird automatisch abgelegt und durch den „Schmiedehammer“ ersetzt.
2. Der „Schmiedehammer“ ist unbegrenzt haltbar, wird aber beim Wechsel auf eine andere Karte oder beim Weglegen des Ambosses wiederverwendet.
3. Angriffe auf den Amboss gelten als Schmieden. Jeder Schlag erhöht die Temperatur der Waffe. Je höher die Temperatur, desto höher die Wahrscheinlichkeit und der Wert des Haltbarkeitsbonus pro Schlag.
4. Befinden sich Gegner in der Nähe des Ambosses, wird ein zusätzlicher Bonus gewährt.
5. Überhitzt die Waffe, raucht sie. Schmieden bringt in diesem Zustand keine Vorteile; man muss warten, bis sie sich auf natürliche Weise abgekühlt hat.
6. Die Haltbarkeit beim Schmieden überschreitet nicht die ursprüngliche Haltbarkeit der Waffe.
7. Schmieden ist nur an Land möglich.
8. Der Spieler wird beim Tod während des Schmiedens wiederbelebt. Nach dem Transfer musst du zur Karte zurückkehren. Der Spieler wird nach der Wiederbelebung nicht sofort wiederhergestellt.
9. Derzeit ist es nicht möglich, mehrere Eiserne Späher gleichzeitig zu beschwören.
10. Sobald eine Waffe eine hohe Temperatur erreicht hat, kann sie wiederhergestellt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kannst du Waffen polieren, um ihre Effektivität zu steigern oder sie mit anderen Gegenständen ausstatten. Bleib dran!</v>
      </c>
      <c r="I103" s="166" t="s">
        <v>3659</v>
      </c>
      <c r="J103" s="46"/>
      <c r="K103" s="46"/>
      <c r="L103" s="46"/>
      <c r="M103" s="46"/>
      <c r="N103" s="46"/>
      <c r="O103" s="46"/>
      <c r="P103" s="46"/>
      <c r="Q103" s="46"/>
      <c r="R103" s="46"/>
      <c r="S103" s="46"/>
      <c r="T103" s="46"/>
      <c r="U103" s="46"/>
      <c r="V103" s="46"/>
      <c r="W103" s="46"/>
    </row>
    <row r="104">
      <c r="A104" s="52" t="s">
        <v>3660</v>
      </c>
      <c r="B104" s="217" t="str">
        <f>IFERROR(__xludf.DUMMYFUNCTION("GOOGLETRANSLATE(A104,""zh-tw"",""ja"")"),"この奇妙な鳥の羽、杖の浮遊力、そしてその他の特徴は、この鳥が浮遊し、特別な場所に到達する能力に貢献しています。しかし、羽は水や氷に触れることはできません。")</f>
        <v>この奇妙な鳥の羽、杖の浮遊力、そしてその他の特徴は、この鳥が浮遊し、特別な場所に到達する能力に貢献しています。しかし、羽は水や氷に触れることはできません。</v>
      </c>
      <c r="C104" s="52" t="s">
        <v>3661</v>
      </c>
      <c r="D104" s="217" t="str">
        <f>IFERROR(__xludf.DUMMYFUNCTION("GOOGLETRANSLATE(A104,""zh-tw"",""zh"")"),"怪鸟的羽毛、法杖的悬空等等，都属于漂浮状态，可以抵达特殊地区
羽毛不能接触水面或冰面")</f>
        <v>怪鸟的羽毛、法杖的悬空等等，都属于漂浮状态，可以抵达特殊地区
羽毛不能接触水面或冰面</v>
      </c>
      <c r="E104" s="55" t="str">
        <f>IFERROR(__xludf.DUMMYFUNCTION("GOOGLETRANSLATE(A104,""zh-tw"",""es-MX"")"),"Las extrañas plumas del pájaro, la levitación del bastón y otras características contribuyen a su capacidad para flotar y alcanzar zonas especiales. Sin embargo, las plumas no pueden tocar el agua ni el hielo.")</f>
        <v>Las extrañas plumas del pájaro, la levitación del bastón y otras características contribuyen a su capacidad para flotar y alcanzar zonas especiales. Sin embargo, las plumas no pueden tocar el agua ni el hielo.</v>
      </c>
      <c r="F104" s="218" t="str">
        <f>IFERROR(__xludf.DUMMYFUNCTION("GOOGLETRANSLATE(A104,""zh-tw"",""KO"")"),"이 기이한 새의 깃털, 지팡이의 부양력, 그리고 다른 특징들은 모두 이 새가 떠다니며 특정 지역에 도달할 수 있는 능력에 기여합니다. 하지만 깃털은 물이나 얼음에는 닿을 수 없습니다.")</f>
        <v>이 기이한 새의 깃털, 지팡이의 부양력, 그리고 다른 특징들은 모두 이 새가 떠다니며 특정 지역에 도달할 수 있는 능력에 기여합니다. 하지만 깃털은 물이나 얼음에는 닿을 수 없습니다.</v>
      </c>
      <c r="G104" s="55" t="str">
        <f>IFERROR(__xludf.DUMMYFUNCTION("GOOGLETRANSLATE(A104,""zh-tw"",""ru"")"),"Перья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f>
        <v>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v>
      </c>
      <c r="H104" s="218" t="str">
        <f>IFERROR(__xludf.DUMMYFUNCTION("GOOGLETRANSLATE(A104,""zh-tw"",""de"")"),"Die Federn des seltsamen Vogels, die Levitation des Stabs und andere Merkmale tragen alle dazu bei, dass er schweben und besondere Bereiche erreichen kann. Die Federn dürfen jedoch weder Wasser noch Eis berühren.")</f>
        <v>Die Federn des seltsamen Vogels, die Levitation des Stabs und andere Merkmale tragen alle dazu bei, dass er schweben und besondere Bereiche erreichen kann. Die Federn dürfen jedoch weder Wasser noch Eis berühren.</v>
      </c>
      <c r="I104" s="188" t="s">
        <v>3662</v>
      </c>
      <c r="J104" s="46"/>
      <c r="K104" s="46"/>
      <c r="L104" s="46"/>
      <c r="M104" s="46"/>
      <c r="N104" s="46"/>
      <c r="O104" s="46"/>
      <c r="P104" s="46"/>
      <c r="Q104" s="46"/>
      <c r="R104" s="46"/>
      <c r="S104" s="46"/>
      <c r="T104" s="46"/>
      <c r="U104" s="46"/>
      <c r="V104" s="46"/>
      <c r="W104" s="46"/>
    </row>
    <row r="105">
      <c r="A105" s="52" t="s">
        <v>3663</v>
      </c>
      <c r="B105" s="217" t="s">
        <v>3664</v>
      </c>
      <c r="C105" s="52" t="s">
        <v>3665</v>
      </c>
      <c r="D105" s="217" t="str">
        <f>IFERROR(__xludf.DUMMYFUNCTION("GOOGLETRANSLATE(A105,""zh-tw"",""zh"")"),"兔子洞只能使用爆炸属性的伤害进行攻击，其他攻击或者从者攻击，皆无效果。")</f>
        <v>兔子洞只能使用爆炸属性的伤害进行攻击，其他攻击或者从者攻击，皆无效果。</v>
      </c>
      <c r="E105" s="55" t="str">
        <f>IFERROR(__xludf.DUMMYFUNCTION("GOOGLETRANSLATE(A105,""zh-tw"",""es-MX"")"),"La Madriguera del Conejo solo puede usar daño explosivo para atacar. Otros ataques o ataques de sirvientes no tendrán efecto.")</f>
        <v>La Madriguera del Conejo solo puede usar daño explosivo para atacar. Otros ataques o ataques de sirvientes no tendrán efecto.</v>
      </c>
      <c r="F105" s="218" t="str">
        <f>IFERROR(__xludf.DUMMYFUNCTION("GOOGLETRANSLATE(A105,""zh-tw"",""KO"")"),"토끼굴은 폭발 피해만 공격할 수 있습니다. 다른 공격이나 하인 공격은 효과가 없습니다.")</f>
        <v>토끼굴은 폭발 피해만 공격할 수 있습니다. 다른 공격이나 하인 공격은 효과가 없습니다.</v>
      </c>
      <c r="G105" s="55" t="str">
        <f>IFERROR(__xludf.DUMMYFUNCTION("GOOGLETRANSLATE(A105,""zh-tw"",""ru"")"),"Кроличья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5" s="217" t="s">
        <v>3666</v>
      </c>
      <c r="I105" s="188" t="s">
        <v>3667</v>
      </c>
      <c r="J105" s="46"/>
      <c r="K105" s="46"/>
      <c r="L105" s="46"/>
      <c r="M105" s="46"/>
      <c r="N105" s="46"/>
      <c r="O105" s="46"/>
      <c r="P105" s="46"/>
      <c r="Q105" s="46"/>
      <c r="R105" s="46"/>
      <c r="S105" s="46"/>
      <c r="T105" s="46"/>
      <c r="U105" s="46"/>
      <c r="V105" s="46"/>
      <c r="W105" s="46"/>
    </row>
    <row r="106">
      <c r="A106" s="52" t="s">
        <v>3668</v>
      </c>
      <c r="B106" s="217" t="s">
        <v>3669</v>
      </c>
      <c r="C106" s="52" t="s">
        <v>3670</v>
      </c>
      <c r="D106" s="217" t="str">
        <f>IFERROR(__xludf.DUMMYFUNCTION("GOOGLETRANSLATE(A106,""zh-tw"",""zh"")"),"可以同时进行多重BOSS战斗，例如河之主与狂暴ASABA，或者浅羽与红兽等等。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6" s="55" t="str">
        <f>IFERROR(__xludf.DUMMYFUNCTION("GOOGLETRANSLATE(A106,""zh-tw"",""es-MX"")"),"Se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6" s="218" t="str">
        <f>IFERROR(__xludf.DUMMYFUNCTION("GOOGLETRANSLATE(A106,""zh-tw"",""KO"")"),"리버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6" s="55" t="str">
        <f>IFERROR(__xludf.DUMMYFUNCTION("GOOGLETRANSLATE(A106,""zh-tw"",""ru"")"),"Одновременно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6" s="217" t="s">
        <v>3671</v>
      </c>
      <c r="I106" s="188" t="s">
        <v>3672</v>
      </c>
      <c r="J106" s="46"/>
      <c r="K106" s="46"/>
      <c r="L106" s="46"/>
      <c r="M106" s="46"/>
      <c r="N106" s="46"/>
      <c r="O106" s="46"/>
      <c r="P106" s="46"/>
      <c r="Q106" s="46"/>
      <c r="R106" s="46"/>
      <c r="S106" s="46"/>
      <c r="T106" s="46"/>
      <c r="U106" s="46"/>
      <c r="V106" s="46"/>
      <c r="W106" s="46"/>
    </row>
    <row r="107">
      <c r="A107" s="52" t="s">
        <v>3673</v>
      </c>
      <c r="B107" s="217" t="s">
        <v>3674</v>
      </c>
      <c r="C107" s="52" t="s">
        <v>3675</v>
      </c>
      <c r="D107" s="217" t="str">
        <f>IFERROR(__xludf.DUMMYFUNCTION("GOOGLETRANSLATE(A107,""zh-tw"",""zh"")"),"初号核心可以使用二号机至七号机进行消耗，每一种皆可提升初号核心一个等级，最高可以升级至LV7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7" s="55" t="str">
        <f>IFERROR(__xludf.DUMMYFUNCTION("GOOGLETRANSLATE(A107,""zh-tw"",""es-MX"")"),"El Núcleo Evangelion se puede consumir usando las Unidades 2 a 7. Cada unidad puede mejorar el Núcleo Evangelion en un nivel, hasta un máximo de LV7.
(La mejora se realiza en la ranura de habilidad)
Unidad 2: Detecta enemigos cercanos y la cantidad de re"&amp;"liquias (Disponible en la tienda)
Unidad 3: -
Unidad 4: -
Unidad 5: -
Unidad 6: -
Unidad 7: -")</f>
        <v>El Núcleo Evangelion se puede consumir usando las Unidades 2 a 7. Cada unidad puede mejorar el Núcleo Evangelion en un nivel, hasta un máximo de LV7.
(La mejora se realiza en la ranura de habilidad)
Unidad 2: Detecta enemigos cercanos y la cantidad de reliquias (Disponible en la tienda)
Unidad 3: -
Unidad 4: -
Unidad 5: -
Unidad 6: -
Unidad 7: -</v>
      </c>
      <c r="F107" s="218" t="str">
        <f>IFERROR(__xludf.DUMMYFUNCTION("GOOGLETRANSLATE(A107,""zh-tw"",""KO"")"),"에반게리온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f>
        <v>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v>
      </c>
      <c r="G107" s="55" t="str">
        <f>IFERROR(__xludf.DUMMYFUNCTION("GOOGLETRANSLATE(A107,""zh-tw"",""ru"")"),"Ядро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(приобретают"&amp;"ся в корзине магазина)
Юнит 3: -
Юнит 4: -
Юнит 5: -
Юнит 6: -
Юнит 7: -")</f>
        <v>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(приобретаются в корзине магазина)
Юнит 3: -
Юнит 4: -
Юнит 5: -
Юнит 6: -
Юнит 7: -</v>
      </c>
      <c r="H107" s="217" t="s">
        <v>3676</v>
      </c>
      <c r="I107" s="188" t="s">
        <v>3677</v>
      </c>
      <c r="J107" s="46"/>
      <c r="K107" s="46"/>
      <c r="L107" s="46"/>
      <c r="M107" s="46"/>
      <c r="N107" s="46"/>
      <c r="O107" s="46"/>
      <c r="P107" s="46"/>
      <c r="Q107" s="46"/>
      <c r="R107" s="46"/>
      <c r="S107" s="46"/>
      <c r="T107" s="46"/>
      <c r="U107" s="46"/>
      <c r="V107" s="46"/>
      <c r="W107" s="46"/>
    </row>
    <row r="108">
      <c r="A108" s="52" t="s">
        <v>3678</v>
      </c>
      <c r="B108" s="217" t="s">
        <v>3679</v>
      </c>
      <c r="C108" s="52" t="s">
        <v>3680</v>
      </c>
      <c r="D108" s="217" t="str">
        <f>IFERROR(__xludf.DUMMYFUNCTION("GOOGLETRANSLATE(A108,""zh-tw"",""zh"")"),"关于水面炸鱼的详细说明(所有的项目，下雨皆会重置)：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8" s="55" t="str">
        <f>IFERROR(__xludf.DUMMYFUNCTION("GOOGLETRANSLATE(A108,""zh-tw"",""es-MX"")"),"Instrucciones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8" s="218" t="str">
        <f>IFERROR(__xludf.DUMMYFUNCTION("GOOGLETRANSLATE(A108,""zh-tw"",""KO"")"),"수면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8" s="55" t="str">
        <f>IFERROR(__xludf.DUMMYFUNCTION("GOOGLETRANSLATE(A108,""zh-tw"",""ru"")"),"Подробная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Вышеуказанные "&amp;"бонусы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м"&amp;"ала,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"&amp;"создают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8" s="217" t="s">
        <v>3681</v>
      </c>
      <c r="I108" s="166" t="s">
        <v>3682</v>
      </c>
      <c r="J108" s="46"/>
      <c r="K108" s="46"/>
      <c r="L108" s="46"/>
      <c r="M108" s="46"/>
      <c r="N108" s="46"/>
      <c r="O108" s="46"/>
      <c r="P108" s="46"/>
      <c r="Q108" s="46"/>
      <c r="R108" s="46"/>
      <c r="S108" s="46"/>
      <c r="T108" s="46"/>
      <c r="U108" s="46"/>
      <c r="V108" s="46"/>
      <c r="W108" s="46"/>
    </row>
    <row r="109">
      <c r="A109" s="52" t="s">
        <v>3683</v>
      </c>
      <c r="B109" s="217" t="s">
        <v>3684</v>
      </c>
      <c r="C109" s="52" t="s">
        <v>3685</v>
      </c>
      <c r="D109" s="217" t="str">
        <f>IFERROR(__xludf.DUMMYFUNCTION("GOOGLETRANSLATE(A109,""zh-tw"",""zh"")"),"萨卡班甲鱼王血量低于90%时，有机率睡眠回复血量，受到攻击会醒来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09" s="55" t="str">
        <f>IFERROR(__xludf.DUMMYFUNCTION("GOOGLETRANSLATE(A109,""zh-tw"",""es-MX"")"),"Cuando la salud del Rey Tortuga Sakaban baja del 90%, tiene una probabilidad de dormir para recuperarse y despertará si es atacado.
Al ser derrotado, si hay agua en un radio de 8 bloques, abandonará el combate y huirá al agua. Durante este proceso, tiene"&amp;" una probabilidad de soltar su Corona (Orden Real). Si es derrotado mientras duerme y está bajo control (paralizado, congelado o aturdido), la probabilidad de soltar la Orden Real aumenta.
Si no hay agua cerca, se convertirá en una Tortuga Sakaban normal"&amp;" debido al agotamiento y a su incapacidad para escapar, convirtiéndose en un objeto de Sirviente (◉▽◉ (rosa)). Durante este proceso, aún tiene una probabilidad de soltar la Orden Real.")</f>
        <v>Cuando la salud del Rey Tortuga Sakaban baja del 90%, tiene una probabilidad de dormir para recuperarse y despertará si es atacado.
Al ser derrotado, si hay agua en un radio de 8 bloques, abandonará el combate y huirá al agua. Durante este proceso, tiene una probabilidad de soltar su Corona (Orden Real). Si es derrotado mientras duerme y está bajo control (paralizado, congelado o aturdido), la probabilidad de soltar la Orden Real aumenta.
Si no hay agua cerca, se convertirá en una Tortuga Sakaban normal debido al agotamiento y a su incapacidad para escapar, convirtiéndose en un objeto de Sirviente (◉▽◉ (rosa)). Durante este proceso, aún tiene una probabilidad de soltar la Orden Real.</v>
      </c>
      <c r="F109" s="218" t="str">
        <f>IFERROR(__xludf.DUMMYFUNCTION("GOOGLETRANSLATE(A109,""zh-tw"",""KO"")"),"사카반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09" s="55" t="str">
        <f>IFERROR(__xludf.DUMMYFUNCTION("GOOGLETRANSLATE(A109,""zh-tw"",""ru"")"),"Когда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09" s="217" t="s">
        <v>3686</v>
      </c>
      <c r="I109" s="188" t="s">
        <v>3687</v>
      </c>
      <c r="J109" s="46"/>
      <c r="K109" s="46"/>
      <c r="L109" s="46"/>
      <c r="M109" s="46"/>
      <c r="N109" s="46"/>
      <c r="O109" s="46"/>
      <c r="P109" s="46"/>
      <c r="Q109" s="46"/>
      <c r="R109" s="46"/>
      <c r="S109" s="46"/>
      <c r="T109" s="46"/>
      <c r="U109" s="46"/>
      <c r="V109" s="46"/>
      <c r="W109" s="46"/>
    </row>
    <row r="110">
      <c r="A110" s="52" t="s">
        <v>3688</v>
      </c>
      <c r="B110" s="217" t="s">
        <v>3689</v>
      </c>
      <c r="C110" s="52" t="s">
        <v>3690</v>
      </c>
      <c r="D110" s="217" t="str">
        <f>IFERROR(__xludf.DUMMYFUNCTION("GOOGLETRANSLATE(A110,""zh-tw"",""zh"")"),"毒雾遇上火属性攻击时，可以产生粉尘爆炸")</f>
        <v>毒雾遇上火属性攻击时，可以产生粉尘爆炸</v>
      </c>
      <c r="E110" s="55" t="str">
        <f>IFERROR(__xludf.DUMMYFUNCTION("GOOGLETRANSLATE(A110,""zh-tw"",""es-MX"")"),"Cuando la niebla venenosa se encuentra con un ataque de atributo fuego, puede producir una explosión de polvo.")</f>
        <v>Cuando la niebla venenosa se encuentra con un ataque de atributo fuego, puede producir una explosión de polvo.</v>
      </c>
      <c r="F110" s="218" t="str">
        <f>IFERROR(__xludf.DUMMYFUNCTION("GOOGLETRANSLATE(A110,""zh-tw"",""KO"")"),"독성 안개가 화염 속성의 공격을 받으면 먼지 폭발을 일으킬 수 있습니다.")</f>
        <v>독성 안개가 화염 속성의 공격을 받으면 먼지 폭발을 일으킬 수 있습니다.</v>
      </c>
      <c r="G110" s="55" t="str">
        <f>IFERROR(__xludf.DUMMYFUNCTION("GOOGLETRANSLATE(A110,""zh-tw"",""ru"")"),"Когда ядовитый туман сталкивается с атакой стихии огня, он может вызвать взрыв пыли.")</f>
        <v>Когда ядовитый туман сталкивается с атакой стихии огня, он может вызвать взрыв пыли.</v>
      </c>
      <c r="H110" s="217" t="s">
        <v>3691</v>
      </c>
      <c r="I110" s="188" t="s">
        <v>3692</v>
      </c>
      <c r="J110" s="46"/>
      <c r="K110" s="46"/>
      <c r="L110" s="46"/>
      <c r="M110" s="46"/>
      <c r="N110" s="46"/>
      <c r="O110" s="46"/>
      <c r="P110" s="46"/>
      <c r="Q110" s="46"/>
      <c r="R110" s="46"/>
      <c r="S110" s="46"/>
      <c r="T110" s="46"/>
      <c r="U110" s="46"/>
      <c r="V110" s="46"/>
      <c r="W110" s="46"/>
    </row>
    <row r="111">
      <c r="A111" s="52" t="s">
        <v>3693</v>
      </c>
      <c r="B111" s="217" t="s">
        <v>3694</v>
      </c>
      <c r="C111" s="52" t="s">
        <v>3695</v>
      </c>
      <c r="D111" s="217" t="str">
        <f>IFERROR(__xludf.DUMMYFUNCTION("GOOGLETRANSLATE(A111,""zh-tw"",""zh"")"),"一些贪吃属性的怪物，容易受到美食武器的诱惑，例如：ASABA、兽人等等。更容易被强制击杀。")</f>
        <v>一些贪吃属性的怪物，容易受到美食武器的诱惑，例如：ASABA、兽人等等。更容易被强制击杀。</v>
      </c>
      <c r="E111" s="55" t="str">
        <f>IFERROR(__xludf.DUMMYFUNCTION("GOOGLETRANSLATE(A111,""zh-tw"",""es-MX"")"),"Algunos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1" s="218" t="str">
        <f>IFERROR(__xludf.DUMMYFUNCTION("GOOGLETRANSLATE(A111,""zh-tw"",""KO"")"),"탐식성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1" s="55" t="str">
        <f>IFERROR(__xludf.DUMMYFUNCTION("GOOGLETRANSLATE(A111,""zh-tw"",""ru"")"),"Некоторые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1" s="217" t="s">
        <v>3696</v>
      </c>
      <c r="I111" s="188" t="s">
        <v>3697</v>
      </c>
      <c r="J111" s="46"/>
      <c r="K111" s="46"/>
      <c r="L111" s="46"/>
      <c r="M111" s="46"/>
      <c r="N111" s="46"/>
      <c r="O111" s="46"/>
      <c r="P111" s="46"/>
      <c r="Q111" s="46"/>
      <c r="R111" s="46"/>
      <c r="S111" s="46"/>
      <c r="T111" s="46"/>
      <c r="U111" s="46"/>
      <c r="V111" s="46"/>
      <c r="W111" s="46"/>
    </row>
    <row r="112">
      <c r="A112" s="52" t="s">
        <v>3698</v>
      </c>
      <c r="B112" s="217" t="s">
        <v>3699</v>
      </c>
      <c r="C112" s="52" t="s">
        <v>3700</v>
      </c>
      <c r="D112" s="217" t="str">
        <f>IFERROR(__xludf.DUMMYFUNCTION("GOOGLETRANSLATE(A112,""zh-tw"",""zh"")"),"下雨的天气提供30~50%钓鱼机率的加成，但仅限画面有雨水显示的时候(例如室内/地城等就无加成)；阴天提供15~25%的加成，但是可以全地图生效。")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2" s="55" t="str">
        <f>IFERROR(__xludf.DUMMYFUNCTION("GOOGLETRANSLATE(A112,""zh-tw"",""es-MX"")"),"El clima lluvioso proporciona una bonificación del 30 al 50 % a la probabilidad de pesca, pero solo cuando se muestra la lluvia en la pantalla (por ejemplo, no hay bonificación en interiores/mazmorras, etc.); el clima nublado proporciona una bonificación "&amp;"del 15 al 25 %, pero puede ser efectivo en todo el mapa.")</f>
        <v>El clima lluvioso proporciona una bonificación del 30 al 50 % a la probabilidad de pesca, pero solo cuando se muestra la lluvia en la pantalla (por ejemplo, no hay bonificación en interiores/mazmorras, etc.); el clima nublado proporciona una bonificación del 15 al 25 %, pero puede ser efectivo en todo el mapa.</v>
      </c>
      <c r="F112" s="218" t="str">
        <f>IFERROR(__xludf.DUMMYFUNCTION("GOOGLETRANSLATE(A112,""zh-tw"",""KO"")"),"비가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f>
        <v>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v>
      </c>
      <c r="G112" s="55" t="str">
        <f>IFERROR(__xludf.DUMMYFUNCTION("GOOGLETRANSLATE(A112,""zh-tw"",""ru"")"),"Дождливая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2" s="217" t="s">
        <v>3701</v>
      </c>
      <c r="I112" s="188" t="s">
        <v>3702</v>
      </c>
      <c r="J112" s="46"/>
      <c r="K112" s="46"/>
      <c r="L112" s="46"/>
      <c r="M112" s="46"/>
      <c r="N112" s="46"/>
      <c r="O112" s="46"/>
      <c r="P112" s="46"/>
      <c r="Q112" s="46"/>
      <c r="R112" s="46"/>
      <c r="S112" s="46"/>
      <c r="T112" s="46"/>
      <c r="U112" s="46"/>
      <c r="V112" s="46"/>
      <c r="W112" s="46"/>
    </row>
    <row r="113">
      <c r="A113" s="55"/>
      <c r="B113" s="218"/>
      <c r="C113" s="55"/>
      <c r="D113" s="217"/>
      <c r="E113" s="55"/>
      <c r="F113" s="218"/>
      <c r="G113" s="55"/>
      <c r="H113" s="218"/>
      <c r="I113" s="223"/>
      <c r="J113" s="46"/>
      <c r="K113" s="46"/>
      <c r="L113" s="46"/>
      <c r="M113" s="46"/>
      <c r="N113" s="46"/>
      <c r="O113" s="46"/>
      <c r="P113" s="46"/>
      <c r="Q113" s="46"/>
      <c r="R113" s="46"/>
      <c r="S113" s="46"/>
      <c r="T113" s="46"/>
      <c r="U113" s="46"/>
      <c r="V113" s="46"/>
      <c r="W113" s="46"/>
    </row>
    <row r="114">
      <c r="A114" s="55"/>
      <c r="B114" s="218"/>
      <c r="C114" s="55"/>
      <c r="D114" s="218"/>
      <c r="E114" s="126"/>
      <c r="F114" s="224"/>
      <c r="G114" s="126"/>
      <c r="H114" s="218"/>
      <c r="I114" s="223"/>
      <c r="J114" s="46"/>
      <c r="K114" s="46"/>
      <c r="L114" s="46"/>
      <c r="M114" s="46"/>
      <c r="N114" s="46"/>
      <c r="O114" s="46"/>
      <c r="P114" s="46"/>
      <c r="Q114" s="46"/>
      <c r="R114" s="46"/>
      <c r="S114" s="46"/>
      <c r="T114" s="46"/>
      <c r="U114" s="46"/>
      <c r="V114" s="46"/>
      <c r="W114" s="46"/>
    </row>
    <row r="115">
      <c r="A115" s="55"/>
      <c r="B115" s="218"/>
      <c r="C115" s="55"/>
      <c r="D115" s="218"/>
      <c r="E115" s="126"/>
      <c r="F115" s="224"/>
      <c r="G115" s="126"/>
      <c r="H115" s="218"/>
      <c r="I115" s="223"/>
      <c r="J115" s="46"/>
      <c r="K115" s="46"/>
      <c r="L115" s="46"/>
      <c r="M115" s="46"/>
      <c r="N115" s="46"/>
      <c r="O115" s="46"/>
      <c r="P115" s="46"/>
      <c r="Q115" s="46"/>
      <c r="R115" s="46"/>
      <c r="S115" s="46"/>
      <c r="T115" s="46"/>
      <c r="U115" s="46"/>
      <c r="V115" s="46"/>
      <c r="W115" s="46"/>
    </row>
    <row r="116">
      <c r="A116" s="55"/>
      <c r="B116" s="218"/>
      <c r="C116" s="55"/>
      <c r="D116" s="218"/>
      <c r="E116" s="126"/>
      <c r="F116" s="224"/>
      <c r="G116" s="126"/>
      <c r="H116" s="218"/>
      <c r="I116" s="223"/>
      <c r="J116" s="46"/>
      <c r="K116" s="46"/>
      <c r="L116" s="46"/>
      <c r="M116" s="46"/>
      <c r="N116" s="46"/>
      <c r="O116" s="46"/>
      <c r="P116" s="46"/>
      <c r="Q116" s="46"/>
      <c r="R116" s="46"/>
      <c r="S116" s="46"/>
      <c r="T116" s="46"/>
      <c r="U116" s="46"/>
      <c r="V116" s="46"/>
      <c r="W116" s="46"/>
    </row>
    <row r="117">
      <c r="A117" s="55"/>
      <c r="B117" s="218"/>
      <c r="C117" s="55"/>
      <c r="D117" s="218"/>
      <c r="E117" s="126"/>
      <c r="F117" s="224"/>
      <c r="G117" s="126"/>
      <c r="H117" s="218"/>
      <c r="I117" s="223"/>
      <c r="J117" s="46"/>
      <c r="K117" s="46"/>
      <c r="L117" s="46"/>
      <c r="M117" s="46"/>
      <c r="N117" s="46"/>
      <c r="O117" s="46"/>
      <c r="P117" s="46"/>
      <c r="Q117" s="46"/>
      <c r="R117" s="46"/>
      <c r="S117" s="46"/>
      <c r="T117" s="46"/>
      <c r="U117" s="46"/>
      <c r="V117" s="46"/>
      <c r="W117" s="46"/>
    </row>
    <row r="118">
      <c r="A118" s="55"/>
      <c r="B118" s="218"/>
      <c r="C118" s="55"/>
      <c r="D118" s="218"/>
      <c r="E118" s="126"/>
      <c r="F118" s="224"/>
      <c r="G118" s="126"/>
      <c r="H118" s="218"/>
      <c r="I118" s="223"/>
      <c r="J118" s="46"/>
      <c r="K118" s="46"/>
      <c r="L118" s="46"/>
      <c r="M118" s="46"/>
      <c r="N118" s="46"/>
      <c r="O118" s="46"/>
      <c r="P118" s="46"/>
      <c r="Q118" s="46"/>
      <c r="R118" s="46"/>
      <c r="S118" s="46"/>
      <c r="T118" s="46"/>
      <c r="U118" s="46"/>
      <c r="V118" s="46"/>
      <c r="W118" s="46"/>
    </row>
    <row r="119">
      <c r="A119" s="55"/>
      <c r="B119" s="218"/>
      <c r="C119" s="55"/>
      <c r="D119" s="218"/>
      <c r="E119" s="126"/>
      <c r="F119" s="224"/>
      <c r="G119" s="126"/>
      <c r="H119" s="218"/>
      <c r="I119" s="223"/>
      <c r="J119" s="46"/>
      <c r="K119" s="46"/>
      <c r="L119" s="46"/>
      <c r="M119" s="46"/>
      <c r="N119" s="46"/>
      <c r="O119" s="46"/>
      <c r="P119" s="46"/>
      <c r="Q119" s="46"/>
      <c r="R119" s="46"/>
      <c r="S119" s="46"/>
      <c r="T119" s="46"/>
      <c r="U119" s="46"/>
      <c r="V119" s="46"/>
      <c r="W119" s="46"/>
    </row>
    <row r="120">
      <c r="A120" s="55"/>
      <c r="B120" s="218"/>
      <c r="C120" s="55"/>
      <c r="D120" s="218"/>
      <c r="E120" s="126"/>
      <c r="F120" s="224"/>
      <c r="G120" s="126"/>
      <c r="H120" s="218"/>
      <c r="I120" s="223"/>
      <c r="J120" s="46"/>
      <c r="K120" s="46"/>
      <c r="L120" s="46"/>
      <c r="M120" s="46"/>
      <c r="N120" s="46"/>
      <c r="O120" s="46"/>
      <c r="P120" s="46"/>
      <c r="Q120" s="46"/>
      <c r="R120" s="46"/>
      <c r="S120" s="46"/>
      <c r="T120" s="46"/>
      <c r="U120" s="46"/>
      <c r="V120" s="46"/>
      <c r="W120" s="46"/>
    </row>
    <row r="121">
      <c r="A121" s="55"/>
      <c r="B121" s="218"/>
      <c r="C121" s="55"/>
      <c r="D121" s="218"/>
      <c r="E121" s="126"/>
      <c r="F121" s="224"/>
      <c r="G121" s="126"/>
      <c r="H121" s="218"/>
      <c r="I121" s="223"/>
      <c r="J121" s="46"/>
      <c r="K121" s="46"/>
      <c r="L121" s="46"/>
      <c r="M121" s="46"/>
      <c r="N121" s="46"/>
      <c r="O121" s="46"/>
      <c r="P121" s="46"/>
      <c r="Q121" s="46"/>
      <c r="R121" s="46"/>
      <c r="S121" s="46"/>
      <c r="T121" s="46"/>
      <c r="U121" s="46"/>
      <c r="V121" s="46"/>
      <c r="W121" s="46"/>
    </row>
    <row r="122">
      <c r="A122" s="55"/>
      <c r="B122" s="218"/>
      <c r="C122" s="55"/>
      <c r="D122" s="218"/>
      <c r="E122" s="126"/>
      <c r="F122" s="224"/>
      <c r="G122" s="126"/>
      <c r="H122" s="218"/>
      <c r="I122" s="223"/>
      <c r="J122" s="46"/>
      <c r="K122" s="46"/>
      <c r="L122" s="46"/>
      <c r="M122" s="46"/>
      <c r="N122" s="46"/>
      <c r="O122" s="46"/>
      <c r="P122" s="46"/>
      <c r="Q122" s="46"/>
      <c r="R122" s="46"/>
      <c r="S122" s="46"/>
      <c r="T122" s="46"/>
      <c r="U122" s="46"/>
      <c r="V122" s="46"/>
      <c r="W122" s="46"/>
    </row>
    <row r="123">
      <c r="A123" s="55"/>
      <c r="B123" s="218"/>
      <c r="C123" s="55"/>
      <c r="D123" s="218"/>
      <c r="E123" s="126"/>
      <c r="F123" s="224"/>
      <c r="G123" s="126"/>
      <c r="H123" s="218"/>
      <c r="I123" s="223"/>
      <c r="J123" s="46"/>
      <c r="K123" s="46"/>
      <c r="L123" s="46"/>
      <c r="M123" s="46"/>
      <c r="N123" s="46"/>
      <c r="O123" s="46"/>
      <c r="P123" s="46"/>
      <c r="Q123" s="46"/>
      <c r="R123" s="46"/>
      <c r="S123" s="46"/>
      <c r="T123" s="46"/>
      <c r="U123" s="46"/>
      <c r="V123" s="46"/>
      <c r="W123" s="46"/>
    </row>
    <row r="124">
      <c r="A124" s="55"/>
      <c r="B124" s="218"/>
      <c r="C124" s="55"/>
      <c r="D124" s="218"/>
      <c r="E124" s="126"/>
      <c r="F124" s="224"/>
      <c r="G124" s="126"/>
      <c r="H124" s="218"/>
      <c r="I124" s="223"/>
      <c r="J124" s="46"/>
      <c r="K124" s="46"/>
      <c r="L124" s="46"/>
      <c r="M124" s="46"/>
      <c r="N124" s="46"/>
      <c r="O124" s="46"/>
      <c r="P124" s="46"/>
      <c r="Q124" s="46"/>
      <c r="R124" s="46"/>
      <c r="S124" s="46"/>
      <c r="T124" s="46"/>
      <c r="U124" s="46"/>
      <c r="V124" s="46"/>
      <c r="W124" s="46"/>
    </row>
    <row r="125">
      <c r="A125" s="55"/>
      <c r="B125" s="218"/>
      <c r="C125" s="55"/>
      <c r="D125" s="218"/>
      <c r="E125" s="126"/>
      <c r="F125" s="224"/>
      <c r="G125" s="126"/>
      <c r="H125" s="218"/>
      <c r="I125" s="223"/>
      <c r="J125" s="46"/>
      <c r="K125" s="46"/>
      <c r="L125" s="46"/>
      <c r="M125" s="46"/>
      <c r="N125" s="46"/>
      <c r="O125" s="46"/>
      <c r="P125" s="46"/>
      <c r="Q125" s="46"/>
      <c r="R125" s="46"/>
      <c r="S125" s="46"/>
      <c r="T125" s="46"/>
      <c r="U125" s="46"/>
      <c r="V125" s="46"/>
      <c r="W125" s="46"/>
    </row>
    <row r="126">
      <c r="A126" s="55"/>
      <c r="B126" s="218"/>
      <c r="C126" s="55"/>
      <c r="D126" s="218"/>
      <c r="E126" s="126"/>
      <c r="F126" s="224"/>
      <c r="G126" s="126"/>
      <c r="H126" s="218"/>
      <c r="I126" s="223"/>
      <c r="J126" s="46"/>
      <c r="K126" s="46"/>
      <c r="L126" s="46"/>
      <c r="M126" s="46"/>
      <c r="N126" s="46"/>
      <c r="O126" s="46"/>
      <c r="P126" s="46"/>
      <c r="Q126" s="46"/>
      <c r="R126" s="46"/>
      <c r="S126" s="46"/>
      <c r="T126" s="46"/>
      <c r="U126" s="46"/>
      <c r="V126" s="46"/>
      <c r="W126" s="46"/>
    </row>
    <row r="127">
      <c r="A127" s="55"/>
      <c r="B127" s="218"/>
      <c r="C127" s="55"/>
      <c r="D127" s="218"/>
      <c r="E127" s="126"/>
      <c r="F127" s="224"/>
      <c r="G127" s="126"/>
      <c r="H127" s="218"/>
      <c r="I127" s="223"/>
      <c r="J127" s="46"/>
      <c r="K127" s="46"/>
      <c r="L127" s="46"/>
      <c r="M127" s="46"/>
      <c r="N127" s="46"/>
      <c r="O127" s="46"/>
      <c r="P127" s="46"/>
      <c r="Q127" s="46"/>
      <c r="R127" s="46"/>
      <c r="S127" s="46"/>
      <c r="T127" s="46"/>
      <c r="U127" s="46"/>
      <c r="V127" s="46"/>
      <c r="W127" s="46"/>
    </row>
    <row r="128">
      <c r="A128" s="55"/>
      <c r="B128" s="218"/>
      <c r="C128" s="55"/>
      <c r="D128" s="218"/>
      <c r="E128" s="126"/>
      <c r="F128" s="224"/>
      <c r="G128" s="126"/>
      <c r="H128" s="218"/>
      <c r="I128" s="223"/>
      <c r="J128" s="46"/>
      <c r="K128" s="46"/>
      <c r="L128" s="46"/>
      <c r="M128" s="46"/>
      <c r="N128" s="46"/>
      <c r="O128" s="46"/>
      <c r="P128" s="46"/>
      <c r="Q128" s="46"/>
      <c r="R128" s="46"/>
      <c r="S128" s="46"/>
      <c r="T128" s="46"/>
      <c r="U128" s="46"/>
      <c r="V128" s="46"/>
      <c r="W128" s="46"/>
    </row>
    <row r="129">
      <c r="A129" s="55"/>
      <c r="B129" s="218"/>
      <c r="C129" s="55"/>
      <c r="D129" s="218"/>
      <c r="E129" s="126"/>
      <c r="F129" s="224"/>
      <c r="G129" s="126"/>
      <c r="H129" s="218"/>
      <c r="I129" s="223"/>
      <c r="J129" s="46"/>
      <c r="K129" s="46"/>
      <c r="L129" s="46"/>
      <c r="M129" s="46"/>
      <c r="N129" s="46"/>
      <c r="O129" s="46"/>
      <c r="P129" s="46"/>
      <c r="Q129" s="46"/>
      <c r="R129" s="46"/>
      <c r="S129" s="46"/>
      <c r="T129" s="46"/>
      <c r="U129" s="46"/>
      <c r="V129" s="46"/>
      <c r="W129" s="46"/>
    </row>
    <row r="130">
      <c r="A130" s="55"/>
      <c r="B130" s="218"/>
      <c r="C130" s="55"/>
      <c r="D130" s="218"/>
      <c r="E130" s="126"/>
      <c r="F130" s="224"/>
      <c r="G130" s="126"/>
      <c r="H130" s="218"/>
      <c r="I130" s="223"/>
      <c r="J130" s="46"/>
      <c r="K130" s="46"/>
      <c r="L130" s="46"/>
      <c r="M130" s="46"/>
      <c r="N130" s="46"/>
      <c r="O130" s="46"/>
      <c r="P130" s="46"/>
      <c r="Q130" s="46"/>
      <c r="R130" s="46"/>
      <c r="S130" s="46"/>
      <c r="T130" s="46"/>
      <c r="U130" s="46"/>
      <c r="V130" s="46"/>
      <c r="W130" s="46"/>
    </row>
    <row r="131">
      <c r="A131" s="55"/>
      <c r="B131" s="218"/>
      <c r="C131" s="55"/>
      <c r="D131" s="218"/>
      <c r="E131" s="126"/>
      <c r="F131" s="224"/>
      <c r="G131" s="126"/>
      <c r="H131" s="218"/>
      <c r="I131" s="223"/>
      <c r="J131" s="46"/>
      <c r="K131" s="46"/>
      <c r="L131" s="46"/>
      <c r="M131" s="46"/>
      <c r="N131" s="46"/>
      <c r="O131" s="46"/>
      <c r="P131" s="46"/>
      <c r="Q131" s="46"/>
      <c r="R131" s="46"/>
      <c r="S131" s="46"/>
      <c r="T131" s="46"/>
      <c r="U131" s="46"/>
      <c r="V131" s="46"/>
      <c r="W131" s="46"/>
    </row>
    <row r="132">
      <c r="A132" s="55"/>
      <c r="B132" s="218"/>
      <c r="C132" s="55"/>
      <c r="D132" s="218"/>
      <c r="E132" s="126"/>
      <c r="F132" s="224"/>
      <c r="G132" s="126"/>
      <c r="H132" s="218"/>
      <c r="I132" s="223"/>
      <c r="J132" s="46"/>
      <c r="K132" s="46"/>
      <c r="L132" s="46"/>
      <c r="M132" s="46"/>
      <c r="N132" s="46"/>
      <c r="O132" s="46"/>
      <c r="P132" s="46"/>
      <c r="Q132" s="46"/>
      <c r="R132" s="46"/>
      <c r="S132" s="46"/>
      <c r="T132" s="46"/>
      <c r="U132" s="46"/>
      <c r="V132" s="46"/>
      <c r="W132" s="46"/>
    </row>
    <row r="133">
      <c r="A133" s="55"/>
      <c r="B133" s="218"/>
      <c r="C133" s="55"/>
      <c r="D133" s="218"/>
      <c r="E133" s="126"/>
      <c r="F133" s="224"/>
      <c r="G133" s="126"/>
      <c r="H133" s="218"/>
      <c r="I133" s="223"/>
      <c r="J133" s="46"/>
      <c r="K133" s="46"/>
      <c r="L133" s="46"/>
      <c r="M133" s="46"/>
      <c r="N133" s="46"/>
      <c r="O133" s="46"/>
      <c r="P133" s="46"/>
      <c r="Q133" s="46"/>
      <c r="R133" s="46"/>
      <c r="S133" s="46"/>
      <c r="T133" s="46"/>
      <c r="U133" s="46"/>
      <c r="V133" s="46"/>
      <c r="W133" s="46"/>
    </row>
    <row r="134">
      <c r="A134" s="55"/>
      <c r="B134" s="218"/>
      <c r="C134" s="55"/>
      <c r="D134" s="218"/>
      <c r="E134" s="126"/>
      <c r="F134" s="224"/>
      <c r="G134" s="126"/>
      <c r="H134" s="218"/>
      <c r="I134" s="223"/>
      <c r="J134" s="46"/>
      <c r="K134" s="46"/>
      <c r="L134" s="46"/>
      <c r="M134" s="46"/>
      <c r="N134" s="46"/>
      <c r="O134" s="46"/>
      <c r="P134" s="46"/>
      <c r="Q134" s="46"/>
      <c r="R134" s="46"/>
      <c r="S134" s="46"/>
      <c r="T134" s="46"/>
      <c r="U134" s="46"/>
      <c r="V134" s="46"/>
      <c r="W134" s="46"/>
    </row>
    <row r="135">
      <c r="A135" s="55"/>
      <c r="B135" s="218"/>
      <c r="C135" s="55"/>
      <c r="D135" s="218"/>
      <c r="E135" s="126"/>
      <c r="F135" s="224"/>
      <c r="G135" s="126"/>
      <c r="H135" s="218"/>
      <c r="I135" s="223"/>
      <c r="J135" s="46"/>
      <c r="K135" s="46"/>
      <c r="L135" s="46"/>
      <c r="M135" s="46"/>
      <c r="N135" s="46"/>
      <c r="O135" s="46"/>
      <c r="P135" s="46"/>
      <c r="Q135" s="46"/>
      <c r="R135" s="46"/>
      <c r="S135" s="46"/>
      <c r="T135" s="46"/>
      <c r="U135" s="46"/>
      <c r="V135" s="46"/>
      <c r="W135" s="46"/>
    </row>
    <row r="136">
      <c r="A136" s="55"/>
      <c r="B136" s="218"/>
      <c r="C136" s="55"/>
      <c r="D136" s="218"/>
      <c r="E136" s="126"/>
      <c r="F136" s="224"/>
      <c r="G136" s="126"/>
      <c r="H136" s="218"/>
      <c r="I136" s="223"/>
      <c r="J136" s="46"/>
      <c r="K136" s="46"/>
      <c r="L136" s="46"/>
      <c r="M136" s="46"/>
      <c r="N136" s="46"/>
      <c r="O136" s="46"/>
      <c r="P136" s="46"/>
      <c r="Q136" s="46"/>
      <c r="R136" s="46"/>
      <c r="S136" s="46"/>
      <c r="T136" s="46"/>
      <c r="U136" s="46"/>
      <c r="V136" s="46"/>
      <c r="W136" s="46"/>
    </row>
    <row r="137">
      <c r="A137" s="55"/>
      <c r="B137" s="218"/>
      <c r="C137" s="55"/>
      <c r="D137" s="218"/>
      <c r="E137" s="126"/>
      <c r="F137" s="224"/>
      <c r="G137" s="126"/>
      <c r="H137" s="218"/>
      <c r="I137" s="223"/>
      <c r="J137" s="46"/>
      <c r="K137" s="46"/>
      <c r="L137" s="46"/>
      <c r="M137" s="46"/>
      <c r="N137" s="46"/>
      <c r="O137" s="46"/>
      <c r="P137" s="46"/>
      <c r="Q137" s="46"/>
      <c r="R137" s="46"/>
      <c r="S137" s="46"/>
      <c r="T137" s="46"/>
      <c r="U137" s="46"/>
      <c r="V137" s="46"/>
      <c r="W137" s="46"/>
    </row>
    <row r="138">
      <c r="A138" s="55"/>
      <c r="B138" s="218"/>
      <c r="C138" s="55"/>
      <c r="D138" s="218"/>
      <c r="E138" s="126"/>
      <c r="F138" s="224"/>
      <c r="G138" s="126"/>
      <c r="H138" s="218"/>
      <c r="I138" s="223"/>
      <c r="J138" s="46"/>
      <c r="K138" s="46"/>
      <c r="L138" s="46"/>
      <c r="M138" s="46"/>
      <c r="N138" s="46"/>
      <c r="O138" s="46"/>
      <c r="P138" s="46"/>
      <c r="Q138" s="46"/>
      <c r="R138" s="46"/>
      <c r="S138" s="46"/>
      <c r="T138" s="46"/>
      <c r="U138" s="46"/>
      <c r="V138" s="46"/>
      <c r="W138" s="46"/>
    </row>
    <row r="139">
      <c r="A139" s="55"/>
      <c r="B139" s="218"/>
      <c r="C139" s="55"/>
      <c r="D139" s="218"/>
      <c r="E139" s="126"/>
      <c r="F139" s="224"/>
      <c r="G139" s="126"/>
      <c r="H139" s="218"/>
      <c r="I139" s="223"/>
      <c r="J139" s="46"/>
      <c r="K139" s="46"/>
      <c r="L139" s="46"/>
      <c r="M139" s="46"/>
      <c r="N139" s="46"/>
      <c r="O139" s="46"/>
      <c r="P139" s="46"/>
      <c r="Q139" s="46"/>
      <c r="R139" s="46"/>
      <c r="S139" s="46"/>
      <c r="T139" s="46"/>
      <c r="U139" s="46"/>
      <c r="V139" s="46"/>
      <c r="W139" s="46"/>
    </row>
    <row r="140">
      <c r="A140" s="55"/>
      <c r="B140" s="218"/>
      <c r="C140" s="55"/>
      <c r="D140" s="218"/>
      <c r="E140" s="126"/>
      <c r="F140" s="224"/>
      <c r="G140" s="126"/>
      <c r="H140" s="218"/>
      <c r="I140" s="223"/>
      <c r="J140" s="46"/>
      <c r="K140" s="46"/>
      <c r="L140" s="46"/>
      <c r="M140" s="46"/>
      <c r="N140" s="46"/>
      <c r="O140" s="46"/>
      <c r="P140" s="46"/>
      <c r="Q140" s="46"/>
      <c r="R140" s="46"/>
      <c r="S140" s="46"/>
      <c r="T140" s="46"/>
      <c r="U140" s="46"/>
      <c r="V140" s="46"/>
      <c r="W140" s="46"/>
    </row>
    <row r="141">
      <c r="A141" s="55"/>
      <c r="B141" s="218"/>
      <c r="C141" s="55"/>
      <c r="D141" s="218"/>
      <c r="E141" s="126"/>
      <c r="F141" s="224"/>
      <c r="G141" s="126"/>
      <c r="H141" s="218"/>
      <c r="I141" s="223"/>
      <c r="J141" s="46"/>
      <c r="K141" s="46"/>
      <c r="L141" s="46"/>
      <c r="M141" s="46"/>
      <c r="N141" s="46"/>
      <c r="O141" s="46"/>
      <c r="P141" s="46"/>
      <c r="Q141" s="46"/>
      <c r="R141" s="46"/>
      <c r="S141" s="46"/>
      <c r="T141" s="46"/>
      <c r="U141" s="46"/>
      <c r="V141" s="46"/>
      <c r="W141" s="46"/>
    </row>
    <row r="142">
      <c r="A142" s="55"/>
      <c r="B142" s="218"/>
      <c r="C142" s="55"/>
      <c r="D142" s="218"/>
      <c r="E142" s="126"/>
      <c r="F142" s="224"/>
      <c r="G142" s="126"/>
      <c r="H142" s="218"/>
      <c r="I142" s="223"/>
      <c r="J142" s="46"/>
      <c r="K142" s="46"/>
      <c r="L142" s="46"/>
      <c r="M142" s="46"/>
      <c r="N142" s="46"/>
      <c r="O142" s="46"/>
      <c r="P142" s="46"/>
      <c r="Q142" s="46"/>
      <c r="R142" s="46"/>
      <c r="S142" s="46"/>
      <c r="T142" s="46"/>
      <c r="U142" s="46"/>
      <c r="V142" s="46"/>
      <c r="W142" s="46"/>
    </row>
    <row r="143">
      <c r="A143" s="55"/>
      <c r="B143" s="218"/>
      <c r="C143" s="55"/>
      <c r="D143" s="218"/>
      <c r="E143" s="126"/>
      <c r="F143" s="224"/>
      <c r="G143" s="126"/>
      <c r="H143" s="218"/>
      <c r="I143" s="223"/>
      <c r="J143" s="46"/>
      <c r="K143" s="46"/>
      <c r="L143" s="46"/>
      <c r="M143" s="46"/>
      <c r="N143" s="46"/>
      <c r="O143" s="46"/>
      <c r="P143" s="46"/>
      <c r="Q143" s="46"/>
      <c r="R143" s="46"/>
      <c r="S143" s="46"/>
      <c r="T143" s="46"/>
      <c r="U143" s="46"/>
      <c r="V143" s="46"/>
      <c r="W143" s="46"/>
    </row>
    <row r="144">
      <c r="A144" s="55"/>
      <c r="B144" s="218"/>
      <c r="C144" s="55"/>
      <c r="D144" s="218"/>
      <c r="E144" s="126"/>
      <c r="F144" s="224"/>
      <c r="G144" s="126"/>
      <c r="H144" s="218"/>
      <c r="I144" s="223"/>
      <c r="J144" s="46"/>
      <c r="K144" s="46"/>
      <c r="L144" s="46"/>
      <c r="M144" s="46"/>
      <c r="N144" s="46"/>
      <c r="O144" s="46"/>
      <c r="P144" s="46"/>
      <c r="Q144" s="46"/>
      <c r="R144" s="46"/>
      <c r="S144" s="46"/>
      <c r="T144" s="46"/>
      <c r="U144" s="46"/>
      <c r="V144" s="46"/>
      <c r="W144" s="46"/>
    </row>
    <row r="145">
      <c r="A145" s="55"/>
      <c r="B145" s="218"/>
      <c r="C145" s="55"/>
      <c r="D145" s="218"/>
      <c r="E145" s="126"/>
      <c r="F145" s="224"/>
      <c r="G145" s="126"/>
      <c r="H145" s="218"/>
      <c r="I145" s="223"/>
      <c r="J145" s="46"/>
      <c r="K145" s="46"/>
      <c r="L145" s="46"/>
      <c r="M145" s="46"/>
      <c r="N145" s="46"/>
      <c r="O145" s="46"/>
      <c r="P145" s="46"/>
      <c r="Q145" s="46"/>
      <c r="R145" s="46"/>
      <c r="S145" s="46"/>
      <c r="T145" s="46"/>
      <c r="U145" s="46"/>
      <c r="V145" s="46"/>
      <c r="W145" s="46"/>
    </row>
    <row r="146">
      <c r="A146" s="55"/>
      <c r="B146" s="218"/>
      <c r="C146" s="55"/>
      <c r="D146" s="218"/>
      <c r="E146" s="126"/>
      <c r="F146" s="224"/>
      <c r="G146" s="126"/>
      <c r="H146" s="218"/>
      <c r="I146" s="223"/>
      <c r="J146" s="46"/>
      <c r="K146" s="46"/>
      <c r="L146" s="46"/>
      <c r="M146" s="46"/>
      <c r="N146" s="46"/>
      <c r="O146" s="46"/>
      <c r="P146" s="46"/>
      <c r="Q146" s="46"/>
      <c r="R146" s="46"/>
      <c r="S146" s="46"/>
      <c r="T146" s="46"/>
      <c r="U146" s="46"/>
      <c r="V146" s="46"/>
      <c r="W146" s="46"/>
    </row>
    <row r="147">
      <c r="A147" s="55"/>
      <c r="B147" s="218"/>
      <c r="C147" s="55"/>
      <c r="D147" s="218"/>
      <c r="E147" s="126"/>
      <c r="F147" s="224"/>
      <c r="G147" s="126"/>
      <c r="H147" s="218"/>
      <c r="I147" s="223"/>
      <c r="J147" s="46"/>
      <c r="K147" s="46"/>
      <c r="L147" s="46"/>
      <c r="M147" s="46"/>
      <c r="N147" s="46"/>
      <c r="O147" s="46"/>
      <c r="P147" s="46"/>
      <c r="Q147" s="46"/>
      <c r="R147" s="46"/>
      <c r="S147" s="46"/>
      <c r="T147" s="46"/>
      <c r="U147" s="46"/>
      <c r="V147" s="46"/>
      <c r="W147" s="46"/>
    </row>
    <row r="148">
      <c r="A148" s="55"/>
      <c r="B148" s="218"/>
      <c r="C148" s="55"/>
      <c r="D148" s="218"/>
      <c r="E148" s="126"/>
      <c r="F148" s="224"/>
      <c r="G148" s="126"/>
      <c r="H148" s="218"/>
      <c r="I148" s="223"/>
      <c r="J148" s="46"/>
      <c r="K148" s="46"/>
      <c r="L148" s="46"/>
      <c r="M148" s="46"/>
      <c r="N148" s="46"/>
      <c r="O148" s="46"/>
      <c r="P148" s="46"/>
      <c r="Q148" s="46"/>
      <c r="R148" s="46"/>
      <c r="S148" s="46"/>
      <c r="T148" s="46"/>
      <c r="U148" s="46"/>
      <c r="V148" s="46"/>
      <c r="W148" s="46"/>
    </row>
    <row r="149">
      <c r="A149" s="55"/>
      <c r="B149" s="218"/>
      <c r="C149" s="55"/>
      <c r="D149" s="218"/>
      <c r="E149" s="126"/>
      <c r="F149" s="224"/>
      <c r="G149" s="126"/>
      <c r="H149" s="218"/>
      <c r="I149" s="223"/>
      <c r="J149" s="46"/>
      <c r="K149" s="46"/>
      <c r="L149" s="46"/>
      <c r="M149" s="46"/>
      <c r="N149" s="46"/>
      <c r="O149" s="46"/>
      <c r="P149" s="46"/>
      <c r="Q149" s="46"/>
      <c r="R149" s="46"/>
      <c r="S149" s="46"/>
      <c r="T149" s="46"/>
      <c r="U149" s="46"/>
      <c r="V149" s="46"/>
      <c r="W149" s="46"/>
    </row>
    <row r="150">
      <c r="A150" s="55"/>
      <c r="B150" s="218"/>
      <c r="C150" s="55"/>
      <c r="D150" s="218"/>
      <c r="E150" s="126"/>
      <c r="F150" s="224"/>
      <c r="G150" s="126"/>
      <c r="H150" s="218"/>
      <c r="I150" s="223"/>
      <c r="J150" s="46"/>
      <c r="K150" s="46"/>
      <c r="L150" s="46"/>
      <c r="M150" s="46"/>
      <c r="N150" s="46"/>
      <c r="O150" s="46"/>
      <c r="P150" s="46"/>
      <c r="Q150" s="46"/>
      <c r="R150" s="46"/>
      <c r="S150" s="46"/>
      <c r="T150" s="46"/>
      <c r="U150" s="46"/>
      <c r="V150" s="46"/>
      <c r="W150" s="46"/>
    </row>
    <row r="151">
      <c r="A151" s="55"/>
      <c r="B151" s="218"/>
      <c r="C151" s="55"/>
      <c r="D151" s="218"/>
      <c r="E151" s="126"/>
      <c r="F151" s="224"/>
      <c r="G151" s="126"/>
      <c r="H151" s="218"/>
      <c r="I151" s="223"/>
      <c r="J151" s="46"/>
      <c r="K151" s="46"/>
      <c r="L151" s="46"/>
      <c r="M151" s="46"/>
      <c r="N151" s="46"/>
      <c r="O151" s="46"/>
      <c r="P151" s="46"/>
      <c r="Q151" s="46"/>
      <c r="R151" s="46"/>
      <c r="S151" s="46"/>
      <c r="T151" s="46"/>
      <c r="U151" s="46"/>
      <c r="V151" s="46"/>
      <c r="W151" s="46"/>
    </row>
    <row r="152">
      <c r="A152" s="55"/>
      <c r="B152" s="218"/>
      <c r="C152" s="55"/>
      <c r="D152" s="218"/>
      <c r="E152" s="126"/>
      <c r="F152" s="224"/>
      <c r="G152" s="126"/>
      <c r="H152" s="218"/>
      <c r="I152" s="223"/>
      <c r="J152" s="46"/>
      <c r="K152" s="46"/>
      <c r="L152" s="46"/>
      <c r="M152" s="46"/>
      <c r="N152" s="46"/>
      <c r="O152" s="46"/>
      <c r="P152" s="46"/>
      <c r="Q152" s="46"/>
      <c r="R152" s="46"/>
      <c r="S152" s="46"/>
      <c r="T152" s="46"/>
      <c r="U152" s="46"/>
      <c r="V152" s="46"/>
      <c r="W152" s="46"/>
    </row>
    <row r="153">
      <c r="A153" s="55"/>
      <c r="B153" s="218"/>
      <c r="C153" s="55"/>
      <c r="D153" s="218"/>
      <c r="E153" s="126"/>
      <c r="F153" s="224"/>
      <c r="G153" s="126"/>
      <c r="H153" s="218"/>
      <c r="I153" s="223"/>
      <c r="J153" s="46"/>
      <c r="K153" s="46"/>
      <c r="L153" s="46"/>
      <c r="M153" s="46"/>
      <c r="N153" s="46"/>
      <c r="O153" s="46"/>
      <c r="P153" s="46"/>
      <c r="Q153" s="46"/>
      <c r="R153" s="46"/>
      <c r="S153" s="46"/>
      <c r="T153" s="46"/>
      <c r="U153" s="46"/>
      <c r="V153" s="46"/>
      <c r="W153" s="46"/>
    </row>
    <row r="154">
      <c r="A154" s="55"/>
      <c r="B154" s="218"/>
      <c r="C154" s="55"/>
      <c r="D154" s="218"/>
      <c r="E154" s="126"/>
      <c r="F154" s="224"/>
      <c r="G154" s="126"/>
      <c r="H154" s="218"/>
      <c r="I154" s="223"/>
      <c r="J154" s="46"/>
      <c r="K154" s="46"/>
      <c r="L154" s="46"/>
      <c r="M154" s="46"/>
      <c r="N154" s="46"/>
      <c r="O154" s="46"/>
      <c r="P154" s="46"/>
      <c r="Q154" s="46"/>
      <c r="R154" s="46"/>
      <c r="S154" s="46"/>
      <c r="T154" s="46"/>
      <c r="U154" s="46"/>
      <c r="V154" s="46"/>
      <c r="W154" s="46"/>
    </row>
    <row r="155">
      <c r="A155" s="55"/>
      <c r="B155" s="218"/>
      <c r="C155" s="55"/>
      <c r="D155" s="218"/>
      <c r="E155" s="126"/>
      <c r="F155" s="224"/>
      <c r="G155" s="126"/>
      <c r="H155" s="218"/>
      <c r="I155" s="223"/>
      <c r="J155" s="46"/>
      <c r="K155" s="46"/>
      <c r="L155" s="46"/>
      <c r="M155" s="46"/>
      <c r="N155" s="46"/>
      <c r="O155" s="46"/>
      <c r="P155" s="46"/>
      <c r="Q155" s="46"/>
      <c r="R155" s="46"/>
      <c r="S155" s="46"/>
      <c r="T155" s="46"/>
      <c r="U155" s="46"/>
      <c r="V155" s="46"/>
      <c r="W155" s="46"/>
    </row>
    <row r="156">
      <c r="A156" s="55"/>
      <c r="B156" s="218"/>
      <c r="C156" s="55"/>
      <c r="D156" s="218"/>
      <c r="E156" s="126"/>
      <c r="F156" s="224"/>
      <c r="G156" s="126"/>
      <c r="H156" s="218"/>
      <c r="I156" s="223"/>
      <c r="J156" s="46"/>
      <c r="K156" s="46"/>
      <c r="L156" s="46"/>
      <c r="M156" s="46"/>
      <c r="N156" s="46"/>
      <c r="O156" s="46"/>
      <c r="P156" s="46"/>
      <c r="Q156" s="46"/>
      <c r="R156" s="46"/>
      <c r="S156" s="46"/>
      <c r="T156" s="46"/>
      <c r="U156" s="46"/>
      <c r="V156" s="46"/>
      <c r="W156" s="46"/>
    </row>
    <row r="157">
      <c r="A157" s="55"/>
      <c r="B157" s="218"/>
      <c r="C157" s="55"/>
      <c r="D157" s="218"/>
      <c r="E157" s="126"/>
      <c r="F157" s="224"/>
      <c r="G157" s="126"/>
      <c r="H157" s="218"/>
      <c r="I157" s="223"/>
      <c r="J157" s="46"/>
      <c r="K157" s="46"/>
      <c r="L157" s="46"/>
      <c r="M157" s="46"/>
      <c r="N157" s="46"/>
      <c r="O157" s="46"/>
      <c r="P157" s="46"/>
      <c r="Q157" s="46"/>
      <c r="R157" s="46"/>
      <c r="S157" s="46"/>
      <c r="T157" s="46"/>
      <c r="U157" s="46"/>
      <c r="V157" s="46"/>
      <c r="W157" s="46"/>
    </row>
    <row r="158">
      <c r="A158" s="55"/>
      <c r="B158" s="218"/>
      <c r="C158" s="55"/>
      <c r="D158" s="218"/>
      <c r="E158" s="126"/>
      <c r="F158" s="224"/>
      <c r="G158" s="126"/>
      <c r="H158" s="218"/>
      <c r="I158" s="223"/>
      <c r="J158" s="46"/>
      <c r="K158" s="46"/>
      <c r="L158" s="46"/>
      <c r="M158" s="46"/>
      <c r="N158" s="46"/>
      <c r="O158" s="46"/>
      <c r="P158" s="46"/>
      <c r="Q158" s="46"/>
      <c r="R158" s="46"/>
      <c r="S158" s="46"/>
      <c r="T158" s="46"/>
      <c r="U158" s="46"/>
      <c r="V158" s="46"/>
      <c r="W158" s="46"/>
    </row>
    <row r="159">
      <c r="A159" s="55"/>
      <c r="B159" s="218"/>
      <c r="C159" s="55"/>
      <c r="D159" s="218"/>
      <c r="E159" s="126"/>
      <c r="F159" s="224"/>
      <c r="G159" s="126"/>
      <c r="H159" s="218"/>
      <c r="I159" s="223"/>
      <c r="J159" s="46"/>
      <c r="K159" s="46"/>
      <c r="L159" s="46"/>
      <c r="M159" s="46"/>
      <c r="N159" s="46"/>
      <c r="O159" s="46"/>
      <c r="P159" s="46"/>
      <c r="Q159" s="46"/>
      <c r="R159" s="46"/>
      <c r="S159" s="46"/>
      <c r="T159" s="46"/>
      <c r="U159" s="46"/>
      <c r="V159" s="46"/>
      <c r="W159" s="46"/>
    </row>
    <row r="160">
      <c r="A160" s="55"/>
      <c r="B160" s="218"/>
      <c r="C160" s="55"/>
      <c r="D160" s="218"/>
      <c r="E160" s="126"/>
      <c r="F160" s="224"/>
      <c r="G160" s="126"/>
      <c r="H160" s="218"/>
      <c r="I160" s="223"/>
      <c r="J160" s="46"/>
      <c r="K160" s="46"/>
      <c r="L160" s="46"/>
      <c r="M160" s="46"/>
      <c r="N160" s="46"/>
      <c r="O160" s="46"/>
      <c r="P160" s="46"/>
      <c r="Q160" s="46"/>
      <c r="R160" s="46"/>
      <c r="S160" s="46"/>
      <c r="T160" s="46"/>
      <c r="U160" s="46"/>
      <c r="V160" s="46"/>
      <c r="W160" s="46"/>
    </row>
    <row r="161">
      <c r="A161" s="55"/>
      <c r="B161" s="218"/>
      <c r="C161" s="55"/>
      <c r="D161" s="218"/>
      <c r="E161" s="126"/>
      <c r="F161" s="224"/>
      <c r="G161" s="126"/>
      <c r="H161" s="218"/>
      <c r="I161" s="223"/>
      <c r="J161" s="46"/>
      <c r="K161" s="46"/>
      <c r="L161" s="46"/>
      <c r="M161" s="46"/>
      <c r="N161" s="46"/>
      <c r="O161" s="46"/>
      <c r="P161" s="46"/>
      <c r="Q161" s="46"/>
      <c r="R161" s="46"/>
      <c r="S161" s="46"/>
      <c r="T161" s="46"/>
      <c r="U161" s="46"/>
      <c r="V161" s="46"/>
      <c r="W161" s="46"/>
    </row>
    <row r="162">
      <c r="A162" s="55"/>
      <c r="B162" s="218"/>
      <c r="C162" s="55"/>
      <c r="D162" s="218"/>
      <c r="E162" s="126"/>
      <c r="F162" s="224"/>
      <c r="G162" s="126"/>
      <c r="H162" s="218"/>
      <c r="I162" s="223"/>
      <c r="J162" s="46"/>
      <c r="K162" s="46"/>
      <c r="L162" s="46"/>
      <c r="M162" s="46"/>
      <c r="N162" s="46"/>
      <c r="O162" s="46"/>
      <c r="P162" s="46"/>
      <c r="Q162" s="46"/>
      <c r="R162" s="46"/>
      <c r="S162" s="46"/>
      <c r="T162" s="46"/>
      <c r="U162" s="46"/>
      <c r="V162" s="46"/>
      <c r="W162" s="46"/>
    </row>
    <row r="163">
      <c r="A163" s="55"/>
      <c r="B163" s="218"/>
      <c r="C163" s="55"/>
      <c r="D163" s="218"/>
      <c r="E163" s="126"/>
      <c r="F163" s="224"/>
      <c r="G163" s="126"/>
      <c r="H163" s="218"/>
      <c r="I163" s="223"/>
      <c r="J163" s="46"/>
      <c r="K163" s="46"/>
      <c r="L163" s="46"/>
      <c r="M163" s="46"/>
      <c r="N163" s="46"/>
      <c r="O163" s="46"/>
      <c r="P163" s="46"/>
      <c r="Q163" s="46"/>
      <c r="R163" s="46"/>
      <c r="S163" s="46"/>
      <c r="T163" s="46"/>
      <c r="U163" s="46"/>
      <c r="V163" s="46"/>
      <c r="W163" s="46"/>
    </row>
    <row r="164">
      <c r="A164" s="55"/>
      <c r="B164" s="218"/>
      <c r="C164" s="55"/>
      <c r="D164" s="218"/>
      <c r="E164" s="126"/>
      <c r="F164" s="224"/>
      <c r="G164" s="126"/>
      <c r="H164" s="218"/>
      <c r="I164" s="223"/>
      <c r="J164" s="46"/>
      <c r="K164" s="46"/>
      <c r="L164" s="46"/>
      <c r="M164" s="46"/>
      <c r="N164" s="46"/>
      <c r="O164" s="46"/>
      <c r="P164" s="46"/>
      <c r="Q164" s="46"/>
      <c r="R164" s="46"/>
      <c r="S164" s="46"/>
      <c r="T164" s="46"/>
      <c r="U164" s="46"/>
      <c r="V164" s="46"/>
      <c r="W164" s="46"/>
    </row>
    <row r="165">
      <c r="A165" s="55"/>
      <c r="B165" s="218"/>
      <c r="C165" s="55"/>
      <c r="D165" s="218"/>
      <c r="E165" s="126"/>
      <c r="F165" s="224"/>
      <c r="G165" s="126"/>
      <c r="H165" s="218"/>
      <c r="I165" s="223"/>
      <c r="J165" s="46"/>
      <c r="K165" s="46"/>
      <c r="L165" s="46"/>
      <c r="M165" s="46"/>
      <c r="N165" s="46"/>
      <c r="O165" s="46"/>
      <c r="P165" s="46"/>
      <c r="Q165" s="46"/>
      <c r="R165" s="46"/>
      <c r="S165" s="46"/>
      <c r="T165" s="46"/>
      <c r="U165" s="46"/>
      <c r="V165" s="46"/>
      <c r="W165" s="46"/>
    </row>
    <row r="166">
      <c r="A166" s="55"/>
      <c r="B166" s="218"/>
      <c r="C166" s="55"/>
      <c r="D166" s="218"/>
      <c r="E166" s="126"/>
      <c r="F166" s="224"/>
      <c r="G166" s="126"/>
      <c r="H166" s="218"/>
      <c r="I166" s="223"/>
      <c r="J166" s="46"/>
      <c r="K166" s="46"/>
      <c r="L166" s="46"/>
      <c r="M166" s="46"/>
      <c r="N166" s="46"/>
      <c r="O166" s="46"/>
      <c r="P166" s="46"/>
      <c r="Q166" s="46"/>
      <c r="R166" s="46"/>
      <c r="S166" s="46"/>
      <c r="T166" s="46"/>
      <c r="U166" s="46"/>
      <c r="V166" s="46"/>
      <c r="W166" s="46"/>
    </row>
    <row r="167">
      <c r="A167" s="55"/>
      <c r="B167" s="218"/>
      <c r="C167" s="55"/>
      <c r="D167" s="218"/>
      <c r="E167" s="126"/>
      <c r="F167" s="224"/>
      <c r="G167" s="126"/>
      <c r="H167" s="218"/>
      <c r="I167" s="223"/>
      <c r="J167" s="46"/>
      <c r="K167" s="46"/>
      <c r="L167" s="46"/>
      <c r="M167" s="46"/>
      <c r="N167" s="46"/>
      <c r="O167" s="46"/>
      <c r="P167" s="46"/>
      <c r="Q167" s="46"/>
      <c r="R167" s="46"/>
      <c r="S167" s="46"/>
      <c r="T167" s="46"/>
      <c r="U167" s="46"/>
      <c r="V167" s="46"/>
      <c r="W167" s="46"/>
    </row>
    <row r="168">
      <c r="A168" s="55"/>
      <c r="B168" s="218"/>
      <c r="C168" s="55"/>
      <c r="D168" s="218"/>
      <c r="E168" s="126"/>
      <c r="F168" s="224"/>
      <c r="G168" s="126"/>
      <c r="H168" s="218"/>
      <c r="I168" s="223"/>
      <c r="J168" s="46"/>
      <c r="K168" s="46"/>
      <c r="L168" s="46"/>
      <c r="M168" s="46"/>
      <c r="N168" s="46"/>
      <c r="O168" s="46"/>
      <c r="P168" s="46"/>
      <c r="Q168" s="46"/>
      <c r="R168" s="46"/>
      <c r="S168" s="46"/>
      <c r="T168" s="46"/>
      <c r="U168" s="46"/>
      <c r="V168" s="46"/>
      <c r="W168" s="46"/>
    </row>
    <row r="169">
      <c r="A169" s="55"/>
      <c r="B169" s="218"/>
      <c r="C169" s="55"/>
      <c r="D169" s="218"/>
      <c r="E169" s="126"/>
      <c r="F169" s="224"/>
      <c r="G169" s="126"/>
      <c r="H169" s="218"/>
      <c r="I169" s="223"/>
      <c r="J169" s="46"/>
      <c r="K169" s="46"/>
      <c r="L169" s="46"/>
      <c r="M169" s="46"/>
      <c r="N169" s="46"/>
      <c r="O169" s="46"/>
      <c r="P169" s="46"/>
      <c r="Q169" s="46"/>
      <c r="R169" s="46"/>
      <c r="S169" s="46"/>
      <c r="T169" s="46"/>
      <c r="U169" s="46"/>
      <c r="V169" s="46"/>
      <c r="W169" s="46"/>
    </row>
    <row r="170">
      <c r="A170" s="55"/>
      <c r="B170" s="218"/>
      <c r="C170" s="55"/>
      <c r="D170" s="218"/>
      <c r="E170" s="126"/>
      <c r="F170" s="224"/>
      <c r="G170" s="126"/>
      <c r="H170" s="218"/>
      <c r="I170" s="223"/>
      <c r="J170" s="46"/>
      <c r="K170" s="46"/>
      <c r="L170" s="46"/>
      <c r="M170" s="46"/>
      <c r="N170" s="46"/>
      <c r="O170" s="46"/>
      <c r="P170" s="46"/>
      <c r="Q170" s="46"/>
      <c r="R170" s="46"/>
      <c r="S170" s="46"/>
      <c r="T170" s="46"/>
      <c r="U170" s="46"/>
      <c r="V170" s="46"/>
      <c r="W170" s="46"/>
    </row>
    <row r="171">
      <c r="A171" s="55"/>
      <c r="B171" s="218"/>
      <c r="C171" s="55"/>
      <c r="D171" s="218"/>
      <c r="E171" s="126"/>
      <c r="F171" s="224"/>
      <c r="G171" s="126"/>
      <c r="H171" s="218"/>
      <c r="I171" s="223"/>
      <c r="J171" s="46"/>
      <c r="K171" s="46"/>
      <c r="L171" s="46"/>
      <c r="M171" s="46"/>
      <c r="N171" s="46"/>
      <c r="O171" s="46"/>
      <c r="P171" s="46"/>
      <c r="Q171" s="46"/>
      <c r="R171" s="46"/>
      <c r="S171" s="46"/>
      <c r="T171" s="46"/>
      <c r="U171" s="46"/>
      <c r="V171" s="46"/>
      <c r="W171" s="46"/>
    </row>
    <row r="172">
      <c r="A172" s="55"/>
      <c r="B172" s="218"/>
      <c r="C172" s="55"/>
      <c r="D172" s="218"/>
      <c r="E172" s="126"/>
      <c r="F172" s="224"/>
      <c r="G172" s="126"/>
      <c r="H172" s="218"/>
      <c r="I172" s="223"/>
      <c r="J172" s="46"/>
      <c r="K172" s="46"/>
      <c r="L172" s="46"/>
      <c r="M172" s="46"/>
      <c r="N172" s="46"/>
      <c r="O172" s="46"/>
      <c r="P172" s="46"/>
      <c r="Q172" s="46"/>
      <c r="R172" s="46"/>
      <c r="S172" s="46"/>
      <c r="T172" s="46"/>
      <c r="U172" s="46"/>
      <c r="V172" s="46"/>
      <c r="W172" s="46"/>
    </row>
    <row r="173">
      <c r="A173" s="55"/>
      <c r="B173" s="218"/>
      <c r="C173" s="55"/>
      <c r="D173" s="218"/>
      <c r="E173" s="126"/>
      <c r="F173" s="224"/>
      <c r="G173" s="126"/>
      <c r="H173" s="218"/>
      <c r="I173" s="223"/>
      <c r="J173" s="46"/>
      <c r="K173" s="46"/>
      <c r="L173" s="46"/>
      <c r="M173" s="46"/>
      <c r="N173" s="46"/>
      <c r="O173" s="46"/>
      <c r="P173" s="46"/>
      <c r="Q173" s="46"/>
      <c r="R173" s="46"/>
      <c r="S173" s="46"/>
      <c r="T173" s="46"/>
      <c r="U173" s="46"/>
      <c r="V173" s="46"/>
      <c r="W173" s="46"/>
    </row>
    <row r="174">
      <c r="A174" s="55"/>
      <c r="B174" s="218"/>
      <c r="C174" s="55"/>
      <c r="D174" s="218"/>
      <c r="E174" s="126"/>
      <c r="F174" s="224"/>
      <c r="G174" s="126"/>
      <c r="H174" s="218"/>
      <c r="I174" s="223"/>
      <c r="J174" s="46"/>
      <c r="K174" s="46"/>
      <c r="L174" s="46"/>
      <c r="M174" s="46"/>
      <c r="N174" s="46"/>
      <c r="O174" s="46"/>
      <c r="P174" s="46"/>
      <c r="Q174" s="46"/>
      <c r="R174" s="46"/>
      <c r="S174" s="46"/>
      <c r="T174" s="46"/>
      <c r="U174" s="46"/>
      <c r="V174" s="46"/>
      <c r="W174" s="46"/>
    </row>
    <row r="175">
      <c r="A175" s="55"/>
      <c r="B175" s="218"/>
      <c r="C175" s="55"/>
      <c r="D175" s="218"/>
      <c r="E175" s="126"/>
      <c r="F175" s="224"/>
      <c r="G175" s="126"/>
      <c r="H175" s="218"/>
      <c r="I175" s="223"/>
      <c r="J175" s="46"/>
      <c r="K175" s="46"/>
      <c r="L175" s="46"/>
      <c r="M175" s="46"/>
      <c r="N175" s="46"/>
      <c r="O175" s="46"/>
      <c r="P175" s="46"/>
      <c r="Q175" s="46"/>
      <c r="R175" s="46"/>
      <c r="S175" s="46"/>
      <c r="T175" s="46"/>
      <c r="U175" s="46"/>
      <c r="V175" s="46"/>
      <c r="W175" s="46"/>
    </row>
    <row r="176">
      <c r="A176" s="55"/>
      <c r="B176" s="218"/>
      <c r="C176" s="55"/>
      <c r="D176" s="218"/>
      <c r="E176" s="126"/>
      <c r="F176" s="224"/>
      <c r="G176" s="126"/>
      <c r="H176" s="218"/>
      <c r="I176" s="223"/>
      <c r="J176" s="46"/>
      <c r="K176" s="46"/>
      <c r="L176" s="46"/>
      <c r="M176" s="46"/>
      <c r="N176" s="46"/>
      <c r="O176" s="46"/>
      <c r="P176" s="46"/>
      <c r="Q176" s="46"/>
      <c r="R176" s="46"/>
      <c r="S176" s="46"/>
      <c r="T176" s="46"/>
      <c r="U176" s="46"/>
      <c r="V176" s="46"/>
      <c r="W176" s="46"/>
    </row>
    <row r="177">
      <c r="A177" s="55"/>
      <c r="B177" s="218"/>
      <c r="C177" s="55"/>
      <c r="D177" s="218"/>
      <c r="E177" s="126"/>
      <c r="F177" s="224"/>
      <c r="G177" s="126"/>
      <c r="H177" s="218"/>
      <c r="I177" s="223"/>
      <c r="J177" s="46"/>
      <c r="K177" s="46"/>
      <c r="L177" s="46"/>
      <c r="M177" s="46"/>
      <c r="N177" s="46"/>
      <c r="O177" s="46"/>
      <c r="P177" s="46"/>
      <c r="Q177" s="46"/>
      <c r="R177" s="46"/>
      <c r="S177" s="46"/>
      <c r="T177" s="46"/>
      <c r="U177" s="46"/>
      <c r="V177" s="46"/>
      <c r="W177" s="46"/>
    </row>
    <row r="178">
      <c r="A178" s="55"/>
      <c r="B178" s="218"/>
      <c r="C178" s="55"/>
      <c r="D178" s="218"/>
      <c r="E178" s="126"/>
      <c r="F178" s="224"/>
      <c r="G178" s="126"/>
      <c r="H178" s="218"/>
      <c r="I178" s="223"/>
      <c r="J178" s="46"/>
      <c r="K178" s="46"/>
      <c r="L178" s="46"/>
      <c r="M178" s="46"/>
      <c r="N178" s="46"/>
      <c r="O178" s="46"/>
      <c r="P178" s="46"/>
      <c r="Q178" s="46"/>
      <c r="R178" s="46"/>
      <c r="S178" s="46"/>
      <c r="T178" s="46"/>
      <c r="U178" s="46"/>
      <c r="V178" s="46"/>
      <c r="W178" s="46"/>
    </row>
    <row r="179">
      <c r="A179" s="55"/>
      <c r="B179" s="218"/>
      <c r="C179" s="55"/>
      <c r="D179" s="218"/>
      <c r="E179" s="126"/>
      <c r="F179" s="224"/>
      <c r="G179" s="126"/>
      <c r="H179" s="218"/>
      <c r="I179" s="223"/>
      <c r="J179" s="46"/>
      <c r="K179" s="46"/>
      <c r="L179" s="46"/>
      <c r="M179" s="46"/>
      <c r="N179" s="46"/>
      <c r="O179" s="46"/>
      <c r="P179" s="46"/>
      <c r="Q179" s="46"/>
      <c r="R179" s="46"/>
      <c r="S179" s="46"/>
      <c r="T179" s="46"/>
      <c r="U179" s="46"/>
      <c r="V179" s="46"/>
      <c r="W179" s="46"/>
    </row>
    <row r="180">
      <c r="A180" s="55"/>
      <c r="B180" s="218"/>
      <c r="C180" s="55"/>
      <c r="D180" s="218"/>
      <c r="E180" s="126"/>
      <c r="F180" s="224"/>
      <c r="G180" s="126"/>
      <c r="H180" s="218"/>
      <c r="I180" s="223"/>
      <c r="J180" s="46"/>
      <c r="K180" s="46"/>
      <c r="L180" s="46"/>
      <c r="M180" s="46"/>
      <c r="N180" s="46"/>
      <c r="O180" s="46"/>
      <c r="P180" s="46"/>
      <c r="Q180" s="46"/>
      <c r="R180" s="46"/>
      <c r="S180" s="46"/>
      <c r="T180" s="46"/>
      <c r="U180" s="46"/>
      <c r="V180" s="46"/>
      <c r="W180" s="46"/>
    </row>
    <row r="181">
      <c r="A181" s="55"/>
      <c r="B181" s="218"/>
      <c r="C181" s="55"/>
      <c r="D181" s="218"/>
      <c r="E181" s="126"/>
      <c r="F181" s="224"/>
      <c r="G181" s="126"/>
      <c r="H181" s="218"/>
      <c r="I181" s="223"/>
      <c r="J181" s="46"/>
      <c r="K181" s="46"/>
      <c r="L181" s="46"/>
      <c r="M181" s="46"/>
      <c r="N181" s="46"/>
      <c r="O181" s="46"/>
      <c r="P181" s="46"/>
      <c r="Q181" s="46"/>
      <c r="R181" s="46"/>
      <c r="S181" s="46"/>
      <c r="T181" s="46"/>
      <c r="U181" s="46"/>
      <c r="V181" s="46"/>
      <c r="W181" s="46"/>
    </row>
    <row r="182">
      <c r="A182" s="55"/>
      <c r="B182" s="218"/>
      <c r="C182" s="55"/>
      <c r="D182" s="218"/>
      <c r="E182" s="126"/>
      <c r="F182" s="224"/>
      <c r="G182" s="126"/>
      <c r="H182" s="218"/>
      <c r="I182" s="223"/>
      <c r="J182" s="46"/>
      <c r="K182" s="46"/>
      <c r="L182" s="46"/>
      <c r="M182" s="46"/>
      <c r="N182" s="46"/>
      <c r="O182" s="46"/>
      <c r="P182" s="46"/>
      <c r="Q182" s="46"/>
      <c r="R182" s="46"/>
      <c r="S182" s="46"/>
      <c r="T182" s="46"/>
      <c r="U182" s="46"/>
      <c r="V182" s="46"/>
      <c r="W182" s="46"/>
    </row>
    <row r="183">
      <c r="A183" s="55"/>
      <c r="B183" s="218"/>
      <c r="C183" s="55"/>
      <c r="D183" s="218"/>
      <c r="E183" s="126"/>
      <c r="F183" s="224"/>
      <c r="G183" s="126"/>
      <c r="H183" s="218"/>
      <c r="I183" s="223"/>
      <c r="J183" s="46"/>
      <c r="K183" s="46"/>
      <c r="L183" s="46"/>
      <c r="M183" s="46"/>
      <c r="N183" s="46"/>
      <c r="O183" s="46"/>
      <c r="P183" s="46"/>
      <c r="Q183" s="46"/>
      <c r="R183" s="46"/>
      <c r="S183" s="46"/>
      <c r="T183" s="46"/>
      <c r="U183" s="46"/>
      <c r="V183" s="46"/>
      <c r="W183" s="46"/>
    </row>
    <row r="184">
      <c r="A184" s="55"/>
      <c r="B184" s="218"/>
      <c r="C184" s="55"/>
      <c r="D184" s="218"/>
      <c r="E184" s="126"/>
      <c r="F184" s="224"/>
      <c r="G184" s="126"/>
      <c r="H184" s="218"/>
      <c r="I184" s="223"/>
      <c r="J184" s="46"/>
      <c r="K184" s="46"/>
      <c r="L184" s="46"/>
      <c r="M184" s="46"/>
      <c r="N184" s="46"/>
      <c r="O184" s="46"/>
      <c r="P184" s="46"/>
      <c r="Q184" s="46"/>
      <c r="R184" s="46"/>
      <c r="S184" s="46"/>
      <c r="T184" s="46"/>
      <c r="U184" s="46"/>
      <c r="V184" s="46"/>
      <c r="W184" s="46"/>
    </row>
    <row r="185">
      <c r="A185" s="55"/>
      <c r="B185" s="218"/>
      <c r="C185" s="55"/>
      <c r="D185" s="218"/>
      <c r="E185" s="126"/>
      <c r="F185" s="224"/>
      <c r="G185" s="126"/>
      <c r="H185" s="218"/>
      <c r="I185" s="223"/>
      <c r="J185" s="46"/>
      <c r="K185" s="46"/>
      <c r="L185" s="46"/>
      <c r="M185" s="46"/>
      <c r="N185" s="46"/>
      <c r="O185" s="46"/>
      <c r="P185" s="46"/>
      <c r="Q185" s="46"/>
      <c r="R185" s="46"/>
      <c r="S185" s="46"/>
      <c r="T185" s="46"/>
      <c r="U185" s="46"/>
      <c r="V185" s="46"/>
      <c r="W185" s="46"/>
    </row>
    <row r="186">
      <c r="A186" s="55"/>
      <c r="B186" s="218"/>
      <c r="C186" s="55"/>
      <c r="D186" s="218"/>
      <c r="E186" s="126"/>
      <c r="F186" s="224"/>
      <c r="G186" s="126"/>
      <c r="H186" s="218"/>
      <c r="I186" s="223"/>
      <c r="J186" s="46"/>
      <c r="K186" s="46"/>
      <c r="L186" s="46"/>
      <c r="M186" s="46"/>
      <c r="N186" s="46"/>
      <c r="O186" s="46"/>
      <c r="P186" s="46"/>
      <c r="Q186" s="46"/>
      <c r="R186" s="46"/>
      <c r="S186" s="46"/>
      <c r="T186" s="46"/>
      <c r="U186" s="46"/>
      <c r="V186" s="46"/>
      <c r="W186" s="46"/>
    </row>
    <row r="187">
      <c r="A187" s="55"/>
      <c r="B187" s="218"/>
      <c r="C187" s="55"/>
      <c r="D187" s="218"/>
      <c r="E187" s="126"/>
      <c r="F187" s="224"/>
      <c r="G187" s="126"/>
      <c r="H187" s="218"/>
      <c r="I187" s="223"/>
      <c r="J187" s="46"/>
      <c r="K187" s="46"/>
      <c r="L187" s="46"/>
      <c r="M187" s="46"/>
      <c r="N187" s="46"/>
      <c r="O187" s="46"/>
      <c r="P187" s="46"/>
      <c r="Q187" s="46"/>
      <c r="R187" s="46"/>
      <c r="S187" s="46"/>
      <c r="T187" s="46"/>
      <c r="U187" s="46"/>
      <c r="V187" s="46"/>
      <c r="W187" s="46"/>
    </row>
    <row r="188">
      <c r="A188" s="55"/>
      <c r="B188" s="218"/>
      <c r="C188" s="55"/>
      <c r="D188" s="218"/>
      <c r="E188" s="126"/>
      <c r="F188" s="224"/>
      <c r="G188" s="126"/>
      <c r="H188" s="218"/>
      <c r="I188" s="223"/>
      <c r="J188" s="46"/>
      <c r="K188" s="46"/>
      <c r="L188" s="46"/>
      <c r="M188" s="46"/>
      <c r="N188" s="46"/>
      <c r="O188" s="46"/>
      <c r="P188" s="46"/>
      <c r="Q188" s="46"/>
      <c r="R188" s="46"/>
      <c r="S188" s="46"/>
      <c r="T188" s="46"/>
      <c r="U188" s="46"/>
      <c r="V188" s="46"/>
      <c r="W188" s="46"/>
    </row>
    <row r="189">
      <c r="A189" s="55"/>
      <c r="B189" s="218"/>
      <c r="C189" s="55"/>
      <c r="D189" s="218"/>
      <c r="E189" s="126"/>
      <c r="F189" s="224"/>
      <c r="G189" s="126"/>
      <c r="H189" s="218"/>
      <c r="I189" s="223"/>
      <c r="J189" s="46"/>
      <c r="K189" s="46"/>
      <c r="L189" s="46"/>
      <c r="M189" s="46"/>
      <c r="N189" s="46"/>
      <c r="O189" s="46"/>
      <c r="P189" s="46"/>
      <c r="Q189" s="46"/>
      <c r="R189" s="46"/>
      <c r="S189" s="46"/>
      <c r="T189" s="46"/>
      <c r="U189" s="46"/>
      <c r="V189" s="46"/>
      <c r="W189" s="46"/>
    </row>
    <row r="190">
      <c r="A190" s="55"/>
      <c r="B190" s="218"/>
      <c r="C190" s="55"/>
      <c r="D190" s="218"/>
      <c r="E190" s="126"/>
      <c r="F190" s="224"/>
      <c r="G190" s="126"/>
      <c r="H190" s="218"/>
      <c r="I190" s="223"/>
      <c r="J190" s="46"/>
      <c r="K190" s="46"/>
      <c r="L190" s="46"/>
      <c r="M190" s="46"/>
      <c r="N190" s="46"/>
      <c r="O190" s="46"/>
      <c r="P190" s="46"/>
      <c r="Q190" s="46"/>
      <c r="R190" s="46"/>
      <c r="S190" s="46"/>
      <c r="T190" s="46"/>
      <c r="U190" s="46"/>
      <c r="V190" s="46"/>
      <c r="W190" s="46"/>
    </row>
    <row r="191">
      <c r="A191" s="55"/>
      <c r="B191" s="218"/>
      <c r="C191" s="55"/>
      <c r="D191" s="218"/>
      <c r="E191" s="126"/>
      <c r="F191" s="224"/>
      <c r="G191" s="126"/>
      <c r="H191" s="218"/>
      <c r="I191" s="223"/>
      <c r="J191" s="46"/>
      <c r="K191" s="46"/>
      <c r="L191" s="46"/>
      <c r="M191" s="46"/>
      <c r="N191" s="46"/>
      <c r="O191" s="46"/>
      <c r="P191" s="46"/>
      <c r="Q191" s="46"/>
      <c r="R191" s="46"/>
      <c r="S191" s="46"/>
      <c r="T191" s="46"/>
      <c r="U191" s="46"/>
      <c r="V191" s="46"/>
      <c r="W191" s="46"/>
    </row>
    <row r="192">
      <c r="A192" s="55"/>
      <c r="B192" s="218"/>
      <c r="C192" s="55"/>
      <c r="D192" s="218"/>
      <c r="E192" s="126"/>
      <c r="F192" s="224"/>
      <c r="G192" s="126"/>
      <c r="H192" s="218"/>
      <c r="I192" s="223"/>
      <c r="J192" s="46"/>
      <c r="K192" s="46"/>
      <c r="L192" s="46"/>
      <c r="M192" s="46"/>
      <c r="N192" s="46"/>
      <c r="O192" s="46"/>
      <c r="P192" s="46"/>
      <c r="Q192" s="46"/>
      <c r="R192" s="46"/>
      <c r="S192" s="46"/>
      <c r="T192" s="46"/>
      <c r="U192" s="46"/>
      <c r="V192" s="46"/>
      <c r="W192" s="46"/>
    </row>
    <row r="193">
      <c r="A193" s="55"/>
      <c r="B193" s="218"/>
      <c r="C193" s="55"/>
      <c r="D193" s="218"/>
      <c r="E193" s="126"/>
      <c r="F193" s="224"/>
      <c r="G193" s="126"/>
      <c r="H193" s="218"/>
      <c r="I193" s="223"/>
      <c r="J193" s="46"/>
      <c r="K193" s="46"/>
      <c r="L193" s="46"/>
      <c r="M193" s="46"/>
      <c r="N193" s="46"/>
      <c r="O193" s="46"/>
      <c r="P193" s="46"/>
      <c r="Q193" s="46"/>
      <c r="R193" s="46"/>
      <c r="S193" s="46"/>
      <c r="T193" s="46"/>
      <c r="U193" s="46"/>
      <c r="V193" s="46"/>
      <c r="W193" s="46"/>
    </row>
    <row r="194">
      <c r="A194" s="55"/>
      <c r="B194" s="218"/>
      <c r="C194" s="55"/>
      <c r="D194" s="218"/>
      <c r="E194" s="126"/>
      <c r="F194" s="224"/>
      <c r="G194" s="126"/>
      <c r="H194" s="218"/>
      <c r="I194" s="223"/>
      <c r="J194" s="46"/>
      <c r="K194" s="46"/>
      <c r="L194" s="46"/>
      <c r="M194" s="46"/>
      <c r="N194" s="46"/>
      <c r="O194" s="46"/>
      <c r="P194" s="46"/>
      <c r="Q194" s="46"/>
      <c r="R194" s="46"/>
      <c r="S194" s="46"/>
      <c r="T194" s="46"/>
      <c r="U194" s="46"/>
      <c r="V194" s="46"/>
      <c r="W194" s="46"/>
    </row>
    <row r="195">
      <c r="A195" s="55"/>
      <c r="B195" s="218"/>
      <c r="C195" s="55"/>
      <c r="D195" s="218"/>
      <c r="E195" s="126"/>
      <c r="F195" s="224"/>
      <c r="G195" s="126"/>
      <c r="H195" s="218"/>
      <c r="I195" s="223"/>
      <c r="J195" s="46"/>
      <c r="K195" s="46"/>
      <c r="L195" s="46"/>
      <c r="M195" s="46"/>
      <c r="N195" s="46"/>
      <c r="O195" s="46"/>
      <c r="P195" s="46"/>
      <c r="Q195" s="46"/>
      <c r="R195" s="46"/>
      <c r="S195" s="46"/>
      <c r="T195" s="46"/>
      <c r="U195" s="46"/>
      <c r="V195" s="46"/>
      <c r="W195" s="46"/>
    </row>
    <row r="196">
      <c r="A196" s="55"/>
      <c r="B196" s="218"/>
      <c r="C196" s="55"/>
      <c r="D196" s="218"/>
      <c r="E196" s="126"/>
      <c r="F196" s="224"/>
      <c r="G196" s="126"/>
      <c r="H196" s="218"/>
      <c r="I196" s="223"/>
      <c r="J196" s="46"/>
      <c r="K196" s="46"/>
      <c r="L196" s="46"/>
      <c r="M196" s="46"/>
      <c r="N196" s="46"/>
      <c r="O196" s="46"/>
      <c r="P196" s="46"/>
      <c r="Q196" s="46"/>
      <c r="R196" s="46"/>
      <c r="S196" s="46"/>
      <c r="T196" s="46"/>
      <c r="U196" s="46"/>
      <c r="V196" s="46"/>
      <c r="W196" s="46"/>
    </row>
    <row r="197">
      <c r="A197" s="55"/>
      <c r="B197" s="218"/>
      <c r="C197" s="55"/>
      <c r="D197" s="218"/>
      <c r="E197" s="126"/>
      <c r="F197" s="224"/>
      <c r="G197" s="126"/>
      <c r="H197" s="218"/>
      <c r="I197" s="223"/>
      <c r="J197" s="46"/>
      <c r="K197" s="46"/>
      <c r="L197" s="46"/>
      <c r="M197" s="46"/>
      <c r="N197" s="46"/>
      <c r="O197" s="46"/>
      <c r="P197" s="46"/>
      <c r="Q197" s="46"/>
      <c r="R197" s="46"/>
      <c r="S197" s="46"/>
      <c r="T197" s="46"/>
      <c r="U197" s="46"/>
      <c r="V197" s="46"/>
      <c r="W197" s="46"/>
    </row>
    <row r="198">
      <c r="A198" s="55"/>
      <c r="B198" s="218"/>
      <c r="C198" s="55"/>
      <c r="D198" s="218"/>
      <c r="E198" s="126"/>
      <c r="F198" s="224"/>
      <c r="G198" s="126"/>
      <c r="H198" s="218"/>
      <c r="I198" s="223"/>
      <c r="J198" s="46"/>
      <c r="K198" s="46"/>
      <c r="L198" s="46"/>
      <c r="M198" s="46"/>
      <c r="N198" s="46"/>
      <c r="O198" s="46"/>
      <c r="P198" s="46"/>
      <c r="Q198" s="46"/>
      <c r="R198" s="46"/>
      <c r="S198" s="46"/>
      <c r="T198" s="46"/>
      <c r="U198" s="46"/>
      <c r="V198" s="46"/>
      <c r="W198" s="46"/>
    </row>
    <row r="199">
      <c r="A199" s="55"/>
      <c r="B199" s="218"/>
      <c r="C199" s="55"/>
      <c r="D199" s="218"/>
      <c r="E199" s="126"/>
      <c r="F199" s="224"/>
      <c r="G199" s="126"/>
      <c r="H199" s="218"/>
      <c r="I199" s="223"/>
      <c r="J199" s="46"/>
      <c r="K199" s="46"/>
      <c r="L199" s="46"/>
      <c r="M199" s="46"/>
      <c r="N199" s="46"/>
      <c r="O199" s="46"/>
      <c r="P199" s="46"/>
      <c r="Q199" s="46"/>
      <c r="R199" s="46"/>
      <c r="S199" s="46"/>
      <c r="T199" s="46"/>
      <c r="U199" s="46"/>
      <c r="V199" s="46"/>
      <c r="W199" s="46"/>
    </row>
    <row r="200">
      <c r="A200" s="55"/>
      <c r="B200" s="218"/>
      <c r="C200" s="55"/>
      <c r="D200" s="218"/>
      <c r="E200" s="126"/>
      <c r="F200" s="224"/>
      <c r="G200" s="126"/>
      <c r="H200" s="218"/>
      <c r="I200" s="223"/>
      <c r="J200" s="46"/>
      <c r="K200" s="46"/>
      <c r="L200" s="46"/>
      <c r="M200" s="46"/>
      <c r="N200" s="46"/>
      <c r="O200" s="46"/>
      <c r="P200" s="46"/>
      <c r="Q200" s="46"/>
      <c r="R200" s="46"/>
      <c r="S200" s="46"/>
      <c r="T200" s="46"/>
      <c r="U200" s="46"/>
      <c r="V200" s="46"/>
      <c r="W200" s="46"/>
    </row>
    <row r="201">
      <c r="A201" s="55"/>
      <c r="B201" s="218"/>
      <c r="C201" s="55"/>
      <c r="D201" s="218"/>
      <c r="E201" s="126"/>
      <c r="F201" s="224"/>
      <c r="G201" s="126"/>
      <c r="H201" s="218"/>
      <c r="I201" s="223"/>
      <c r="J201" s="46"/>
      <c r="K201" s="46"/>
      <c r="L201" s="46"/>
      <c r="M201" s="46"/>
      <c r="N201" s="46"/>
      <c r="O201" s="46"/>
      <c r="P201" s="46"/>
      <c r="Q201" s="46"/>
      <c r="R201" s="46"/>
      <c r="S201" s="46"/>
      <c r="T201" s="46"/>
      <c r="U201" s="46"/>
      <c r="V201" s="46"/>
      <c r="W201" s="46"/>
    </row>
    <row r="202">
      <c r="A202" s="55"/>
      <c r="B202" s="218"/>
      <c r="C202" s="55"/>
      <c r="D202" s="218"/>
      <c r="E202" s="126"/>
      <c r="F202" s="224"/>
      <c r="G202" s="126"/>
      <c r="H202" s="218"/>
      <c r="I202" s="223"/>
      <c r="J202" s="46"/>
      <c r="K202" s="46"/>
      <c r="L202" s="46"/>
      <c r="M202" s="46"/>
      <c r="N202" s="46"/>
      <c r="O202" s="46"/>
      <c r="P202" s="46"/>
      <c r="Q202" s="46"/>
      <c r="R202" s="46"/>
      <c r="S202" s="46"/>
      <c r="T202" s="46"/>
      <c r="U202" s="46"/>
      <c r="V202" s="46"/>
      <c r="W202" s="46"/>
    </row>
    <row r="203">
      <c r="A203" s="55"/>
      <c r="B203" s="218"/>
      <c r="C203" s="55"/>
      <c r="D203" s="218"/>
      <c r="E203" s="126"/>
      <c r="F203" s="224"/>
      <c r="G203" s="126"/>
      <c r="H203" s="218"/>
      <c r="I203" s="223"/>
      <c r="J203" s="46"/>
      <c r="K203" s="46"/>
      <c r="L203" s="46"/>
      <c r="M203" s="46"/>
      <c r="N203" s="46"/>
      <c r="O203" s="46"/>
      <c r="P203" s="46"/>
      <c r="Q203" s="46"/>
      <c r="R203" s="46"/>
      <c r="S203" s="46"/>
      <c r="T203" s="46"/>
      <c r="U203" s="46"/>
      <c r="V203" s="46"/>
      <c r="W203" s="46"/>
    </row>
    <row r="204">
      <c r="A204" s="55"/>
      <c r="B204" s="218"/>
      <c r="C204" s="55"/>
      <c r="D204" s="218"/>
      <c r="E204" s="126"/>
      <c r="F204" s="224"/>
      <c r="G204" s="126"/>
      <c r="H204" s="218"/>
      <c r="I204" s="223"/>
      <c r="J204" s="46"/>
      <c r="K204" s="46"/>
      <c r="L204" s="46"/>
      <c r="M204" s="46"/>
      <c r="N204" s="46"/>
      <c r="O204" s="46"/>
      <c r="P204" s="46"/>
      <c r="Q204" s="46"/>
      <c r="R204" s="46"/>
      <c r="S204" s="46"/>
      <c r="T204" s="46"/>
      <c r="U204" s="46"/>
      <c r="V204" s="46"/>
      <c r="W204" s="46"/>
    </row>
    <row r="205">
      <c r="A205" s="55"/>
      <c r="B205" s="218"/>
      <c r="C205" s="55"/>
      <c r="D205" s="218"/>
      <c r="E205" s="126"/>
      <c r="F205" s="224"/>
      <c r="G205" s="126"/>
      <c r="H205" s="218"/>
      <c r="I205" s="223"/>
      <c r="J205" s="46"/>
      <c r="K205" s="46"/>
      <c r="L205" s="46"/>
      <c r="M205" s="46"/>
      <c r="N205" s="46"/>
      <c r="O205" s="46"/>
      <c r="P205" s="46"/>
      <c r="Q205" s="46"/>
      <c r="R205" s="46"/>
      <c r="S205" s="46"/>
      <c r="T205" s="46"/>
      <c r="U205" s="46"/>
      <c r="V205" s="46"/>
      <c r="W205" s="46"/>
    </row>
    <row r="206">
      <c r="A206" s="55"/>
      <c r="B206" s="218"/>
      <c r="C206" s="55"/>
      <c r="D206" s="218"/>
      <c r="E206" s="126"/>
      <c r="F206" s="224"/>
      <c r="G206" s="126"/>
      <c r="H206" s="218"/>
      <c r="I206" s="223"/>
      <c r="J206" s="46"/>
      <c r="K206" s="46"/>
      <c r="L206" s="46"/>
      <c r="M206" s="46"/>
      <c r="N206" s="46"/>
      <c r="O206" s="46"/>
      <c r="P206" s="46"/>
      <c r="Q206" s="46"/>
      <c r="R206" s="46"/>
      <c r="S206" s="46"/>
      <c r="T206" s="46"/>
      <c r="U206" s="46"/>
      <c r="V206" s="46"/>
      <c r="W206" s="46"/>
    </row>
    <row r="207">
      <c r="A207" s="55"/>
      <c r="B207" s="218"/>
      <c r="C207" s="55"/>
      <c r="D207" s="218"/>
      <c r="E207" s="126"/>
      <c r="F207" s="224"/>
      <c r="G207" s="126"/>
      <c r="H207" s="218"/>
      <c r="I207" s="223"/>
      <c r="J207" s="46"/>
      <c r="K207" s="46"/>
      <c r="L207" s="46"/>
      <c r="M207" s="46"/>
      <c r="N207" s="46"/>
      <c r="O207" s="46"/>
      <c r="P207" s="46"/>
      <c r="Q207" s="46"/>
      <c r="R207" s="46"/>
      <c r="S207" s="46"/>
      <c r="T207" s="46"/>
      <c r="U207" s="46"/>
      <c r="V207" s="46"/>
      <c r="W207" s="46"/>
    </row>
    <row r="208">
      <c r="A208" s="55"/>
      <c r="B208" s="218"/>
      <c r="C208" s="55"/>
      <c r="D208" s="218"/>
      <c r="E208" s="126"/>
      <c r="F208" s="224"/>
      <c r="G208" s="126"/>
      <c r="H208" s="218"/>
      <c r="I208" s="223"/>
      <c r="J208" s="46"/>
      <c r="K208" s="46"/>
      <c r="L208" s="46"/>
      <c r="M208" s="46"/>
      <c r="N208" s="46"/>
      <c r="O208" s="46"/>
      <c r="P208" s="46"/>
      <c r="Q208" s="46"/>
      <c r="R208" s="46"/>
      <c r="S208" s="46"/>
      <c r="T208" s="46"/>
      <c r="U208" s="46"/>
      <c r="V208" s="46"/>
      <c r="W208" s="46"/>
    </row>
    <row r="209">
      <c r="A209" s="55"/>
      <c r="B209" s="218"/>
      <c r="C209" s="55"/>
      <c r="D209" s="218"/>
      <c r="E209" s="126"/>
      <c r="F209" s="224"/>
      <c r="G209" s="126"/>
      <c r="H209" s="218"/>
      <c r="I209" s="223"/>
      <c r="J209" s="46"/>
      <c r="K209" s="46"/>
      <c r="L209" s="46"/>
      <c r="M209" s="46"/>
      <c r="N209" s="46"/>
      <c r="O209" s="46"/>
      <c r="P209" s="46"/>
      <c r="Q209" s="46"/>
      <c r="R209" s="46"/>
      <c r="S209" s="46"/>
      <c r="T209" s="46"/>
      <c r="U209" s="46"/>
      <c r="V209" s="46"/>
      <c r="W209" s="46"/>
    </row>
    <row r="210">
      <c r="A210" s="55"/>
      <c r="B210" s="218"/>
      <c r="C210" s="55"/>
      <c r="D210" s="218"/>
      <c r="E210" s="126"/>
      <c r="F210" s="224"/>
      <c r="G210" s="126"/>
      <c r="H210" s="218"/>
      <c r="I210" s="223"/>
      <c r="J210" s="46"/>
      <c r="K210" s="46"/>
      <c r="L210" s="46"/>
      <c r="M210" s="46"/>
      <c r="N210" s="46"/>
      <c r="O210" s="46"/>
      <c r="P210" s="46"/>
      <c r="Q210" s="46"/>
      <c r="R210" s="46"/>
      <c r="S210" s="46"/>
      <c r="T210" s="46"/>
      <c r="U210" s="46"/>
      <c r="V210" s="46"/>
      <c r="W210" s="46"/>
    </row>
    <row r="211">
      <c r="A211" s="55"/>
      <c r="B211" s="218"/>
      <c r="C211" s="55"/>
      <c r="D211" s="218"/>
      <c r="E211" s="126"/>
      <c r="F211" s="224"/>
      <c r="G211" s="126"/>
      <c r="H211" s="218"/>
      <c r="I211" s="223"/>
      <c r="J211" s="46"/>
      <c r="K211" s="46"/>
      <c r="L211" s="46"/>
      <c r="M211" s="46"/>
      <c r="N211" s="46"/>
      <c r="O211" s="46"/>
      <c r="P211" s="46"/>
      <c r="Q211" s="46"/>
      <c r="R211" s="46"/>
      <c r="S211" s="46"/>
      <c r="T211" s="46"/>
      <c r="U211" s="46"/>
      <c r="V211" s="46"/>
      <c r="W211" s="46"/>
    </row>
    <row r="212">
      <c r="A212" s="55"/>
      <c r="B212" s="218"/>
      <c r="C212" s="55"/>
      <c r="D212" s="218"/>
      <c r="E212" s="126"/>
      <c r="F212" s="224"/>
      <c r="G212" s="126"/>
      <c r="H212" s="218"/>
      <c r="I212" s="223"/>
      <c r="J212" s="46"/>
      <c r="K212" s="46"/>
      <c r="L212" s="46"/>
      <c r="M212" s="46"/>
      <c r="N212" s="46"/>
      <c r="O212" s="46"/>
      <c r="P212" s="46"/>
      <c r="Q212" s="46"/>
      <c r="R212" s="46"/>
      <c r="S212" s="46"/>
      <c r="T212" s="46"/>
      <c r="U212" s="46"/>
      <c r="V212" s="46"/>
      <c r="W212" s="46"/>
    </row>
    <row r="213">
      <c r="A213" s="55"/>
      <c r="B213" s="218"/>
      <c r="C213" s="55"/>
      <c r="D213" s="218"/>
      <c r="E213" s="126"/>
      <c r="F213" s="224"/>
      <c r="G213" s="126"/>
      <c r="H213" s="218"/>
      <c r="I213" s="223"/>
      <c r="J213" s="46"/>
      <c r="K213" s="46"/>
      <c r="L213" s="46"/>
      <c r="M213" s="46"/>
      <c r="N213" s="46"/>
      <c r="O213" s="46"/>
      <c r="P213" s="46"/>
      <c r="Q213" s="46"/>
      <c r="R213" s="46"/>
      <c r="S213" s="46"/>
      <c r="T213" s="46"/>
      <c r="U213" s="46"/>
      <c r="V213" s="46"/>
      <c r="W213" s="46"/>
    </row>
    <row r="214">
      <c r="A214" s="55"/>
      <c r="B214" s="218"/>
      <c r="C214" s="55"/>
      <c r="D214" s="218"/>
      <c r="E214" s="126"/>
      <c r="F214" s="224"/>
      <c r="G214" s="126"/>
      <c r="H214" s="218"/>
      <c r="I214" s="223"/>
      <c r="J214" s="46"/>
      <c r="K214" s="46"/>
      <c r="L214" s="46"/>
      <c r="M214" s="46"/>
      <c r="N214" s="46"/>
      <c r="O214" s="46"/>
      <c r="P214" s="46"/>
      <c r="Q214" s="46"/>
      <c r="R214" s="46"/>
      <c r="S214" s="46"/>
      <c r="T214" s="46"/>
      <c r="U214" s="46"/>
      <c r="V214" s="46"/>
      <c r="W214" s="46"/>
    </row>
    <row r="215">
      <c r="A215" s="55"/>
      <c r="B215" s="218"/>
      <c r="C215" s="55"/>
      <c r="D215" s="218"/>
      <c r="E215" s="126"/>
      <c r="F215" s="224"/>
      <c r="G215" s="126"/>
      <c r="H215" s="218"/>
      <c r="I215" s="223"/>
      <c r="J215" s="46"/>
      <c r="K215" s="46"/>
      <c r="L215" s="46"/>
      <c r="M215" s="46"/>
      <c r="N215" s="46"/>
      <c r="O215" s="46"/>
      <c r="P215" s="46"/>
      <c r="Q215" s="46"/>
      <c r="R215" s="46"/>
      <c r="S215" s="46"/>
      <c r="T215" s="46"/>
      <c r="U215" s="46"/>
      <c r="V215" s="46"/>
      <c r="W215" s="46"/>
    </row>
    <row r="216">
      <c r="A216" s="55"/>
      <c r="B216" s="218"/>
      <c r="C216" s="55"/>
      <c r="D216" s="218"/>
      <c r="E216" s="126"/>
      <c r="F216" s="224"/>
      <c r="G216" s="126"/>
      <c r="H216" s="218"/>
      <c r="I216" s="223"/>
      <c r="J216" s="46"/>
      <c r="K216" s="46"/>
      <c r="L216" s="46"/>
      <c r="M216" s="46"/>
      <c r="N216" s="46"/>
      <c r="O216" s="46"/>
      <c r="P216" s="46"/>
      <c r="Q216" s="46"/>
      <c r="R216" s="46"/>
      <c r="S216" s="46"/>
      <c r="T216" s="46"/>
      <c r="U216" s="46"/>
      <c r="V216" s="46"/>
      <c r="W216" s="46"/>
    </row>
    <row r="217">
      <c r="A217" s="55"/>
      <c r="B217" s="218"/>
      <c r="C217" s="55"/>
      <c r="D217" s="218"/>
      <c r="E217" s="126"/>
      <c r="F217" s="224"/>
      <c r="G217" s="126"/>
      <c r="H217" s="218"/>
      <c r="I217" s="223"/>
      <c r="J217" s="46"/>
      <c r="K217" s="46"/>
      <c r="L217" s="46"/>
      <c r="M217" s="46"/>
      <c r="N217" s="46"/>
      <c r="O217" s="46"/>
      <c r="P217" s="46"/>
      <c r="Q217" s="46"/>
      <c r="R217" s="46"/>
      <c r="S217" s="46"/>
      <c r="T217" s="46"/>
      <c r="U217" s="46"/>
      <c r="V217" s="46"/>
      <c r="W217" s="46"/>
    </row>
    <row r="218">
      <c r="A218" s="55"/>
      <c r="B218" s="218"/>
      <c r="C218" s="55"/>
      <c r="D218" s="218"/>
      <c r="E218" s="126"/>
      <c r="F218" s="224"/>
      <c r="G218" s="126"/>
      <c r="H218" s="218"/>
      <c r="I218" s="223"/>
      <c r="J218" s="46"/>
      <c r="K218" s="46"/>
      <c r="L218" s="46"/>
      <c r="M218" s="46"/>
      <c r="N218" s="46"/>
      <c r="O218" s="46"/>
      <c r="P218" s="46"/>
      <c r="Q218" s="46"/>
      <c r="R218" s="46"/>
      <c r="S218" s="46"/>
      <c r="T218" s="46"/>
      <c r="U218" s="46"/>
      <c r="V218" s="46"/>
      <c r="W218" s="46"/>
    </row>
    <row r="219">
      <c r="A219" s="55"/>
      <c r="B219" s="218"/>
      <c r="C219" s="55"/>
      <c r="D219" s="218"/>
      <c r="E219" s="126"/>
      <c r="F219" s="224"/>
      <c r="G219" s="126"/>
      <c r="H219" s="218"/>
      <c r="I219" s="223"/>
      <c r="J219" s="46"/>
      <c r="K219" s="46"/>
      <c r="L219" s="46"/>
      <c r="M219" s="46"/>
      <c r="N219" s="46"/>
      <c r="O219" s="46"/>
      <c r="P219" s="46"/>
      <c r="Q219" s="46"/>
      <c r="R219" s="46"/>
      <c r="S219" s="46"/>
      <c r="T219" s="46"/>
      <c r="U219" s="46"/>
      <c r="V219" s="46"/>
      <c r="W219" s="46"/>
    </row>
    <row r="220">
      <c r="A220" s="55"/>
      <c r="B220" s="218"/>
      <c r="C220" s="55"/>
      <c r="D220" s="218"/>
      <c r="E220" s="126"/>
      <c r="F220" s="224"/>
      <c r="G220" s="126"/>
      <c r="H220" s="218"/>
      <c r="I220" s="223"/>
      <c r="J220" s="46"/>
      <c r="K220" s="46"/>
      <c r="L220" s="46"/>
      <c r="M220" s="46"/>
      <c r="N220" s="46"/>
      <c r="O220" s="46"/>
      <c r="P220" s="46"/>
      <c r="Q220" s="46"/>
      <c r="R220" s="46"/>
      <c r="S220" s="46"/>
      <c r="T220" s="46"/>
      <c r="U220" s="46"/>
      <c r="V220" s="46"/>
      <c r="W220" s="46"/>
    </row>
    <row r="221">
      <c r="A221" s="55"/>
      <c r="B221" s="218"/>
      <c r="C221" s="55"/>
      <c r="D221" s="218"/>
      <c r="E221" s="126"/>
      <c r="F221" s="224"/>
      <c r="G221" s="126"/>
      <c r="H221" s="218"/>
      <c r="I221" s="223"/>
      <c r="J221" s="46"/>
      <c r="K221" s="46"/>
      <c r="L221" s="46"/>
      <c r="M221" s="46"/>
      <c r="N221" s="46"/>
      <c r="O221" s="46"/>
      <c r="P221" s="46"/>
      <c r="Q221" s="46"/>
      <c r="R221" s="46"/>
      <c r="S221" s="46"/>
      <c r="T221" s="46"/>
      <c r="U221" s="46"/>
      <c r="V221" s="46"/>
      <c r="W221" s="46"/>
    </row>
    <row r="222">
      <c r="A222" s="55"/>
      <c r="B222" s="218"/>
      <c r="C222" s="55"/>
      <c r="D222" s="218"/>
      <c r="E222" s="126"/>
      <c r="F222" s="224"/>
      <c r="G222" s="126"/>
      <c r="H222" s="218"/>
      <c r="I222" s="223"/>
      <c r="J222" s="46"/>
      <c r="K222" s="46"/>
      <c r="L222" s="46"/>
      <c r="M222" s="46"/>
      <c r="N222" s="46"/>
      <c r="O222" s="46"/>
      <c r="P222" s="46"/>
      <c r="Q222" s="46"/>
      <c r="R222" s="46"/>
      <c r="S222" s="46"/>
      <c r="T222" s="46"/>
      <c r="U222" s="46"/>
      <c r="V222" s="46"/>
      <c r="W222" s="46"/>
    </row>
    <row r="223">
      <c r="A223" s="55"/>
      <c r="B223" s="218"/>
      <c r="C223" s="55"/>
      <c r="D223" s="218"/>
      <c r="E223" s="126"/>
      <c r="F223" s="224"/>
      <c r="G223" s="126"/>
      <c r="H223" s="218"/>
      <c r="I223" s="223"/>
      <c r="J223" s="46"/>
      <c r="K223" s="46"/>
      <c r="L223" s="46"/>
      <c r="M223" s="46"/>
      <c r="N223" s="46"/>
      <c r="O223" s="46"/>
      <c r="P223" s="46"/>
      <c r="Q223" s="46"/>
      <c r="R223" s="46"/>
      <c r="S223" s="46"/>
      <c r="T223" s="46"/>
      <c r="U223" s="46"/>
      <c r="V223" s="46"/>
      <c r="W223" s="46"/>
    </row>
    <row r="224">
      <c r="A224" s="55"/>
      <c r="B224" s="218"/>
      <c r="C224" s="55"/>
      <c r="D224" s="218"/>
      <c r="E224" s="126"/>
      <c r="F224" s="224"/>
      <c r="G224" s="126"/>
      <c r="H224" s="218"/>
      <c r="I224" s="223"/>
      <c r="J224" s="46"/>
      <c r="K224" s="46"/>
      <c r="L224" s="46"/>
      <c r="M224" s="46"/>
      <c r="N224" s="46"/>
      <c r="O224" s="46"/>
      <c r="P224" s="46"/>
      <c r="Q224" s="46"/>
      <c r="R224" s="46"/>
      <c r="S224" s="46"/>
      <c r="T224" s="46"/>
      <c r="U224" s="46"/>
      <c r="V224" s="46"/>
      <c r="W224" s="46"/>
    </row>
    <row r="225">
      <c r="A225" s="55"/>
      <c r="B225" s="218"/>
      <c r="C225" s="55"/>
      <c r="D225" s="218"/>
      <c r="E225" s="126"/>
      <c r="F225" s="224"/>
      <c r="G225" s="126"/>
      <c r="H225" s="218"/>
      <c r="I225" s="223"/>
      <c r="J225" s="46"/>
      <c r="K225" s="46"/>
      <c r="L225" s="46"/>
      <c r="M225" s="46"/>
      <c r="N225" s="46"/>
      <c r="O225" s="46"/>
      <c r="P225" s="46"/>
      <c r="Q225" s="46"/>
      <c r="R225" s="46"/>
      <c r="S225" s="46"/>
      <c r="T225" s="46"/>
      <c r="U225" s="46"/>
      <c r="V225" s="46"/>
      <c r="W225" s="46"/>
    </row>
    <row r="226">
      <c r="A226" s="55"/>
      <c r="B226" s="218"/>
      <c r="C226" s="55"/>
      <c r="D226" s="218"/>
      <c r="E226" s="126"/>
      <c r="F226" s="224"/>
      <c r="G226" s="126"/>
      <c r="H226" s="218"/>
      <c r="I226" s="223"/>
      <c r="J226" s="46"/>
      <c r="K226" s="46"/>
      <c r="L226" s="46"/>
      <c r="M226" s="46"/>
      <c r="N226" s="46"/>
      <c r="O226" s="46"/>
      <c r="P226" s="46"/>
      <c r="Q226" s="46"/>
      <c r="R226" s="46"/>
      <c r="S226" s="46"/>
      <c r="T226" s="46"/>
      <c r="U226" s="46"/>
      <c r="V226" s="46"/>
      <c r="W226" s="46"/>
    </row>
    <row r="227">
      <c r="A227" s="55"/>
      <c r="B227" s="218"/>
      <c r="C227" s="55"/>
      <c r="D227" s="218"/>
      <c r="E227" s="126"/>
      <c r="F227" s="224"/>
      <c r="G227" s="126"/>
      <c r="H227" s="218"/>
      <c r="I227" s="223"/>
      <c r="J227" s="46"/>
      <c r="K227" s="46"/>
      <c r="L227" s="46"/>
      <c r="M227" s="46"/>
      <c r="N227" s="46"/>
      <c r="O227" s="46"/>
      <c r="P227" s="46"/>
      <c r="Q227" s="46"/>
      <c r="R227" s="46"/>
      <c r="S227" s="46"/>
      <c r="T227" s="46"/>
      <c r="U227" s="46"/>
      <c r="V227" s="46"/>
      <c r="W227" s="46"/>
    </row>
    <row r="228">
      <c r="A228" s="55"/>
      <c r="B228" s="218"/>
      <c r="C228" s="55"/>
      <c r="D228" s="218"/>
      <c r="E228" s="126"/>
      <c r="F228" s="224"/>
      <c r="G228" s="126"/>
      <c r="H228" s="218"/>
      <c r="I228" s="223"/>
      <c r="J228" s="46"/>
      <c r="K228" s="46"/>
      <c r="L228" s="46"/>
      <c r="M228" s="46"/>
      <c r="N228" s="46"/>
      <c r="O228" s="46"/>
      <c r="P228" s="46"/>
      <c r="Q228" s="46"/>
      <c r="R228" s="46"/>
      <c r="S228" s="46"/>
      <c r="T228" s="46"/>
      <c r="U228" s="46"/>
      <c r="V228" s="46"/>
      <c r="W228" s="46"/>
    </row>
    <row r="229">
      <c r="A229" s="55"/>
      <c r="B229" s="218"/>
      <c r="C229" s="55"/>
      <c r="D229" s="218"/>
      <c r="E229" s="126"/>
      <c r="F229" s="224"/>
      <c r="G229" s="126"/>
      <c r="H229" s="218"/>
      <c r="I229" s="223"/>
      <c r="J229" s="46"/>
      <c r="K229" s="46"/>
      <c r="L229" s="46"/>
      <c r="M229" s="46"/>
      <c r="N229" s="46"/>
      <c r="O229" s="46"/>
      <c r="P229" s="46"/>
      <c r="Q229" s="46"/>
      <c r="R229" s="46"/>
      <c r="S229" s="46"/>
      <c r="T229" s="46"/>
      <c r="U229" s="46"/>
      <c r="V229" s="46"/>
      <c r="W229" s="46"/>
    </row>
    <row r="230">
      <c r="A230" s="55"/>
      <c r="B230" s="218"/>
      <c r="C230" s="55"/>
      <c r="D230" s="218"/>
      <c r="E230" s="126"/>
      <c r="F230" s="224"/>
      <c r="G230" s="126"/>
      <c r="H230" s="218"/>
      <c r="I230" s="223"/>
      <c r="J230" s="46"/>
      <c r="K230" s="46"/>
      <c r="L230" s="46"/>
      <c r="M230" s="46"/>
      <c r="N230" s="46"/>
      <c r="O230" s="46"/>
      <c r="P230" s="46"/>
      <c r="Q230" s="46"/>
      <c r="R230" s="46"/>
      <c r="S230" s="46"/>
      <c r="T230" s="46"/>
      <c r="U230" s="46"/>
      <c r="V230" s="46"/>
      <c r="W230" s="46"/>
    </row>
    <row r="231">
      <c r="A231" s="55"/>
      <c r="B231" s="218"/>
      <c r="C231" s="55"/>
      <c r="D231" s="218"/>
      <c r="E231" s="126"/>
      <c r="F231" s="224"/>
      <c r="G231" s="126"/>
      <c r="H231" s="218"/>
      <c r="I231" s="223"/>
      <c r="J231" s="46"/>
      <c r="K231" s="46"/>
      <c r="L231" s="46"/>
      <c r="M231" s="46"/>
      <c r="N231" s="46"/>
      <c r="O231" s="46"/>
      <c r="P231" s="46"/>
      <c r="Q231" s="46"/>
      <c r="R231" s="46"/>
      <c r="S231" s="46"/>
      <c r="T231" s="46"/>
      <c r="U231" s="46"/>
      <c r="V231" s="46"/>
      <c r="W231" s="46"/>
    </row>
    <row r="232">
      <c r="A232" s="55"/>
      <c r="B232" s="218"/>
      <c r="C232" s="55"/>
      <c r="D232" s="218"/>
      <c r="E232" s="126"/>
      <c r="F232" s="224"/>
      <c r="G232" s="126"/>
      <c r="H232" s="218"/>
      <c r="I232" s="223"/>
      <c r="J232" s="46"/>
      <c r="K232" s="46"/>
      <c r="L232" s="46"/>
      <c r="M232" s="46"/>
      <c r="N232" s="46"/>
      <c r="O232" s="46"/>
      <c r="P232" s="46"/>
      <c r="Q232" s="46"/>
      <c r="R232" s="46"/>
      <c r="S232" s="46"/>
      <c r="T232" s="46"/>
      <c r="U232" s="46"/>
      <c r="V232" s="46"/>
      <c r="W232" s="46"/>
    </row>
    <row r="233">
      <c r="A233" s="55"/>
      <c r="B233" s="218"/>
      <c r="C233" s="55"/>
      <c r="D233" s="218"/>
      <c r="E233" s="126"/>
      <c r="F233" s="224"/>
      <c r="G233" s="126"/>
      <c r="H233" s="218"/>
      <c r="I233" s="223"/>
      <c r="J233" s="46"/>
      <c r="K233" s="46"/>
      <c r="L233" s="46"/>
      <c r="M233" s="46"/>
      <c r="N233" s="46"/>
      <c r="O233" s="46"/>
      <c r="P233" s="46"/>
      <c r="Q233" s="46"/>
      <c r="R233" s="46"/>
      <c r="S233" s="46"/>
      <c r="T233" s="46"/>
      <c r="U233" s="46"/>
      <c r="V233" s="46"/>
      <c r="W233" s="46"/>
    </row>
    <row r="234">
      <c r="A234" s="55"/>
      <c r="B234" s="218"/>
      <c r="C234" s="55"/>
      <c r="D234" s="218"/>
      <c r="E234" s="126"/>
      <c r="F234" s="224"/>
      <c r="G234" s="126"/>
      <c r="H234" s="218"/>
      <c r="I234" s="223"/>
      <c r="J234" s="46"/>
      <c r="K234" s="46"/>
      <c r="L234" s="46"/>
      <c r="M234" s="46"/>
      <c r="N234" s="46"/>
      <c r="O234" s="46"/>
      <c r="P234" s="46"/>
      <c r="Q234" s="46"/>
      <c r="R234" s="46"/>
      <c r="S234" s="46"/>
      <c r="T234" s="46"/>
      <c r="U234" s="46"/>
      <c r="V234" s="46"/>
      <c r="W234" s="46"/>
    </row>
    <row r="235">
      <c r="A235" s="55"/>
      <c r="B235" s="218"/>
      <c r="C235" s="55"/>
      <c r="D235" s="218"/>
      <c r="E235" s="126"/>
      <c r="F235" s="224"/>
      <c r="G235" s="126"/>
      <c r="H235" s="218"/>
      <c r="I235" s="223"/>
      <c r="J235" s="46"/>
      <c r="K235" s="46"/>
      <c r="L235" s="46"/>
      <c r="M235" s="46"/>
      <c r="N235" s="46"/>
      <c r="O235" s="46"/>
      <c r="P235" s="46"/>
      <c r="Q235" s="46"/>
      <c r="R235" s="46"/>
      <c r="S235" s="46"/>
      <c r="T235" s="46"/>
      <c r="U235" s="46"/>
      <c r="V235" s="46"/>
      <c r="W235" s="46"/>
    </row>
    <row r="236">
      <c r="A236" s="55"/>
      <c r="B236" s="218"/>
      <c r="C236" s="55"/>
      <c r="D236" s="218"/>
      <c r="E236" s="126"/>
      <c r="F236" s="224"/>
      <c r="G236" s="126"/>
      <c r="H236" s="218"/>
      <c r="I236" s="223"/>
      <c r="J236" s="46"/>
      <c r="K236" s="46"/>
      <c r="L236" s="46"/>
      <c r="M236" s="46"/>
      <c r="N236" s="46"/>
      <c r="O236" s="46"/>
      <c r="P236" s="46"/>
      <c r="Q236" s="46"/>
      <c r="R236" s="46"/>
      <c r="S236" s="46"/>
      <c r="T236" s="46"/>
      <c r="U236" s="46"/>
      <c r="V236" s="46"/>
      <c r="W236" s="46"/>
    </row>
    <row r="237">
      <c r="A237" s="55"/>
      <c r="B237" s="218"/>
      <c r="C237" s="55"/>
      <c r="D237" s="218"/>
      <c r="E237" s="126"/>
      <c r="F237" s="224"/>
      <c r="G237" s="126"/>
      <c r="H237" s="218"/>
      <c r="I237" s="223"/>
      <c r="J237" s="46"/>
      <c r="K237" s="46"/>
      <c r="L237" s="46"/>
      <c r="M237" s="46"/>
      <c r="N237" s="46"/>
      <c r="O237" s="46"/>
      <c r="P237" s="46"/>
      <c r="Q237" s="46"/>
      <c r="R237" s="46"/>
      <c r="S237" s="46"/>
      <c r="T237" s="46"/>
      <c r="U237" s="46"/>
      <c r="V237" s="46"/>
      <c r="W237" s="46"/>
    </row>
    <row r="238">
      <c r="A238" s="55"/>
      <c r="B238" s="218"/>
      <c r="C238" s="55"/>
      <c r="D238" s="218"/>
      <c r="E238" s="126"/>
      <c r="F238" s="224"/>
      <c r="G238" s="126"/>
      <c r="H238" s="218"/>
      <c r="I238" s="223"/>
      <c r="J238" s="46"/>
      <c r="K238" s="46"/>
      <c r="L238" s="46"/>
      <c r="M238" s="46"/>
      <c r="N238" s="46"/>
      <c r="O238" s="46"/>
      <c r="P238" s="46"/>
      <c r="Q238" s="46"/>
      <c r="R238" s="46"/>
      <c r="S238" s="46"/>
      <c r="T238" s="46"/>
      <c r="U238" s="46"/>
      <c r="V238" s="46"/>
      <c r="W238" s="46"/>
    </row>
    <row r="239">
      <c r="A239" s="55"/>
      <c r="B239" s="218"/>
      <c r="C239" s="55"/>
      <c r="D239" s="218"/>
      <c r="E239" s="126"/>
      <c r="F239" s="224"/>
      <c r="G239" s="126"/>
      <c r="H239" s="218"/>
      <c r="I239" s="223"/>
      <c r="J239" s="46"/>
      <c r="K239" s="46"/>
      <c r="L239" s="46"/>
      <c r="M239" s="46"/>
      <c r="N239" s="46"/>
      <c r="O239" s="46"/>
      <c r="P239" s="46"/>
      <c r="Q239" s="46"/>
      <c r="R239" s="46"/>
      <c r="S239" s="46"/>
      <c r="T239" s="46"/>
      <c r="U239" s="46"/>
      <c r="V239" s="46"/>
      <c r="W239" s="46"/>
    </row>
    <row r="240">
      <c r="A240" s="55"/>
      <c r="B240" s="218"/>
      <c r="C240" s="55"/>
      <c r="D240" s="218"/>
      <c r="E240" s="126"/>
      <c r="F240" s="224"/>
      <c r="G240" s="126"/>
      <c r="H240" s="218"/>
      <c r="I240" s="223"/>
      <c r="J240" s="46"/>
      <c r="K240" s="46"/>
      <c r="L240" s="46"/>
      <c r="M240" s="46"/>
      <c r="N240" s="46"/>
      <c r="O240" s="46"/>
      <c r="P240" s="46"/>
      <c r="Q240" s="46"/>
      <c r="R240" s="46"/>
      <c r="S240" s="46"/>
      <c r="T240" s="46"/>
      <c r="U240" s="46"/>
      <c r="V240" s="46"/>
      <c r="W240" s="46"/>
    </row>
    <row r="241">
      <c r="A241" s="55"/>
      <c r="B241" s="218"/>
      <c r="C241" s="55"/>
      <c r="D241" s="218"/>
      <c r="E241" s="126"/>
      <c r="F241" s="224"/>
      <c r="G241" s="126"/>
      <c r="H241" s="218"/>
      <c r="I241" s="223"/>
      <c r="J241" s="46"/>
      <c r="K241" s="46"/>
      <c r="L241" s="46"/>
      <c r="M241" s="46"/>
      <c r="N241" s="46"/>
      <c r="O241" s="46"/>
      <c r="P241" s="46"/>
      <c r="Q241" s="46"/>
      <c r="R241" s="46"/>
      <c r="S241" s="46"/>
      <c r="T241" s="46"/>
      <c r="U241" s="46"/>
      <c r="V241" s="46"/>
      <c r="W241" s="46"/>
    </row>
    <row r="242">
      <c r="A242" s="55"/>
      <c r="B242" s="218"/>
      <c r="C242" s="55"/>
      <c r="D242" s="218"/>
      <c r="E242" s="126"/>
      <c r="F242" s="224"/>
      <c r="G242" s="126"/>
      <c r="H242" s="218"/>
      <c r="I242" s="223"/>
      <c r="J242" s="46"/>
      <c r="K242" s="46"/>
      <c r="L242" s="46"/>
      <c r="M242" s="46"/>
      <c r="N242" s="46"/>
      <c r="O242" s="46"/>
      <c r="P242" s="46"/>
      <c r="Q242" s="46"/>
      <c r="R242" s="46"/>
      <c r="S242" s="46"/>
      <c r="T242" s="46"/>
      <c r="U242" s="46"/>
      <c r="V242" s="46"/>
      <c r="W242" s="46"/>
    </row>
    <row r="243">
      <c r="A243" s="55"/>
      <c r="B243" s="218"/>
      <c r="C243" s="55"/>
      <c r="D243" s="218"/>
      <c r="E243" s="126"/>
      <c r="F243" s="224"/>
      <c r="G243" s="126"/>
      <c r="H243" s="218"/>
      <c r="I243" s="223"/>
      <c r="J243" s="46"/>
      <c r="K243" s="46"/>
      <c r="L243" s="46"/>
      <c r="M243" s="46"/>
      <c r="N243" s="46"/>
      <c r="O243" s="46"/>
      <c r="P243" s="46"/>
      <c r="Q243" s="46"/>
      <c r="R243" s="46"/>
      <c r="S243" s="46"/>
      <c r="T243" s="46"/>
      <c r="U243" s="46"/>
      <c r="V243" s="46"/>
      <c r="W243" s="46"/>
    </row>
    <row r="244">
      <c r="A244" s="55"/>
      <c r="B244" s="218"/>
      <c r="C244" s="55"/>
      <c r="D244" s="218"/>
      <c r="E244" s="126"/>
      <c r="F244" s="224"/>
      <c r="G244" s="126"/>
      <c r="H244" s="218"/>
      <c r="I244" s="223"/>
      <c r="J244" s="46"/>
      <c r="K244" s="46"/>
      <c r="L244" s="46"/>
      <c r="M244" s="46"/>
      <c r="N244" s="46"/>
      <c r="O244" s="46"/>
      <c r="P244" s="46"/>
      <c r="Q244" s="46"/>
      <c r="R244" s="46"/>
      <c r="S244" s="46"/>
      <c r="T244" s="46"/>
      <c r="U244" s="46"/>
      <c r="V244" s="46"/>
      <c r="W244" s="46"/>
    </row>
    <row r="245">
      <c r="A245" s="55"/>
      <c r="B245" s="218"/>
      <c r="C245" s="55"/>
      <c r="D245" s="218"/>
      <c r="E245" s="126"/>
      <c r="F245" s="224"/>
      <c r="G245" s="126"/>
      <c r="H245" s="218"/>
      <c r="I245" s="223"/>
      <c r="J245" s="46"/>
      <c r="K245" s="46"/>
      <c r="L245" s="46"/>
      <c r="M245" s="46"/>
      <c r="N245" s="46"/>
      <c r="O245" s="46"/>
      <c r="P245" s="46"/>
      <c r="Q245" s="46"/>
      <c r="R245" s="46"/>
      <c r="S245" s="46"/>
      <c r="T245" s="46"/>
      <c r="U245" s="46"/>
      <c r="V245" s="46"/>
      <c r="W245" s="46"/>
    </row>
    <row r="246">
      <c r="A246" s="55"/>
      <c r="B246" s="218"/>
      <c r="C246" s="55"/>
      <c r="D246" s="218"/>
      <c r="E246" s="126"/>
      <c r="F246" s="224"/>
      <c r="G246" s="126"/>
      <c r="H246" s="218"/>
      <c r="I246" s="223"/>
      <c r="J246" s="46"/>
      <c r="K246" s="46"/>
      <c r="L246" s="46"/>
      <c r="M246" s="46"/>
      <c r="N246" s="46"/>
      <c r="O246" s="46"/>
      <c r="P246" s="46"/>
      <c r="Q246" s="46"/>
      <c r="R246" s="46"/>
      <c r="S246" s="46"/>
      <c r="T246" s="46"/>
      <c r="U246" s="46"/>
      <c r="V246" s="46"/>
      <c r="W246" s="46"/>
    </row>
    <row r="247">
      <c r="A247" s="55"/>
      <c r="B247" s="218"/>
      <c r="C247" s="55"/>
      <c r="D247" s="218"/>
      <c r="E247" s="126"/>
      <c r="F247" s="224"/>
      <c r="G247" s="126"/>
      <c r="H247" s="218"/>
      <c r="I247" s="223"/>
      <c r="J247" s="46"/>
      <c r="K247" s="46"/>
      <c r="L247" s="46"/>
      <c r="M247" s="46"/>
      <c r="N247" s="46"/>
      <c r="O247" s="46"/>
      <c r="P247" s="46"/>
      <c r="Q247" s="46"/>
      <c r="R247" s="46"/>
      <c r="S247" s="46"/>
      <c r="T247" s="46"/>
      <c r="U247" s="46"/>
      <c r="V247" s="46"/>
      <c r="W247" s="46"/>
    </row>
    <row r="248">
      <c r="A248" s="55"/>
      <c r="B248" s="218"/>
      <c r="C248" s="55"/>
      <c r="D248" s="218"/>
      <c r="E248" s="126"/>
      <c r="F248" s="224"/>
      <c r="G248" s="126"/>
      <c r="H248" s="218"/>
      <c r="I248" s="223"/>
      <c r="J248" s="46"/>
      <c r="K248" s="46"/>
      <c r="L248" s="46"/>
      <c r="M248" s="46"/>
      <c r="N248" s="46"/>
      <c r="O248" s="46"/>
      <c r="P248" s="46"/>
      <c r="Q248" s="46"/>
      <c r="R248" s="46"/>
      <c r="S248" s="46"/>
      <c r="T248" s="46"/>
      <c r="U248" s="46"/>
      <c r="V248" s="46"/>
      <c r="W248" s="46"/>
    </row>
    <row r="249">
      <c r="A249" s="55"/>
      <c r="B249" s="218"/>
      <c r="C249" s="55"/>
      <c r="D249" s="218"/>
      <c r="E249" s="126"/>
      <c r="F249" s="224"/>
      <c r="G249" s="126"/>
      <c r="H249" s="218"/>
      <c r="I249" s="223"/>
      <c r="J249" s="46"/>
      <c r="K249" s="46"/>
      <c r="L249" s="46"/>
      <c r="M249" s="46"/>
      <c r="N249" s="46"/>
      <c r="O249" s="46"/>
      <c r="P249" s="46"/>
      <c r="Q249" s="46"/>
      <c r="R249" s="46"/>
      <c r="S249" s="46"/>
      <c r="T249" s="46"/>
      <c r="U249" s="46"/>
      <c r="V249" s="46"/>
      <c r="W249" s="46"/>
    </row>
    <row r="250">
      <c r="A250" s="55"/>
      <c r="B250" s="218"/>
      <c r="C250" s="55"/>
      <c r="D250" s="218"/>
      <c r="E250" s="126"/>
      <c r="F250" s="224"/>
      <c r="G250" s="126"/>
      <c r="H250" s="218"/>
      <c r="I250" s="223"/>
      <c r="J250" s="46"/>
      <c r="K250" s="46"/>
      <c r="L250" s="46"/>
      <c r="M250" s="46"/>
      <c r="N250" s="46"/>
      <c r="O250" s="46"/>
      <c r="P250" s="46"/>
      <c r="Q250" s="46"/>
      <c r="R250" s="46"/>
      <c r="S250" s="46"/>
      <c r="T250" s="46"/>
      <c r="U250" s="46"/>
      <c r="V250" s="46"/>
      <c r="W250" s="46"/>
    </row>
    <row r="251">
      <c r="A251" s="55"/>
      <c r="B251" s="218"/>
      <c r="C251" s="55"/>
      <c r="D251" s="218"/>
      <c r="E251" s="126"/>
      <c r="F251" s="224"/>
      <c r="G251" s="126"/>
      <c r="H251" s="218"/>
      <c r="I251" s="223"/>
      <c r="J251" s="46"/>
      <c r="K251" s="46"/>
      <c r="L251" s="46"/>
      <c r="M251" s="46"/>
      <c r="N251" s="46"/>
      <c r="O251" s="46"/>
      <c r="P251" s="46"/>
      <c r="Q251" s="46"/>
      <c r="R251" s="46"/>
      <c r="S251" s="46"/>
      <c r="T251" s="46"/>
      <c r="U251" s="46"/>
      <c r="V251" s="46"/>
      <c r="W251" s="46"/>
    </row>
    <row r="252">
      <c r="A252" s="55"/>
      <c r="B252" s="218"/>
      <c r="C252" s="55"/>
      <c r="D252" s="218"/>
      <c r="E252" s="126"/>
      <c r="F252" s="224"/>
      <c r="G252" s="126"/>
      <c r="H252" s="218"/>
      <c r="I252" s="223"/>
      <c r="J252" s="46"/>
      <c r="K252" s="46"/>
      <c r="L252" s="46"/>
      <c r="M252" s="46"/>
      <c r="N252" s="46"/>
      <c r="O252" s="46"/>
      <c r="P252" s="46"/>
      <c r="Q252" s="46"/>
      <c r="R252" s="46"/>
      <c r="S252" s="46"/>
      <c r="T252" s="46"/>
      <c r="U252" s="46"/>
      <c r="V252" s="46"/>
      <c r="W252" s="46"/>
    </row>
    <row r="253">
      <c r="A253" s="55"/>
      <c r="B253" s="218"/>
      <c r="C253" s="55"/>
      <c r="D253" s="218"/>
      <c r="E253" s="126"/>
      <c r="F253" s="224"/>
      <c r="G253" s="126"/>
      <c r="H253" s="218"/>
      <c r="I253" s="223"/>
      <c r="J253" s="46"/>
      <c r="K253" s="46"/>
      <c r="L253" s="46"/>
      <c r="M253" s="46"/>
      <c r="N253" s="46"/>
      <c r="O253" s="46"/>
      <c r="P253" s="46"/>
      <c r="Q253" s="46"/>
      <c r="R253" s="46"/>
      <c r="S253" s="46"/>
      <c r="T253" s="46"/>
      <c r="U253" s="46"/>
      <c r="V253" s="46"/>
      <c r="W253" s="46"/>
    </row>
    <row r="254">
      <c r="A254" s="55"/>
      <c r="B254" s="218"/>
      <c r="C254" s="55"/>
      <c r="D254" s="218"/>
      <c r="E254" s="126"/>
      <c r="F254" s="224"/>
      <c r="G254" s="126"/>
      <c r="H254" s="218"/>
      <c r="I254" s="223"/>
      <c r="J254" s="46"/>
      <c r="K254" s="46"/>
      <c r="L254" s="46"/>
      <c r="M254" s="46"/>
      <c r="N254" s="46"/>
      <c r="O254" s="46"/>
      <c r="P254" s="46"/>
      <c r="Q254" s="46"/>
      <c r="R254" s="46"/>
      <c r="S254" s="46"/>
      <c r="T254" s="46"/>
      <c r="U254" s="46"/>
      <c r="V254" s="46"/>
      <c r="W254" s="46"/>
    </row>
    <row r="255">
      <c r="A255" s="55"/>
      <c r="B255" s="218"/>
      <c r="C255" s="55"/>
      <c r="D255" s="218"/>
      <c r="E255" s="126"/>
      <c r="F255" s="224"/>
      <c r="G255" s="126"/>
      <c r="H255" s="218"/>
      <c r="I255" s="223"/>
      <c r="J255" s="46"/>
      <c r="K255" s="46"/>
      <c r="L255" s="46"/>
      <c r="M255" s="46"/>
      <c r="N255" s="46"/>
      <c r="O255" s="46"/>
      <c r="P255" s="46"/>
      <c r="Q255" s="46"/>
      <c r="R255" s="46"/>
      <c r="S255" s="46"/>
      <c r="T255" s="46"/>
      <c r="U255" s="46"/>
      <c r="V255" s="46"/>
      <c r="W255" s="46"/>
    </row>
    <row r="256">
      <c r="A256" s="55"/>
      <c r="B256" s="218"/>
      <c r="C256" s="55"/>
      <c r="D256" s="218"/>
      <c r="E256" s="126"/>
      <c r="F256" s="224"/>
      <c r="G256" s="126"/>
      <c r="H256" s="218"/>
      <c r="I256" s="223"/>
      <c r="J256" s="46"/>
      <c r="K256" s="46"/>
      <c r="L256" s="46"/>
      <c r="M256" s="46"/>
      <c r="N256" s="46"/>
      <c r="O256" s="46"/>
      <c r="P256" s="46"/>
      <c r="Q256" s="46"/>
      <c r="R256" s="46"/>
      <c r="S256" s="46"/>
      <c r="T256" s="46"/>
      <c r="U256" s="46"/>
      <c r="V256" s="46"/>
      <c r="W256" s="46"/>
    </row>
    <row r="257">
      <c r="A257" s="55"/>
      <c r="B257" s="218"/>
      <c r="C257" s="55"/>
      <c r="D257" s="218"/>
      <c r="E257" s="126"/>
      <c r="F257" s="224"/>
      <c r="G257" s="126"/>
      <c r="H257" s="218"/>
      <c r="I257" s="223"/>
      <c r="J257" s="46"/>
      <c r="K257" s="46"/>
      <c r="L257" s="46"/>
      <c r="M257" s="46"/>
      <c r="N257" s="46"/>
      <c r="O257" s="46"/>
      <c r="P257" s="46"/>
      <c r="Q257" s="46"/>
      <c r="R257" s="46"/>
      <c r="S257" s="46"/>
      <c r="T257" s="46"/>
      <c r="U257" s="46"/>
      <c r="V257" s="46"/>
      <c r="W257" s="46"/>
    </row>
    <row r="258">
      <c r="A258" s="55"/>
      <c r="B258" s="218"/>
      <c r="C258" s="55"/>
      <c r="D258" s="218"/>
      <c r="E258" s="126"/>
      <c r="F258" s="224"/>
      <c r="G258" s="126"/>
      <c r="H258" s="218"/>
      <c r="I258" s="223"/>
      <c r="J258" s="46"/>
      <c r="K258" s="46"/>
      <c r="L258" s="46"/>
      <c r="M258" s="46"/>
      <c r="N258" s="46"/>
      <c r="O258" s="46"/>
      <c r="P258" s="46"/>
      <c r="Q258" s="46"/>
      <c r="R258" s="46"/>
      <c r="S258" s="46"/>
      <c r="T258" s="46"/>
      <c r="U258" s="46"/>
      <c r="V258" s="46"/>
      <c r="W258" s="46"/>
    </row>
    <row r="259">
      <c r="A259" s="55"/>
      <c r="B259" s="218"/>
      <c r="C259" s="55"/>
      <c r="D259" s="218"/>
      <c r="E259" s="126"/>
      <c r="F259" s="224"/>
      <c r="G259" s="126"/>
      <c r="H259" s="218"/>
      <c r="I259" s="223"/>
      <c r="J259" s="46"/>
      <c r="K259" s="46"/>
      <c r="L259" s="46"/>
      <c r="M259" s="46"/>
      <c r="N259" s="46"/>
      <c r="O259" s="46"/>
      <c r="P259" s="46"/>
      <c r="Q259" s="46"/>
      <c r="R259" s="46"/>
      <c r="S259" s="46"/>
      <c r="T259" s="46"/>
      <c r="U259" s="46"/>
      <c r="V259" s="46"/>
      <c r="W259" s="46"/>
    </row>
    <row r="260">
      <c r="A260" s="55"/>
      <c r="B260" s="218"/>
      <c r="C260" s="55"/>
      <c r="D260" s="218"/>
      <c r="E260" s="126"/>
      <c r="F260" s="224"/>
      <c r="G260" s="126"/>
      <c r="H260" s="218"/>
      <c r="I260" s="223"/>
      <c r="J260" s="46"/>
      <c r="K260" s="46"/>
      <c r="L260" s="46"/>
      <c r="M260" s="46"/>
      <c r="N260" s="46"/>
      <c r="O260" s="46"/>
      <c r="P260" s="46"/>
      <c r="Q260" s="46"/>
      <c r="R260" s="46"/>
      <c r="S260" s="46"/>
      <c r="T260" s="46"/>
      <c r="U260" s="46"/>
      <c r="V260" s="46"/>
      <c r="W260" s="46"/>
    </row>
    <row r="261">
      <c r="A261" s="55"/>
      <c r="B261" s="218"/>
      <c r="C261" s="55"/>
      <c r="D261" s="218"/>
      <c r="E261" s="126"/>
      <c r="F261" s="224"/>
      <c r="G261" s="126"/>
      <c r="H261" s="218"/>
      <c r="I261" s="223"/>
      <c r="J261" s="46"/>
      <c r="K261" s="46"/>
      <c r="L261" s="46"/>
      <c r="M261" s="46"/>
      <c r="N261" s="46"/>
      <c r="O261" s="46"/>
      <c r="P261" s="46"/>
      <c r="Q261" s="46"/>
      <c r="R261" s="46"/>
      <c r="S261" s="46"/>
      <c r="T261" s="46"/>
      <c r="U261" s="46"/>
      <c r="V261" s="46"/>
      <c r="W261" s="46"/>
    </row>
    <row r="262">
      <c r="A262" s="55"/>
      <c r="B262" s="218"/>
      <c r="C262" s="55"/>
      <c r="D262" s="218"/>
      <c r="E262" s="126"/>
      <c r="F262" s="224"/>
      <c r="G262" s="126"/>
      <c r="H262" s="218"/>
      <c r="I262" s="223"/>
      <c r="J262" s="46"/>
      <c r="K262" s="46"/>
      <c r="L262" s="46"/>
      <c r="M262" s="46"/>
      <c r="N262" s="46"/>
      <c r="O262" s="46"/>
      <c r="P262" s="46"/>
      <c r="Q262" s="46"/>
      <c r="R262" s="46"/>
      <c r="S262" s="46"/>
      <c r="T262" s="46"/>
      <c r="U262" s="46"/>
      <c r="V262" s="46"/>
      <c r="W262" s="46"/>
    </row>
    <row r="263">
      <c r="A263" s="55"/>
      <c r="B263" s="218"/>
      <c r="C263" s="55"/>
      <c r="D263" s="218"/>
      <c r="E263" s="126"/>
      <c r="F263" s="224"/>
      <c r="G263" s="126"/>
      <c r="H263" s="218"/>
      <c r="I263" s="223"/>
      <c r="J263" s="46"/>
      <c r="K263" s="46"/>
      <c r="L263" s="46"/>
      <c r="M263" s="46"/>
      <c r="N263" s="46"/>
      <c r="O263" s="46"/>
      <c r="P263" s="46"/>
      <c r="Q263" s="46"/>
      <c r="R263" s="46"/>
      <c r="S263" s="46"/>
      <c r="T263" s="46"/>
      <c r="U263" s="46"/>
      <c r="V263" s="46"/>
      <c r="W263" s="46"/>
    </row>
    <row r="264">
      <c r="A264" s="55"/>
      <c r="B264" s="218"/>
      <c r="C264" s="55"/>
      <c r="D264" s="218"/>
      <c r="E264" s="126"/>
      <c r="F264" s="224"/>
      <c r="G264" s="126"/>
      <c r="H264" s="218"/>
      <c r="I264" s="223"/>
      <c r="J264" s="46"/>
      <c r="K264" s="46"/>
      <c r="L264" s="46"/>
      <c r="M264" s="46"/>
      <c r="N264" s="46"/>
      <c r="O264" s="46"/>
      <c r="P264" s="46"/>
      <c r="Q264" s="46"/>
      <c r="R264" s="46"/>
      <c r="S264" s="46"/>
      <c r="T264" s="46"/>
      <c r="U264" s="46"/>
      <c r="V264" s="46"/>
      <c r="W264" s="46"/>
    </row>
    <row r="265">
      <c r="A265" s="55"/>
      <c r="B265" s="218"/>
      <c r="C265" s="55"/>
      <c r="D265" s="218"/>
      <c r="E265" s="126"/>
      <c r="F265" s="224"/>
      <c r="G265" s="126"/>
      <c r="H265" s="218"/>
      <c r="I265" s="223"/>
      <c r="J265" s="46"/>
      <c r="K265" s="46"/>
      <c r="L265" s="46"/>
      <c r="M265" s="46"/>
      <c r="N265" s="46"/>
      <c r="O265" s="46"/>
      <c r="P265" s="46"/>
      <c r="Q265" s="46"/>
      <c r="R265" s="46"/>
      <c r="S265" s="46"/>
      <c r="T265" s="46"/>
      <c r="U265" s="46"/>
      <c r="V265" s="46"/>
      <c r="W265" s="46"/>
    </row>
    <row r="266">
      <c r="A266" s="55"/>
      <c r="B266" s="218"/>
      <c r="C266" s="55"/>
      <c r="D266" s="218"/>
      <c r="E266" s="126"/>
      <c r="F266" s="224"/>
      <c r="G266" s="126"/>
      <c r="H266" s="218"/>
      <c r="I266" s="223"/>
      <c r="J266" s="46"/>
      <c r="K266" s="46"/>
      <c r="L266" s="46"/>
      <c r="M266" s="46"/>
      <c r="N266" s="46"/>
      <c r="O266" s="46"/>
      <c r="P266" s="46"/>
      <c r="Q266" s="46"/>
      <c r="R266" s="46"/>
      <c r="S266" s="46"/>
      <c r="T266" s="46"/>
      <c r="U266" s="46"/>
      <c r="V266" s="46"/>
      <c r="W266" s="46"/>
    </row>
    <row r="267">
      <c r="A267" s="55"/>
      <c r="B267" s="218"/>
      <c r="C267" s="55"/>
      <c r="D267" s="218"/>
      <c r="E267" s="126"/>
      <c r="F267" s="224"/>
      <c r="G267" s="126"/>
      <c r="H267" s="218"/>
      <c r="I267" s="223"/>
      <c r="J267" s="46"/>
      <c r="K267" s="46"/>
      <c r="L267" s="46"/>
      <c r="M267" s="46"/>
      <c r="N267" s="46"/>
      <c r="O267" s="46"/>
      <c r="P267" s="46"/>
      <c r="Q267" s="46"/>
      <c r="R267" s="46"/>
      <c r="S267" s="46"/>
      <c r="T267" s="46"/>
      <c r="U267" s="46"/>
      <c r="V267" s="46"/>
      <c r="W267" s="46"/>
    </row>
    <row r="268">
      <c r="A268" s="55"/>
      <c r="B268" s="218"/>
      <c r="C268" s="55"/>
      <c r="D268" s="218"/>
      <c r="E268" s="126"/>
      <c r="F268" s="224"/>
      <c r="G268" s="126"/>
      <c r="H268" s="218"/>
      <c r="I268" s="223"/>
      <c r="J268" s="46"/>
      <c r="K268" s="46"/>
      <c r="L268" s="46"/>
      <c r="M268" s="46"/>
      <c r="N268" s="46"/>
      <c r="O268" s="46"/>
      <c r="P268" s="46"/>
      <c r="Q268" s="46"/>
      <c r="R268" s="46"/>
      <c r="S268" s="46"/>
      <c r="T268" s="46"/>
      <c r="U268" s="46"/>
      <c r="V268" s="46"/>
      <c r="W268" s="46"/>
    </row>
    <row r="269">
      <c r="A269" s="55"/>
      <c r="B269" s="218"/>
      <c r="C269" s="55"/>
      <c r="D269" s="218"/>
      <c r="E269" s="126"/>
      <c r="F269" s="224"/>
      <c r="G269" s="126"/>
      <c r="H269" s="218"/>
      <c r="I269" s="223"/>
      <c r="J269" s="46"/>
      <c r="K269" s="46"/>
      <c r="L269" s="46"/>
      <c r="M269" s="46"/>
      <c r="N269" s="46"/>
      <c r="O269" s="46"/>
      <c r="P269" s="46"/>
      <c r="Q269" s="46"/>
      <c r="R269" s="46"/>
      <c r="S269" s="46"/>
      <c r="T269" s="46"/>
      <c r="U269" s="46"/>
      <c r="V269" s="46"/>
      <c r="W269" s="46"/>
    </row>
    <row r="270">
      <c r="A270" s="55"/>
      <c r="B270" s="218"/>
      <c r="C270" s="55"/>
      <c r="D270" s="218"/>
      <c r="E270" s="126"/>
      <c r="F270" s="224"/>
      <c r="G270" s="126"/>
      <c r="H270" s="218"/>
      <c r="I270" s="223"/>
      <c r="J270" s="46"/>
      <c r="K270" s="46"/>
      <c r="L270" s="46"/>
      <c r="M270" s="46"/>
      <c r="N270" s="46"/>
      <c r="O270" s="46"/>
      <c r="P270" s="46"/>
      <c r="Q270" s="46"/>
      <c r="R270" s="46"/>
      <c r="S270" s="46"/>
      <c r="T270" s="46"/>
      <c r="U270" s="46"/>
      <c r="V270" s="46"/>
      <c r="W270" s="46"/>
    </row>
    <row r="271">
      <c r="A271" s="55"/>
      <c r="B271" s="218"/>
      <c r="C271" s="55"/>
      <c r="D271" s="218"/>
      <c r="E271" s="126"/>
      <c r="F271" s="224"/>
      <c r="G271" s="126"/>
      <c r="H271" s="218"/>
      <c r="I271" s="223"/>
      <c r="J271" s="46"/>
      <c r="K271" s="46"/>
      <c r="L271" s="46"/>
      <c r="M271" s="46"/>
      <c r="N271" s="46"/>
      <c r="O271" s="46"/>
      <c r="P271" s="46"/>
      <c r="Q271" s="46"/>
      <c r="R271" s="46"/>
      <c r="S271" s="46"/>
      <c r="T271" s="46"/>
      <c r="U271" s="46"/>
      <c r="V271" s="46"/>
      <c r="W271" s="46"/>
    </row>
    <row r="272">
      <c r="A272" s="55"/>
      <c r="B272" s="218"/>
      <c r="C272" s="55"/>
      <c r="D272" s="218"/>
      <c r="E272" s="126"/>
      <c r="F272" s="224"/>
      <c r="G272" s="126"/>
      <c r="H272" s="218"/>
      <c r="I272" s="223"/>
      <c r="J272" s="46"/>
      <c r="K272" s="46"/>
      <c r="L272" s="46"/>
      <c r="M272" s="46"/>
      <c r="N272" s="46"/>
      <c r="O272" s="46"/>
      <c r="P272" s="46"/>
      <c r="Q272" s="46"/>
      <c r="R272" s="46"/>
      <c r="S272" s="46"/>
      <c r="T272" s="46"/>
      <c r="U272" s="46"/>
      <c r="V272" s="46"/>
      <c r="W272" s="46"/>
    </row>
    <row r="273">
      <c r="A273" s="55"/>
      <c r="B273" s="218"/>
      <c r="C273" s="55"/>
      <c r="D273" s="218"/>
      <c r="E273" s="126"/>
      <c r="F273" s="224"/>
      <c r="G273" s="126"/>
      <c r="H273" s="218"/>
      <c r="I273" s="223"/>
      <c r="J273" s="46"/>
      <c r="K273" s="46"/>
      <c r="L273" s="46"/>
      <c r="M273" s="46"/>
      <c r="N273" s="46"/>
      <c r="O273" s="46"/>
      <c r="P273" s="46"/>
      <c r="Q273" s="46"/>
      <c r="R273" s="46"/>
      <c r="S273" s="46"/>
      <c r="T273" s="46"/>
      <c r="U273" s="46"/>
      <c r="V273" s="46"/>
      <c r="W273" s="46"/>
    </row>
    <row r="274">
      <c r="A274" s="55"/>
      <c r="B274" s="218"/>
      <c r="C274" s="55"/>
      <c r="D274" s="218"/>
      <c r="E274" s="126"/>
      <c r="F274" s="224"/>
      <c r="G274" s="126"/>
      <c r="H274" s="218"/>
      <c r="I274" s="223"/>
      <c r="J274" s="46"/>
      <c r="K274" s="46"/>
      <c r="L274" s="46"/>
      <c r="M274" s="46"/>
      <c r="N274" s="46"/>
      <c r="O274" s="46"/>
      <c r="P274" s="46"/>
      <c r="Q274" s="46"/>
      <c r="R274" s="46"/>
      <c r="S274" s="46"/>
      <c r="T274" s="46"/>
      <c r="U274" s="46"/>
      <c r="V274" s="46"/>
      <c r="W274" s="46"/>
    </row>
    <row r="275">
      <c r="A275" s="55"/>
      <c r="B275" s="218"/>
      <c r="C275" s="55"/>
      <c r="D275" s="218"/>
      <c r="E275" s="126"/>
      <c r="F275" s="224"/>
      <c r="G275" s="126"/>
      <c r="H275" s="218"/>
      <c r="I275" s="223"/>
      <c r="J275" s="46"/>
      <c r="K275" s="46"/>
      <c r="L275" s="46"/>
      <c r="M275" s="46"/>
      <c r="N275" s="46"/>
      <c r="O275" s="46"/>
      <c r="P275" s="46"/>
      <c r="Q275" s="46"/>
      <c r="R275" s="46"/>
      <c r="S275" s="46"/>
      <c r="T275" s="46"/>
      <c r="U275" s="46"/>
      <c r="V275" s="46"/>
      <c r="W275" s="46"/>
    </row>
    <row r="276">
      <c r="A276" s="55"/>
      <c r="B276" s="218"/>
      <c r="C276" s="55"/>
      <c r="D276" s="218"/>
      <c r="E276" s="126"/>
      <c r="F276" s="224"/>
      <c r="G276" s="126"/>
      <c r="H276" s="218"/>
      <c r="I276" s="223"/>
      <c r="J276" s="46"/>
      <c r="K276" s="46"/>
      <c r="L276" s="46"/>
      <c r="M276" s="46"/>
      <c r="N276" s="46"/>
      <c r="O276" s="46"/>
      <c r="P276" s="46"/>
      <c r="Q276" s="46"/>
      <c r="R276" s="46"/>
      <c r="S276" s="46"/>
      <c r="T276" s="46"/>
      <c r="U276" s="46"/>
      <c r="V276" s="46"/>
      <c r="W276" s="46"/>
    </row>
    <row r="277">
      <c r="A277" s="55"/>
      <c r="B277" s="218"/>
      <c r="C277" s="55"/>
      <c r="D277" s="218"/>
      <c r="E277" s="126"/>
      <c r="F277" s="224"/>
      <c r="G277" s="126"/>
      <c r="H277" s="218"/>
      <c r="I277" s="223"/>
      <c r="J277" s="46"/>
      <c r="K277" s="46"/>
      <c r="L277" s="46"/>
      <c r="M277" s="46"/>
      <c r="N277" s="46"/>
      <c r="O277" s="46"/>
      <c r="P277" s="46"/>
      <c r="Q277" s="46"/>
      <c r="R277" s="46"/>
      <c r="S277" s="46"/>
      <c r="T277" s="46"/>
      <c r="U277" s="46"/>
      <c r="V277" s="46"/>
      <c r="W277" s="46"/>
    </row>
    <row r="278">
      <c r="A278" s="55"/>
      <c r="B278" s="218"/>
      <c r="C278" s="55"/>
      <c r="D278" s="218"/>
      <c r="E278" s="126"/>
      <c r="F278" s="224"/>
      <c r="G278" s="126"/>
      <c r="H278" s="218"/>
      <c r="I278" s="223"/>
      <c r="J278" s="46"/>
      <c r="K278" s="46"/>
      <c r="L278" s="46"/>
      <c r="M278" s="46"/>
      <c r="N278" s="46"/>
      <c r="O278" s="46"/>
      <c r="P278" s="46"/>
      <c r="Q278" s="46"/>
      <c r="R278" s="46"/>
      <c r="S278" s="46"/>
      <c r="T278" s="46"/>
      <c r="U278" s="46"/>
      <c r="V278" s="46"/>
      <c r="W278" s="46"/>
    </row>
    <row r="279">
      <c r="A279" s="55"/>
      <c r="B279" s="218"/>
      <c r="C279" s="55"/>
      <c r="D279" s="218"/>
      <c r="E279" s="126"/>
      <c r="F279" s="224"/>
      <c r="G279" s="126"/>
      <c r="H279" s="218"/>
      <c r="I279" s="223"/>
      <c r="J279" s="46"/>
      <c r="K279" s="46"/>
      <c r="L279" s="46"/>
      <c r="M279" s="46"/>
      <c r="N279" s="46"/>
      <c r="O279" s="46"/>
      <c r="P279" s="46"/>
      <c r="Q279" s="46"/>
      <c r="R279" s="46"/>
      <c r="S279" s="46"/>
      <c r="T279" s="46"/>
      <c r="U279" s="46"/>
      <c r="V279" s="46"/>
      <c r="W279" s="46"/>
    </row>
    <row r="280">
      <c r="A280" s="55"/>
      <c r="B280" s="218"/>
      <c r="C280" s="55"/>
      <c r="D280" s="218"/>
      <c r="E280" s="126"/>
      <c r="F280" s="224"/>
      <c r="G280" s="126"/>
      <c r="H280" s="218"/>
      <c r="I280" s="223"/>
      <c r="J280" s="46"/>
      <c r="K280" s="46"/>
      <c r="L280" s="46"/>
      <c r="M280" s="46"/>
      <c r="N280" s="46"/>
      <c r="O280" s="46"/>
      <c r="P280" s="46"/>
      <c r="Q280" s="46"/>
      <c r="R280" s="46"/>
      <c r="S280" s="46"/>
      <c r="T280" s="46"/>
      <c r="U280" s="46"/>
      <c r="V280" s="46"/>
      <c r="W280" s="46"/>
    </row>
    <row r="281">
      <c r="A281" s="55"/>
      <c r="B281" s="218"/>
      <c r="C281" s="55"/>
      <c r="D281" s="218"/>
      <c r="E281" s="126"/>
      <c r="F281" s="224"/>
      <c r="G281" s="126"/>
      <c r="H281" s="218"/>
      <c r="I281" s="223"/>
      <c r="J281" s="46"/>
      <c r="K281" s="46"/>
      <c r="L281" s="46"/>
      <c r="M281" s="46"/>
      <c r="N281" s="46"/>
      <c r="O281" s="46"/>
      <c r="P281" s="46"/>
      <c r="Q281" s="46"/>
      <c r="R281" s="46"/>
      <c r="S281" s="46"/>
      <c r="T281" s="46"/>
      <c r="U281" s="46"/>
      <c r="V281" s="46"/>
      <c r="W281" s="46"/>
    </row>
    <row r="282">
      <c r="A282" s="55"/>
      <c r="B282" s="218"/>
      <c r="C282" s="55"/>
      <c r="D282" s="218"/>
      <c r="E282" s="126"/>
      <c r="F282" s="224"/>
      <c r="G282" s="126"/>
      <c r="H282" s="218"/>
      <c r="I282" s="223"/>
      <c r="J282" s="46"/>
      <c r="K282" s="46"/>
      <c r="L282" s="46"/>
      <c r="M282" s="46"/>
      <c r="N282" s="46"/>
      <c r="O282" s="46"/>
      <c r="P282" s="46"/>
      <c r="Q282" s="46"/>
      <c r="R282" s="46"/>
      <c r="S282" s="46"/>
      <c r="T282" s="46"/>
      <c r="U282" s="46"/>
      <c r="V282" s="46"/>
      <c r="W282" s="46"/>
    </row>
    <row r="283">
      <c r="A283" s="55"/>
      <c r="B283" s="218"/>
      <c r="C283" s="55"/>
      <c r="D283" s="218"/>
      <c r="E283" s="126"/>
      <c r="F283" s="224"/>
      <c r="G283" s="126"/>
      <c r="H283" s="218"/>
      <c r="I283" s="223"/>
      <c r="J283" s="46"/>
      <c r="K283" s="46"/>
      <c r="L283" s="46"/>
      <c r="M283" s="46"/>
      <c r="N283" s="46"/>
      <c r="O283" s="46"/>
      <c r="P283" s="46"/>
      <c r="Q283" s="46"/>
      <c r="R283" s="46"/>
      <c r="S283" s="46"/>
      <c r="T283" s="46"/>
      <c r="U283" s="46"/>
      <c r="V283" s="46"/>
      <c r="W283" s="46"/>
    </row>
    <row r="284">
      <c r="A284" s="55"/>
      <c r="B284" s="218"/>
      <c r="C284" s="55"/>
      <c r="D284" s="218"/>
      <c r="E284" s="126"/>
      <c r="F284" s="224"/>
      <c r="G284" s="126"/>
      <c r="H284" s="218"/>
      <c r="I284" s="223"/>
      <c r="J284" s="46"/>
      <c r="K284" s="46"/>
      <c r="L284" s="46"/>
      <c r="M284" s="46"/>
      <c r="N284" s="46"/>
      <c r="O284" s="46"/>
      <c r="P284" s="46"/>
      <c r="Q284" s="46"/>
      <c r="R284" s="46"/>
      <c r="S284" s="46"/>
      <c r="T284" s="46"/>
      <c r="U284" s="46"/>
      <c r="V284" s="46"/>
      <c r="W284" s="46"/>
    </row>
    <row r="285">
      <c r="A285" s="55"/>
      <c r="B285" s="218"/>
      <c r="C285" s="55"/>
      <c r="D285" s="218"/>
      <c r="E285" s="126"/>
      <c r="F285" s="224"/>
      <c r="G285" s="126"/>
      <c r="H285" s="218"/>
      <c r="I285" s="223"/>
      <c r="J285" s="46"/>
      <c r="K285" s="46"/>
      <c r="L285" s="46"/>
      <c r="M285" s="46"/>
      <c r="N285" s="46"/>
      <c r="O285" s="46"/>
      <c r="P285" s="46"/>
      <c r="Q285" s="46"/>
      <c r="R285" s="46"/>
      <c r="S285" s="46"/>
      <c r="T285" s="46"/>
      <c r="U285" s="46"/>
      <c r="V285" s="46"/>
      <c r="W285" s="46"/>
    </row>
    <row r="286">
      <c r="A286" s="55"/>
      <c r="B286" s="218"/>
      <c r="C286" s="55"/>
      <c r="D286" s="218"/>
      <c r="E286" s="126"/>
      <c r="F286" s="224"/>
      <c r="G286" s="126"/>
      <c r="H286" s="218"/>
      <c r="I286" s="223"/>
      <c r="J286" s="46"/>
      <c r="K286" s="46"/>
      <c r="L286" s="46"/>
      <c r="M286" s="46"/>
      <c r="N286" s="46"/>
      <c r="O286" s="46"/>
      <c r="P286" s="46"/>
      <c r="Q286" s="46"/>
      <c r="R286" s="46"/>
      <c r="S286" s="46"/>
      <c r="T286" s="46"/>
      <c r="U286" s="46"/>
      <c r="V286" s="46"/>
      <c r="W286" s="46"/>
    </row>
    <row r="287">
      <c r="A287" s="55"/>
      <c r="B287" s="218"/>
      <c r="C287" s="55"/>
      <c r="D287" s="218"/>
      <c r="E287" s="126"/>
      <c r="F287" s="224"/>
      <c r="G287" s="126"/>
      <c r="H287" s="218"/>
      <c r="I287" s="223"/>
      <c r="J287" s="46"/>
      <c r="K287" s="46"/>
      <c r="L287" s="46"/>
      <c r="M287" s="46"/>
      <c r="N287" s="46"/>
      <c r="O287" s="46"/>
      <c r="P287" s="46"/>
      <c r="Q287" s="46"/>
      <c r="R287" s="46"/>
      <c r="S287" s="46"/>
      <c r="T287" s="46"/>
      <c r="U287" s="46"/>
      <c r="V287" s="46"/>
      <c r="W287" s="46"/>
    </row>
    <row r="288">
      <c r="A288" s="55"/>
      <c r="B288" s="218"/>
      <c r="C288" s="55"/>
      <c r="D288" s="218"/>
      <c r="E288" s="126"/>
      <c r="F288" s="224"/>
      <c r="G288" s="126"/>
      <c r="H288" s="218"/>
      <c r="I288" s="223"/>
      <c r="J288" s="46"/>
      <c r="K288" s="46"/>
      <c r="L288" s="46"/>
      <c r="M288" s="46"/>
      <c r="N288" s="46"/>
      <c r="O288" s="46"/>
      <c r="P288" s="46"/>
      <c r="Q288" s="46"/>
      <c r="R288" s="46"/>
      <c r="S288" s="46"/>
      <c r="T288" s="46"/>
      <c r="U288" s="46"/>
      <c r="V288" s="46"/>
      <c r="W288" s="46"/>
    </row>
    <row r="289">
      <c r="A289" s="55"/>
      <c r="B289" s="218"/>
      <c r="C289" s="55"/>
      <c r="D289" s="218"/>
      <c r="E289" s="126"/>
      <c r="F289" s="224"/>
      <c r="G289" s="126"/>
      <c r="H289" s="218"/>
      <c r="I289" s="223"/>
      <c r="J289" s="46"/>
      <c r="K289" s="46"/>
      <c r="L289" s="46"/>
      <c r="M289" s="46"/>
      <c r="N289" s="46"/>
      <c r="O289" s="46"/>
      <c r="P289" s="46"/>
      <c r="Q289" s="46"/>
      <c r="R289" s="46"/>
      <c r="S289" s="46"/>
      <c r="T289" s="46"/>
      <c r="U289" s="46"/>
      <c r="V289" s="46"/>
      <c r="W289" s="46"/>
    </row>
    <row r="290">
      <c r="A290" s="55"/>
      <c r="B290" s="218"/>
      <c r="C290" s="55"/>
      <c r="D290" s="218"/>
      <c r="E290" s="126"/>
      <c r="F290" s="224"/>
      <c r="G290" s="126"/>
      <c r="H290" s="218"/>
      <c r="I290" s="223"/>
      <c r="J290" s="46"/>
      <c r="K290" s="46"/>
      <c r="L290" s="46"/>
      <c r="M290" s="46"/>
      <c r="N290" s="46"/>
      <c r="O290" s="46"/>
      <c r="P290" s="46"/>
      <c r="Q290" s="46"/>
      <c r="R290" s="46"/>
      <c r="S290" s="46"/>
      <c r="T290" s="46"/>
      <c r="U290" s="46"/>
      <c r="V290" s="46"/>
      <c r="W290" s="46"/>
    </row>
    <row r="291">
      <c r="A291" s="55"/>
      <c r="B291" s="218"/>
      <c r="C291" s="55"/>
      <c r="D291" s="218"/>
      <c r="E291" s="126"/>
      <c r="F291" s="224"/>
      <c r="G291" s="126"/>
      <c r="H291" s="218"/>
      <c r="I291" s="223"/>
      <c r="J291" s="46"/>
      <c r="K291" s="46"/>
      <c r="L291" s="46"/>
      <c r="M291" s="46"/>
      <c r="N291" s="46"/>
      <c r="O291" s="46"/>
      <c r="P291" s="46"/>
      <c r="Q291" s="46"/>
      <c r="R291" s="46"/>
      <c r="S291" s="46"/>
      <c r="T291" s="46"/>
      <c r="U291" s="46"/>
      <c r="V291" s="46"/>
      <c r="W291" s="46"/>
    </row>
    <row r="292">
      <c r="A292" s="55"/>
      <c r="B292" s="218"/>
      <c r="C292" s="55"/>
      <c r="D292" s="218"/>
      <c r="E292" s="126"/>
      <c r="F292" s="224"/>
      <c r="G292" s="126"/>
      <c r="H292" s="218"/>
      <c r="I292" s="223"/>
      <c r="J292" s="46"/>
      <c r="K292" s="46"/>
      <c r="L292" s="46"/>
      <c r="M292" s="46"/>
      <c r="N292" s="46"/>
      <c r="O292" s="46"/>
      <c r="P292" s="46"/>
      <c r="Q292" s="46"/>
      <c r="R292" s="46"/>
      <c r="S292" s="46"/>
      <c r="T292" s="46"/>
      <c r="U292" s="46"/>
      <c r="V292" s="46"/>
      <c r="W292" s="46"/>
    </row>
    <row r="293">
      <c r="A293" s="55"/>
      <c r="B293" s="218"/>
      <c r="C293" s="55"/>
      <c r="D293" s="218"/>
      <c r="E293" s="126"/>
      <c r="F293" s="224"/>
      <c r="G293" s="126"/>
      <c r="H293" s="218"/>
      <c r="I293" s="223"/>
      <c r="J293" s="46"/>
      <c r="K293" s="46"/>
      <c r="L293" s="46"/>
      <c r="M293" s="46"/>
      <c r="N293" s="46"/>
      <c r="O293" s="46"/>
      <c r="P293" s="46"/>
      <c r="Q293" s="46"/>
      <c r="R293" s="46"/>
      <c r="S293" s="46"/>
      <c r="T293" s="46"/>
      <c r="U293" s="46"/>
      <c r="V293" s="46"/>
      <c r="W293" s="46"/>
    </row>
    <row r="294">
      <c r="A294" s="55"/>
      <c r="B294" s="218"/>
      <c r="C294" s="55"/>
      <c r="D294" s="218"/>
      <c r="E294" s="126"/>
      <c r="F294" s="224"/>
      <c r="G294" s="126"/>
      <c r="H294" s="218"/>
      <c r="I294" s="223"/>
      <c r="J294" s="46"/>
      <c r="K294" s="46"/>
      <c r="L294" s="46"/>
      <c r="M294" s="46"/>
      <c r="N294" s="46"/>
      <c r="O294" s="46"/>
      <c r="P294" s="46"/>
      <c r="Q294" s="46"/>
      <c r="R294" s="46"/>
      <c r="S294" s="46"/>
      <c r="T294" s="46"/>
      <c r="U294" s="46"/>
      <c r="V294" s="46"/>
      <c r="W294" s="46"/>
    </row>
    <row r="295">
      <c r="A295" s="55"/>
      <c r="B295" s="218"/>
      <c r="C295" s="55"/>
      <c r="D295" s="218"/>
      <c r="E295" s="126"/>
      <c r="F295" s="224"/>
      <c r="G295" s="126"/>
      <c r="H295" s="218"/>
      <c r="I295" s="223"/>
      <c r="J295" s="46"/>
      <c r="K295" s="46"/>
      <c r="L295" s="46"/>
      <c r="M295" s="46"/>
      <c r="N295" s="46"/>
      <c r="O295" s="46"/>
      <c r="P295" s="46"/>
      <c r="Q295" s="46"/>
      <c r="R295" s="46"/>
      <c r="S295" s="46"/>
      <c r="T295" s="46"/>
      <c r="U295" s="46"/>
      <c r="V295" s="46"/>
      <c r="W295" s="46"/>
    </row>
    <row r="296">
      <c r="A296" s="55"/>
      <c r="B296" s="218"/>
      <c r="C296" s="55"/>
      <c r="D296" s="218"/>
      <c r="E296" s="126"/>
      <c r="F296" s="224"/>
      <c r="G296" s="126"/>
      <c r="H296" s="218"/>
      <c r="I296" s="223"/>
      <c r="J296" s="46"/>
      <c r="K296" s="46"/>
      <c r="L296" s="46"/>
      <c r="M296" s="46"/>
      <c r="N296" s="46"/>
      <c r="O296" s="46"/>
      <c r="P296" s="46"/>
      <c r="Q296" s="46"/>
      <c r="R296" s="46"/>
      <c r="S296" s="46"/>
      <c r="T296" s="46"/>
      <c r="U296" s="46"/>
      <c r="V296" s="46"/>
      <c r="W296" s="46"/>
    </row>
    <row r="297">
      <c r="A297" s="55"/>
      <c r="B297" s="218"/>
      <c r="C297" s="55"/>
      <c r="D297" s="218"/>
      <c r="E297" s="126"/>
      <c r="F297" s="224"/>
      <c r="G297" s="126"/>
      <c r="H297" s="218"/>
      <c r="I297" s="223"/>
      <c r="J297" s="46"/>
      <c r="K297" s="46"/>
      <c r="L297" s="46"/>
      <c r="M297" s="46"/>
      <c r="N297" s="46"/>
      <c r="O297" s="46"/>
      <c r="P297" s="46"/>
      <c r="Q297" s="46"/>
      <c r="R297" s="46"/>
      <c r="S297" s="46"/>
      <c r="T297" s="46"/>
      <c r="U297" s="46"/>
      <c r="V297" s="46"/>
      <c r="W297" s="46"/>
    </row>
    <row r="298">
      <c r="A298" s="55"/>
      <c r="B298" s="218"/>
      <c r="C298" s="55"/>
      <c r="D298" s="218"/>
      <c r="E298" s="126"/>
      <c r="F298" s="224"/>
      <c r="G298" s="126"/>
      <c r="H298" s="218"/>
      <c r="I298" s="223"/>
      <c r="J298" s="46"/>
      <c r="K298" s="46"/>
      <c r="L298" s="46"/>
      <c r="M298" s="46"/>
      <c r="N298" s="46"/>
      <c r="O298" s="46"/>
      <c r="P298" s="46"/>
      <c r="Q298" s="46"/>
      <c r="R298" s="46"/>
      <c r="S298" s="46"/>
      <c r="T298" s="46"/>
      <c r="U298" s="46"/>
      <c r="V298" s="46"/>
      <c r="W298" s="46"/>
    </row>
    <row r="299">
      <c r="A299" s="55"/>
      <c r="B299" s="218"/>
      <c r="C299" s="55"/>
      <c r="D299" s="218"/>
      <c r="E299" s="126"/>
      <c r="F299" s="224"/>
      <c r="G299" s="126"/>
      <c r="H299" s="218"/>
      <c r="I299" s="223"/>
      <c r="J299" s="46"/>
      <c r="K299" s="46"/>
      <c r="L299" s="46"/>
      <c r="M299" s="46"/>
      <c r="N299" s="46"/>
      <c r="O299" s="46"/>
      <c r="P299" s="46"/>
      <c r="Q299" s="46"/>
      <c r="R299" s="46"/>
      <c r="S299" s="46"/>
      <c r="T299" s="46"/>
      <c r="U299" s="46"/>
      <c r="V299" s="46"/>
      <c r="W299" s="46"/>
    </row>
    <row r="300">
      <c r="A300" s="55"/>
      <c r="B300" s="218"/>
      <c r="C300" s="55"/>
      <c r="D300" s="218"/>
      <c r="E300" s="126"/>
      <c r="F300" s="224"/>
      <c r="G300" s="126"/>
      <c r="H300" s="218"/>
      <c r="I300" s="223"/>
      <c r="J300" s="46"/>
      <c r="K300" s="46"/>
      <c r="L300" s="46"/>
      <c r="M300" s="46"/>
      <c r="N300" s="46"/>
      <c r="O300" s="46"/>
      <c r="P300" s="46"/>
      <c r="Q300" s="46"/>
      <c r="R300" s="46"/>
      <c r="S300" s="46"/>
      <c r="T300" s="46"/>
      <c r="U300" s="46"/>
      <c r="V300" s="46"/>
      <c r="W300" s="46"/>
    </row>
    <row r="301">
      <c r="A301" s="55"/>
      <c r="B301" s="218"/>
      <c r="C301" s="55"/>
      <c r="D301" s="218"/>
      <c r="E301" s="126"/>
      <c r="F301" s="224"/>
      <c r="G301" s="126"/>
      <c r="H301" s="218"/>
      <c r="I301" s="223"/>
      <c r="J301" s="46"/>
      <c r="K301" s="46"/>
      <c r="L301" s="46"/>
      <c r="M301" s="46"/>
      <c r="N301" s="46"/>
      <c r="O301" s="46"/>
      <c r="P301" s="46"/>
      <c r="Q301" s="46"/>
      <c r="R301" s="46"/>
      <c r="S301" s="46"/>
      <c r="T301" s="46"/>
      <c r="U301" s="46"/>
      <c r="V301" s="46"/>
      <c r="W301" s="46"/>
    </row>
    <row r="302">
      <c r="A302" s="55"/>
      <c r="B302" s="218"/>
      <c r="C302" s="55"/>
      <c r="D302" s="218"/>
      <c r="E302" s="126"/>
      <c r="F302" s="224"/>
      <c r="G302" s="126"/>
      <c r="H302" s="218"/>
      <c r="I302" s="223"/>
      <c r="J302" s="46"/>
      <c r="K302" s="46"/>
      <c r="L302" s="46"/>
      <c r="M302" s="46"/>
      <c r="N302" s="46"/>
      <c r="O302" s="46"/>
      <c r="P302" s="46"/>
      <c r="Q302" s="46"/>
      <c r="R302" s="46"/>
      <c r="S302" s="46"/>
      <c r="T302" s="46"/>
      <c r="U302" s="46"/>
      <c r="V302" s="46"/>
      <c r="W302" s="46"/>
    </row>
    <row r="303">
      <c r="A303" s="55"/>
      <c r="B303" s="218"/>
      <c r="C303" s="55"/>
      <c r="D303" s="218"/>
      <c r="E303" s="126"/>
      <c r="F303" s="224"/>
      <c r="G303" s="126"/>
      <c r="H303" s="218"/>
      <c r="I303" s="223"/>
      <c r="J303" s="46"/>
      <c r="K303" s="46"/>
      <c r="L303" s="46"/>
      <c r="M303" s="46"/>
      <c r="N303" s="46"/>
      <c r="O303" s="46"/>
      <c r="P303" s="46"/>
      <c r="Q303" s="46"/>
      <c r="R303" s="46"/>
      <c r="S303" s="46"/>
      <c r="T303" s="46"/>
      <c r="U303" s="46"/>
      <c r="V303" s="46"/>
      <c r="W303" s="46"/>
    </row>
    <row r="304">
      <c r="A304" s="55"/>
      <c r="B304" s="218"/>
      <c r="C304" s="55"/>
      <c r="D304" s="218"/>
      <c r="E304" s="126"/>
      <c r="F304" s="224"/>
      <c r="G304" s="126"/>
      <c r="H304" s="218"/>
      <c r="I304" s="223"/>
      <c r="J304" s="46"/>
      <c r="K304" s="46"/>
      <c r="L304" s="46"/>
      <c r="M304" s="46"/>
      <c r="N304" s="46"/>
      <c r="O304" s="46"/>
      <c r="P304" s="46"/>
      <c r="Q304" s="46"/>
      <c r="R304" s="46"/>
      <c r="S304" s="46"/>
      <c r="T304" s="46"/>
      <c r="U304" s="46"/>
      <c r="V304" s="46"/>
      <c r="W304" s="46"/>
    </row>
    <row r="305">
      <c r="A305" s="55"/>
      <c r="B305" s="218"/>
      <c r="C305" s="55"/>
      <c r="D305" s="218"/>
      <c r="E305" s="126"/>
      <c r="F305" s="224"/>
      <c r="G305" s="126"/>
      <c r="H305" s="218"/>
      <c r="I305" s="223"/>
      <c r="J305" s="46"/>
      <c r="K305" s="46"/>
      <c r="L305" s="46"/>
      <c r="M305" s="46"/>
      <c r="N305" s="46"/>
      <c r="O305" s="46"/>
      <c r="P305" s="46"/>
      <c r="Q305" s="46"/>
      <c r="R305" s="46"/>
      <c r="S305" s="46"/>
      <c r="T305" s="46"/>
      <c r="U305" s="46"/>
      <c r="V305" s="46"/>
      <c r="W305" s="46"/>
    </row>
    <row r="306">
      <c r="A306" s="55"/>
      <c r="B306" s="218"/>
      <c r="C306" s="55"/>
      <c r="D306" s="218"/>
      <c r="E306" s="126"/>
      <c r="F306" s="224"/>
      <c r="G306" s="126"/>
      <c r="H306" s="218"/>
      <c r="I306" s="223"/>
      <c r="J306" s="46"/>
      <c r="K306" s="46"/>
      <c r="L306" s="46"/>
      <c r="M306" s="46"/>
      <c r="N306" s="46"/>
      <c r="O306" s="46"/>
      <c r="P306" s="46"/>
      <c r="Q306" s="46"/>
      <c r="R306" s="46"/>
      <c r="S306" s="46"/>
      <c r="T306" s="46"/>
      <c r="U306" s="46"/>
      <c r="V306" s="46"/>
      <c r="W306" s="46"/>
    </row>
    <row r="307">
      <c r="A307" s="55"/>
      <c r="B307" s="218"/>
      <c r="C307" s="55"/>
      <c r="D307" s="218"/>
      <c r="E307" s="126"/>
      <c r="F307" s="224"/>
      <c r="G307" s="126"/>
      <c r="H307" s="218"/>
      <c r="I307" s="223"/>
      <c r="J307" s="46"/>
      <c r="K307" s="46"/>
      <c r="L307" s="46"/>
      <c r="M307" s="46"/>
      <c r="N307" s="46"/>
      <c r="O307" s="46"/>
      <c r="P307" s="46"/>
      <c r="Q307" s="46"/>
      <c r="R307" s="46"/>
      <c r="S307" s="46"/>
      <c r="T307" s="46"/>
      <c r="U307" s="46"/>
      <c r="V307" s="46"/>
      <c r="W307" s="46"/>
    </row>
    <row r="308">
      <c r="A308" s="55"/>
      <c r="B308" s="218"/>
      <c r="C308" s="55"/>
      <c r="D308" s="218"/>
      <c r="E308" s="126"/>
      <c r="F308" s="224"/>
      <c r="G308" s="126"/>
      <c r="H308" s="218"/>
      <c r="I308" s="223"/>
      <c r="J308" s="46"/>
      <c r="K308" s="46"/>
      <c r="L308" s="46"/>
      <c r="M308" s="46"/>
      <c r="N308" s="46"/>
      <c r="O308" s="46"/>
      <c r="P308" s="46"/>
      <c r="Q308" s="46"/>
      <c r="R308" s="46"/>
      <c r="S308" s="46"/>
      <c r="T308" s="46"/>
      <c r="U308" s="46"/>
      <c r="V308" s="46"/>
      <c r="W308" s="46"/>
    </row>
    <row r="309">
      <c r="A309" s="55"/>
      <c r="B309" s="218"/>
      <c r="C309" s="55"/>
      <c r="D309" s="218"/>
      <c r="E309" s="126"/>
      <c r="F309" s="224"/>
      <c r="G309" s="126"/>
      <c r="H309" s="218"/>
      <c r="I309" s="223"/>
      <c r="J309" s="46"/>
      <c r="K309" s="46"/>
      <c r="L309" s="46"/>
      <c r="M309" s="46"/>
      <c r="N309" s="46"/>
      <c r="O309" s="46"/>
      <c r="P309" s="46"/>
      <c r="Q309" s="46"/>
      <c r="R309" s="46"/>
      <c r="S309" s="46"/>
      <c r="T309" s="46"/>
      <c r="U309" s="46"/>
      <c r="V309" s="46"/>
      <c r="W309" s="46"/>
    </row>
    <row r="310">
      <c r="A310" s="55"/>
      <c r="B310" s="218"/>
      <c r="C310" s="55"/>
      <c r="D310" s="218"/>
      <c r="E310" s="126"/>
      <c r="F310" s="224"/>
      <c r="G310" s="126"/>
      <c r="H310" s="218"/>
      <c r="I310" s="223"/>
      <c r="J310" s="46"/>
      <c r="K310" s="46"/>
      <c r="L310" s="46"/>
      <c r="M310" s="46"/>
      <c r="N310" s="46"/>
      <c r="O310" s="46"/>
      <c r="P310" s="46"/>
      <c r="Q310" s="46"/>
      <c r="R310" s="46"/>
      <c r="S310" s="46"/>
      <c r="T310" s="46"/>
      <c r="U310" s="46"/>
      <c r="V310" s="46"/>
      <c r="W310" s="46"/>
    </row>
    <row r="311">
      <c r="A311" s="55"/>
      <c r="B311" s="218"/>
      <c r="C311" s="55"/>
      <c r="D311" s="218"/>
      <c r="E311" s="126"/>
      <c r="F311" s="224"/>
      <c r="G311" s="126"/>
      <c r="H311" s="218"/>
      <c r="I311" s="223"/>
      <c r="J311" s="46"/>
      <c r="K311" s="46"/>
      <c r="L311" s="46"/>
      <c r="M311" s="46"/>
      <c r="N311" s="46"/>
      <c r="O311" s="46"/>
      <c r="P311" s="46"/>
      <c r="Q311" s="46"/>
      <c r="R311" s="46"/>
      <c r="S311" s="46"/>
      <c r="T311" s="46"/>
      <c r="U311" s="46"/>
      <c r="V311" s="46"/>
      <c r="W311" s="46"/>
    </row>
    <row r="312">
      <c r="A312" s="55"/>
      <c r="B312" s="218"/>
      <c r="C312" s="55"/>
      <c r="D312" s="218"/>
      <c r="E312" s="126"/>
      <c r="F312" s="224"/>
      <c r="G312" s="126"/>
      <c r="H312" s="218"/>
      <c r="I312" s="223"/>
      <c r="J312" s="46"/>
      <c r="K312" s="46"/>
      <c r="L312" s="46"/>
      <c r="M312" s="46"/>
      <c r="N312" s="46"/>
      <c r="O312" s="46"/>
      <c r="P312" s="46"/>
      <c r="Q312" s="46"/>
      <c r="R312" s="46"/>
      <c r="S312" s="46"/>
      <c r="T312" s="46"/>
      <c r="U312" s="46"/>
      <c r="V312" s="46"/>
      <c r="W312" s="46"/>
    </row>
    <row r="313">
      <c r="A313" s="55"/>
      <c r="B313" s="218"/>
      <c r="C313" s="55"/>
      <c r="D313" s="218"/>
      <c r="E313" s="126"/>
      <c r="F313" s="224"/>
      <c r="G313" s="126"/>
      <c r="H313" s="218"/>
      <c r="I313" s="223"/>
      <c r="J313" s="46"/>
      <c r="K313" s="46"/>
      <c r="L313" s="46"/>
      <c r="M313" s="46"/>
      <c r="N313" s="46"/>
      <c r="O313" s="46"/>
      <c r="P313" s="46"/>
      <c r="Q313" s="46"/>
      <c r="R313" s="46"/>
      <c r="S313" s="46"/>
      <c r="T313" s="46"/>
      <c r="U313" s="46"/>
      <c r="V313" s="46"/>
      <c r="W313" s="46"/>
    </row>
    <row r="314">
      <c r="A314" s="55"/>
      <c r="B314" s="218"/>
      <c r="C314" s="55"/>
      <c r="D314" s="218"/>
      <c r="E314" s="126"/>
      <c r="F314" s="224"/>
      <c r="G314" s="126"/>
      <c r="H314" s="218"/>
      <c r="I314" s="223"/>
      <c r="J314" s="46"/>
      <c r="K314" s="46"/>
      <c r="L314" s="46"/>
      <c r="M314" s="46"/>
      <c r="N314" s="46"/>
      <c r="O314" s="46"/>
      <c r="P314" s="46"/>
      <c r="Q314" s="46"/>
      <c r="R314" s="46"/>
      <c r="S314" s="46"/>
      <c r="T314" s="46"/>
      <c r="U314" s="46"/>
      <c r="V314" s="46"/>
      <c r="W314" s="46"/>
    </row>
    <row r="315">
      <c r="A315" s="55"/>
      <c r="B315" s="218"/>
      <c r="C315" s="55"/>
      <c r="D315" s="218"/>
      <c r="E315" s="126"/>
      <c r="F315" s="224"/>
      <c r="G315" s="126"/>
      <c r="H315" s="218"/>
      <c r="I315" s="223"/>
      <c r="J315" s="46"/>
      <c r="K315" s="46"/>
      <c r="L315" s="46"/>
      <c r="M315" s="46"/>
      <c r="N315" s="46"/>
      <c r="O315" s="46"/>
      <c r="P315" s="46"/>
      <c r="Q315" s="46"/>
      <c r="R315" s="46"/>
      <c r="S315" s="46"/>
      <c r="T315" s="46"/>
      <c r="U315" s="46"/>
      <c r="V315" s="46"/>
      <c r="W315" s="46"/>
    </row>
    <row r="316">
      <c r="A316" s="55"/>
      <c r="B316" s="218"/>
      <c r="C316" s="55"/>
      <c r="D316" s="218"/>
      <c r="E316" s="126"/>
      <c r="F316" s="224"/>
      <c r="G316" s="126"/>
      <c r="H316" s="218"/>
      <c r="I316" s="223"/>
      <c r="J316" s="46"/>
      <c r="K316" s="46"/>
      <c r="L316" s="46"/>
      <c r="M316" s="46"/>
      <c r="N316" s="46"/>
      <c r="O316" s="46"/>
      <c r="P316" s="46"/>
      <c r="Q316" s="46"/>
      <c r="R316" s="46"/>
      <c r="S316" s="46"/>
      <c r="T316" s="46"/>
      <c r="U316" s="46"/>
      <c r="V316" s="46"/>
      <c r="W316" s="46"/>
    </row>
    <row r="317">
      <c r="A317" s="55"/>
      <c r="B317" s="218"/>
      <c r="C317" s="55"/>
      <c r="D317" s="218"/>
      <c r="E317" s="126"/>
      <c r="F317" s="224"/>
      <c r="G317" s="126"/>
      <c r="H317" s="218"/>
      <c r="I317" s="223"/>
      <c r="J317" s="46"/>
      <c r="K317" s="46"/>
      <c r="L317" s="46"/>
      <c r="M317" s="46"/>
      <c r="N317" s="46"/>
      <c r="O317" s="46"/>
      <c r="P317" s="46"/>
      <c r="Q317" s="46"/>
      <c r="R317" s="46"/>
      <c r="S317" s="46"/>
      <c r="T317" s="46"/>
      <c r="U317" s="46"/>
      <c r="V317" s="46"/>
      <c r="W317" s="46"/>
    </row>
    <row r="318">
      <c r="A318" s="55"/>
      <c r="B318" s="218"/>
      <c r="C318" s="55"/>
      <c r="D318" s="218"/>
      <c r="E318" s="126"/>
      <c r="F318" s="224"/>
      <c r="G318" s="126"/>
      <c r="H318" s="218"/>
      <c r="I318" s="223"/>
      <c r="J318" s="46"/>
      <c r="K318" s="46"/>
      <c r="L318" s="46"/>
      <c r="M318" s="46"/>
      <c r="N318" s="46"/>
      <c r="O318" s="46"/>
      <c r="P318" s="46"/>
      <c r="Q318" s="46"/>
      <c r="R318" s="46"/>
      <c r="S318" s="46"/>
      <c r="T318" s="46"/>
      <c r="U318" s="46"/>
      <c r="V318" s="46"/>
      <c r="W318" s="46"/>
    </row>
    <row r="319">
      <c r="A319" s="55"/>
      <c r="B319" s="218"/>
      <c r="C319" s="55"/>
      <c r="D319" s="218"/>
      <c r="E319" s="126"/>
      <c r="F319" s="224"/>
      <c r="G319" s="126"/>
      <c r="H319" s="218"/>
      <c r="I319" s="223"/>
      <c r="J319" s="46"/>
      <c r="K319" s="46"/>
      <c r="L319" s="46"/>
      <c r="M319" s="46"/>
      <c r="N319" s="46"/>
      <c r="O319" s="46"/>
      <c r="P319" s="46"/>
      <c r="Q319" s="46"/>
      <c r="R319" s="46"/>
      <c r="S319" s="46"/>
      <c r="T319" s="46"/>
      <c r="U319" s="46"/>
      <c r="V319" s="46"/>
      <c r="W319" s="46"/>
    </row>
    <row r="320">
      <c r="A320" s="55"/>
      <c r="B320" s="218"/>
      <c r="C320" s="55"/>
      <c r="D320" s="218"/>
      <c r="E320" s="126"/>
      <c r="F320" s="224"/>
      <c r="G320" s="126"/>
      <c r="H320" s="218"/>
      <c r="I320" s="223"/>
      <c r="J320" s="46"/>
      <c r="K320" s="46"/>
      <c r="L320" s="46"/>
      <c r="M320" s="46"/>
      <c r="N320" s="46"/>
      <c r="O320" s="46"/>
      <c r="P320" s="46"/>
      <c r="Q320" s="46"/>
      <c r="R320" s="46"/>
      <c r="S320" s="46"/>
      <c r="T320" s="46"/>
      <c r="U320" s="46"/>
      <c r="V320" s="46"/>
      <c r="W320" s="46"/>
    </row>
    <row r="321">
      <c r="A321" s="55"/>
      <c r="B321" s="218"/>
      <c r="C321" s="55"/>
      <c r="D321" s="218"/>
      <c r="E321" s="126"/>
      <c r="F321" s="224"/>
      <c r="G321" s="126"/>
      <c r="H321" s="218"/>
      <c r="I321" s="223"/>
      <c r="J321" s="46"/>
      <c r="K321" s="46"/>
      <c r="L321" s="46"/>
      <c r="M321" s="46"/>
      <c r="N321" s="46"/>
      <c r="O321" s="46"/>
      <c r="P321" s="46"/>
      <c r="Q321" s="46"/>
      <c r="R321" s="46"/>
      <c r="S321" s="46"/>
      <c r="T321" s="46"/>
      <c r="U321" s="46"/>
      <c r="V321" s="46"/>
      <c r="W321" s="46"/>
    </row>
    <row r="322">
      <c r="A322" s="55"/>
      <c r="B322" s="218"/>
      <c r="C322" s="55"/>
      <c r="D322" s="218"/>
      <c r="E322" s="126"/>
      <c r="F322" s="224"/>
      <c r="G322" s="126"/>
      <c r="H322" s="218"/>
      <c r="I322" s="223"/>
      <c r="J322" s="46"/>
      <c r="K322" s="46"/>
      <c r="L322" s="46"/>
      <c r="M322" s="46"/>
      <c r="N322" s="46"/>
      <c r="O322" s="46"/>
      <c r="P322" s="46"/>
      <c r="Q322" s="46"/>
      <c r="R322" s="46"/>
      <c r="S322" s="46"/>
      <c r="T322" s="46"/>
      <c r="U322" s="46"/>
      <c r="V322" s="46"/>
      <c r="W322" s="46"/>
    </row>
    <row r="323">
      <c r="A323" s="55"/>
      <c r="B323" s="218"/>
      <c r="C323" s="55"/>
      <c r="D323" s="218"/>
      <c r="E323" s="126"/>
      <c r="F323" s="224"/>
      <c r="G323" s="126"/>
      <c r="H323" s="218"/>
      <c r="I323" s="223"/>
      <c r="J323" s="46"/>
      <c r="K323" s="46"/>
      <c r="L323" s="46"/>
      <c r="M323" s="46"/>
      <c r="N323" s="46"/>
      <c r="O323" s="46"/>
      <c r="P323" s="46"/>
      <c r="Q323" s="46"/>
      <c r="R323" s="46"/>
      <c r="S323" s="46"/>
      <c r="T323" s="46"/>
      <c r="U323" s="46"/>
      <c r="V323" s="46"/>
      <c r="W323" s="46"/>
    </row>
    <row r="324">
      <c r="A324" s="55"/>
      <c r="B324" s="218"/>
      <c r="C324" s="55"/>
      <c r="D324" s="218"/>
      <c r="E324" s="126"/>
      <c r="F324" s="224"/>
      <c r="G324" s="126"/>
      <c r="H324" s="218"/>
      <c r="I324" s="223"/>
      <c r="J324" s="46"/>
      <c r="K324" s="46"/>
      <c r="L324" s="46"/>
      <c r="M324" s="46"/>
      <c r="N324" s="46"/>
      <c r="O324" s="46"/>
      <c r="P324" s="46"/>
      <c r="Q324" s="46"/>
      <c r="R324" s="46"/>
      <c r="S324" s="46"/>
      <c r="T324" s="46"/>
      <c r="U324" s="46"/>
      <c r="V324" s="46"/>
      <c r="W324" s="46"/>
    </row>
    <row r="325">
      <c r="A325" s="55"/>
      <c r="B325" s="218"/>
      <c r="C325" s="55"/>
      <c r="D325" s="218"/>
      <c r="E325" s="126"/>
      <c r="F325" s="224"/>
      <c r="G325" s="126"/>
      <c r="H325" s="218"/>
      <c r="I325" s="223"/>
      <c r="J325" s="46"/>
      <c r="K325" s="46"/>
      <c r="L325" s="46"/>
      <c r="M325" s="46"/>
      <c r="N325" s="46"/>
      <c r="O325" s="46"/>
      <c r="P325" s="46"/>
      <c r="Q325" s="46"/>
      <c r="R325" s="46"/>
      <c r="S325" s="46"/>
      <c r="T325" s="46"/>
      <c r="U325" s="46"/>
      <c r="V325" s="46"/>
      <c r="W325" s="46"/>
    </row>
    <row r="326">
      <c r="A326" s="55"/>
      <c r="B326" s="218"/>
      <c r="C326" s="55"/>
      <c r="D326" s="218"/>
      <c r="E326" s="126"/>
      <c r="F326" s="224"/>
      <c r="G326" s="126"/>
      <c r="H326" s="218"/>
      <c r="I326" s="223"/>
      <c r="J326" s="46"/>
      <c r="K326" s="46"/>
      <c r="L326" s="46"/>
      <c r="M326" s="46"/>
      <c r="N326" s="46"/>
      <c r="O326" s="46"/>
      <c r="P326" s="46"/>
      <c r="Q326" s="46"/>
      <c r="R326" s="46"/>
      <c r="S326" s="46"/>
      <c r="T326" s="46"/>
      <c r="U326" s="46"/>
      <c r="V326" s="46"/>
      <c r="W326" s="46"/>
    </row>
    <row r="327">
      <c r="A327" s="55"/>
      <c r="B327" s="218"/>
      <c r="C327" s="55"/>
      <c r="D327" s="218"/>
      <c r="E327" s="126"/>
      <c r="F327" s="224"/>
      <c r="G327" s="126"/>
      <c r="H327" s="218"/>
      <c r="I327" s="223"/>
      <c r="J327" s="46"/>
      <c r="K327" s="46"/>
      <c r="L327" s="46"/>
      <c r="M327" s="46"/>
      <c r="N327" s="46"/>
      <c r="O327" s="46"/>
      <c r="P327" s="46"/>
      <c r="Q327" s="46"/>
      <c r="R327" s="46"/>
      <c r="S327" s="46"/>
      <c r="T327" s="46"/>
      <c r="U327" s="46"/>
      <c r="V327" s="46"/>
      <c r="W327" s="46"/>
    </row>
    <row r="328">
      <c r="A328" s="55"/>
      <c r="B328" s="218"/>
      <c r="C328" s="55"/>
      <c r="D328" s="218"/>
      <c r="E328" s="126"/>
      <c r="F328" s="224"/>
      <c r="G328" s="126"/>
      <c r="H328" s="218"/>
      <c r="I328" s="223"/>
      <c r="J328" s="46"/>
      <c r="K328" s="46"/>
      <c r="L328" s="46"/>
      <c r="M328" s="46"/>
      <c r="N328" s="46"/>
      <c r="O328" s="46"/>
      <c r="P328" s="46"/>
      <c r="Q328" s="46"/>
      <c r="R328" s="46"/>
      <c r="S328" s="46"/>
      <c r="T328" s="46"/>
      <c r="U328" s="46"/>
      <c r="V328" s="46"/>
      <c r="W328" s="46"/>
    </row>
    <row r="329">
      <c r="A329" s="55"/>
      <c r="B329" s="218"/>
      <c r="C329" s="55"/>
      <c r="D329" s="218"/>
      <c r="E329" s="126"/>
      <c r="F329" s="224"/>
      <c r="G329" s="126"/>
      <c r="H329" s="218"/>
      <c r="I329" s="223"/>
      <c r="J329" s="46"/>
      <c r="K329" s="46"/>
      <c r="L329" s="46"/>
      <c r="M329" s="46"/>
      <c r="N329" s="46"/>
      <c r="O329" s="46"/>
      <c r="P329" s="46"/>
      <c r="Q329" s="46"/>
      <c r="R329" s="46"/>
      <c r="S329" s="46"/>
      <c r="T329" s="46"/>
      <c r="U329" s="46"/>
      <c r="V329" s="46"/>
      <c r="W329" s="46"/>
    </row>
    <row r="330">
      <c r="A330" s="55"/>
      <c r="B330" s="218"/>
      <c r="C330" s="55"/>
      <c r="D330" s="218"/>
      <c r="E330" s="126"/>
      <c r="F330" s="224"/>
      <c r="G330" s="126"/>
      <c r="H330" s="218"/>
      <c r="I330" s="223"/>
      <c r="J330" s="46"/>
      <c r="K330" s="46"/>
      <c r="L330" s="46"/>
      <c r="M330" s="46"/>
      <c r="N330" s="46"/>
      <c r="O330" s="46"/>
      <c r="P330" s="46"/>
      <c r="Q330" s="46"/>
      <c r="R330" s="46"/>
      <c r="S330" s="46"/>
      <c r="T330" s="46"/>
      <c r="U330" s="46"/>
      <c r="V330" s="46"/>
      <c r="W330" s="46"/>
    </row>
    <row r="331">
      <c r="A331" s="55"/>
      <c r="B331" s="218"/>
      <c r="C331" s="55"/>
      <c r="D331" s="218"/>
      <c r="E331" s="126"/>
      <c r="F331" s="224"/>
      <c r="G331" s="126"/>
      <c r="H331" s="218"/>
      <c r="I331" s="223"/>
      <c r="J331" s="46"/>
      <c r="K331" s="46"/>
      <c r="L331" s="46"/>
      <c r="M331" s="46"/>
      <c r="N331" s="46"/>
      <c r="O331" s="46"/>
      <c r="P331" s="46"/>
      <c r="Q331" s="46"/>
      <c r="R331" s="46"/>
      <c r="S331" s="46"/>
      <c r="T331" s="46"/>
      <c r="U331" s="46"/>
      <c r="V331" s="46"/>
      <c r="W331" s="46"/>
    </row>
    <row r="332">
      <c r="A332" s="55"/>
      <c r="B332" s="218"/>
      <c r="C332" s="55"/>
      <c r="D332" s="218"/>
      <c r="E332" s="126"/>
      <c r="F332" s="224"/>
      <c r="G332" s="126"/>
      <c r="H332" s="218"/>
      <c r="I332" s="223"/>
      <c r="J332" s="46"/>
      <c r="K332" s="46"/>
      <c r="L332" s="46"/>
      <c r="M332" s="46"/>
      <c r="N332" s="46"/>
      <c r="O332" s="46"/>
      <c r="P332" s="46"/>
      <c r="Q332" s="46"/>
      <c r="R332" s="46"/>
      <c r="S332" s="46"/>
      <c r="T332" s="46"/>
      <c r="U332" s="46"/>
      <c r="V332" s="46"/>
      <c r="W332" s="46"/>
    </row>
    <row r="333">
      <c r="A333" s="55"/>
      <c r="B333" s="218"/>
      <c r="C333" s="55"/>
      <c r="D333" s="218"/>
      <c r="E333" s="126"/>
      <c r="F333" s="224"/>
      <c r="G333" s="126"/>
      <c r="H333" s="218"/>
      <c r="I333" s="223"/>
      <c r="J333" s="46"/>
      <c r="K333" s="46"/>
      <c r="L333" s="46"/>
      <c r="M333" s="46"/>
      <c r="N333" s="46"/>
      <c r="O333" s="46"/>
      <c r="P333" s="46"/>
      <c r="Q333" s="46"/>
      <c r="R333" s="46"/>
      <c r="S333" s="46"/>
      <c r="T333" s="46"/>
      <c r="U333" s="46"/>
      <c r="V333" s="46"/>
      <c r="W333" s="46"/>
    </row>
    <row r="334">
      <c r="A334" s="55"/>
      <c r="B334" s="218"/>
      <c r="C334" s="55"/>
      <c r="D334" s="218"/>
      <c r="E334" s="126"/>
      <c r="F334" s="224"/>
      <c r="G334" s="126"/>
      <c r="H334" s="218"/>
      <c r="I334" s="223"/>
      <c r="J334" s="46"/>
      <c r="K334" s="46"/>
      <c r="L334" s="46"/>
      <c r="M334" s="46"/>
      <c r="N334" s="46"/>
      <c r="O334" s="46"/>
      <c r="P334" s="46"/>
      <c r="Q334" s="46"/>
      <c r="R334" s="46"/>
      <c r="S334" s="46"/>
      <c r="T334" s="46"/>
      <c r="U334" s="46"/>
      <c r="V334" s="46"/>
      <c r="W334" s="46"/>
    </row>
    <row r="335">
      <c r="A335" s="55"/>
      <c r="B335" s="218"/>
      <c r="C335" s="55"/>
      <c r="D335" s="218"/>
      <c r="E335" s="126"/>
      <c r="F335" s="224"/>
      <c r="G335" s="126"/>
      <c r="H335" s="218"/>
      <c r="I335" s="223"/>
      <c r="J335" s="46"/>
      <c r="K335" s="46"/>
      <c r="L335" s="46"/>
      <c r="M335" s="46"/>
      <c r="N335" s="46"/>
      <c r="O335" s="46"/>
      <c r="P335" s="46"/>
      <c r="Q335" s="46"/>
      <c r="R335" s="46"/>
      <c r="S335" s="46"/>
      <c r="T335" s="46"/>
      <c r="U335" s="46"/>
      <c r="V335" s="46"/>
      <c r="W335" s="46"/>
    </row>
    <row r="336">
      <c r="A336" s="55"/>
      <c r="B336" s="218"/>
      <c r="C336" s="55"/>
      <c r="D336" s="218"/>
      <c r="E336" s="126"/>
      <c r="F336" s="224"/>
      <c r="G336" s="126"/>
      <c r="H336" s="218"/>
      <c r="I336" s="223"/>
      <c r="J336" s="46"/>
      <c r="K336" s="46"/>
      <c r="L336" s="46"/>
      <c r="M336" s="46"/>
      <c r="N336" s="46"/>
      <c r="O336" s="46"/>
      <c r="P336" s="46"/>
      <c r="Q336" s="46"/>
      <c r="R336" s="46"/>
      <c r="S336" s="46"/>
      <c r="T336" s="46"/>
      <c r="U336" s="46"/>
      <c r="V336" s="46"/>
      <c r="W336" s="46"/>
    </row>
    <row r="337">
      <c r="A337" s="55"/>
      <c r="B337" s="218"/>
      <c r="C337" s="55"/>
      <c r="D337" s="218"/>
      <c r="E337" s="126"/>
      <c r="F337" s="224"/>
      <c r="G337" s="126"/>
      <c r="H337" s="218"/>
      <c r="I337" s="223"/>
      <c r="J337" s="46"/>
      <c r="K337" s="46"/>
      <c r="L337" s="46"/>
      <c r="M337" s="46"/>
      <c r="N337" s="46"/>
      <c r="O337" s="46"/>
      <c r="P337" s="46"/>
      <c r="Q337" s="46"/>
      <c r="R337" s="46"/>
      <c r="S337" s="46"/>
      <c r="T337" s="46"/>
      <c r="U337" s="46"/>
      <c r="V337" s="46"/>
      <c r="W337" s="46"/>
    </row>
    <row r="338">
      <c r="A338" s="55"/>
      <c r="B338" s="218"/>
      <c r="C338" s="55"/>
      <c r="D338" s="218"/>
      <c r="E338" s="126"/>
      <c r="F338" s="224"/>
      <c r="G338" s="126"/>
      <c r="H338" s="218"/>
      <c r="I338" s="223"/>
      <c r="J338" s="46"/>
      <c r="K338" s="46"/>
      <c r="L338" s="46"/>
      <c r="M338" s="46"/>
      <c r="N338" s="46"/>
      <c r="O338" s="46"/>
      <c r="P338" s="46"/>
      <c r="Q338" s="46"/>
      <c r="R338" s="46"/>
      <c r="S338" s="46"/>
      <c r="T338" s="46"/>
      <c r="U338" s="46"/>
      <c r="V338" s="46"/>
      <c r="W338" s="46"/>
    </row>
    <row r="339">
      <c r="A339" s="55"/>
      <c r="B339" s="218"/>
      <c r="C339" s="55"/>
      <c r="D339" s="218"/>
      <c r="E339" s="126"/>
      <c r="F339" s="224"/>
      <c r="G339" s="126"/>
      <c r="H339" s="218"/>
      <c r="I339" s="223"/>
      <c r="J339" s="46"/>
      <c r="K339" s="46"/>
      <c r="L339" s="46"/>
      <c r="M339" s="46"/>
      <c r="N339" s="46"/>
      <c r="O339" s="46"/>
      <c r="P339" s="46"/>
      <c r="Q339" s="46"/>
      <c r="R339" s="46"/>
      <c r="S339" s="46"/>
      <c r="T339" s="46"/>
      <c r="U339" s="46"/>
      <c r="V339" s="46"/>
      <c r="W339" s="46"/>
    </row>
    <row r="340">
      <c r="A340" s="55"/>
      <c r="B340" s="218"/>
      <c r="C340" s="55"/>
      <c r="D340" s="218"/>
      <c r="E340" s="126"/>
      <c r="F340" s="224"/>
      <c r="G340" s="126"/>
      <c r="H340" s="218"/>
      <c r="I340" s="223"/>
      <c r="J340" s="46"/>
      <c r="K340" s="46"/>
      <c r="L340" s="46"/>
      <c r="M340" s="46"/>
      <c r="N340" s="46"/>
      <c r="O340" s="46"/>
      <c r="P340" s="46"/>
      <c r="Q340" s="46"/>
      <c r="R340" s="46"/>
      <c r="S340" s="46"/>
      <c r="T340" s="46"/>
      <c r="U340" s="46"/>
      <c r="V340" s="46"/>
      <c r="W340" s="46"/>
    </row>
    <row r="341">
      <c r="A341" s="55"/>
      <c r="B341" s="218"/>
      <c r="C341" s="55"/>
      <c r="D341" s="218"/>
      <c r="E341" s="126"/>
      <c r="F341" s="224"/>
      <c r="G341" s="126"/>
      <c r="H341" s="218"/>
      <c r="I341" s="223"/>
      <c r="J341" s="46"/>
      <c r="K341" s="46"/>
      <c r="L341" s="46"/>
      <c r="M341" s="46"/>
      <c r="N341" s="46"/>
      <c r="O341" s="46"/>
      <c r="P341" s="46"/>
      <c r="Q341" s="46"/>
      <c r="R341" s="46"/>
      <c r="S341" s="46"/>
      <c r="T341" s="46"/>
      <c r="U341" s="46"/>
      <c r="V341" s="46"/>
      <c r="W341" s="46"/>
    </row>
    <row r="342">
      <c r="A342" s="55"/>
      <c r="B342" s="218"/>
      <c r="C342" s="55"/>
      <c r="D342" s="218"/>
      <c r="E342" s="126"/>
      <c r="F342" s="224"/>
      <c r="G342" s="126"/>
      <c r="H342" s="218"/>
      <c r="I342" s="223"/>
      <c r="J342" s="46"/>
      <c r="K342" s="46"/>
      <c r="L342" s="46"/>
      <c r="M342" s="46"/>
      <c r="N342" s="46"/>
      <c r="O342" s="46"/>
      <c r="P342" s="46"/>
      <c r="Q342" s="46"/>
      <c r="R342" s="46"/>
      <c r="S342" s="46"/>
      <c r="T342" s="46"/>
      <c r="U342" s="46"/>
      <c r="V342" s="46"/>
      <c r="W342" s="46"/>
    </row>
    <row r="343">
      <c r="A343" s="55"/>
      <c r="B343" s="218"/>
      <c r="C343" s="55"/>
      <c r="D343" s="218"/>
      <c r="E343" s="126"/>
      <c r="F343" s="224"/>
      <c r="G343" s="126"/>
      <c r="H343" s="218"/>
      <c r="I343" s="223"/>
      <c r="J343" s="46"/>
      <c r="K343" s="46"/>
      <c r="L343" s="46"/>
      <c r="M343" s="46"/>
      <c r="N343" s="46"/>
      <c r="O343" s="46"/>
      <c r="P343" s="46"/>
      <c r="Q343" s="46"/>
      <c r="R343" s="46"/>
      <c r="S343" s="46"/>
      <c r="T343" s="46"/>
      <c r="U343" s="46"/>
      <c r="V343" s="46"/>
      <c r="W343" s="46"/>
    </row>
    <row r="344">
      <c r="A344" s="55"/>
      <c r="B344" s="218"/>
      <c r="C344" s="55"/>
      <c r="D344" s="218"/>
      <c r="E344" s="126"/>
      <c r="F344" s="224"/>
      <c r="G344" s="126"/>
      <c r="H344" s="218"/>
      <c r="I344" s="223"/>
      <c r="J344" s="46"/>
      <c r="K344" s="46"/>
      <c r="L344" s="46"/>
      <c r="M344" s="46"/>
      <c r="N344" s="46"/>
      <c r="O344" s="46"/>
      <c r="P344" s="46"/>
      <c r="Q344" s="46"/>
      <c r="R344" s="46"/>
      <c r="S344" s="46"/>
      <c r="T344" s="46"/>
      <c r="U344" s="46"/>
      <c r="V344" s="46"/>
      <c r="W344" s="46"/>
    </row>
    <row r="345">
      <c r="A345" s="55"/>
      <c r="B345" s="218"/>
      <c r="C345" s="55"/>
      <c r="D345" s="218"/>
      <c r="E345" s="126"/>
      <c r="F345" s="224"/>
      <c r="G345" s="126"/>
      <c r="H345" s="218"/>
      <c r="I345" s="223"/>
      <c r="J345" s="46"/>
      <c r="K345" s="46"/>
      <c r="L345" s="46"/>
      <c r="M345" s="46"/>
      <c r="N345" s="46"/>
      <c r="O345" s="46"/>
      <c r="P345" s="46"/>
      <c r="Q345" s="46"/>
      <c r="R345" s="46"/>
      <c r="S345" s="46"/>
      <c r="T345" s="46"/>
      <c r="U345" s="46"/>
      <c r="V345" s="46"/>
      <c r="W345" s="46"/>
    </row>
    <row r="346">
      <c r="A346" s="55"/>
      <c r="B346" s="218"/>
      <c r="C346" s="55"/>
      <c r="D346" s="218"/>
      <c r="E346" s="126"/>
      <c r="F346" s="224"/>
      <c r="G346" s="126"/>
      <c r="H346" s="218"/>
      <c r="I346" s="223"/>
      <c r="J346" s="46"/>
      <c r="K346" s="46"/>
      <c r="L346" s="46"/>
      <c r="M346" s="46"/>
      <c r="N346" s="46"/>
      <c r="O346" s="46"/>
      <c r="P346" s="46"/>
      <c r="Q346" s="46"/>
      <c r="R346" s="46"/>
      <c r="S346" s="46"/>
      <c r="T346" s="46"/>
      <c r="U346" s="46"/>
      <c r="V346" s="46"/>
      <c r="W346" s="46"/>
    </row>
    <row r="347">
      <c r="A347" s="55"/>
      <c r="B347" s="218"/>
      <c r="C347" s="55"/>
      <c r="D347" s="218"/>
      <c r="E347" s="126"/>
      <c r="F347" s="224"/>
      <c r="G347" s="126"/>
      <c r="H347" s="218"/>
      <c r="I347" s="223"/>
      <c r="J347" s="46"/>
      <c r="K347" s="46"/>
      <c r="L347" s="46"/>
      <c r="M347" s="46"/>
      <c r="N347" s="46"/>
      <c r="O347" s="46"/>
      <c r="P347" s="46"/>
      <c r="Q347" s="46"/>
      <c r="R347" s="46"/>
      <c r="S347" s="46"/>
      <c r="T347" s="46"/>
      <c r="U347" s="46"/>
      <c r="V347" s="46"/>
      <c r="W347" s="46"/>
    </row>
    <row r="348">
      <c r="A348" s="55"/>
      <c r="B348" s="218"/>
      <c r="C348" s="55"/>
      <c r="D348" s="218"/>
      <c r="E348" s="126"/>
      <c r="F348" s="224"/>
      <c r="G348" s="126"/>
      <c r="H348" s="218"/>
      <c r="I348" s="223"/>
      <c r="J348" s="46"/>
      <c r="K348" s="46"/>
      <c r="L348" s="46"/>
      <c r="M348" s="46"/>
      <c r="N348" s="46"/>
      <c r="O348" s="46"/>
      <c r="P348" s="46"/>
      <c r="Q348" s="46"/>
      <c r="R348" s="46"/>
      <c r="S348" s="46"/>
      <c r="T348" s="46"/>
      <c r="U348" s="46"/>
      <c r="V348" s="46"/>
      <c r="W348" s="46"/>
    </row>
    <row r="349">
      <c r="A349" s="55"/>
      <c r="B349" s="218"/>
      <c r="C349" s="55"/>
      <c r="D349" s="218"/>
      <c r="E349" s="126"/>
      <c r="F349" s="224"/>
      <c r="G349" s="126"/>
      <c r="H349" s="218"/>
      <c r="I349" s="223"/>
      <c r="J349" s="46"/>
      <c r="K349" s="46"/>
      <c r="L349" s="46"/>
      <c r="M349" s="46"/>
      <c r="N349" s="46"/>
      <c r="O349" s="46"/>
      <c r="P349" s="46"/>
      <c r="Q349" s="46"/>
      <c r="R349" s="46"/>
      <c r="S349" s="46"/>
      <c r="T349" s="46"/>
      <c r="U349" s="46"/>
      <c r="V349" s="46"/>
      <c r="W349" s="46"/>
    </row>
    <row r="350">
      <c r="A350" s="55"/>
      <c r="B350" s="218"/>
      <c r="C350" s="55"/>
      <c r="D350" s="218"/>
      <c r="E350" s="126"/>
      <c r="F350" s="224"/>
      <c r="G350" s="126"/>
      <c r="H350" s="218"/>
      <c r="I350" s="223"/>
      <c r="J350" s="46"/>
      <c r="K350" s="46"/>
      <c r="L350" s="46"/>
      <c r="M350" s="46"/>
      <c r="N350" s="46"/>
      <c r="O350" s="46"/>
      <c r="P350" s="46"/>
      <c r="Q350" s="46"/>
      <c r="R350" s="46"/>
      <c r="S350" s="46"/>
      <c r="T350" s="46"/>
      <c r="U350" s="46"/>
      <c r="V350" s="46"/>
      <c r="W350" s="46"/>
    </row>
    <row r="351">
      <c r="A351" s="55"/>
      <c r="B351" s="218"/>
      <c r="C351" s="55"/>
      <c r="D351" s="218"/>
      <c r="E351" s="126"/>
      <c r="F351" s="224"/>
      <c r="G351" s="126"/>
      <c r="H351" s="218"/>
      <c r="I351" s="223"/>
      <c r="J351" s="46"/>
      <c r="K351" s="46"/>
      <c r="L351" s="46"/>
      <c r="M351" s="46"/>
      <c r="N351" s="46"/>
      <c r="O351" s="46"/>
      <c r="P351" s="46"/>
      <c r="Q351" s="46"/>
      <c r="R351" s="46"/>
      <c r="S351" s="46"/>
      <c r="T351" s="46"/>
      <c r="U351" s="46"/>
      <c r="V351" s="46"/>
      <c r="W351" s="46"/>
    </row>
    <row r="352">
      <c r="A352" s="55"/>
      <c r="B352" s="218"/>
      <c r="C352" s="55"/>
      <c r="D352" s="218"/>
      <c r="E352" s="126"/>
      <c r="F352" s="224"/>
      <c r="G352" s="126"/>
      <c r="H352" s="218"/>
      <c r="I352" s="223"/>
      <c r="J352" s="46"/>
      <c r="K352" s="46"/>
      <c r="L352" s="46"/>
      <c r="M352" s="46"/>
      <c r="N352" s="46"/>
      <c r="O352" s="46"/>
      <c r="P352" s="46"/>
      <c r="Q352" s="46"/>
      <c r="R352" s="46"/>
      <c r="S352" s="46"/>
      <c r="T352" s="46"/>
      <c r="U352" s="46"/>
      <c r="V352" s="46"/>
      <c r="W352" s="46"/>
    </row>
    <row r="353">
      <c r="A353" s="55"/>
      <c r="B353" s="218"/>
      <c r="C353" s="55"/>
      <c r="D353" s="218"/>
      <c r="E353" s="126"/>
      <c r="F353" s="224"/>
      <c r="G353" s="126"/>
      <c r="H353" s="218"/>
      <c r="I353" s="223"/>
      <c r="J353" s="46"/>
      <c r="K353" s="46"/>
      <c r="L353" s="46"/>
      <c r="M353" s="46"/>
      <c r="N353" s="46"/>
      <c r="O353" s="46"/>
      <c r="P353" s="46"/>
      <c r="Q353" s="46"/>
      <c r="R353" s="46"/>
      <c r="S353" s="46"/>
      <c r="T353" s="46"/>
      <c r="U353" s="46"/>
      <c r="V353" s="46"/>
      <c r="W353" s="46"/>
    </row>
    <row r="354">
      <c r="A354" s="55"/>
      <c r="B354" s="218"/>
      <c r="C354" s="55"/>
      <c r="D354" s="218"/>
      <c r="E354" s="126"/>
      <c r="F354" s="224"/>
      <c r="G354" s="126"/>
      <c r="H354" s="218"/>
      <c r="I354" s="223"/>
      <c r="J354" s="46"/>
      <c r="K354" s="46"/>
      <c r="L354" s="46"/>
      <c r="M354" s="46"/>
      <c r="N354" s="46"/>
      <c r="O354" s="46"/>
      <c r="P354" s="46"/>
      <c r="Q354" s="46"/>
      <c r="R354" s="46"/>
      <c r="S354" s="46"/>
      <c r="T354" s="46"/>
      <c r="U354" s="46"/>
      <c r="V354" s="46"/>
      <c r="W354" s="46"/>
    </row>
    <row r="355">
      <c r="A355" s="55"/>
      <c r="B355" s="218"/>
      <c r="C355" s="55"/>
      <c r="D355" s="218"/>
      <c r="E355" s="126"/>
      <c r="F355" s="224"/>
      <c r="G355" s="126"/>
      <c r="H355" s="218"/>
      <c r="I355" s="223"/>
      <c r="J355" s="46"/>
      <c r="K355" s="46"/>
      <c r="L355" s="46"/>
      <c r="M355" s="46"/>
      <c r="N355" s="46"/>
      <c r="O355" s="46"/>
      <c r="P355" s="46"/>
      <c r="Q355" s="46"/>
      <c r="R355" s="46"/>
      <c r="S355" s="46"/>
      <c r="T355" s="46"/>
      <c r="U355" s="46"/>
      <c r="V355" s="46"/>
      <c r="W355" s="46"/>
    </row>
    <row r="356">
      <c r="A356" s="55"/>
      <c r="B356" s="218"/>
      <c r="C356" s="55"/>
      <c r="D356" s="218"/>
      <c r="E356" s="126"/>
      <c r="F356" s="224"/>
      <c r="G356" s="126"/>
      <c r="H356" s="218"/>
      <c r="I356" s="223"/>
      <c r="J356" s="46"/>
      <c r="K356" s="46"/>
      <c r="L356" s="46"/>
      <c r="M356" s="46"/>
      <c r="N356" s="46"/>
      <c r="O356" s="46"/>
      <c r="P356" s="46"/>
      <c r="Q356" s="46"/>
      <c r="R356" s="46"/>
      <c r="S356" s="46"/>
      <c r="T356" s="46"/>
      <c r="U356" s="46"/>
      <c r="V356" s="46"/>
      <c r="W356" s="46"/>
    </row>
    <row r="357">
      <c r="A357" s="55"/>
      <c r="B357" s="218"/>
      <c r="C357" s="55"/>
      <c r="D357" s="218"/>
      <c r="E357" s="126"/>
      <c r="F357" s="224"/>
      <c r="G357" s="126"/>
      <c r="H357" s="218"/>
      <c r="I357" s="223"/>
      <c r="J357" s="46"/>
      <c r="K357" s="46"/>
      <c r="L357" s="46"/>
      <c r="M357" s="46"/>
      <c r="N357" s="46"/>
      <c r="O357" s="46"/>
      <c r="P357" s="46"/>
      <c r="Q357" s="46"/>
      <c r="R357" s="46"/>
      <c r="S357" s="46"/>
      <c r="T357" s="46"/>
      <c r="U357" s="46"/>
      <c r="V357" s="46"/>
      <c r="W357" s="46"/>
    </row>
    <row r="358">
      <c r="A358" s="55"/>
      <c r="B358" s="218"/>
      <c r="C358" s="55"/>
      <c r="D358" s="218"/>
      <c r="E358" s="126"/>
      <c r="F358" s="224"/>
      <c r="G358" s="126"/>
      <c r="H358" s="218"/>
      <c r="I358" s="223"/>
      <c r="J358" s="46"/>
      <c r="K358" s="46"/>
      <c r="L358" s="46"/>
      <c r="M358" s="46"/>
      <c r="N358" s="46"/>
      <c r="O358" s="46"/>
      <c r="P358" s="46"/>
      <c r="Q358" s="46"/>
      <c r="R358" s="46"/>
      <c r="S358" s="46"/>
      <c r="T358" s="46"/>
      <c r="U358" s="46"/>
      <c r="V358" s="46"/>
      <c r="W358" s="46"/>
    </row>
    <row r="359">
      <c r="A359" s="55"/>
      <c r="B359" s="218"/>
      <c r="C359" s="55"/>
      <c r="D359" s="218"/>
      <c r="E359" s="126"/>
      <c r="F359" s="224"/>
      <c r="G359" s="126"/>
      <c r="H359" s="218"/>
      <c r="I359" s="223"/>
      <c r="J359" s="46"/>
      <c r="K359" s="46"/>
      <c r="L359" s="46"/>
      <c r="M359" s="46"/>
      <c r="N359" s="46"/>
      <c r="O359" s="46"/>
      <c r="P359" s="46"/>
      <c r="Q359" s="46"/>
      <c r="R359" s="46"/>
      <c r="S359" s="46"/>
      <c r="T359" s="46"/>
      <c r="U359" s="46"/>
      <c r="V359" s="46"/>
      <c r="W359" s="46"/>
    </row>
    <row r="360">
      <c r="A360" s="55"/>
      <c r="B360" s="218"/>
      <c r="C360" s="55"/>
      <c r="D360" s="218"/>
      <c r="E360" s="126"/>
      <c r="F360" s="224"/>
      <c r="G360" s="126"/>
      <c r="H360" s="218"/>
      <c r="I360" s="223"/>
      <c r="J360" s="46"/>
      <c r="K360" s="46"/>
      <c r="L360" s="46"/>
      <c r="M360" s="46"/>
      <c r="N360" s="46"/>
      <c r="O360" s="46"/>
      <c r="P360" s="46"/>
      <c r="Q360" s="46"/>
      <c r="R360" s="46"/>
      <c r="S360" s="46"/>
      <c r="T360" s="46"/>
      <c r="U360" s="46"/>
      <c r="V360" s="46"/>
      <c r="W360" s="46"/>
    </row>
    <row r="361">
      <c r="A361" s="55"/>
      <c r="B361" s="218"/>
      <c r="C361" s="55"/>
      <c r="D361" s="218"/>
      <c r="E361" s="126"/>
      <c r="F361" s="224"/>
      <c r="G361" s="126"/>
      <c r="H361" s="218"/>
      <c r="I361" s="223"/>
      <c r="J361" s="46"/>
      <c r="K361" s="46"/>
      <c r="L361" s="46"/>
      <c r="M361" s="46"/>
      <c r="N361" s="46"/>
      <c r="O361" s="46"/>
      <c r="P361" s="46"/>
      <c r="Q361" s="46"/>
      <c r="R361" s="46"/>
      <c r="S361" s="46"/>
      <c r="T361" s="46"/>
      <c r="U361" s="46"/>
      <c r="V361" s="46"/>
      <c r="W361" s="46"/>
    </row>
    <row r="362">
      <c r="A362" s="55"/>
      <c r="B362" s="218"/>
      <c r="C362" s="55"/>
      <c r="D362" s="218"/>
      <c r="E362" s="126"/>
      <c r="F362" s="224"/>
      <c r="G362" s="126"/>
      <c r="H362" s="218"/>
      <c r="I362" s="223"/>
      <c r="J362" s="46"/>
      <c r="K362" s="46"/>
      <c r="L362" s="46"/>
      <c r="M362" s="46"/>
      <c r="N362" s="46"/>
      <c r="O362" s="46"/>
      <c r="P362" s="46"/>
      <c r="Q362" s="46"/>
      <c r="R362" s="46"/>
      <c r="S362" s="46"/>
      <c r="T362" s="46"/>
      <c r="U362" s="46"/>
      <c r="V362" s="46"/>
      <c r="W362" s="46"/>
    </row>
    <row r="363">
      <c r="A363" s="55"/>
      <c r="B363" s="218"/>
      <c r="C363" s="55"/>
      <c r="D363" s="218"/>
      <c r="E363" s="126"/>
      <c r="F363" s="224"/>
      <c r="G363" s="126"/>
      <c r="H363" s="218"/>
      <c r="I363" s="223"/>
      <c r="J363" s="46"/>
      <c r="K363" s="46"/>
      <c r="L363" s="46"/>
      <c r="M363" s="46"/>
      <c r="N363" s="46"/>
      <c r="O363" s="46"/>
      <c r="P363" s="46"/>
      <c r="Q363" s="46"/>
      <c r="R363" s="46"/>
      <c r="S363" s="46"/>
      <c r="T363" s="46"/>
      <c r="U363" s="46"/>
      <c r="V363" s="46"/>
      <c r="W363" s="46"/>
    </row>
    <row r="364">
      <c r="A364" s="55"/>
      <c r="B364" s="218"/>
      <c r="C364" s="55"/>
      <c r="D364" s="218"/>
      <c r="E364" s="126"/>
      <c r="F364" s="224"/>
      <c r="G364" s="126"/>
      <c r="H364" s="218"/>
      <c r="I364" s="223"/>
      <c r="J364" s="46"/>
      <c r="K364" s="46"/>
      <c r="L364" s="46"/>
      <c r="M364" s="46"/>
      <c r="N364" s="46"/>
      <c r="O364" s="46"/>
      <c r="P364" s="46"/>
      <c r="Q364" s="46"/>
      <c r="R364" s="46"/>
      <c r="S364" s="46"/>
      <c r="T364" s="46"/>
      <c r="U364" s="46"/>
      <c r="V364" s="46"/>
      <c r="W364" s="46"/>
    </row>
    <row r="365">
      <c r="A365" s="55"/>
      <c r="B365" s="218"/>
      <c r="C365" s="55"/>
      <c r="D365" s="218"/>
      <c r="E365" s="126"/>
      <c r="F365" s="224"/>
      <c r="G365" s="126"/>
      <c r="H365" s="218"/>
      <c r="I365" s="223"/>
      <c r="J365" s="46"/>
      <c r="K365" s="46"/>
      <c r="L365" s="46"/>
      <c r="M365" s="46"/>
      <c r="N365" s="46"/>
      <c r="O365" s="46"/>
      <c r="P365" s="46"/>
      <c r="Q365" s="46"/>
      <c r="R365" s="46"/>
      <c r="S365" s="46"/>
      <c r="T365" s="46"/>
      <c r="U365" s="46"/>
      <c r="V365" s="46"/>
      <c r="W365" s="46"/>
    </row>
    <row r="366">
      <c r="A366" s="55"/>
      <c r="B366" s="218"/>
      <c r="C366" s="55"/>
      <c r="D366" s="218"/>
      <c r="E366" s="126"/>
      <c r="F366" s="224"/>
      <c r="G366" s="126"/>
      <c r="H366" s="218"/>
      <c r="I366" s="223"/>
      <c r="J366" s="46"/>
      <c r="K366" s="46"/>
      <c r="L366" s="46"/>
      <c r="M366" s="46"/>
      <c r="N366" s="46"/>
      <c r="O366" s="46"/>
      <c r="P366" s="46"/>
      <c r="Q366" s="46"/>
      <c r="R366" s="46"/>
      <c r="S366" s="46"/>
      <c r="T366" s="46"/>
      <c r="U366" s="46"/>
      <c r="V366" s="46"/>
      <c r="W366" s="46"/>
    </row>
    <row r="367">
      <c r="A367" s="55"/>
      <c r="B367" s="218"/>
      <c r="C367" s="55"/>
      <c r="D367" s="218"/>
      <c r="E367" s="126"/>
      <c r="F367" s="224"/>
      <c r="G367" s="126"/>
      <c r="H367" s="218"/>
      <c r="I367" s="223"/>
      <c r="J367" s="46"/>
      <c r="K367" s="46"/>
      <c r="L367" s="46"/>
      <c r="M367" s="46"/>
      <c r="N367" s="46"/>
      <c r="O367" s="46"/>
      <c r="P367" s="46"/>
      <c r="Q367" s="46"/>
      <c r="R367" s="46"/>
      <c r="S367" s="46"/>
      <c r="T367" s="46"/>
      <c r="U367" s="46"/>
      <c r="V367" s="46"/>
      <c r="W367" s="46"/>
    </row>
    <row r="368">
      <c r="A368" s="55"/>
      <c r="B368" s="218"/>
      <c r="C368" s="55"/>
      <c r="D368" s="218"/>
      <c r="E368" s="126"/>
      <c r="F368" s="224"/>
      <c r="G368" s="126"/>
      <c r="H368" s="218"/>
      <c r="I368" s="223"/>
      <c r="J368" s="46"/>
      <c r="K368" s="46"/>
      <c r="L368" s="46"/>
      <c r="M368" s="46"/>
      <c r="N368" s="46"/>
      <c r="O368" s="46"/>
      <c r="P368" s="46"/>
      <c r="Q368" s="46"/>
      <c r="R368" s="46"/>
      <c r="S368" s="46"/>
      <c r="T368" s="46"/>
      <c r="U368" s="46"/>
      <c r="V368" s="46"/>
      <c r="W368" s="46"/>
    </row>
    <row r="369">
      <c r="A369" s="55"/>
      <c r="B369" s="218"/>
      <c r="C369" s="55"/>
      <c r="D369" s="218"/>
      <c r="E369" s="126"/>
      <c r="F369" s="224"/>
      <c r="G369" s="126"/>
      <c r="H369" s="218"/>
      <c r="I369" s="223"/>
      <c r="J369" s="46"/>
      <c r="K369" s="46"/>
      <c r="L369" s="46"/>
      <c r="M369" s="46"/>
      <c r="N369" s="46"/>
      <c r="O369" s="46"/>
      <c r="P369" s="46"/>
      <c r="Q369" s="46"/>
      <c r="R369" s="46"/>
      <c r="S369" s="46"/>
      <c r="T369" s="46"/>
      <c r="U369" s="46"/>
      <c r="V369" s="46"/>
      <c r="W369" s="46"/>
    </row>
    <row r="370">
      <c r="A370" s="55"/>
      <c r="B370" s="218"/>
      <c r="C370" s="55"/>
      <c r="D370" s="218"/>
      <c r="E370" s="126"/>
      <c r="F370" s="224"/>
      <c r="G370" s="126"/>
      <c r="H370" s="218"/>
      <c r="I370" s="223"/>
      <c r="J370" s="46"/>
      <c r="K370" s="46"/>
      <c r="L370" s="46"/>
      <c r="M370" s="46"/>
      <c r="N370" s="46"/>
      <c r="O370" s="46"/>
      <c r="P370" s="46"/>
      <c r="Q370" s="46"/>
      <c r="R370" s="46"/>
      <c r="S370" s="46"/>
      <c r="T370" s="46"/>
      <c r="U370" s="46"/>
      <c r="V370" s="46"/>
      <c r="W370" s="46"/>
    </row>
    <row r="371">
      <c r="A371" s="55"/>
      <c r="B371" s="218"/>
      <c r="C371" s="55"/>
      <c r="D371" s="218"/>
      <c r="E371" s="126"/>
      <c r="F371" s="224"/>
      <c r="G371" s="126"/>
      <c r="H371" s="218"/>
      <c r="I371" s="223"/>
      <c r="J371" s="46"/>
      <c r="K371" s="46"/>
      <c r="L371" s="46"/>
      <c r="M371" s="46"/>
      <c r="N371" s="46"/>
      <c r="O371" s="46"/>
      <c r="P371" s="46"/>
      <c r="Q371" s="46"/>
      <c r="R371" s="46"/>
      <c r="S371" s="46"/>
      <c r="T371" s="46"/>
      <c r="U371" s="46"/>
      <c r="V371" s="46"/>
      <c r="W371" s="46"/>
    </row>
    <row r="372">
      <c r="A372" s="55"/>
      <c r="B372" s="218"/>
      <c r="C372" s="55"/>
      <c r="D372" s="218"/>
      <c r="E372" s="126"/>
      <c r="F372" s="224"/>
      <c r="G372" s="126"/>
      <c r="H372" s="218"/>
      <c r="I372" s="223"/>
      <c r="J372" s="46"/>
      <c r="K372" s="46"/>
      <c r="L372" s="46"/>
      <c r="M372" s="46"/>
      <c r="N372" s="46"/>
      <c r="O372" s="46"/>
      <c r="P372" s="46"/>
      <c r="Q372" s="46"/>
      <c r="R372" s="46"/>
      <c r="S372" s="46"/>
      <c r="T372" s="46"/>
      <c r="U372" s="46"/>
      <c r="V372" s="46"/>
      <c r="W372" s="46"/>
    </row>
    <row r="373">
      <c r="A373" s="55"/>
      <c r="B373" s="218"/>
      <c r="C373" s="55"/>
      <c r="D373" s="218"/>
      <c r="E373" s="126"/>
      <c r="F373" s="224"/>
      <c r="G373" s="126"/>
      <c r="H373" s="218"/>
      <c r="I373" s="223"/>
      <c r="J373" s="46"/>
      <c r="K373" s="46"/>
      <c r="L373" s="46"/>
      <c r="M373" s="46"/>
      <c r="N373" s="46"/>
      <c r="O373" s="46"/>
      <c r="P373" s="46"/>
      <c r="Q373" s="46"/>
      <c r="R373" s="46"/>
      <c r="S373" s="46"/>
      <c r="T373" s="46"/>
      <c r="U373" s="46"/>
      <c r="V373" s="46"/>
      <c r="W373" s="46"/>
    </row>
    <row r="374">
      <c r="A374" s="55"/>
      <c r="B374" s="218"/>
      <c r="C374" s="55"/>
      <c r="D374" s="218"/>
      <c r="E374" s="126"/>
      <c r="F374" s="224"/>
      <c r="G374" s="126"/>
      <c r="H374" s="218"/>
      <c r="I374" s="223"/>
      <c r="J374" s="46"/>
      <c r="K374" s="46"/>
      <c r="L374" s="46"/>
      <c r="M374" s="46"/>
      <c r="N374" s="46"/>
      <c r="O374" s="46"/>
      <c r="P374" s="46"/>
      <c r="Q374" s="46"/>
      <c r="R374" s="46"/>
      <c r="S374" s="46"/>
      <c r="T374" s="46"/>
      <c r="U374" s="46"/>
      <c r="V374" s="46"/>
      <c r="W374" s="46"/>
    </row>
    <row r="375">
      <c r="A375" s="55"/>
      <c r="B375" s="218"/>
      <c r="C375" s="55"/>
      <c r="D375" s="218"/>
      <c r="E375" s="126"/>
      <c r="F375" s="224"/>
      <c r="G375" s="126"/>
      <c r="H375" s="218"/>
      <c r="I375" s="223"/>
      <c r="J375" s="46"/>
      <c r="K375" s="46"/>
      <c r="L375" s="46"/>
      <c r="M375" s="46"/>
      <c r="N375" s="46"/>
      <c r="O375" s="46"/>
      <c r="P375" s="46"/>
      <c r="Q375" s="46"/>
      <c r="R375" s="46"/>
      <c r="S375" s="46"/>
      <c r="T375" s="46"/>
      <c r="U375" s="46"/>
      <c r="V375" s="46"/>
      <c r="W375" s="46"/>
    </row>
    <row r="376">
      <c r="A376" s="55"/>
      <c r="B376" s="218"/>
      <c r="C376" s="55"/>
      <c r="D376" s="218"/>
      <c r="E376" s="126"/>
      <c r="F376" s="224"/>
      <c r="G376" s="126"/>
      <c r="H376" s="218"/>
      <c r="I376" s="223"/>
      <c r="J376" s="46"/>
      <c r="K376" s="46"/>
      <c r="L376" s="46"/>
      <c r="M376" s="46"/>
      <c r="N376" s="46"/>
      <c r="O376" s="46"/>
      <c r="P376" s="46"/>
      <c r="Q376" s="46"/>
      <c r="R376" s="46"/>
      <c r="S376" s="46"/>
      <c r="T376" s="46"/>
      <c r="U376" s="46"/>
      <c r="V376" s="46"/>
      <c r="W376" s="46"/>
    </row>
    <row r="377">
      <c r="A377" s="55"/>
      <c r="B377" s="218"/>
      <c r="C377" s="55"/>
      <c r="D377" s="218"/>
      <c r="E377" s="126"/>
      <c r="F377" s="224"/>
      <c r="G377" s="126"/>
      <c r="H377" s="218"/>
      <c r="I377" s="223"/>
      <c r="J377" s="46"/>
      <c r="K377" s="46"/>
      <c r="L377" s="46"/>
      <c r="M377" s="46"/>
      <c r="N377" s="46"/>
      <c r="O377" s="46"/>
      <c r="P377" s="46"/>
      <c r="Q377" s="46"/>
      <c r="R377" s="46"/>
      <c r="S377" s="46"/>
      <c r="T377" s="46"/>
      <c r="U377" s="46"/>
      <c r="V377" s="46"/>
      <c r="W377" s="46"/>
    </row>
    <row r="378">
      <c r="A378" s="55"/>
      <c r="B378" s="218"/>
      <c r="C378" s="55"/>
      <c r="D378" s="218"/>
      <c r="E378" s="126"/>
      <c r="F378" s="224"/>
      <c r="G378" s="126"/>
      <c r="H378" s="218"/>
      <c r="I378" s="223"/>
      <c r="J378" s="46"/>
      <c r="K378" s="46"/>
      <c r="L378" s="46"/>
      <c r="M378" s="46"/>
      <c r="N378" s="46"/>
      <c r="O378" s="46"/>
      <c r="P378" s="46"/>
      <c r="Q378" s="46"/>
      <c r="R378" s="46"/>
      <c r="S378" s="46"/>
      <c r="T378" s="46"/>
      <c r="U378" s="46"/>
      <c r="V378" s="46"/>
      <c r="W378" s="46"/>
    </row>
    <row r="379">
      <c r="A379" s="55"/>
      <c r="B379" s="218"/>
      <c r="C379" s="55"/>
      <c r="D379" s="218"/>
      <c r="E379" s="126"/>
      <c r="F379" s="224"/>
      <c r="G379" s="126"/>
      <c r="H379" s="218"/>
      <c r="I379" s="223"/>
      <c r="J379" s="46"/>
      <c r="K379" s="46"/>
      <c r="L379" s="46"/>
      <c r="M379" s="46"/>
      <c r="N379" s="46"/>
      <c r="O379" s="46"/>
      <c r="P379" s="46"/>
      <c r="Q379" s="46"/>
      <c r="R379" s="46"/>
      <c r="S379" s="46"/>
      <c r="T379" s="46"/>
      <c r="U379" s="46"/>
      <c r="V379" s="46"/>
      <c r="W379" s="46"/>
    </row>
    <row r="380">
      <c r="A380" s="55"/>
      <c r="B380" s="218"/>
      <c r="C380" s="55"/>
      <c r="D380" s="218"/>
      <c r="E380" s="126"/>
      <c r="F380" s="224"/>
      <c r="G380" s="126"/>
      <c r="H380" s="218"/>
      <c r="I380" s="223"/>
      <c r="J380" s="46"/>
      <c r="K380" s="46"/>
      <c r="L380" s="46"/>
      <c r="M380" s="46"/>
      <c r="N380" s="46"/>
      <c r="O380" s="46"/>
      <c r="P380" s="46"/>
      <c r="Q380" s="46"/>
      <c r="R380" s="46"/>
      <c r="S380" s="46"/>
      <c r="T380" s="46"/>
      <c r="U380" s="46"/>
      <c r="V380" s="46"/>
      <c r="W380" s="46"/>
    </row>
    <row r="381">
      <c r="A381" s="55"/>
      <c r="B381" s="218"/>
      <c r="C381" s="55"/>
      <c r="D381" s="218"/>
      <c r="E381" s="126"/>
      <c r="F381" s="224"/>
      <c r="G381" s="126"/>
      <c r="H381" s="218"/>
      <c r="I381" s="223"/>
      <c r="J381" s="46"/>
      <c r="K381" s="46"/>
      <c r="L381" s="46"/>
      <c r="M381" s="46"/>
      <c r="N381" s="46"/>
      <c r="O381" s="46"/>
      <c r="P381" s="46"/>
      <c r="Q381" s="46"/>
      <c r="R381" s="46"/>
      <c r="S381" s="46"/>
      <c r="T381" s="46"/>
      <c r="U381" s="46"/>
      <c r="V381" s="46"/>
      <c r="W381" s="46"/>
    </row>
    <row r="382">
      <c r="A382" s="55"/>
      <c r="B382" s="218"/>
      <c r="C382" s="55"/>
      <c r="D382" s="218"/>
      <c r="E382" s="126"/>
      <c r="F382" s="224"/>
      <c r="G382" s="126"/>
      <c r="H382" s="218"/>
      <c r="I382" s="223"/>
      <c r="J382" s="46"/>
      <c r="K382" s="46"/>
      <c r="L382" s="46"/>
      <c r="M382" s="46"/>
      <c r="N382" s="46"/>
      <c r="O382" s="46"/>
      <c r="P382" s="46"/>
      <c r="Q382" s="46"/>
      <c r="R382" s="46"/>
      <c r="S382" s="46"/>
      <c r="T382" s="46"/>
      <c r="U382" s="46"/>
      <c r="V382" s="46"/>
      <c r="W382" s="46"/>
    </row>
    <row r="383">
      <c r="A383" s="55"/>
      <c r="B383" s="218"/>
      <c r="C383" s="55"/>
      <c r="D383" s="218"/>
      <c r="E383" s="126"/>
      <c r="F383" s="224"/>
      <c r="G383" s="126"/>
      <c r="H383" s="218"/>
      <c r="I383" s="223"/>
      <c r="J383" s="46"/>
      <c r="K383" s="46"/>
      <c r="L383" s="46"/>
      <c r="M383" s="46"/>
      <c r="N383" s="46"/>
      <c r="O383" s="46"/>
      <c r="P383" s="46"/>
      <c r="Q383" s="46"/>
      <c r="R383" s="46"/>
      <c r="S383" s="46"/>
      <c r="T383" s="46"/>
      <c r="U383" s="46"/>
      <c r="V383" s="46"/>
      <c r="W383" s="46"/>
    </row>
    <row r="384">
      <c r="A384" s="55"/>
      <c r="B384" s="218"/>
      <c r="C384" s="55"/>
      <c r="D384" s="218"/>
      <c r="E384" s="126"/>
      <c r="F384" s="224"/>
      <c r="G384" s="126"/>
      <c r="H384" s="218"/>
      <c r="I384" s="223"/>
      <c r="J384" s="46"/>
      <c r="K384" s="46"/>
      <c r="L384" s="46"/>
      <c r="M384" s="46"/>
      <c r="N384" s="46"/>
      <c r="O384" s="46"/>
      <c r="P384" s="46"/>
      <c r="Q384" s="46"/>
      <c r="R384" s="46"/>
      <c r="S384" s="46"/>
      <c r="T384" s="46"/>
      <c r="U384" s="46"/>
      <c r="V384" s="46"/>
      <c r="W384" s="46"/>
    </row>
    <row r="385">
      <c r="A385" s="55"/>
      <c r="B385" s="218"/>
      <c r="C385" s="55"/>
      <c r="D385" s="218"/>
      <c r="E385" s="126"/>
      <c r="F385" s="224"/>
      <c r="G385" s="126"/>
      <c r="H385" s="218"/>
      <c r="I385" s="223"/>
      <c r="J385" s="46"/>
      <c r="K385" s="46"/>
      <c r="L385" s="46"/>
      <c r="M385" s="46"/>
      <c r="N385" s="46"/>
      <c r="O385" s="46"/>
      <c r="P385" s="46"/>
      <c r="Q385" s="46"/>
      <c r="R385" s="46"/>
      <c r="S385" s="46"/>
      <c r="T385" s="46"/>
      <c r="U385" s="46"/>
      <c r="V385" s="46"/>
      <c r="W385" s="46"/>
    </row>
    <row r="386">
      <c r="A386" s="55"/>
      <c r="B386" s="218"/>
      <c r="C386" s="55"/>
      <c r="D386" s="218"/>
      <c r="E386" s="126"/>
      <c r="F386" s="224"/>
      <c r="G386" s="126"/>
      <c r="H386" s="218"/>
      <c r="I386" s="223"/>
      <c r="J386" s="46"/>
      <c r="K386" s="46"/>
      <c r="L386" s="46"/>
      <c r="M386" s="46"/>
      <c r="N386" s="46"/>
      <c r="O386" s="46"/>
      <c r="P386" s="46"/>
      <c r="Q386" s="46"/>
      <c r="R386" s="46"/>
      <c r="S386" s="46"/>
      <c r="T386" s="46"/>
      <c r="U386" s="46"/>
      <c r="V386" s="46"/>
      <c r="W386" s="46"/>
    </row>
    <row r="387">
      <c r="A387" s="55"/>
      <c r="B387" s="218"/>
      <c r="C387" s="55"/>
      <c r="D387" s="218"/>
      <c r="E387" s="126"/>
      <c r="F387" s="224"/>
      <c r="G387" s="126"/>
      <c r="H387" s="218"/>
      <c r="I387" s="223"/>
      <c r="J387" s="46"/>
      <c r="K387" s="46"/>
      <c r="L387" s="46"/>
      <c r="M387" s="46"/>
      <c r="N387" s="46"/>
      <c r="O387" s="46"/>
      <c r="P387" s="46"/>
      <c r="Q387" s="46"/>
      <c r="R387" s="46"/>
      <c r="S387" s="46"/>
      <c r="T387" s="46"/>
      <c r="U387" s="46"/>
      <c r="V387" s="46"/>
      <c r="W387" s="46"/>
    </row>
    <row r="388">
      <c r="A388" s="55"/>
      <c r="B388" s="218"/>
      <c r="C388" s="55"/>
      <c r="D388" s="218"/>
      <c r="E388" s="126"/>
      <c r="F388" s="224"/>
      <c r="G388" s="126"/>
      <c r="H388" s="218"/>
      <c r="I388" s="223"/>
      <c r="J388" s="46"/>
      <c r="K388" s="46"/>
      <c r="L388" s="46"/>
      <c r="M388" s="46"/>
      <c r="N388" s="46"/>
      <c r="O388" s="46"/>
      <c r="P388" s="46"/>
      <c r="Q388" s="46"/>
      <c r="R388" s="46"/>
      <c r="S388" s="46"/>
      <c r="T388" s="46"/>
      <c r="U388" s="46"/>
      <c r="V388" s="46"/>
      <c r="W388" s="46"/>
    </row>
    <row r="389">
      <c r="A389" s="55"/>
      <c r="B389" s="218"/>
      <c r="C389" s="55"/>
      <c r="D389" s="218"/>
      <c r="E389" s="126"/>
      <c r="F389" s="224"/>
      <c r="G389" s="126"/>
      <c r="H389" s="218"/>
      <c r="I389" s="223"/>
      <c r="J389" s="46"/>
      <c r="K389" s="46"/>
      <c r="L389" s="46"/>
      <c r="M389" s="46"/>
      <c r="N389" s="46"/>
      <c r="O389" s="46"/>
      <c r="P389" s="46"/>
      <c r="Q389" s="46"/>
      <c r="R389" s="46"/>
      <c r="S389" s="46"/>
      <c r="T389" s="46"/>
      <c r="U389" s="46"/>
      <c r="V389" s="46"/>
      <c r="W389" s="46"/>
    </row>
    <row r="390">
      <c r="A390" s="55"/>
      <c r="B390" s="218"/>
      <c r="C390" s="55"/>
      <c r="D390" s="218"/>
      <c r="E390" s="126"/>
      <c r="F390" s="224"/>
      <c r="G390" s="126"/>
      <c r="H390" s="218"/>
      <c r="I390" s="223"/>
      <c r="J390" s="46"/>
      <c r="K390" s="46"/>
      <c r="L390" s="46"/>
      <c r="M390" s="46"/>
      <c r="N390" s="46"/>
      <c r="O390" s="46"/>
      <c r="P390" s="46"/>
      <c r="Q390" s="46"/>
      <c r="R390" s="46"/>
      <c r="S390" s="46"/>
      <c r="T390" s="46"/>
      <c r="U390" s="46"/>
      <c r="V390" s="46"/>
      <c r="W390" s="46"/>
    </row>
    <row r="391">
      <c r="A391" s="55"/>
      <c r="B391" s="218"/>
      <c r="C391" s="55"/>
      <c r="D391" s="218"/>
      <c r="E391" s="126"/>
      <c r="F391" s="224"/>
      <c r="G391" s="126"/>
      <c r="H391" s="218"/>
      <c r="I391" s="223"/>
      <c r="J391" s="46"/>
      <c r="K391" s="46"/>
      <c r="L391" s="46"/>
      <c r="M391" s="46"/>
      <c r="N391" s="46"/>
      <c r="O391" s="46"/>
      <c r="P391" s="46"/>
      <c r="Q391" s="46"/>
      <c r="R391" s="46"/>
      <c r="S391" s="46"/>
      <c r="T391" s="46"/>
      <c r="U391" s="46"/>
      <c r="V391" s="46"/>
      <c r="W391" s="46"/>
    </row>
    <row r="392">
      <c r="A392" s="55"/>
      <c r="B392" s="218"/>
      <c r="C392" s="55"/>
      <c r="D392" s="218"/>
      <c r="E392" s="126"/>
      <c r="F392" s="224"/>
      <c r="G392" s="126"/>
      <c r="H392" s="218"/>
      <c r="I392" s="223"/>
      <c r="J392" s="46"/>
      <c r="K392" s="46"/>
      <c r="L392" s="46"/>
      <c r="M392" s="46"/>
      <c r="N392" s="46"/>
      <c r="O392" s="46"/>
      <c r="P392" s="46"/>
      <c r="Q392" s="46"/>
      <c r="R392" s="46"/>
      <c r="S392" s="46"/>
      <c r="T392" s="46"/>
      <c r="U392" s="46"/>
      <c r="V392" s="46"/>
      <c r="W392" s="46"/>
    </row>
    <row r="393">
      <c r="A393" s="55"/>
      <c r="B393" s="218"/>
      <c r="C393" s="55"/>
      <c r="D393" s="218"/>
      <c r="E393" s="126"/>
      <c r="F393" s="224"/>
      <c r="G393" s="126"/>
      <c r="H393" s="218"/>
      <c r="I393" s="223"/>
      <c r="J393" s="46"/>
      <c r="K393" s="46"/>
      <c r="L393" s="46"/>
      <c r="M393" s="46"/>
      <c r="N393" s="46"/>
      <c r="O393" s="46"/>
      <c r="P393" s="46"/>
      <c r="Q393" s="46"/>
      <c r="R393" s="46"/>
      <c r="S393" s="46"/>
      <c r="T393" s="46"/>
      <c r="U393" s="46"/>
      <c r="V393" s="46"/>
      <c r="W393" s="46"/>
    </row>
    <row r="394">
      <c r="A394" s="55"/>
      <c r="B394" s="218"/>
      <c r="C394" s="55"/>
      <c r="D394" s="218"/>
      <c r="E394" s="126"/>
      <c r="F394" s="224"/>
      <c r="G394" s="126"/>
      <c r="H394" s="218"/>
      <c r="I394" s="223"/>
      <c r="J394" s="46"/>
      <c r="K394" s="46"/>
      <c r="L394" s="46"/>
      <c r="M394" s="46"/>
      <c r="N394" s="46"/>
      <c r="O394" s="46"/>
      <c r="P394" s="46"/>
      <c r="Q394" s="46"/>
      <c r="R394" s="46"/>
      <c r="S394" s="46"/>
      <c r="T394" s="46"/>
      <c r="U394" s="46"/>
      <c r="V394" s="46"/>
      <c r="W394" s="46"/>
    </row>
    <row r="395">
      <c r="A395" s="55"/>
      <c r="B395" s="218"/>
      <c r="C395" s="55"/>
      <c r="D395" s="218"/>
      <c r="E395" s="126"/>
      <c r="F395" s="224"/>
      <c r="G395" s="126"/>
      <c r="H395" s="218"/>
      <c r="I395" s="223"/>
      <c r="J395" s="46"/>
      <c r="K395" s="46"/>
      <c r="L395" s="46"/>
      <c r="M395" s="46"/>
      <c r="N395" s="46"/>
      <c r="O395" s="46"/>
      <c r="P395" s="46"/>
      <c r="Q395" s="46"/>
      <c r="R395" s="46"/>
      <c r="S395" s="46"/>
      <c r="T395" s="46"/>
      <c r="U395" s="46"/>
      <c r="V395" s="46"/>
      <c r="W395" s="46"/>
    </row>
    <row r="396">
      <c r="A396" s="55"/>
      <c r="B396" s="218"/>
      <c r="C396" s="55"/>
      <c r="D396" s="218"/>
      <c r="E396" s="126"/>
      <c r="F396" s="224"/>
      <c r="G396" s="126"/>
      <c r="H396" s="218"/>
      <c r="I396" s="223"/>
      <c r="J396" s="46"/>
      <c r="K396" s="46"/>
      <c r="L396" s="46"/>
      <c r="M396" s="46"/>
      <c r="N396" s="46"/>
      <c r="O396" s="46"/>
      <c r="P396" s="46"/>
      <c r="Q396" s="46"/>
      <c r="R396" s="46"/>
      <c r="S396" s="46"/>
      <c r="T396" s="46"/>
      <c r="U396" s="46"/>
      <c r="V396" s="46"/>
      <c r="W396" s="46"/>
    </row>
    <row r="397">
      <c r="A397" s="55"/>
      <c r="B397" s="218"/>
      <c r="C397" s="55"/>
      <c r="D397" s="218"/>
      <c r="E397" s="126"/>
      <c r="F397" s="224"/>
      <c r="G397" s="126"/>
      <c r="H397" s="218"/>
      <c r="I397" s="223"/>
      <c r="J397" s="46"/>
      <c r="K397" s="46"/>
      <c r="L397" s="46"/>
      <c r="M397" s="46"/>
      <c r="N397" s="46"/>
      <c r="O397" s="46"/>
      <c r="P397" s="46"/>
      <c r="Q397" s="46"/>
      <c r="R397" s="46"/>
      <c r="S397" s="46"/>
      <c r="T397" s="46"/>
      <c r="U397" s="46"/>
      <c r="V397" s="46"/>
      <c r="W397" s="46"/>
    </row>
    <row r="398">
      <c r="A398" s="55"/>
      <c r="B398" s="218"/>
      <c r="C398" s="55"/>
      <c r="D398" s="218"/>
      <c r="E398" s="126"/>
      <c r="F398" s="224"/>
      <c r="G398" s="126"/>
      <c r="H398" s="218"/>
      <c r="I398" s="223"/>
      <c r="J398" s="46"/>
      <c r="K398" s="46"/>
      <c r="L398" s="46"/>
      <c r="M398" s="46"/>
      <c r="N398" s="46"/>
      <c r="O398" s="46"/>
      <c r="P398" s="46"/>
      <c r="Q398" s="46"/>
      <c r="R398" s="46"/>
      <c r="S398" s="46"/>
      <c r="T398" s="46"/>
      <c r="U398" s="46"/>
      <c r="V398" s="46"/>
      <c r="W398" s="46"/>
    </row>
    <row r="399">
      <c r="A399" s="55"/>
      <c r="B399" s="218"/>
      <c r="C399" s="55"/>
      <c r="D399" s="218"/>
      <c r="E399" s="126"/>
      <c r="F399" s="224"/>
      <c r="G399" s="126"/>
      <c r="H399" s="218"/>
      <c r="I399" s="223"/>
      <c r="J399" s="46"/>
      <c r="K399" s="46"/>
      <c r="L399" s="46"/>
      <c r="M399" s="46"/>
      <c r="N399" s="46"/>
      <c r="O399" s="46"/>
      <c r="P399" s="46"/>
      <c r="Q399" s="46"/>
      <c r="R399" s="46"/>
      <c r="S399" s="46"/>
      <c r="T399" s="46"/>
      <c r="U399" s="46"/>
      <c r="V399" s="46"/>
      <c r="W399" s="46"/>
    </row>
    <row r="400">
      <c r="A400" s="55"/>
      <c r="B400" s="218"/>
      <c r="C400" s="55"/>
      <c r="D400" s="218"/>
      <c r="E400" s="126"/>
      <c r="F400" s="224"/>
      <c r="G400" s="126"/>
      <c r="H400" s="218"/>
      <c r="I400" s="223"/>
      <c r="J400" s="46"/>
      <c r="K400" s="46"/>
      <c r="L400" s="46"/>
      <c r="M400" s="46"/>
      <c r="N400" s="46"/>
      <c r="O400" s="46"/>
      <c r="P400" s="46"/>
      <c r="Q400" s="46"/>
      <c r="R400" s="46"/>
      <c r="S400" s="46"/>
      <c r="T400" s="46"/>
      <c r="U400" s="46"/>
      <c r="V400" s="46"/>
      <c r="W400" s="46"/>
    </row>
    <row r="401">
      <c r="A401" s="55"/>
      <c r="B401" s="218"/>
      <c r="C401" s="55"/>
      <c r="D401" s="218"/>
      <c r="E401" s="126"/>
      <c r="F401" s="224"/>
      <c r="G401" s="126"/>
      <c r="H401" s="218"/>
      <c r="I401" s="223"/>
      <c r="J401" s="46"/>
      <c r="K401" s="46"/>
      <c r="L401" s="46"/>
      <c r="M401" s="46"/>
      <c r="N401" s="46"/>
      <c r="O401" s="46"/>
      <c r="P401" s="46"/>
      <c r="Q401" s="46"/>
      <c r="R401" s="46"/>
      <c r="S401" s="46"/>
      <c r="T401" s="46"/>
      <c r="U401" s="46"/>
      <c r="V401" s="46"/>
      <c r="W401" s="46"/>
    </row>
    <row r="402">
      <c r="A402" s="55"/>
      <c r="B402" s="218"/>
      <c r="C402" s="55"/>
      <c r="D402" s="218"/>
      <c r="E402" s="126"/>
      <c r="F402" s="224"/>
      <c r="G402" s="126"/>
      <c r="H402" s="218"/>
      <c r="I402" s="223"/>
      <c r="J402" s="46"/>
      <c r="K402" s="46"/>
      <c r="L402" s="46"/>
      <c r="M402" s="46"/>
      <c r="N402" s="46"/>
      <c r="O402" s="46"/>
      <c r="P402" s="46"/>
      <c r="Q402" s="46"/>
      <c r="R402" s="46"/>
      <c r="S402" s="46"/>
      <c r="T402" s="46"/>
      <c r="U402" s="46"/>
      <c r="V402" s="46"/>
      <c r="W402" s="46"/>
    </row>
    <row r="403">
      <c r="A403" s="55"/>
      <c r="B403" s="218"/>
      <c r="C403" s="55"/>
      <c r="D403" s="218"/>
      <c r="E403" s="126"/>
      <c r="F403" s="224"/>
      <c r="G403" s="126"/>
      <c r="H403" s="218"/>
      <c r="I403" s="223"/>
      <c r="J403" s="46"/>
      <c r="K403" s="46"/>
      <c r="L403" s="46"/>
      <c r="M403" s="46"/>
      <c r="N403" s="46"/>
      <c r="O403" s="46"/>
      <c r="P403" s="46"/>
      <c r="Q403" s="46"/>
      <c r="R403" s="46"/>
      <c r="S403" s="46"/>
      <c r="T403" s="46"/>
      <c r="U403" s="46"/>
      <c r="V403" s="46"/>
      <c r="W403" s="46"/>
    </row>
    <row r="404">
      <c r="A404" s="55"/>
      <c r="B404" s="218"/>
      <c r="C404" s="55"/>
      <c r="D404" s="218"/>
      <c r="E404" s="126"/>
      <c r="F404" s="224"/>
      <c r="G404" s="126"/>
      <c r="H404" s="218"/>
      <c r="I404" s="223"/>
      <c r="J404" s="46"/>
      <c r="K404" s="46"/>
      <c r="L404" s="46"/>
      <c r="M404" s="46"/>
      <c r="N404" s="46"/>
      <c r="O404" s="46"/>
      <c r="P404" s="46"/>
      <c r="Q404" s="46"/>
      <c r="R404" s="46"/>
      <c r="S404" s="46"/>
      <c r="T404" s="46"/>
      <c r="U404" s="46"/>
      <c r="V404" s="46"/>
      <c r="W404" s="46"/>
    </row>
    <row r="405">
      <c r="A405" s="55"/>
      <c r="B405" s="218"/>
      <c r="C405" s="55"/>
      <c r="D405" s="218"/>
      <c r="E405" s="126"/>
      <c r="F405" s="224"/>
      <c r="G405" s="126"/>
      <c r="H405" s="218"/>
      <c r="I405" s="223"/>
      <c r="J405" s="46"/>
      <c r="K405" s="46"/>
      <c r="L405" s="46"/>
      <c r="M405" s="46"/>
      <c r="N405" s="46"/>
      <c r="O405" s="46"/>
      <c r="P405" s="46"/>
      <c r="Q405" s="46"/>
      <c r="R405" s="46"/>
      <c r="S405" s="46"/>
      <c r="T405" s="46"/>
      <c r="U405" s="46"/>
      <c r="V405" s="46"/>
      <c r="W405" s="46"/>
    </row>
    <row r="406">
      <c r="A406" s="55"/>
      <c r="B406" s="218"/>
      <c r="C406" s="55"/>
      <c r="D406" s="218"/>
      <c r="E406" s="126"/>
      <c r="F406" s="224"/>
      <c r="G406" s="126"/>
      <c r="H406" s="218"/>
      <c r="I406" s="223"/>
      <c r="J406" s="46"/>
      <c r="K406" s="46"/>
      <c r="L406" s="46"/>
      <c r="M406" s="46"/>
      <c r="N406" s="46"/>
      <c r="O406" s="46"/>
      <c r="P406" s="46"/>
      <c r="Q406" s="46"/>
      <c r="R406" s="46"/>
      <c r="S406" s="46"/>
      <c r="T406" s="46"/>
      <c r="U406" s="46"/>
      <c r="V406" s="46"/>
      <c r="W406" s="46"/>
    </row>
    <row r="407">
      <c r="A407" s="55"/>
      <c r="B407" s="218"/>
      <c r="C407" s="55"/>
      <c r="D407" s="218"/>
      <c r="E407" s="126"/>
      <c r="F407" s="224"/>
      <c r="G407" s="126"/>
      <c r="H407" s="218"/>
      <c r="I407" s="223"/>
      <c r="J407" s="46"/>
      <c r="K407" s="46"/>
      <c r="L407" s="46"/>
      <c r="M407" s="46"/>
      <c r="N407" s="46"/>
      <c r="O407" s="46"/>
      <c r="P407" s="46"/>
      <c r="Q407" s="46"/>
      <c r="R407" s="46"/>
      <c r="S407" s="46"/>
      <c r="T407" s="46"/>
      <c r="U407" s="46"/>
      <c r="V407" s="46"/>
      <c r="W407" s="46"/>
    </row>
    <row r="408">
      <c r="A408" s="55"/>
      <c r="B408" s="218"/>
      <c r="C408" s="55"/>
      <c r="D408" s="218"/>
      <c r="E408" s="126"/>
      <c r="F408" s="224"/>
      <c r="G408" s="126"/>
      <c r="H408" s="218"/>
      <c r="I408" s="223"/>
      <c r="J408" s="46"/>
      <c r="K408" s="46"/>
      <c r="L408" s="46"/>
      <c r="M408" s="46"/>
      <c r="N408" s="46"/>
      <c r="O408" s="46"/>
      <c r="P408" s="46"/>
      <c r="Q408" s="46"/>
      <c r="R408" s="46"/>
      <c r="S408" s="46"/>
      <c r="T408" s="46"/>
      <c r="U408" s="46"/>
      <c r="V408" s="46"/>
      <c r="W408" s="46"/>
    </row>
    <row r="409">
      <c r="A409" s="55"/>
      <c r="B409" s="218"/>
      <c r="C409" s="55"/>
      <c r="D409" s="218"/>
      <c r="E409" s="126"/>
      <c r="F409" s="224"/>
      <c r="G409" s="126"/>
      <c r="H409" s="218"/>
      <c r="I409" s="223"/>
      <c r="J409" s="46"/>
      <c r="K409" s="46"/>
      <c r="L409" s="46"/>
      <c r="M409" s="46"/>
      <c r="N409" s="46"/>
      <c r="O409" s="46"/>
      <c r="P409" s="46"/>
      <c r="Q409" s="46"/>
      <c r="R409" s="46"/>
      <c r="S409" s="46"/>
      <c r="T409" s="46"/>
      <c r="U409" s="46"/>
      <c r="V409" s="46"/>
      <c r="W409" s="46"/>
    </row>
    <row r="410">
      <c r="A410" s="55"/>
      <c r="B410" s="218"/>
      <c r="C410" s="55"/>
      <c r="D410" s="218"/>
      <c r="E410" s="126"/>
      <c r="F410" s="224"/>
      <c r="G410" s="126"/>
      <c r="H410" s="218"/>
      <c r="I410" s="223"/>
      <c r="J410" s="46"/>
      <c r="K410" s="46"/>
      <c r="L410" s="46"/>
      <c r="M410" s="46"/>
      <c r="N410" s="46"/>
      <c r="O410" s="46"/>
      <c r="P410" s="46"/>
      <c r="Q410" s="46"/>
      <c r="R410" s="46"/>
      <c r="S410" s="46"/>
      <c r="T410" s="46"/>
      <c r="U410" s="46"/>
      <c r="V410" s="46"/>
      <c r="W410" s="46"/>
    </row>
    <row r="411">
      <c r="A411" s="55"/>
      <c r="B411" s="218"/>
      <c r="C411" s="55"/>
      <c r="D411" s="218"/>
      <c r="E411" s="126"/>
      <c r="F411" s="224"/>
      <c r="G411" s="126"/>
      <c r="H411" s="218"/>
      <c r="I411" s="223"/>
      <c r="J411" s="46"/>
      <c r="K411" s="46"/>
      <c r="L411" s="46"/>
      <c r="M411" s="46"/>
      <c r="N411" s="46"/>
      <c r="O411" s="46"/>
      <c r="P411" s="46"/>
      <c r="Q411" s="46"/>
      <c r="R411" s="46"/>
      <c r="S411" s="46"/>
      <c r="T411" s="46"/>
      <c r="U411" s="46"/>
      <c r="V411" s="46"/>
      <c r="W411" s="46"/>
    </row>
    <row r="412">
      <c r="A412" s="55"/>
      <c r="B412" s="218"/>
      <c r="C412" s="55"/>
      <c r="D412" s="218"/>
      <c r="E412" s="126"/>
      <c r="F412" s="224"/>
      <c r="G412" s="126"/>
      <c r="H412" s="218"/>
      <c r="I412" s="223"/>
      <c r="J412" s="46"/>
      <c r="K412" s="46"/>
      <c r="L412" s="46"/>
      <c r="M412" s="46"/>
      <c r="N412" s="46"/>
      <c r="O412" s="46"/>
      <c r="P412" s="46"/>
      <c r="Q412" s="46"/>
      <c r="R412" s="46"/>
      <c r="S412" s="46"/>
      <c r="T412" s="46"/>
      <c r="U412" s="46"/>
      <c r="V412" s="46"/>
      <c r="W412" s="46"/>
    </row>
    <row r="413">
      <c r="A413" s="55"/>
      <c r="B413" s="218"/>
      <c r="C413" s="55"/>
      <c r="D413" s="218"/>
      <c r="E413" s="126"/>
      <c r="F413" s="224"/>
      <c r="G413" s="126"/>
      <c r="H413" s="218"/>
      <c r="I413" s="223"/>
      <c r="J413" s="46"/>
      <c r="K413" s="46"/>
      <c r="L413" s="46"/>
      <c r="M413" s="46"/>
      <c r="N413" s="46"/>
      <c r="O413" s="46"/>
      <c r="P413" s="46"/>
      <c r="Q413" s="46"/>
      <c r="R413" s="46"/>
      <c r="S413" s="46"/>
      <c r="T413" s="46"/>
      <c r="U413" s="46"/>
      <c r="V413" s="46"/>
      <c r="W413" s="46"/>
    </row>
    <row r="414">
      <c r="A414" s="55"/>
      <c r="B414" s="218"/>
      <c r="C414" s="55"/>
      <c r="D414" s="218"/>
      <c r="E414" s="126"/>
      <c r="F414" s="224"/>
      <c r="G414" s="126"/>
      <c r="H414" s="218"/>
      <c r="I414" s="223"/>
      <c r="J414" s="46"/>
      <c r="K414" s="46"/>
      <c r="L414" s="46"/>
      <c r="M414" s="46"/>
      <c r="N414" s="46"/>
      <c r="O414" s="46"/>
      <c r="P414" s="46"/>
      <c r="Q414" s="46"/>
      <c r="R414" s="46"/>
      <c r="S414" s="46"/>
      <c r="T414" s="46"/>
      <c r="U414" s="46"/>
      <c r="V414" s="46"/>
      <c r="W414" s="46"/>
    </row>
    <row r="415">
      <c r="A415" s="55"/>
      <c r="B415" s="218"/>
      <c r="C415" s="55"/>
      <c r="D415" s="218"/>
      <c r="E415" s="126"/>
      <c r="F415" s="224"/>
      <c r="G415" s="126"/>
      <c r="H415" s="218"/>
      <c r="I415" s="223"/>
      <c r="J415" s="46"/>
      <c r="K415" s="46"/>
      <c r="L415" s="46"/>
      <c r="M415" s="46"/>
      <c r="N415" s="46"/>
      <c r="O415" s="46"/>
      <c r="P415" s="46"/>
      <c r="Q415" s="46"/>
      <c r="R415" s="46"/>
      <c r="S415" s="46"/>
      <c r="T415" s="46"/>
      <c r="U415" s="46"/>
      <c r="V415" s="46"/>
      <c r="W415" s="46"/>
    </row>
    <row r="416">
      <c r="A416" s="55"/>
      <c r="B416" s="218"/>
      <c r="C416" s="55"/>
      <c r="D416" s="218"/>
      <c r="E416" s="126"/>
      <c r="F416" s="224"/>
      <c r="G416" s="126"/>
      <c r="H416" s="218"/>
      <c r="I416" s="223"/>
      <c r="J416" s="46"/>
      <c r="K416" s="46"/>
      <c r="L416" s="46"/>
      <c r="M416" s="46"/>
      <c r="N416" s="46"/>
      <c r="O416" s="46"/>
      <c r="P416" s="46"/>
      <c r="Q416" s="46"/>
      <c r="R416" s="46"/>
      <c r="S416" s="46"/>
      <c r="T416" s="46"/>
      <c r="U416" s="46"/>
      <c r="V416" s="46"/>
      <c r="W416" s="46"/>
    </row>
    <row r="417">
      <c r="A417" s="55"/>
      <c r="B417" s="218"/>
      <c r="C417" s="55"/>
      <c r="D417" s="218"/>
      <c r="E417" s="126"/>
      <c r="F417" s="224"/>
      <c r="G417" s="126"/>
      <c r="H417" s="218"/>
      <c r="I417" s="223"/>
      <c r="J417" s="46"/>
      <c r="K417" s="46"/>
      <c r="L417" s="46"/>
      <c r="M417" s="46"/>
      <c r="N417" s="46"/>
      <c r="O417" s="46"/>
      <c r="P417" s="46"/>
      <c r="Q417" s="46"/>
      <c r="R417" s="46"/>
      <c r="S417" s="46"/>
      <c r="T417" s="46"/>
      <c r="U417" s="46"/>
      <c r="V417" s="46"/>
      <c r="W417" s="46"/>
    </row>
    <row r="418">
      <c r="A418" s="55"/>
      <c r="B418" s="218"/>
      <c r="C418" s="55"/>
      <c r="D418" s="218"/>
      <c r="E418" s="126"/>
      <c r="F418" s="224"/>
      <c r="G418" s="126"/>
      <c r="H418" s="218"/>
      <c r="I418" s="223"/>
      <c r="J418" s="46"/>
      <c r="K418" s="46"/>
      <c r="L418" s="46"/>
      <c r="M418" s="46"/>
      <c r="N418" s="46"/>
      <c r="O418" s="46"/>
      <c r="P418" s="46"/>
      <c r="Q418" s="46"/>
      <c r="R418" s="46"/>
      <c r="S418" s="46"/>
      <c r="T418" s="46"/>
      <c r="U418" s="46"/>
      <c r="V418" s="46"/>
      <c r="W418" s="46"/>
    </row>
    <row r="419">
      <c r="A419" s="55"/>
      <c r="B419" s="218"/>
      <c r="C419" s="55"/>
      <c r="D419" s="218"/>
      <c r="E419" s="126"/>
      <c r="F419" s="224"/>
      <c r="G419" s="126"/>
      <c r="H419" s="218"/>
      <c r="I419" s="223"/>
      <c r="J419" s="46"/>
      <c r="K419" s="46"/>
      <c r="L419" s="46"/>
      <c r="M419" s="46"/>
      <c r="N419" s="46"/>
      <c r="O419" s="46"/>
      <c r="P419" s="46"/>
      <c r="Q419" s="46"/>
      <c r="R419" s="46"/>
      <c r="S419" s="46"/>
      <c r="T419" s="46"/>
      <c r="U419" s="46"/>
      <c r="V419" s="46"/>
      <c r="W419" s="46"/>
    </row>
    <row r="420">
      <c r="A420" s="55"/>
      <c r="B420" s="218"/>
      <c r="C420" s="55"/>
      <c r="D420" s="218"/>
      <c r="E420" s="126"/>
      <c r="F420" s="224"/>
      <c r="G420" s="126"/>
      <c r="H420" s="218"/>
      <c r="I420" s="223"/>
      <c r="J420" s="46"/>
      <c r="K420" s="46"/>
      <c r="L420" s="46"/>
      <c r="M420" s="46"/>
      <c r="N420" s="46"/>
      <c r="O420" s="46"/>
      <c r="P420" s="46"/>
      <c r="Q420" s="46"/>
      <c r="R420" s="46"/>
      <c r="S420" s="46"/>
      <c r="T420" s="46"/>
      <c r="U420" s="46"/>
      <c r="V420" s="46"/>
      <c r="W420" s="46"/>
    </row>
    <row r="421">
      <c r="A421" s="55"/>
      <c r="B421" s="218"/>
      <c r="C421" s="55"/>
      <c r="D421" s="218"/>
      <c r="E421" s="126"/>
      <c r="F421" s="224"/>
      <c r="G421" s="126"/>
      <c r="H421" s="218"/>
      <c r="I421" s="223"/>
      <c r="J421" s="46"/>
      <c r="K421" s="46"/>
      <c r="L421" s="46"/>
      <c r="M421" s="46"/>
      <c r="N421" s="46"/>
      <c r="O421" s="46"/>
      <c r="P421" s="46"/>
      <c r="Q421" s="46"/>
      <c r="R421" s="46"/>
      <c r="S421" s="46"/>
      <c r="T421" s="46"/>
      <c r="U421" s="46"/>
      <c r="V421" s="46"/>
      <c r="W421" s="46"/>
    </row>
    <row r="422">
      <c r="A422" s="55"/>
      <c r="B422" s="218"/>
      <c r="C422" s="55"/>
      <c r="D422" s="218"/>
      <c r="E422" s="126"/>
      <c r="F422" s="224"/>
      <c r="G422" s="126"/>
      <c r="H422" s="218"/>
      <c r="I422" s="223"/>
      <c r="J422" s="46"/>
      <c r="K422" s="46"/>
      <c r="L422" s="46"/>
      <c r="M422" s="46"/>
      <c r="N422" s="46"/>
      <c r="O422" s="46"/>
      <c r="P422" s="46"/>
      <c r="Q422" s="46"/>
      <c r="R422" s="46"/>
      <c r="S422" s="46"/>
      <c r="T422" s="46"/>
      <c r="U422" s="46"/>
      <c r="V422" s="46"/>
      <c r="W422" s="46"/>
    </row>
    <row r="423">
      <c r="A423" s="55"/>
      <c r="B423" s="218"/>
      <c r="C423" s="55"/>
      <c r="D423" s="218"/>
      <c r="E423" s="126"/>
      <c r="F423" s="224"/>
      <c r="G423" s="126"/>
      <c r="H423" s="218"/>
      <c r="I423" s="223"/>
      <c r="J423" s="46"/>
      <c r="K423" s="46"/>
      <c r="L423" s="46"/>
      <c r="M423" s="46"/>
      <c r="N423" s="46"/>
      <c r="O423" s="46"/>
      <c r="P423" s="46"/>
      <c r="Q423" s="46"/>
      <c r="R423" s="46"/>
      <c r="S423" s="46"/>
      <c r="T423" s="46"/>
      <c r="U423" s="46"/>
      <c r="V423" s="46"/>
      <c r="W423" s="46"/>
    </row>
    <row r="424">
      <c r="A424" s="55"/>
      <c r="B424" s="218"/>
      <c r="C424" s="55"/>
      <c r="D424" s="218"/>
      <c r="E424" s="126"/>
      <c r="F424" s="224"/>
      <c r="G424" s="126"/>
      <c r="H424" s="218"/>
      <c r="I424" s="223"/>
      <c r="J424" s="46"/>
      <c r="K424" s="46"/>
      <c r="L424" s="46"/>
      <c r="M424" s="46"/>
      <c r="N424" s="46"/>
      <c r="O424" s="46"/>
      <c r="P424" s="46"/>
      <c r="Q424" s="46"/>
      <c r="R424" s="46"/>
      <c r="S424" s="46"/>
      <c r="T424" s="46"/>
      <c r="U424" s="46"/>
      <c r="V424" s="46"/>
      <c r="W424" s="46"/>
    </row>
    <row r="425">
      <c r="A425" s="55"/>
      <c r="B425" s="218"/>
      <c r="C425" s="55"/>
      <c r="D425" s="218"/>
      <c r="E425" s="126"/>
      <c r="F425" s="224"/>
      <c r="G425" s="126"/>
      <c r="H425" s="218"/>
      <c r="I425" s="223"/>
      <c r="J425" s="46"/>
      <c r="K425" s="46"/>
      <c r="L425" s="46"/>
      <c r="M425" s="46"/>
      <c r="N425" s="46"/>
      <c r="O425" s="46"/>
      <c r="P425" s="46"/>
      <c r="Q425" s="46"/>
      <c r="R425" s="46"/>
      <c r="S425" s="46"/>
      <c r="T425" s="46"/>
      <c r="U425" s="46"/>
      <c r="V425" s="46"/>
      <c r="W425" s="46"/>
    </row>
    <row r="426">
      <c r="A426" s="55"/>
      <c r="B426" s="218"/>
      <c r="C426" s="55"/>
      <c r="D426" s="218"/>
      <c r="E426" s="126"/>
      <c r="F426" s="224"/>
      <c r="G426" s="126"/>
      <c r="H426" s="218"/>
      <c r="I426" s="223"/>
      <c r="J426" s="46"/>
      <c r="K426" s="46"/>
      <c r="L426" s="46"/>
      <c r="M426" s="46"/>
      <c r="N426" s="46"/>
      <c r="O426" s="46"/>
      <c r="P426" s="46"/>
      <c r="Q426" s="46"/>
      <c r="R426" s="46"/>
      <c r="S426" s="46"/>
      <c r="T426" s="46"/>
      <c r="U426" s="46"/>
      <c r="V426" s="46"/>
      <c r="W426" s="46"/>
    </row>
    <row r="427">
      <c r="A427" s="55"/>
      <c r="B427" s="218"/>
      <c r="C427" s="55"/>
      <c r="D427" s="218"/>
      <c r="E427" s="126"/>
      <c r="F427" s="224"/>
      <c r="G427" s="126"/>
      <c r="H427" s="218"/>
      <c r="I427" s="223"/>
      <c r="J427" s="46"/>
      <c r="K427" s="46"/>
      <c r="L427" s="46"/>
      <c r="M427" s="46"/>
      <c r="N427" s="46"/>
      <c r="O427" s="46"/>
      <c r="P427" s="46"/>
      <c r="Q427" s="46"/>
      <c r="R427" s="46"/>
      <c r="S427" s="46"/>
      <c r="T427" s="46"/>
      <c r="U427" s="46"/>
      <c r="V427" s="46"/>
      <c r="W427" s="46"/>
    </row>
    <row r="428">
      <c r="A428" s="55"/>
      <c r="B428" s="218"/>
      <c r="C428" s="55"/>
      <c r="D428" s="218"/>
      <c r="E428" s="126"/>
      <c r="F428" s="224"/>
      <c r="G428" s="126"/>
      <c r="H428" s="218"/>
      <c r="I428" s="223"/>
      <c r="J428" s="46"/>
      <c r="K428" s="46"/>
      <c r="L428" s="46"/>
      <c r="M428" s="46"/>
      <c r="N428" s="46"/>
      <c r="O428" s="46"/>
      <c r="P428" s="46"/>
      <c r="Q428" s="46"/>
      <c r="R428" s="46"/>
      <c r="S428" s="46"/>
      <c r="T428" s="46"/>
      <c r="U428" s="46"/>
      <c r="V428" s="46"/>
      <c r="W428" s="46"/>
    </row>
    <row r="429">
      <c r="A429" s="55"/>
      <c r="B429" s="218"/>
      <c r="C429" s="55"/>
      <c r="D429" s="218"/>
      <c r="E429" s="126"/>
      <c r="F429" s="224"/>
      <c r="G429" s="126"/>
      <c r="H429" s="218"/>
      <c r="I429" s="223"/>
      <c r="J429" s="46"/>
      <c r="K429" s="46"/>
      <c r="L429" s="46"/>
      <c r="M429" s="46"/>
      <c r="N429" s="46"/>
      <c r="O429" s="46"/>
      <c r="P429" s="46"/>
      <c r="Q429" s="46"/>
      <c r="R429" s="46"/>
      <c r="S429" s="46"/>
      <c r="T429" s="46"/>
      <c r="U429" s="46"/>
      <c r="V429" s="46"/>
      <c r="W429" s="46"/>
    </row>
    <row r="430">
      <c r="A430" s="55"/>
      <c r="B430" s="218"/>
      <c r="C430" s="55"/>
      <c r="D430" s="218"/>
      <c r="E430" s="126"/>
      <c r="F430" s="224"/>
      <c r="G430" s="126"/>
      <c r="H430" s="218"/>
      <c r="I430" s="223"/>
      <c r="J430" s="46"/>
      <c r="K430" s="46"/>
      <c r="L430" s="46"/>
      <c r="M430" s="46"/>
      <c r="N430" s="46"/>
      <c r="O430" s="46"/>
      <c r="P430" s="46"/>
      <c r="Q430" s="46"/>
      <c r="R430" s="46"/>
      <c r="S430" s="46"/>
      <c r="T430" s="46"/>
      <c r="U430" s="46"/>
      <c r="V430" s="46"/>
      <c r="W430" s="46"/>
    </row>
    <row r="431">
      <c r="A431" s="55"/>
      <c r="B431" s="218"/>
      <c r="C431" s="55"/>
      <c r="D431" s="218"/>
      <c r="E431" s="126"/>
      <c r="F431" s="224"/>
      <c r="G431" s="126"/>
      <c r="H431" s="218"/>
      <c r="I431" s="223"/>
      <c r="J431" s="46"/>
      <c r="K431" s="46"/>
      <c r="L431" s="46"/>
      <c r="M431" s="46"/>
      <c r="N431" s="46"/>
      <c r="O431" s="46"/>
      <c r="P431" s="46"/>
      <c r="Q431" s="46"/>
      <c r="R431" s="46"/>
      <c r="S431" s="46"/>
      <c r="T431" s="46"/>
      <c r="U431" s="46"/>
      <c r="V431" s="46"/>
      <c r="W431" s="46"/>
    </row>
    <row r="432">
      <c r="A432" s="55"/>
      <c r="B432" s="218"/>
      <c r="C432" s="55"/>
      <c r="D432" s="218"/>
      <c r="E432" s="126"/>
      <c r="F432" s="224"/>
      <c r="G432" s="126"/>
      <c r="H432" s="218"/>
      <c r="I432" s="223"/>
      <c r="J432" s="46"/>
      <c r="K432" s="46"/>
      <c r="L432" s="46"/>
      <c r="M432" s="46"/>
      <c r="N432" s="46"/>
      <c r="O432" s="46"/>
      <c r="P432" s="46"/>
      <c r="Q432" s="46"/>
      <c r="R432" s="46"/>
      <c r="S432" s="46"/>
      <c r="T432" s="46"/>
      <c r="U432" s="46"/>
      <c r="V432" s="46"/>
      <c r="W432" s="46"/>
    </row>
    <row r="433">
      <c r="A433" s="55"/>
      <c r="B433" s="218"/>
      <c r="C433" s="55"/>
      <c r="D433" s="218"/>
      <c r="E433" s="126"/>
      <c r="F433" s="224"/>
      <c r="G433" s="126"/>
      <c r="H433" s="218"/>
      <c r="I433" s="223"/>
      <c r="J433" s="46"/>
      <c r="K433" s="46"/>
      <c r="L433" s="46"/>
      <c r="M433" s="46"/>
      <c r="N433" s="46"/>
      <c r="O433" s="46"/>
      <c r="P433" s="46"/>
      <c r="Q433" s="46"/>
      <c r="R433" s="46"/>
      <c r="S433" s="46"/>
      <c r="T433" s="46"/>
      <c r="U433" s="46"/>
      <c r="V433" s="46"/>
      <c r="W433" s="46"/>
    </row>
    <row r="434">
      <c r="A434" s="55"/>
      <c r="B434" s="218"/>
      <c r="C434" s="55"/>
      <c r="D434" s="218"/>
      <c r="E434" s="126"/>
      <c r="F434" s="224"/>
      <c r="G434" s="126"/>
      <c r="H434" s="218"/>
      <c r="I434" s="223"/>
      <c r="J434" s="46"/>
      <c r="K434" s="46"/>
      <c r="L434" s="46"/>
      <c r="M434" s="46"/>
      <c r="N434" s="46"/>
      <c r="O434" s="46"/>
      <c r="P434" s="46"/>
      <c r="Q434" s="46"/>
      <c r="R434" s="46"/>
      <c r="S434" s="46"/>
      <c r="T434" s="46"/>
      <c r="U434" s="46"/>
      <c r="V434" s="46"/>
      <c r="W434" s="46"/>
    </row>
    <row r="435">
      <c r="A435" s="55"/>
      <c r="B435" s="218"/>
      <c r="C435" s="55"/>
      <c r="D435" s="218"/>
      <c r="E435" s="126"/>
      <c r="F435" s="224"/>
      <c r="G435" s="126"/>
      <c r="H435" s="218"/>
      <c r="I435" s="223"/>
      <c r="J435" s="46"/>
      <c r="K435" s="46"/>
      <c r="L435" s="46"/>
      <c r="M435" s="46"/>
      <c r="N435" s="46"/>
      <c r="O435" s="46"/>
      <c r="P435" s="46"/>
      <c r="Q435" s="46"/>
      <c r="R435" s="46"/>
      <c r="S435" s="46"/>
      <c r="T435" s="46"/>
      <c r="U435" s="46"/>
      <c r="V435" s="46"/>
      <c r="W435" s="46"/>
    </row>
    <row r="436">
      <c r="A436" s="55"/>
      <c r="B436" s="218"/>
      <c r="C436" s="55"/>
      <c r="D436" s="218"/>
      <c r="E436" s="126"/>
      <c r="F436" s="224"/>
      <c r="G436" s="126"/>
      <c r="H436" s="218"/>
      <c r="I436" s="223"/>
      <c r="J436" s="46"/>
      <c r="K436" s="46"/>
      <c r="L436" s="46"/>
      <c r="M436" s="46"/>
      <c r="N436" s="46"/>
      <c r="O436" s="46"/>
      <c r="P436" s="46"/>
      <c r="Q436" s="46"/>
      <c r="R436" s="46"/>
      <c r="S436" s="46"/>
      <c r="T436" s="46"/>
      <c r="U436" s="46"/>
      <c r="V436" s="46"/>
      <c r="W436" s="46"/>
    </row>
    <row r="437">
      <c r="A437" s="55"/>
      <c r="B437" s="218"/>
      <c r="C437" s="55"/>
      <c r="D437" s="218"/>
      <c r="E437" s="126"/>
      <c r="F437" s="224"/>
      <c r="G437" s="126"/>
      <c r="H437" s="218"/>
      <c r="I437" s="223"/>
      <c r="J437" s="46"/>
      <c r="K437" s="46"/>
      <c r="L437" s="46"/>
      <c r="M437" s="46"/>
      <c r="N437" s="46"/>
      <c r="O437" s="46"/>
      <c r="P437" s="46"/>
      <c r="Q437" s="46"/>
      <c r="R437" s="46"/>
      <c r="S437" s="46"/>
      <c r="T437" s="46"/>
      <c r="U437" s="46"/>
      <c r="V437" s="46"/>
      <c r="W437" s="46"/>
    </row>
    <row r="438">
      <c r="A438" s="55"/>
      <c r="B438" s="218"/>
      <c r="C438" s="55"/>
      <c r="D438" s="218"/>
      <c r="E438" s="126"/>
      <c r="F438" s="224"/>
      <c r="G438" s="126"/>
      <c r="H438" s="218"/>
      <c r="I438" s="223"/>
      <c r="J438" s="46"/>
      <c r="K438" s="46"/>
      <c r="L438" s="46"/>
      <c r="M438" s="46"/>
      <c r="N438" s="46"/>
      <c r="O438" s="46"/>
      <c r="P438" s="46"/>
      <c r="Q438" s="46"/>
      <c r="R438" s="46"/>
      <c r="S438" s="46"/>
      <c r="T438" s="46"/>
      <c r="U438" s="46"/>
      <c r="V438" s="46"/>
      <c r="W438" s="46"/>
    </row>
    <row r="439">
      <c r="A439" s="55"/>
      <c r="B439" s="218"/>
      <c r="C439" s="55"/>
      <c r="D439" s="218"/>
      <c r="E439" s="126"/>
      <c r="F439" s="224"/>
      <c r="G439" s="126"/>
      <c r="H439" s="218"/>
      <c r="I439" s="223"/>
      <c r="J439" s="46"/>
      <c r="K439" s="46"/>
      <c r="L439" s="46"/>
      <c r="M439" s="46"/>
      <c r="N439" s="46"/>
      <c r="O439" s="46"/>
      <c r="P439" s="46"/>
      <c r="Q439" s="46"/>
      <c r="R439" s="46"/>
      <c r="S439" s="46"/>
      <c r="T439" s="46"/>
      <c r="U439" s="46"/>
      <c r="V439" s="46"/>
      <c r="W439" s="46"/>
    </row>
    <row r="440">
      <c r="A440" s="55"/>
      <c r="B440" s="218"/>
      <c r="C440" s="55"/>
      <c r="D440" s="218"/>
      <c r="E440" s="126"/>
      <c r="F440" s="224"/>
      <c r="G440" s="126"/>
      <c r="H440" s="218"/>
      <c r="I440" s="223"/>
      <c r="J440" s="46"/>
      <c r="K440" s="46"/>
      <c r="L440" s="46"/>
      <c r="M440" s="46"/>
      <c r="N440" s="46"/>
      <c r="O440" s="46"/>
      <c r="P440" s="46"/>
      <c r="Q440" s="46"/>
      <c r="R440" s="46"/>
      <c r="S440" s="46"/>
      <c r="T440" s="46"/>
      <c r="U440" s="46"/>
      <c r="V440" s="46"/>
      <c r="W440" s="46"/>
    </row>
    <row r="441">
      <c r="A441" s="55"/>
      <c r="B441" s="218"/>
      <c r="C441" s="55"/>
      <c r="D441" s="218"/>
      <c r="E441" s="126"/>
      <c r="F441" s="224"/>
      <c r="G441" s="126"/>
      <c r="H441" s="218"/>
      <c r="I441" s="223"/>
      <c r="J441" s="46"/>
      <c r="K441" s="46"/>
      <c r="L441" s="46"/>
      <c r="M441" s="46"/>
      <c r="N441" s="46"/>
      <c r="O441" s="46"/>
      <c r="P441" s="46"/>
      <c r="Q441" s="46"/>
      <c r="R441" s="46"/>
      <c r="S441" s="46"/>
      <c r="T441" s="46"/>
      <c r="U441" s="46"/>
      <c r="V441" s="46"/>
      <c r="W441" s="46"/>
    </row>
    <row r="442">
      <c r="A442" s="55"/>
      <c r="B442" s="218"/>
      <c r="C442" s="55"/>
      <c r="D442" s="218"/>
      <c r="E442" s="126"/>
      <c r="F442" s="224"/>
      <c r="G442" s="126"/>
      <c r="H442" s="218"/>
      <c r="I442" s="223"/>
      <c r="J442" s="46"/>
      <c r="K442" s="46"/>
      <c r="L442" s="46"/>
      <c r="M442" s="46"/>
      <c r="N442" s="46"/>
      <c r="O442" s="46"/>
      <c r="P442" s="46"/>
      <c r="Q442" s="46"/>
      <c r="R442" s="46"/>
      <c r="S442" s="46"/>
      <c r="T442" s="46"/>
      <c r="U442" s="46"/>
      <c r="V442" s="46"/>
      <c r="W442" s="46"/>
    </row>
    <row r="443">
      <c r="A443" s="55"/>
      <c r="B443" s="218"/>
      <c r="C443" s="55"/>
      <c r="D443" s="218"/>
      <c r="E443" s="126"/>
      <c r="F443" s="224"/>
      <c r="G443" s="126"/>
      <c r="H443" s="218"/>
      <c r="I443" s="223"/>
      <c r="J443" s="46"/>
      <c r="K443" s="46"/>
      <c r="L443" s="46"/>
      <c r="M443" s="46"/>
      <c r="N443" s="46"/>
      <c r="O443" s="46"/>
      <c r="P443" s="46"/>
      <c r="Q443" s="46"/>
      <c r="R443" s="46"/>
      <c r="S443" s="46"/>
      <c r="T443" s="46"/>
      <c r="U443" s="46"/>
      <c r="V443" s="46"/>
      <c r="W443" s="46"/>
    </row>
    <row r="444">
      <c r="A444" s="55"/>
      <c r="B444" s="218"/>
      <c r="C444" s="55"/>
      <c r="D444" s="218"/>
      <c r="E444" s="126"/>
      <c r="F444" s="224"/>
      <c r="G444" s="126"/>
      <c r="H444" s="218"/>
      <c r="I444" s="223"/>
      <c r="J444" s="46"/>
      <c r="K444" s="46"/>
      <c r="L444" s="46"/>
      <c r="M444" s="46"/>
      <c r="N444" s="46"/>
      <c r="O444" s="46"/>
      <c r="P444" s="46"/>
      <c r="Q444" s="46"/>
      <c r="R444" s="46"/>
      <c r="S444" s="46"/>
      <c r="T444" s="46"/>
      <c r="U444" s="46"/>
      <c r="V444" s="46"/>
      <c r="W444" s="46"/>
    </row>
    <row r="445">
      <c r="A445" s="55"/>
      <c r="B445" s="218"/>
      <c r="C445" s="55"/>
      <c r="D445" s="218"/>
      <c r="E445" s="126"/>
      <c r="F445" s="224"/>
      <c r="G445" s="126"/>
      <c r="H445" s="218"/>
      <c r="I445" s="223"/>
      <c r="J445" s="46"/>
      <c r="K445" s="46"/>
      <c r="L445" s="46"/>
      <c r="M445" s="46"/>
      <c r="N445" s="46"/>
      <c r="O445" s="46"/>
      <c r="P445" s="46"/>
      <c r="Q445" s="46"/>
      <c r="R445" s="46"/>
      <c r="S445" s="46"/>
      <c r="T445" s="46"/>
      <c r="U445" s="46"/>
      <c r="V445" s="46"/>
      <c r="W445" s="46"/>
    </row>
    <row r="446">
      <c r="A446" s="55"/>
      <c r="B446" s="218"/>
      <c r="C446" s="55"/>
      <c r="D446" s="218"/>
      <c r="E446" s="126"/>
      <c r="F446" s="224"/>
      <c r="G446" s="126"/>
      <c r="H446" s="218"/>
      <c r="I446" s="223"/>
      <c r="J446" s="46"/>
      <c r="K446" s="46"/>
      <c r="L446" s="46"/>
      <c r="M446" s="46"/>
      <c r="N446" s="46"/>
      <c r="O446" s="46"/>
      <c r="P446" s="46"/>
      <c r="Q446" s="46"/>
      <c r="R446" s="46"/>
      <c r="S446" s="46"/>
      <c r="T446" s="46"/>
      <c r="U446" s="46"/>
      <c r="V446" s="46"/>
      <c r="W446" s="46"/>
    </row>
    <row r="447">
      <c r="A447" s="55"/>
      <c r="B447" s="218"/>
      <c r="C447" s="55"/>
      <c r="D447" s="218"/>
      <c r="E447" s="126"/>
      <c r="F447" s="224"/>
      <c r="G447" s="126"/>
      <c r="H447" s="218"/>
      <c r="I447" s="223"/>
      <c r="J447" s="46"/>
      <c r="K447" s="46"/>
      <c r="L447" s="46"/>
      <c r="M447" s="46"/>
      <c r="N447" s="46"/>
      <c r="O447" s="46"/>
      <c r="P447" s="46"/>
      <c r="Q447" s="46"/>
      <c r="R447" s="46"/>
      <c r="S447" s="46"/>
      <c r="T447" s="46"/>
      <c r="U447" s="46"/>
      <c r="V447" s="46"/>
      <c r="W447" s="46"/>
    </row>
    <row r="448">
      <c r="A448" s="55"/>
      <c r="B448" s="218"/>
      <c r="C448" s="55"/>
      <c r="D448" s="218"/>
      <c r="E448" s="126"/>
      <c r="F448" s="224"/>
      <c r="G448" s="126"/>
      <c r="H448" s="218"/>
      <c r="I448" s="223"/>
      <c r="J448" s="46"/>
      <c r="K448" s="46"/>
      <c r="L448" s="46"/>
      <c r="M448" s="46"/>
      <c r="N448" s="46"/>
      <c r="O448" s="46"/>
      <c r="P448" s="46"/>
      <c r="Q448" s="46"/>
      <c r="R448" s="46"/>
      <c r="S448" s="46"/>
      <c r="T448" s="46"/>
      <c r="U448" s="46"/>
      <c r="V448" s="46"/>
      <c r="W448" s="46"/>
    </row>
    <row r="449">
      <c r="A449" s="55"/>
      <c r="B449" s="218"/>
      <c r="C449" s="55"/>
      <c r="D449" s="218"/>
      <c r="E449" s="126"/>
      <c r="F449" s="224"/>
      <c r="G449" s="126"/>
      <c r="H449" s="218"/>
      <c r="I449" s="223"/>
      <c r="J449" s="46"/>
      <c r="K449" s="46"/>
      <c r="L449" s="46"/>
      <c r="M449" s="46"/>
      <c r="N449" s="46"/>
      <c r="O449" s="46"/>
      <c r="P449" s="46"/>
      <c r="Q449" s="46"/>
      <c r="R449" s="46"/>
      <c r="S449" s="46"/>
      <c r="T449" s="46"/>
      <c r="U449" s="46"/>
      <c r="V449" s="46"/>
      <c r="W449" s="46"/>
    </row>
    <row r="450">
      <c r="A450" s="55"/>
      <c r="B450" s="218"/>
      <c r="C450" s="55"/>
      <c r="D450" s="218"/>
      <c r="E450" s="126"/>
      <c r="F450" s="224"/>
      <c r="G450" s="126"/>
      <c r="H450" s="218"/>
      <c r="I450" s="223"/>
      <c r="J450" s="46"/>
      <c r="K450" s="46"/>
      <c r="L450" s="46"/>
      <c r="M450" s="46"/>
      <c r="N450" s="46"/>
      <c r="O450" s="46"/>
      <c r="P450" s="46"/>
      <c r="Q450" s="46"/>
      <c r="R450" s="46"/>
      <c r="S450" s="46"/>
      <c r="T450" s="46"/>
      <c r="U450" s="46"/>
      <c r="V450" s="46"/>
      <c r="W450" s="46"/>
    </row>
    <row r="451">
      <c r="A451" s="55"/>
      <c r="B451" s="218"/>
      <c r="C451" s="55"/>
      <c r="D451" s="218"/>
      <c r="E451" s="126"/>
      <c r="F451" s="224"/>
      <c r="G451" s="126"/>
      <c r="H451" s="218"/>
      <c r="I451" s="223"/>
      <c r="J451" s="46"/>
      <c r="K451" s="46"/>
      <c r="L451" s="46"/>
      <c r="M451" s="46"/>
      <c r="N451" s="46"/>
      <c r="O451" s="46"/>
      <c r="P451" s="46"/>
      <c r="Q451" s="46"/>
      <c r="R451" s="46"/>
      <c r="S451" s="46"/>
      <c r="T451" s="46"/>
      <c r="U451" s="46"/>
      <c r="V451" s="46"/>
      <c r="W451" s="46"/>
    </row>
    <row r="452">
      <c r="A452" s="55"/>
      <c r="B452" s="218"/>
      <c r="C452" s="55"/>
      <c r="D452" s="218"/>
      <c r="E452" s="126"/>
      <c r="F452" s="224"/>
      <c r="G452" s="126"/>
      <c r="H452" s="218"/>
      <c r="I452" s="223"/>
      <c r="J452" s="46"/>
      <c r="K452" s="46"/>
      <c r="L452" s="46"/>
      <c r="M452" s="46"/>
      <c r="N452" s="46"/>
      <c r="O452" s="46"/>
      <c r="P452" s="46"/>
      <c r="Q452" s="46"/>
      <c r="R452" s="46"/>
      <c r="S452" s="46"/>
      <c r="T452" s="46"/>
      <c r="U452" s="46"/>
      <c r="V452" s="46"/>
      <c r="W452" s="46"/>
    </row>
    <row r="453">
      <c r="A453" s="55"/>
      <c r="B453" s="218"/>
      <c r="C453" s="55"/>
      <c r="D453" s="218"/>
      <c r="E453" s="126"/>
      <c r="F453" s="224"/>
      <c r="G453" s="126"/>
      <c r="H453" s="218"/>
      <c r="I453" s="223"/>
      <c r="J453" s="46"/>
      <c r="K453" s="46"/>
      <c r="L453" s="46"/>
      <c r="M453" s="46"/>
      <c r="N453" s="46"/>
      <c r="O453" s="46"/>
      <c r="P453" s="46"/>
      <c r="Q453" s="46"/>
      <c r="R453" s="46"/>
      <c r="S453" s="46"/>
      <c r="T453" s="46"/>
      <c r="U453" s="46"/>
      <c r="V453" s="46"/>
      <c r="W453" s="46"/>
    </row>
    <row r="454">
      <c r="A454" s="55"/>
      <c r="B454" s="218"/>
      <c r="C454" s="55"/>
      <c r="D454" s="218"/>
      <c r="E454" s="126"/>
      <c r="F454" s="224"/>
      <c r="G454" s="126"/>
      <c r="H454" s="218"/>
      <c r="I454" s="223"/>
      <c r="J454" s="46"/>
      <c r="K454" s="46"/>
      <c r="L454" s="46"/>
      <c r="M454" s="46"/>
      <c r="N454" s="46"/>
      <c r="O454" s="46"/>
      <c r="P454" s="46"/>
      <c r="Q454" s="46"/>
      <c r="R454" s="46"/>
      <c r="S454" s="46"/>
      <c r="T454" s="46"/>
      <c r="U454" s="46"/>
      <c r="V454" s="46"/>
      <c r="W454" s="46"/>
    </row>
    <row r="455">
      <c r="A455" s="55"/>
      <c r="B455" s="218"/>
      <c r="C455" s="55"/>
      <c r="D455" s="218"/>
      <c r="E455" s="126"/>
      <c r="F455" s="224"/>
      <c r="G455" s="126"/>
      <c r="H455" s="218"/>
      <c r="I455" s="223"/>
      <c r="J455" s="46"/>
      <c r="K455" s="46"/>
      <c r="L455" s="46"/>
      <c r="M455" s="46"/>
      <c r="N455" s="46"/>
      <c r="O455" s="46"/>
      <c r="P455" s="46"/>
      <c r="Q455" s="46"/>
      <c r="R455" s="46"/>
      <c r="S455" s="46"/>
      <c r="T455" s="46"/>
      <c r="U455" s="46"/>
      <c r="V455" s="46"/>
      <c r="W455" s="46"/>
    </row>
    <row r="456">
      <c r="A456" s="55"/>
      <c r="B456" s="218"/>
      <c r="C456" s="55"/>
      <c r="D456" s="218"/>
      <c r="E456" s="126"/>
      <c r="F456" s="224"/>
      <c r="G456" s="126"/>
      <c r="H456" s="218"/>
      <c r="I456" s="223"/>
      <c r="J456" s="46"/>
      <c r="K456" s="46"/>
      <c r="L456" s="46"/>
      <c r="M456" s="46"/>
      <c r="N456" s="46"/>
      <c r="O456" s="46"/>
      <c r="P456" s="46"/>
      <c r="Q456" s="46"/>
      <c r="R456" s="46"/>
      <c r="S456" s="46"/>
      <c r="T456" s="46"/>
      <c r="U456" s="46"/>
      <c r="V456" s="46"/>
      <c r="W456" s="46"/>
    </row>
    <row r="457">
      <c r="A457" s="55"/>
      <c r="B457" s="218"/>
      <c r="C457" s="55"/>
      <c r="D457" s="218"/>
      <c r="E457" s="126"/>
      <c r="F457" s="224"/>
      <c r="G457" s="126"/>
      <c r="H457" s="218"/>
      <c r="I457" s="223"/>
      <c r="J457" s="46"/>
      <c r="K457" s="46"/>
      <c r="L457" s="46"/>
      <c r="M457" s="46"/>
      <c r="N457" s="46"/>
      <c r="O457" s="46"/>
      <c r="P457" s="46"/>
      <c r="Q457" s="46"/>
      <c r="R457" s="46"/>
      <c r="S457" s="46"/>
      <c r="T457" s="46"/>
      <c r="U457" s="46"/>
      <c r="V457" s="46"/>
      <c r="W457" s="46"/>
    </row>
    <row r="458">
      <c r="A458" s="55"/>
      <c r="B458" s="218"/>
      <c r="C458" s="55"/>
      <c r="D458" s="218"/>
      <c r="E458" s="126"/>
      <c r="F458" s="224"/>
      <c r="G458" s="126"/>
      <c r="H458" s="218"/>
      <c r="I458" s="223"/>
      <c r="J458" s="46"/>
      <c r="K458" s="46"/>
      <c r="L458" s="46"/>
      <c r="M458" s="46"/>
      <c r="N458" s="46"/>
      <c r="O458" s="46"/>
      <c r="P458" s="46"/>
      <c r="Q458" s="46"/>
      <c r="R458" s="46"/>
      <c r="S458" s="46"/>
      <c r="T458" s="46"/>
      <c r="U458" s="46"/>
      <c r="V458" s="46"/>
      <c r="W458" s="46"/>
    </row>
    <row r="459">
      <c r="A459" s="55"/>
      <c r="B459" s="218"/>
      <c r="C459" s="55"/>
      <c r="D459" s="218"/>
      <c r="E459" s="126"/>
      <c r="F459" s="224"/>
      <c r="G459" s="126"/>
      <c r="H459" s="218"/>
      <c r="I459" s="223"/>
      <c r="J459" s="46"/>
      <c r="K459" s="46"/>
      <c r="L459" s="46"/>
      <c r="M459" s="46"/>
      <c r="N459" s="46"/>
      <c r="O459" s="46"/>
      <c r="P459" s="46"/>
      <c r="Q459" s="46"/>
      <c r="R459" s="46"/>
      <c r="S459" s="46"/>
      <c r="T459" s="46"/>
      <c r="U459" s="46"/>
      <c r="V459" s="46"/>
      <c r="W459" s="46"/>
    </row>
    <row r="460">
      <c r="A460" s="55"/>
      <c r="B460" s="218"/>
      <c r="C460" s="55"/>
      <c r="D460" s="218"/>
      <c r="E460" s="126"/>
      <c r="F460" s="224"/>
      <c r="G460" s="126"/>
      <c r="H460" s="218"/>
      <c r="I460" s="223"/>
      <c r="J460" s="46"/>
      <c r="K460" s="46"/>
      <c r="L460" s="46"/>
      <c r="M460" s="46"/>
      <c r="N460" s="46"/>
      <c r="O460" s="46"/>
      <c r="P460" s="46"/>
      <c r="Q460" s="46"/>
      <c r="R460" s="46"/>
      <c r="S460" s="46"/>
      <c r="T460" s="46"/>
      <c r="U460" s="46"/>
      <c r="V460" s="46"/>
      <c r="W460" s="46"/>
    </row>
    <row r="461">
      <c r="A461" s="55"/>
      <c r="B461" s="218"/>
      <c r="C461" s="55"/>
      <c r="D461" s="218"/>
      <c r="E461" s="126"/>
      <c r="F461" s="224"/>
      <c r="G461" s="126"/>
      <c r="H461" s="218"/>
      <c r="I461" s="223"/>
      <c r="J461" s="46"/>
      <c r="K461" s="46"/>
      <c r="L461" s="46"/>
      <c r="M461" s="46"/>
      <c r="N461" s="46"/>
      <c r="O461" s="46"/>
      <c r="P461" s="46"/>
      <c r="Q461" s="46"/>
      <c r="R461" s="46"/>
      <c r="S461" s="46"/>
      <c r="T461" s="46"/>
      <c r="U461" s="46"/>
      <c r="V461" s="46"/>
      <c r="W461" s="46"/>
    </row>
    <row r="462">
      <c r="A462" s="55"/>
      <c r="B462" s="218"/>
      <c r="C462" s="55"/>
      <c r="D462" s="218"/>
      <c r="E462" s="126"/>
      <c r="F462" s="224"/>
      <c r="G462" s="126"/>
      <c r="H462" s="218"/>
      <c r="I462" s="223"/>
      <c r="J462" s="46"/>
      <c r="K462" s="46"/>
      <c r="L462" s="46"/>
      <c r="M462" s="46"/>
      <c r="N462" s="46"/>
      <c r="O462" s="46"/>
      <c r="P462" s="46"/>
      <c r="Q462" s="46"/>
      <c r="R462" s="46"/>
      <c r="S462" s="46"/>
      <c r="T462" s="46"/>
      <c r="U462" s="46"/>
      <c r="V462" s="46"/>
      <c r="W462" s="46"/>
    </row>
    <row r="463">
      <c r="A463" s="55"/>
      <c r="B463" s="218"/>
      <c r="C463" s="55"/>
      <c r="D463" s="218"/>
      <c r="E463" s="126"/>
      <c r="F463" s="224"/>
      <c r="G463" s="126"/>
      <c r="H463" s="218"/>
      <c r="I463" s="223"/>
      <c r="J463" s="46"/>
      <c r="K463" s="46"/>
      <c r="L463" s="46"/>
      <c r="M463" s="46"/>
      <c r="N463" s="46"/>
      <c r="O463" s="46"/>
      <c r="P463" s="46"/>
      <c r="Q463" s="46"/>
      <c r="R463" s="46"/>
      <c r="S463" s="46"/>
      <c r="T463" s="46"/>
      <c r="U463" s="46"/>
      <c r="V463" s="46"/>
      <c r="W463" s="46"/>
    </row>
    <row r="464">
      <c r="A464" s="55"/>
      <c r="B464" s="218"/>
      <c r="C464" s="55"/>
      <c r="D464" s="218"/>
      <c r="E464" s="126"/>
      <c r="F464" s="224"/>
      <c r="G464" s="126"/>
      <c r="H464" s="218"/>
      <c r="I464" s="223"/>
      <c r="J464" s="46"/>
      <c r="K464" s="46"/>
      <c r="L464" s="46"/>
      <c r="M464" s="46"/>
      <c r="N464" s="46"/>
      <c r="O464" s="46"/>
      <c r="P464" s="46"/>
      <c r="Q464" s="46"/>
      <c r="R464" s="46"/>
      <c r="S464" s="46"/>
      <c r="T464" s="46"/>
      <c r="U464" s="46"/>
      <c r="V464" s="46"/>
      <c r="W464" s="46"/>
    </row>
    <row r="465">
      <c r="A465" s="55"/>
      <c r="B465" s="218"/>
      <c r="C465" s="55"/>
      <c r="D465" s="218"/>
      <c r="E465" s="126"/>
      <c r="F465" s="224"/>
      <c r="G465" s="126"/>
      <c r="H465" s="218"/>
      <c r="I465" s="223"/>
      <c r="J465" s="46"/>
      <c r="K465" s="46"/>
      <c r="L465" s="46"/>
      <c r="M465" s="46"/>
      <c r="N465" s="46"/>
      <c r="O465" s="46"/>
      <c r="P465" s="46"/>
      <c r="Q465" s="46"/>
      <c r="R465" s="46"/>
      <c r="S465" s="46"/>
      <c r="T465" s="46"/>
      <c r="U465" s="46"/>
      <c r="V465" s="46"/>
      <c r="W465" s="46"/>
    </row>
    <row r="466">
      <c r="A466" s="55"/>
      <c r="B466" s="218"/>
      <c r="C466" s="55"/>
      <c r="D466" s="218"/>
      <c r="E466" s="126"/>
      <c r="F466" s="224"/>
      <c r="G466" s="126"/>
      <c r="H466" s="218"/>
      <c r="I466" s="223"/>
      <c r="J466" s="46"/>
      <c r="K466" s="46"/>
      <c r="L466" s="46"/>
      <c r="M466" s="46"/>
      <c r="N466" s="46"/>
      <c r="O466" s="46"/>
      <c r="P466" s="46"/>
      <c r="Q466" s="46"/>
      <c r="R466" s="46"/>
      <c r="S466" s="46"/>
      <c r="T466" s="46"/>
      <c r="U466" s="46"/>
      <c r="V466" s="46"/>
      <c r="W466" s="46"/>
    </row>
    <row r="467">
      <c r="A467" s="55"/>
      <c r="B467" s="218"/>
      <c r="C467" s="55"/>
      <c r="D467" s="218"/>
      <c r="E467" s="126"/>
      <c r="F467" s="224"/>
      <c r="G467" s="126"/>
      <c r="H467" s="218"/>
      <c r="I467" s="223"/>
      <c r="J467" s="46"/>
      <c r="K467" s="46"/>
      <c r="L467" s="46"/>
      <c r="M467" s="46"/>
      <c r="N467" s="46"/>
      <c r="O467" s="46"/>
      <c r="P467" s="46"/>
      <c r="Q467" s="46"/>
      <c r="R467" s="46"/>
      <c r="S467" s="46"/>
      <c r="T467" s="46"/>
      <c r="U467" s="46"/>
      <c r="V467" s="46"/>
      <c r="W467" s="46"/>
    </row>
    <row r="468">
      <c r="A468" s="55"/>
      <c r="B468" s="218"/>
      <c r="C468" s="55"/>
      <c r="D468" s="218"/>
      <c r="E468" s="126"/>
      <c r="F468" s="224"/>
      <c r="G468" s="126"/>
      <c r="H468" s="218"/>
      <c r="I468" s="223"/>
      <c r="J468" s="46"/>
      <c r="K468" s="46"/>
      <c r="L468" s="46"/>
      <c r="M468" s="46"/>
      <c r="N468" s="46"/>
      <c r="O468" s="46"/>
      <c r="P468" s="46"/>
      <c r="Q468" s="46"/>
      <c r="R468" s="46"/>
      <c r="S468" s="46"/>
      <c r="T468" s="46"/>
      <c r="U468" s="46"/>
      <c r="V468" s="46"/>
      <c r="W468" s="46"/>
    </row>
    <row r="469">
      <c r="A469" s="55"/>
      <c r="B469" s="218"/>
      <c r="C469" s="55"/>
      <c r="D469" s="218"/>
      <c r="E469" s="126"/>
      <c r="F469" s="224"/>
      <c r="G469" s="126"/>
      <c r="H469" s="218"/>
      <c r="I469" s="223"/>
      <c r="J469" s="46"/>
      <c r="K469" s="46"/>
      <c r="L469" s="46"/>
      <c r="M469" s="46"/>
      <c r="N469" s="46"/>
      <c r="O469" s="46"/>
      <c r="P469" s="46"/>
      <c r="Q469" s="46"/>
      <c r="R469" s="46"/>
      <c r="S469" s="46"/>
      <c r="T469" s="46"/>
      <c r="U469" s="46"/>
      <c r="V469" s="46"/>
      <c r="W469" s="46"/>
    </row>
    <row r="470">
      <c r="A470" s="55"/>
      <c r="B470" s="218"/>
      <c r="C470" s="55"/>
      <c r="D470" s="218"/>
      <c r="E470" s="126"/>
      <c r="F470" s="224"/>
      <c r="G470" s="126"/>
      <c r="H470" s="218"/>
      <c r="I470" s="223"/>
      <c r="J470" s="46"/>
      <c r="K470" s="46"/>
      <c r="L470" s="46"/>
      <c r="M470" s="46"/>
      <c r="N470" s="46"/>
      <c r="O470" s="46"/>
      <c r="P470" s="46"/>
      <c r="Q470" s="46"/>
      <c r="R470" s="46"/>
      <c r="S470" s="46"/>
      <c r="T470" s="46"/>
      <c r="U470" s="46"/>
      <c r="V470" s="46"/>
      <c r="W470" s="46"/>
    </row>
    <row r="471">
      <c r="A471" s="55"/>
      <c r="B471" s="218"/>
      <c r="C471" s="55"/>
      <c r="D471" s="218"/>
      <c r="E471" s="126"/>
      <c r="F471" s="224"/>
      <c r="G471" s="126"/>
      <c r="H471" s="218"/>
      <c r="I471" s="223"/>
      <c r="J471" s="46"/>
      <c r="K471" s="46"/>
      <c r="L471" s="46"/>
      <c r="M471" s="46"/>
      <c r="N471" s="46"/>
      <c r="O471" s="46"/>
      <c r="P471" s="46"/>
      <c r="Q471" s="46"/>
      <c r="R471" s="46"/>
      <c r="S471" s="46"/>
      <c r="T471" s="46"/>
      <c r="U471" s="46"/>
      <c r="V471" s="46"/>
      <c r="W471" s="46"/>
    </row>
    <row r="472">
      <c r="A472" s="55"/>
      <c r="B472" s="218"/>
      <c r="C472" s="55"/>
      <c r="D472" s="218"/>
      <c r="E472" s="126"/>
      <c r="F472" s="224"/>
      <c r="G472" s="126"/>
      <c r="H472" s="218"/>
      <c r="I472" s="223"/>
      <c r="J472" s="46"/>
      <c r="K472" s="46"/>
      <c r="L472" s="46"/>
      <c r="M472" s="46"/>
      <c r="N472" s="46"/>
      <c r="O472" s="46"/>
      <c r="P472" s="46"/>
      <c r="Q472" s="46"/>
      <c r="R472" s="46"/>
      <c r="S472" s="46"/>
      <c r="T472" s="46"/>
      <c r="U472" s="46"/>
      <c r="V472" s="46"/>
      <c r="W472" s="46"/>
    </row>
    <row r="473">
      <c r="A473" s="55"/>
      <c r="B473" s="218"/>
      <c r="C473" s="55"/>
      <c r="D473" s="218"/>
      <c r="E473" s="126"/>
      <c r="F473" s="224"/>
      <c r="G473" s="126"/>
      <c r="H473" s="218"/>
      <c r="I473" s="223"/>
      <c r="J473" s="46"/>
      <c r="K473" s="46"/>
      <c r="L473" s="46"/>
      <c r="M473" s="46"/>
      <c r="N473" s="46"/>
      <c r="O473" s="46"/>
      <c r="P473" s="46"/>
      <c r="Q473" s="46"/>
      <c r="R473" s="46"/>
      <c r="S473" s="46"/>
      <c r="T473" s="46"/>
      <c r="U473" s="46"/>
      <c r="V473" s="46"/>
      <c r="W473" s="46"/>
    </row>
    <row r="474">
      <c r="A474" s="55"/>
      <c r="B474" s="218"/>
      <c r="C474" s="55"/>
      <c r="D474" s="218"/>
      <c r="E474" s="126"/>
      <c r="F474" s="224"/>
      <c r="G474" s="126"/>
      <c r="H474" s="218"/>
      <c r="I474" s="223"/>
      <c r="J474" s="46"/>
      <c r="K474" s="46"/>
      <c r="L474" s="46"/>
      <c r="M474" s="46"/>
      <c r="N474" s="46"/>
      <c r="O474" s="46"/>
      <c r="P474" s="46"/>
      <c r="Q474" s="46"/>
      <c r="R474" s="46"/>
      <c r="S474" s="46"/>
      <c r="T474" s="46"/>
      <c r="U474" s="46"/>
      <c r="V474" s="46"/>
      <c r="W474" s="46"/>
    </row>
    <row r="475">
      <c r="A475" s="55"/>
      <c r="B475" s="218"/>
      <c r="C475" s="55"/>
      <c r="D475" s="218"/>
      <c r="E475" s="126"/>
      <c r="F475" s="224"/>
      <c r="G475" s="126"/>
      <c r="H475" s="218"/>
      <c r="I475" s="223"/>
      <c r="J475" s="46"/>
      <c r="K475" s="46"/>
      <c r="L475" s="46"/>
      <c r="M475" s="46"/>
      <c r="N475" s="46"/>
      <c r="O475" s="46"/>
      <c r="P475" s="46"/>
      <c r="Q475" s="46"/>
      <c r="R475" s="46"/>
      <c r="S475" s="46"/>
      <c r="T475" s="46"/>
      <c r="U475" s="46"/>
      <c r="V475" s="46"/>
      <c r="W475" s="46"/>
    </row>
    <row r="476">
      <c r="A476" s="55"/>
      <c r="B476" s="218"/>
      <c r="C476" s="55"/>
      <c r="D476" s="218"/>
      <c r="E476" s="126"/>
      <c r="F476" s="224"/>
      <c r="G476" s="126"/>
      <c r="H476" s="218"/>
      <c r="I476" s="223"/>
      <c r="J476" s="46"/>
      <c r="K476" s="46"/>
      <c r="L476" s="46"/>
      <c r="M476" s="46"/>
      <c r="N476" s="46"/>
      <c r="O476" s="46"/>
      <c r="P476" s="46"/>
      <c r="Q476" s="46"/>
      <c r="R476" s="46"/>
      <c r="S476" s="46"/>
      <c r="T476" s="46"/>
      <c r="U476" s="46"/>
      <c r="V476" s="46"/>
      <c r="W476" s="46"/>
    </row>
    <row r="477">
      <c r="A477" s="55"/>
      <c r="B477" s="218"/>
      <c r="C477" s="55"/>
      <c r="D477" s="218"/>
      <c r="E477" s="126"/>
      <c r="F477" s="224"/>
      <c r="G477" s="126"/>
      <c r="H477" s="218"/>
      <c r="I477" s="223"/>
      <c r="J477" s="46"/>
      <c r="K477" s="46"/>
      <c r="L477" s="46"/>
      <c r="M477" s="46"/>
      <c r="N477" s="46"/>
      <c r="O477" s="46"/>
      <c r="P477" s="46"/>
      <c r="Q477" s="46"/>
      <c r="R477" s="46"/>
      <c r="S477" s="46"/>
      <c r="T477" s="46"/>
      <c r="U477" s="46"/>
      <c r="V477" s="46"/>
      <c r="W477" s="46"/>
    </row>
    <row r="478">
      <c r="A478" s="55"/>
      <c r="B478" s="218"/>
      <c r="C478" s="55"/>
      <c r="D478" s="218"/>
      <c r="E478" s="126"/>
      <c r="F478" s="224"/>
      <c r="G478" s="126"/>
      <c r="H478" s="218"/>
      <c r="I478" s="223"/>
      <c r="J478" s="46"/>
      <c r="K478" s="46"/>
      <c r="L478" s="46"/>
      <c r="M478" s="46"/>
      <c r="N478" s="46"/>
      <c r="O478" s="46"/>
      <c r="P478" s="46"/>
      <c r="Q478" s="46"/>
      <c r="R478" s="46"/>
      <c r="S478" s="46"/>
      <c r="T478" s="46"/>
      <c r="U478" s="46"/>
      <c r="V478" s="46"/>
      <c r="W478" s="46"/>
    </row>
    <row r="479">
      <c r="A479" s="55"/>
      <c r="B479" s="218"/>
      <c r="C479" s="55"/>
      <c r="D479" s="218"/>
      <c r="E479" s="126"/>
      <c r="F479" s="224"/>
      <c r="G479" s="126"/>
      <c r="H479" s="218"/>
      <c r="I479" s="223"/>
      <c r="J479" s="46"/>
      <c r="K479" s="46"/>
      <c r="L479" s="46"/>
      <c r="M479" s="46"/>
      <c r="N479" s="46"/>
      <c r="O479" s="46"/>
      <c r="P479" s="46"/>
      <c r="Q479" s="46"/>
      <c r="R479" s="46"/>
      <c r="S479" s="46"/>
      <c r="T479" s="46"/>
      <c r="U479" s="46"/>
      <c r="V479" s="46"/>
      <c r="W479" s="46"/>
    </row>
    <row r="480">
      <c r="A480" s="55"/>
      <c r="B480" s="218"/>
      <c r="C480" s="55"/>
      <c r="D480" s="218"/>
      <c r="E480" s="126"/>
      <c r="F480" s="224"/>
      <c r="G480" s="126"/>
      <c r="H480" s="218"/>
      <c r="I480" s="223"/>
      <c r="J480" s="46"/>
      <c r="K480" s="46"/>
      <c r="L480" s="46"/>
      <c r="M480" s="46"/>
      <c r="N480" s="46"/>
      <c r="O480" s="46"/>
      <c r="P480" s="46"/>
      <c r="Q480" s="46"/>
      <c r="R480" s="46"/>
      <c r="S480" s="46"/>
      <c r="T480" s="46"/>
      <c r="U480" s="46"/>
      <c r="V480" s="46"/>
      <c r="W480" s="46"/>
    </row>
    <row r="481">
      <c r="A481" s="55"/>
      <c r="B481" s="218"/>
      <c r="C481" s="55"/>
      <c r="D481" s="218"/>
      <c r="E481" s="126"/>
      <c r="F481" s="224"/>
      <c r="G481" s="126"/>
      <c r="H481" s="218"/>
      <c r="I481" s="223"/>
      <c r="J481" s="46"/>
      <c r="K481" s="46"/>
      <c r="L481" s="46"/>
      <c r="M481" s="46"/>
      <c r="N481" s="46"/>
      <c r="O481" s="46"/>
      <c r="P481" s="46"/>
      <c r="Q481" s="46"/>
      <c r="R481" s="46"/>
      <c r="S481" s="46"/>
      <c r="T481" s="46"/>
      <c r="U481" s="46"/>
      <c r="V481" s="46"/>
      <c r="W481" s="46"/>
    </row>
    <row r="482">
      <c r="A482" s="55"/>
      <c r="B482" s="218"/>
      <c r="C482" s="55"/>
      <c r="D482" s="218"/>
      <c r="E482" s="126"/>
      <c r="F482" s="224"/>
      <c r="G482" s="126"/>
      <c r="H482" s="218"/>
      <c r="I482" s="223"/>
      <c r="J482" s="46"/>
      <c r="K482" s="46"/>
      <c r="L482" s="46"/>
      <c r="M482" s="46"/>
      <c r="N482" s="46"/>
      <c r="O482" s="46"/>
      <c r="P482" s="46"/>
      <c r="Q482" s="46"/>
      <c r="R482" s="46"/>
      <c r="S482" s="46"/>
      <c r="T482" s="46"/>
      <c r="U482" s="46"/>
      <c r="V482" s="46"/>
      <c r="W482" s="46"/>
    </row>
    <row r="483">
      <c r="A483" s="55"/>
      <c r="B483" s="218"/>
      <c r="C483" s="55"/>
      <c r="D483" s="218"/>
      <c r="E483" s="126"/>
      <c r="F483" s="224"/>
      <c r="G483" s="126"/>
      <c r="H483" s="218"/>
      <c r="I483" s="223"/>
      <c r="J483" s="46"/>
      <c r="K483" s="46"/>
      <c r="L483" s="46"/>
      <c r="M483" s="46"/>
      <c r="N483" s="46"/>
      <c r="O483" s="46"/>
      <c r="P483" s="46"/>
      <c r="Q483" s="46"/>
      <c r="R483" s="46"/>
      <c r="S483" s="46"/>
      <c r="T483" s="46"/>
      <c r="U483" s="46"/>
      <c r="V483" s="46"/>
      <c r="W483" s="46"/>
    </row>
    <row r="484">
      <c r="A484" s="55"/>
      <c r="B484" s="218"/>
      <c r="C484" s="55"/>
      <c r="D484" s="218"/>
      <c r="E484" s="126"/>
      <c r="F484" s="224"/>
      <c r="G484" s="126"/>
      <c r="H484" s="218"/>
      <c r="I484" s="223"/>
      <c r="J484" s="46"/>
      <c r="K484" s="46"/>
      <c r="L484" s="46"/>
      <c r="M484" s="46"/>
      <c r="N484" s="46"/>
      <c r="O484" s="46"/>
      <c r="P484" s="46"/>
      <c r="Q484" s="46"/>
      <c r="R484" s="46"/>
      <c r="S484" s="46"/>
      <c r="T484" s="46"/>
      <c r="U484" s="46"/>
      <c r="V484" s="46"/>
      <c r="W484" s="46"/>
    </row>
    <row r="485">
      <c r="A485" s="55"/>
      <c r="B485" s="218"/>
      <c r="C485" s="55"/>
      <c r="D485" s="218"/>
      <c r="E485" s="126"/>
      <c r="F485" s="224"/>
      <c r="G485" s="126"/>
      <c r="H485" s="218"/>
      <c r="I485" s="223"/>
      <c r="J485" s="46"/>
      <c r="K485" s="46"/>
      <c r="L485" s="46"/>
      <c r="M485" s="46"/>
      <c r="N485" s="46"/>
      <c r="O485" s="46"/>
      <c r="P485" s="46"/>
      <c r="Q485" s="46"/>
      <c r="R485" s="46"/>
      <c r="S485" s="46"/>
      <c r="T485" s="46"/>
      <c r="U485" s="46"/>
      <c r="V485" s="46"/>
      <c r="W485" s="46"/>
    </row>
    <row r="486">
      <c r="A486" s="55"/>
      <c r="B486" s="218"/>
      <c r="C486" s="55"/>
      <c r="D486" s="218"/>
      <c r="E486" s="126"/>
      <c r="F486" s="224"/>
      <c r="G486" s="126"/>
      <c r="H486" s="218"/>
      <c r="I486" s="223"/>
      <c r="J486" s="46"/>
      <c r="K486" s="46"/>
      <c r="L486" s="46"/>
      <c r="M486" s="46"/>
      <c r="N486" s="46"/>
      <c r="O486" s="46"/>
      <c r="P486" s="46"/>
      <c r="Q486" s="46"/>
      <c r="R486" s="46"/>
      <c r="S486" s="46"/>
      <c r="T486" s="46"/>
      <c r="U486" s="46"/>
      <c r="V486" s="46"/>
      <c r="W486" s="46"/>
    </row>
    <row r="487">
      <c r="A487" s="55"/>
      <c r="B487" s="218"/>
      <c r="C487" s="55"/>
      <c r="D487" s="218"/>
      <c r="E487" s="126"/>
      <c r="F487" s="224"/>
      <c r="G487" s="126"/>
      <c r="H487" s="218"/>
      <c r="I487" s="223"/>
      <c r="J487" s="46"/>
      <c r="K487" s="46"/>
      <c r="L487" s="46"/>
      <c r="M487" s="46"/>
      <c r="N487" s="46"/>
      <c r="O487" s="46"/>
      <c r="P487" s="46"/>
      <c r="Q487" s="46"/>
      <c r="R487" s="46"/>
      <c r="S487" s="46"/>
      <c r="T487" s="46"/>
      <c r="U487" s="46"/>
      <c r="V487" s="46"/>
      <c r="W487" s="46"/>
    </row>
    <row r="488">
      <c r="A488" s="55"/>
      <c r="B488" s="218"/>
      <c r="C488" s="55"/>
      <c r="D488" s="218"/>
      <c r="E488" s="126"/>
      <c r="F488" s="224"/>
      <c r="G488" s="126"/>
      <c r="H488" s="218"/>
      <c r="I488" s="223"/>
      <c r="J488" s="46"/>
      <c r="K488" s="46"/>
      <c r="L488" s="46"/>
      <c r="M488" s="46"/>
      <c r="N488" s="46"/>
      <c r="O488" s="46"/>
      <c r="P488" s="46"/>
      <c r="Q488" s="46"/>
      <c r="R488" s="46"/>
      <c r="S488" s="46"/>
      <c r="T488" s="46"/>
      <c r="U488" s="46"/>
      <c r="V488" s="46"/>
      <c r="W488" s="46"/>
    </row>
    <row r="489">
      <c r="A489" s="55"/>
      <c r="B489" s="218"/>
      <c r="C489" s="55"/>
      <c r="D489" s="218"/>
      <c r="E489" s="126"/>
      <c r="F489" s="224"/>
      <c r="G489" s="126"/>
      <c r="H489" s="218"/>
      <c r="I489" s="223"/>
      <c r="J489" s="46"/>
      <c r="K489" s="46"/>
      <c r="L489" s="46"/>
      <c r="M489" s="46"/>
      <c r="N489" s="46"/>
      <c r="O489" s="46"/>
      <c r="P489" s="46"/>
      <c r="Q489" s="46"/>
      <c r="R489" s="46"/>
      <c r="S489" s="46"/>
      <c r="T489" s="46"/>
      <c r="U489" s="46"/>
      <c r="V489" s="46"/>
      <c r="W489" s="46"/>
    </row>
    <row r="490">
      <c r="A490" s="55"/>
      <c r="B490" s="218"/>
      <c r="C490" s="55"/>
      <c r="D490" s="218"/>
      <c r="E490" s="126"/>
      <c r="F490" s="224"/>
      <c r="G490" s="126"/>
      <c r="H490" s="218"/>
      <c r="I490" s="223"/>
      <c r="J490" s="46"/>
      <c r="K490" s="46"/>
      <c r="L490" s="46"/>
      <c r="M490" s="46"/>
      <c r="N490" s="46"/>
      <c r="O490" s="46"/>
      <c r="P490" s="46"/>
      <c r="Q490" s="46"/>
      <c r="R490" s="46"/>
      <c r="S490" s="46"/>
      <c r="T490" s="46"/>
      <c r="U490" s="46"/>
      <c r="V490" s="46"/>
      <c r="W490" s="46"/>
    </row>
    <row r="491">
      <c r="A491" s="55"/>
      <c r="B491" s="218"/>
      <c r="C491" s="55"/>
      <c r="D491" s="218"/>
      <c r="E491" s="126"/>
      <c r="F491" s="224"/>
      <c r="G491" s="126"/>
      <c r="H491" s="218"/>
      <c r="I491" s="223"/>
      <c r="J491" s="46"/>
      <c r="K491" s="46"/>
      <c r="L491" s="46"/>
      <c r="M491" s="46"/>
      <c r="N491" s="46"/>
      <c r="O491" s="46"/>
      <c r="P491" s="46"/>
      <c r="Q491" s="46"/>
      <c r="R491" s="46"/>
      <c r="S491" s="46"/>
      <c r="T491" s="46"/>
      <c r="U491" s="46"/>
      <c r="V491" s="46"/>
      <c r="W491" s="46"/>
    </row>
    <row r="492">
      <c r="A492" s="55"/>
      <c r="B492" s="218"/>
      <c r="C492" s="55"/>
      <c r="D492" s="218"/>
      <c r="E492" s="126"/>
      <c r="F492" s="224"/>
      <c r="G492" s="126"/>
      <c r="H492" s="218"/>
      <c r="I492" s="223"/>
      <c r="J492" s="46"/>
      <c r="K492" s="46"/>
      <c r="L492" s="46"/>
      <c r="M492" s="46"/>
      <c r="N492" s="46"/>
      <c r="O492" s="46"/>
      <c r="P492" s="46"/>
      <c r="Q492" s="46"/>
      <c r="R492" s="46"/>
      <c r="S492" s="46"/>
      <c r="T492" s="46"/>
      <c r="U492" s="46"/>
      <c r="V492" s="46"/>
      <c r="W492" s="46"/>
    </row>
    <row r="493">
      <c r="A493" s="55"/>
      <c r="B493" s="218"/>
      <c r="C493" s="55"/>
      <c r="D493" s="218"/>
      <c r="E493" s="126"/>
      <c r="F493" s="224"/>
      <c r="G493" s="126"/>
      <c r="H493" s="218"/>
      <c r="I493" s="223"/>
      <c r="J493" s="46"/>
      <c r="K493" s="46"/>
      <c r="L493" s="46"/>
      <c r="M493" s="46"/>
      <c r="N493" s="46"/>
      <c r="O493" s="46"/>
      <c r="P493" s="46"/>
      <c r="Q493" s="46"/>
      <c r="R493" s="46"/>
      <c r="S493" s="46"/>
      <c r="T493" s="46"/>
      <c r="U493" s="46"/>
      <c r="V493" s="46"/>
      <c r="W493" s="46"/>
    </row>
    <row r="494">
      <c r="A494" s="55"/>
      <c r="B494" s="218"/>
      <c r="C494" s="55"/>
      <c r="D494" s="218"/>
      <c r="E494" s="126"/>
      <c r="F494" s="224"/>
      <c r="G494" s="126"/>
      <c r="H494" s="218"/>
      <c r="I494" s="223"/>
      <c r="J494" s="46"/>
      <c r="K494" s="46"/>
      <c r="L494" s="46"/>
      <c r="M494" s="46"/>
      <c r="N494" s="46"/>
      <c r="O494" s="46"/>
      <c r="P494" s="46"/>
      <c r="Q494" s="46"/>
      <c r="R494" s="46"/>
      <c r="S494" s="46"/>
      <c r="T494" s="46"/>
      <c r="U494" s="46"/>
      <c r="V494" s="46"/>
      <c r="W494" s="46"/>
    </row>
    <row r="495">
      <c r="A495" s="55"/>
      <c r="B495" s="218"/>
      <c r="C495" s="55"/>
      <c r="D495" s="218"/>
      <c r="E495" s="126"/>
      <c r="F495" s="224"/>
      <c r="G495" s="126"/>
      <c r="H495" s="218"/>
      <c r="I495" s="223"/>
      <c r="J495" s="46"/>
      <c r="K495" s="46"/>
      <c r="L495" s="46"/>
      <c r="M495" s="46"/>
      <c r="N495" s="46"/>
      <c r="O495" s="46"/>
      <c r="P495" s="46"/>
      <c r="Q495" s="46"/>
      <c r="R495" s="46"/>
      <c r="S495" s="46"/>
      <c r="T495" s="46"/>
      <c r="U495" s="46"/>
      <c r="V495" s="46"/>
      <c r="W495" s="46"/>
    </row>
    <row r="496">
      <c r="A496" s="55"/>
      <c r="B496" s="218"/>
      <c r="C496" s="55"/>
      <c r="D496" s="218"/>
      <c r="E496" s="126"/>
      <c r="F496" s="224"/>
      <c r="G496" s="126"/>
      <c r="H496" s="218"/>
      <c r="I496" s="223"/>
      <c r="J496" s="46"/>
      <c r="K496" s="46"/>
      <c r="L496" s="46"/>
      <c r="M496" s="46"/>
      <c r="N496" s="46"/>
      <c r="O496" s="46"/>
      <c r="P496" s="46"/>
      <c r="Q496" s="46"/>
      <c r="R496" s="46"/>
      <c r="S496" s="46"/>
      <c r="T496" s="46"/>
      <c r="U496" s="46"/>
      <c r="V496" s="46"/>
      <c r="W496" s="46"/>
    </row>
    <row r="497">
      <c r="A497" s="55"/>
      <c r="B497" s="218"/>
      <c r="C497" s="55"/>
      <c r="D497" s="218"/>
      <c r="E497" s="126"/>
      <c r="F497" s="224"/>
      <c r="G497" s="126"/>
      <c r="H497" s="218"/>
      <c r="I497" s="223"/>
      <c r="J497" s="46"/>
      <c r="K497" s="46"/>
      <c r="L497" s="46"/>
      <c r="M497" s="46"/>
      <c r="N497" s="46"/>
      <c r="O497" s="46"/>
      <c r="P497" s="46"/>
      <c r="Q497" s="46"/>
      <c r="R497" s="46"/>
      <c r="S497" s="46"/>
      <c r="T497" s="46"/>
      <c r="U497" s="46"/>
      <c r="V497" s="46"/>
      <c r="W497" s="46"/>
    </row>
    <row r="498">
      <c r="A498" s="55"/>
      <c r="B498" s="218"/>
      <c r="C498" s="55"/>
      <c r="D498" s="218"/>
      <c r="E498" s="126"/>
      <c r="F498" s="224"/>
      <c r="G498" s="126"/>
      <c r="H498" s="218"/>
      <c r="I498" s="223"/>
      <c r="J498" s="46"/>
      <c r="K498" s="46"/>
      <c r="L498" s="46"/>
      <c r="M498" s="46"/>
      <c r="N498" s="46"/>
      <c r="O498" s="46"/>
      <c r="P498" s="46"/>
      <c r="Q498" s="46"/>
      <c r="R498" s="46"/>
      <c r="S498" s="46"/>
      <c r="T498" s="46"/>
      <c r="U498" s="46"/>
      <c r="V498" s="46"/>
      <c r="W498" s="46"/>
    </row>
    <row r="499">
      <c r="A499" s="55"/>
      <c r="B499" s="218"/>
      <c r="C499" s="55"/>
      <c r="D499" s="218"/>
      <c r="E499" s="126"/>
      <c r="F499" s="224"/>
      <c r="G499" s="126"/>
      <c r="H499" s="218"/>
      <c r="I499" s="223"/>
      <c r="J499" s="46"/>
      <c r="K499" s="46"/>
      <c r="L499" s="46"/>
      <c r="M499" s="46"/>
      <c r="N499" s="46"/>
      <c r="O499" s="46"/>
      <c r="P499" s="46"/>
      <c r="Q499" s="46"/>
      <c r="R499" s="46"/>
      <c r="S499" s="46"/>
      <c r="T499" s="46"/>
      <c r="U499" s="46"/>
      <c r="V499" s="46"/>
      <c r="W499" s="46"/>
    </row>
    <row r="500">
      <c r="A500" s="55"/>
      <c r="B500" s="218"/>
      <c r="C500" s="55"/>
      <c r="D500" s="218"/>
      <c r="E500" s="126"/>
      <c r="F500" s="224"/>
      <c r="G500" s="126"/>
      <c r="H500" s="218"/>
      <c r="I500" s="223"/>
      <c r="J500" s="46"/>
      <c r="K500" s="46"/>
      <c r="L500" s="46"/>
      <c r="M500" s="46"/>
      <c r="N500" s="46"/>
      <c r="O500" s="46"/>
      <c r="P500" s="46"/>
      <c r="Q500" s="46"/>
      <c r="R500" s="46"/>
      <c r="S500" s="46"/>
      <c r="T500" s="46"/>
      <c r="U500" s="46"/>
      <c r="V500" s="46"/>
      <c r="W500" s="46"/>
    </row>
    <row r="501">
      <c r="A501" s="55"/>
      <c r="B501" s="218"/>
      <c r="C501" s="55"/>
      <c r="D501" s="218"/>
      <c r="E501" s="126"/>
      <c r="F501" s="224"/>
      <c r="G501" s="126"/>
      <c r="H501" s="218"/>
      <c r="I501" s="223"/>
      <c r="J501" s="46"/>
      <c r="K501" s="46"/>
      <c r="L501" s="46"/>
      <c r="M501" s="46"/>
      <c r="N501" s="46"/>
      <c r="O501" s="46"/>
      <c r="P501" s="46"/>
      <c r="Q501" s="46"/>
      <c r="R501" s="46"/>
      <c r="S501" s="46"/>
      <c r="T501" s="46"/>
      <c r="U501" s="46"/>
      <c r="V501" s="46"/>
      <c r="W501" s="46"/>
    </row>
    <row r="502">
      <c r="A502" s="55"/>
      <c r="B502" s="218"/>
      <c r="C502" s="55"/>
      <c r="D502" s="218"/>
      <c r="E502" s="126"/>
      <c r="F502" s="224"/>
      <c r="G502" s="126"/>
      <c r="H502" s="218"/>
      <c r="I502" s="223"/>
      <c r="J502" s="46"/>
      <c r="K502" s="46"/>
      <c r="L502" s="46"/>
      <c r="M502" s="46"/>
      <c r="N502" s="46"/>
      <c r="O502" s="46"/>
      <c r="P502" s="46"/>
      <c r="Q502" s="46"/>
      <c r="R502" s="46"/>
      <c r="S502" s="46"/>
      <c r="T502" s="46"/>
      <c r="U502" s="46"/>
      <c r="V502" s="46"/>
      <c r="W502" s="46"/>
    </row>
    <row r="503">
      <c r="A503" s="55"/>
      <c r="B503" s="218"/>
      <c r="C503" s="55"/>
      <c r="D503" s="218"/>
      <c r="E503" s="126"/>
      <c r="F503" s="224"/>
      <c r="G503" s="126"/>
      <c r="H503" s="218"/>
      <c r="I503" s="223"/>
      <c r="J503" s="46"/>
      <c r="K503" s="46"/>
      <c r="L503" s="46"/>
      <c r="M503" s="46"/>
      <c r="N503" s="46"/>
      <c r="O503" s="46"/>
      <c r="P503" s="46"/>
      <c r="Q503" s="46"/>
      <c r="R503" s="46"/>
      <c r="S503" s="46"/>
      <c r="T503" s="46"/>
      <c r="U503" s="46"/>
      <c r="V503" s="46"/>
      <c r="W503" s="46"/>
    </row>
    <row r="504">
      <c r="A504" s="55"/>
      <c r="B504" s="218"/>
      <c r="C504" s="55"/>
      <c r="D504" s="218"/>
      <c r="E504" s="126"/>
      <c r="F504" s="224"/>
      <c r="G504" s="126"/>
      <c r="H504" s="218"/>
      <c r="I504" s="223"/>
      <c r="J504" s="46"/>
      <c r="K504" s="46"/>
      <c r="L504" s="46"/>
      <c r="M504" s="46"/>
      <c r="N504" s="46"/>
      <c r="O504" s="46"/>
      <c r="P504" s="46"/>
      <c r="Q504" s="46"/>
      <c r="R504" s="46"/>
      <c r="S504" s="46"/>
      <c r="T504" s="46"/>
      <c r="U504" s="46"/>
      <c r="V504" s="46"/>
      <c r="W504" s="46"/>
    </row>
    <row r="505">
      <c r="A505" s="55"/>
      <c r="B505" s="218"/>
      <c r="C505" s="55"/>
      <c r="D505" s="218"/>
      <c r="E505" s="126"/>
      <c r="F505" s="224"/>
      <c r="G505" s="126"/>
      <c r="H505" s="218"/>
      <c r="I505" s="223"/>
      <c r="J505" s="46"/>
      <c r="K505" s="46"/>
      <c r="L505" s="46"/>
      <c r="M505" s="46"/>
      <c r="N505" s="46"/>
      <c r="O505" s="46"/>
      <c r="P505" s="46"/>
      <c r="Q505" s="46"/>
      <c r="R505" s="46"/>
      <c r="S505" s="46"/>
      <c r="T505" s="46"/>
      <c r="U505" s="46"/>
      <c r="V505" s="46"/>
      <c r="W505" s="46"/>
    </row>
    <row r="506">
      <c r="A506" s="55"/>
      <c r="B506" s="218"/>
      <c r="C506" s="55"/>
      <c r="D506" s="218"/>
      <c r="E506" s="126"/>
      <c r="F506" s="224"/>
      <c r="G506" s="126"/>
      <c r="H506" s="218"/>
      <c r="I506" s="223"/>
      <c r="J506" s="46"/>
      <c r="K506" s="46"/>
      <c r="L506" s="46"/>
      <c r="M506" s="46"/>
      <c r="N506" s="46"/>
      <c r="O506" s="46"/>
      <c r="P506" s="46"/>
      <c r="Q506" s="46"/>
      <c r="R506" s="46"/>
      <c r="S506" s="46"/>
      <c r="T506" s="46"/>
      <c r="U506" s="46"/>
      <c r="V506" s="46"/>
      <c r="W506" s="46"/>
    </row>
    <row r="507">
      <c r="A507" s="55"/>
      <c r="B507" s="218"/>
      <c r="C507" s="55"/>
      <c r="D507" s="218"/>
      <c r="E507" s="126"/>
      <c r="F507" s="224"/>
      <c r="G507" s="126"/>
      <c r="H507" s="218"/>
      <c r="I507" s="223"/>
      <c r="J507" s="46"/>
      <c r="K507" s="46"/>
      <c r="L507" s="46"/>
      <c r="M507" s="46"/>
      <c r="N507" s="46"/>
      <c r="O507" s="46"/>
      <c r="P507" s="46"/>
      <c r="Q507" s="46"/>
      <c r="R507" s="46"/>
      <c r="S507" s="46"/>
      <c r="T507" s="46"/>
      <c r="U507" s="46"/>
      <c r="V507" s="46"/>
      <c r="W507" s="46"/>
    </row>
    <row r="508">
      <c r="A508" s="55"/>
      <c r="B508" s="218"/>
      <c r="C508" s="55"/>
      <c r="D508" s="218"/>
      <c r="E508" s="126"/>
      <c r="F508" s="224"/>
      <c r="G508" s="126"/>
      <c r="H508" s="218"/>
      <c r="I508" s="223"/>
      <c r="J508" s="46"/>
      <c r="K508" s="46"/>
      <c r="L508" s="46"/>
      <c r="M508" s="46"/>
      <c r="N508" s="46"/>
      <c r="O508" s="46"/>
      <c r="P508" s="46"/>
      <c r="Q508" s="46"/>
      <c r="R508" s="46"/>
      <c r="S508" s="46"/>
      <c r="T508" s="46"/>
      <c r="U508" s="46"/>
      <c r="V508" s="46"/>
      <c r="W508" s="46"/>
    </row>
    <row r="509">
      <c r="A509" s="55"/>
      <c r="B509" s="218"/>
      <c r="C509" s="55"/>
      <c r="D509" s="218"/>
      <c r="E509" s="126"/>
      <c r="F509" s="224"/>
      <c r="G509" s="126"/>
      <c r="H509" s="218"/>
      <c r="I509" s="223"/>
      <c r="J509" s="46"/>
      <c r="K509" s="46"/>
      <c r="L509" s="46"/>
      <c r="M509" s="46"/>
      <c r="N509" s="46"/>
      <c r="O509" s="46"/>
      <c r="P509" s="46"/>
      <c r="Q509" s="46"/>
      <c r="R509" s="46"/>
      <c r="S509" s="46"/>
      <c r="T509" s="46"/>
      <c r="U509" s="46"/>
      <c r="V509" s="46"/>
      <c r="W509" s="46"/>
    </row>
    <row r="510">
      <c r="A510" s="55"/>
      <c r="B510" s="218"/>
      <c r="C510" s="55"/>
      <c r="D510" s="218"/>
      <c r="E510" s="126"/>
      <c r="F510" s="224"/>
      <c r="G510" s="126"/>
      <c r="H510" s="218"/>
      <c r="I510" s="223"/>
      <c r="J510" s="46"/>
      <c r="K510" s="46"/>
      <c r="L510" s="46"/>
      <c r="M510" s="46"/>
      <c r="N510" s="46"/>
      <c r="O510" s="46"/>
      <c r="P510" s="46"/>
      <c r="Q510" s="46"/>
      <c r="R510" s="46"/>
      <c r="S510" s="46"/>
      <c r="T510" s="46"/>
      <c r="U510" s="46"/>
      <c r="V510" s="46"/>
      <c r="W510" s="46"/>
    </row>
    <row r="511">
      <c r="A511" s="55"/>
      <c r="B511" s="218"/>
      <c r="C511" s="55"/>
      <c r="D511" s="218"/>
      <c r="E511" s="126"/>
      <c r="F511" s="224"/>
      <c r="G511" s="126"/>
      <c r="H511" s="218"/>
      <c r="I511" s="223"/>
      <c r="J511" s="46"/>
      <c r="K511" s="46"/>
      <c r="L511" s="46"/>
      <c r="M511" s="46"/>
      <c r="N511" s="46"/>
      <c r="O511" s="46"/>
      <c r="P511" s="46"/>
      <c r="Q511" s="46"/>
      <c r="R511" s="46"/>
      <c r="S511" s="46"/>
      <c r="T511" s="46"/>
      <c r="U511" s="46"/>
      <c r="V511" s="46"/>
      <c r="W511" s="46"/>
    </row>
    <row r="512">
      <c r="A512" s="55"/>
      <c r="B512" s="218"/>
      <c r="C512" s="55"/>
      <c r="D512" s="218"/>
      <c r="E512" s="126"/>
      <c r="F512" s="224"/>
      <c r="G512" s="126"/>
      <c r="H512" s="218"/>
      <c r="I512" s="223"/>
      <c r="J512" s="46"/>
      <c r="K512" s="46"/>
      <c r="L512" s="46"/>
      <c r="M512" s="46"/>
      <c r="N512" s="46"/>
      <c r="O512" s="46"/>
      <c r="P512" s="46"/>
      <c r="Q512" s="46"/>
      <c r="R512" s="46"/>
      <c r="S512" s="46"/>
      <c r="T512" s="46"/>
      <c r="U512" s="46"/>
      <c r="V512" s="46"/>
      <c r="W512" s="46"/>
    </row>
    <row r="513">
      <c r="A513" s="55"/>
      <c r="B513" s="218"/>
      <c r="C513" s="55"/>
      <c r="D513" s="218"/>
      <c r="E513" s="126"/>
      <c r="F513" s="224"/>
      <c r="G513" s="126"/>
      <c r="H513" s="218"/>
      <c r="I513" s="223"/>
      <c r="J513" s="46"/>
      <c r="K513" s="46"/>
      <c r="L513" s="46"/>
      <c r="M513" s="46"/>
      <c r="N513" s="46"/>
      <c r="O513" s="46"/>
      <c r="P513" s="46"/>
      <c r="Q513" s="46"/>
      <c r="R513" s="46"/>
      <c r="S513" s="46"/>
      <c r="T513" s="46"/>
      <c r="U513" s="46"/>
      <c r="V513" s="46"/>
      <c r="W513" s="46"/>
    </row>
    <row r="514">
      <c r="A514" s="55"/>
      <c r="B514" s="218"/>
      <c r="C514" s="55"/>
      <c r="D514" s="218"/>
      <c r="E514" s="126"/>
      <c r="F514" s="224"/>
      <c r="G514" s="126"/>
      <c r="H514" s="218"/>
      <c r="I514" s="223"/>
      <c r="J514" s="46"/>
      <c r="K514" s="46"/>
      <c r="L514" s="46"/>
      <c r="M514" s="46"/>
      <c r="N514" s="46"/>
      <c r="O514" s="46"/>
      <c r="P514" s="46"/>
      <c r="Q514" s="46"/>
      <c r="R514" s="46"/>
      <c r="S514" s="46"/>
      <c r="T514" s="46"/>
      <c r="U514" s="46"/>
      <c r="V514" s="46"/>
      <c r="W514" s="46"/>
    </row>
    <row r="515">
      <c r="A515" s="55"/>
      <c r="B515" s="218"/>
      <c r="C515" s="55"/>
      <c r="D515" s="218"/>
      <c r="E515" s="126"/>
      <c r="F515" s="224"/>
      <c r="G515" s="126"/>
      <c r="H515" s="218"/>
      <c r="I515" s="223"/>
      <c r="J515" s="46"/>
      <c r="K515" s="46"/>
      <c r="L515" s="46"/>
      <c r="M515" s="46"/>
      <c r="N515" s="46"/>
      <c r="O515" s="46"/>
      <c r="P515" s="46"/>
      <c r="Q515" s="46"/>
      <c r="R515" s="46"/>
      <c r="S515" s="46"/>
      <c r="T515" s="46"/>
      <c r="U515" s="46"/>
      <c r="V515" s="46"/>
      <c r="W515" s="46"/>
    </row>
    <row r="516">
      <c r="A516" s="55"/>
      <c r="B516" s="218"/>
      <c r="C516" s="55"/>
      <c r="D516" s="218"/>
      <c r="E516" s="126"/>
      <c r="F516" s="224"/>
      <c r="G516" s="126"/>
      <c r="H516" s="218"/>
      <c r="I516" s="223"/>
      <c r="J516" s="46"/>
      <c r="K516" s="46"/>
      <c r="L516" s="46"/>
      <c r="M516" s="46"/>
      <c r="N516" s="46"/>
      <c r="O516" s="46"/>
      <c r="P516" s="46"/>
      <c r="Q516" s="46"/>
      <c r="R516" s="46"/>
      <c r="S516" s="46"/>
      <c r="T516" s="46"/>
      <c r="U516" s="46"/>
      <c r="V516" s="46"/>
      <c r="W516" s="46"/>
    </row>
    <row r="517">
      <c r="A517" s="55"/>
      <c r="B517" s="218"/>
      <c r="C517" s="55"/>
      <c r="D517" s="218"/>
      <c r="E517" s="126"/>
      <c r="F517" s="224"/>
      <c r="G517" s="126"/>
      <c r="H517" s="218"/>
      <c r="I517" s="223"/>
      <c r="J517" s="46"/>
      <c r="K517" s="46"/>
      <c r="L517" s="46"/>
      <c r="M517" s="46"/>
      <c r="N517" s="46"/>
      <c r="O517" s="46"/>
      <c r="P517" s="46"/>
      <c r="Q517" s="46"/>
      <c r="R517" s="46"/>
      <c r="S517" s="46"/>
      <c r="T517" s="46"/>
      <c r="U517" s="46"/>
      <c r="V517" s="46"/>
      <c r="W517" s="46"/>
    </row>
    <row r="518">
      <c r="A518" s="55"/>
      <c r="B518" s="218"/>
      <c r="C518" s="55"/>
      <c r="D518" s="218"/>
      <c r="E518" s="126"/>
      <c r="F518" s="224"/>
      <c r="G518" s="126"/>
      <c r="H518" s="218"/>
      <c r="I518" s="223"/>
      <c r="J518" s="46"/>
      <c r="K518" s="46"/>
      <c r="L518" s="46"/>
      <c r="M518" s="46"/>
      <c r="N518" s="46"/>
      <c r="O518" s="46"/>
      <c r="P518" s="46"/>
      <c r="Q518" s="46"/>
      <c r="R518" s="46"/>
      <c r="S518" s="46"/>
      <c r="T518" s="46"/>
      <c r="U518" s="46"/>
      <c r="V518" s="46"/>
      <c r="W518" s="46"/>
    </row>
    <row r="519">
      <c r="A519" s="55"/>
      <c r="B519" s="218"/>
      <c r="C519" s="55"/>
      <c r="D519" s="218"/>
      <c r="E519" s="126"/>
      <c r="F519" s="224"/>
      <c r="G519" s="126"/>
      <c r="H519" s="218"/>
      <c r="I519" s="223"/>
      <c r="J519" s="46"/>
      <c r="K519" s="46"/>
      <c r="L519" s="46"/>
      <c r="M519" s="46"/>
      <c r="N519" s="46"/>
      <c r="O519" s="46"/>
      <c r="P519" s="46"/>
      <c r="Q519" s="46"/>
      <c r="R519" s="46"/>
      <c r="S519" s="46"/>
      <c r="T519" s="46"/>
      <c r="U519" s="46"/>
      <c r="V519" s="46"/>
      <c r="W519" s="46"/>
    </row>
    <row r="520">
      <c r="A520" s="55"/>
      <c r="B520" s="218"/>
      <c r="C520" s="55"/>
      <c r="D520" s="218"/>
      <c r="E520" s="126"/>
      <c r="F520" s="224"/>
      <c r="G520" s="126"/>
      <c r="H520" s="218"/>
      <c r="I520" s="223"/>
      <c r="J520" s="46"/>
      <c r="K520" s="46"/>
      <c r="L520" s="46"/>
      <c r="M520" s="46"/>
      <c r="N520" s="46"/>
      <c r="O520" s="46"/>
      <c r="P520" s="46"/>
      <c r="Q520" s="46"/>
      <c r="R520" s="46"/>
      <c r="S520" s="46"/>
      <c r="T520" s="46"/>
      <c r="U520" s="46"/>
      <c r="V520" s="46"/>
      <c r="W520" s="46"/>
    </row>
    <row r="521">
      <c r="A521" s="55"/>
      <c r="B521" s="218"/>
      <c r="C521" s="55"/>
      <c r="D521" s="218"/>
      <c r="E521" s="126"/>
      <c r="F521" s="224"/>
      <c r="G521" s="126"/>
      <c r="H521" s="218"/>
      <c r="I521" s="223"/>
      <c r="J521" s="46"/>
      <c r="K521" s="46"/>
      <c r="L521" s="46"/>
      <c r="M521" s="46"/>
      <c r="N521" s="46"/>
      <c r="O521" s="46"/>
      <c r="P521" s="46"/>
      <c r="Q521" s="46"/>
      <c r="R521" s="46"/>
      <c r="S521" s="46"/>
      <c r="T521" s="46"/>
      <c r="U521" s="46"/>
      <c r="V521" s="46"/>
      <c r="W521" s="46"/>
    </row>
    <row r="522">
      <c r="A522" s="55"/>
      <c r="B522" s="218"/>
      <c r="C522" s="55"/>
      <c r="D522" s="218"/>
      <c r="E522" s="126"/>
      <c r="F522" s="224"/>
      <c r="G522" s="126"/>
      <c r="H522" s="218"/>
      <c r="I522" s="223"/>
      <c r="J522" s="46"/>
      <c r="K522" s="46"/>
      <c r="L522" s="46"/>
      <c r="M522" s="46"/>
      <c r="N522" s="46"/>
      <c r="O522" s="46"/>
      <c r="P522" s="46"/>
      <c r="Q522" s="46"/>
      <c r="R522" s="46"/>
      <c r="S522" s="46"/>
      <c r="T522" s="46"/>
      <c r="U522" s="46"/>
      <c r="V522" s="46"/>
      <c r="W522" s="46"/>
    </row>
    <row r="523">
      <c r="A523" s="55"/>
      <c r="B523" s="218"/>
      <c r="C523" s="55"/>
      <c r="D523" s="218"/>
      <c r="E523" s="126"/>
      <c r="F523" s="224"/>
      <c r="G523" s="126"/>
      <c r="H523" s="218"/>
      <c r="I523" s="223"/>
      <c r="J523" s="46"/>
      <c r="K523" s="46"/>
      <c r="L523" s="46"/>
      <c r="M523" s="46"/>
      <c r="N523" s="46"/>
      <c r="O523" s="46"/>
      <c r="P523" s="46"/>
      <c r="Q523" s="46"/>
      <c r="R523" s="46"/>
      <c r="S523" s="46"/>
      <c r="T523" s="46"/>
      <c r="U523" s="46"/>
      <c r="V523" s="46"/>
      <c r="W523" s="46"/>
    </row>
    <row r="524">
      <c r="A524" s="55"/>
      <c r="B524" s="218"/>
      <c r="C524" s="55"/>
      <c r="D524" s="218"/>
      <c r="E524" s="126"/>
      <c r="F524" s="224"/>
      <c r="G524" s="126"/>
      <c r="H524" s="218"/>
      <c r="I524" s="223"/>
      <c r="J524" s="46"/>
      <c r="K524" s="46"/>
      <c r="L524" s="46"/>
      <c r="M524" s="46"/>
      <c r="N524" s="46"/>
      <c r="O524" s="46"/>
      <c r="P524" s="46"/>
      <c r="Q524" s="46"/>
      <c r="R524" s="46"/>
      <c r="S524" s="46"/>
      <c r="T524" s="46"/>
      <c r="U524" s="46"/>
      <c r="V524" s="46"/>
      <c r="W524" s="46"/>
    </row>
    <row r="525">
      <c r="A525" s="55"/>
      <c r="B525" s="218"/>
      <c r="C525" s="55"/>
      <c r="D525" s="218"/>
      <c r="E525" s="126"/>
      <c r="F525" s="224"/>
      <c r="G525" s="126"/>
      <c r="H525" s="218"/>
      <c r="I525" s="223"/>
      <c r="J525" s="46"/>
      <c r="K525" s="46"/>
      <c r="L525" s="46"/>
      <c r="M525" s="46"/>
      <c r="N525" s="46"/>
      <c r="O525" s="46"/>
      <c r="P525" s="46"/>
      <c r="Q525" s="46"/>
      <c r="R525" s="46"/>
      <c r="S525" s="46"/>
      <c r="T525" s="46"/>
      <c r="U525" s="46"/>
      <c r="V525" s="46"/>
      <c r="W525" s="46"/>
    </row>
    <row r="526">
      <c r="A526" s="55"/>
      <c r="B526" s="218"/>
      <c r="C526" s="55"/>
      <c r="D526" s="218"/>
      <c r="E526" s="126"/>
      <c r="F526" s="224"/>
      <c r="G526" s="126"/>
      <c r="H526" s="218"/>
      <c r="I526" s="223"/>
      <c r="J526" s="46"/>
      <c r="K526" s="46"/>
      <c r="L526" s="46"/>
      <c r="M526" s="46"/>
      <c r="N526" s="46"/>
      <c r="O526" s="46"/>
      <c r="P526" s="46"/>
      <c r="Q526" s="46"/>
      <c r="R526" s="46"/>
      <c r="S526" s="46"/>
      <c r="T526" s="46"/>
      <c r="U526" s="46"/>
      <c r="V526" s="46"/>
      <c r="W526" s="46"/>
    </row>
    <row r="527">
      <c r="A527" s="55"/>
      <c r="B527" s="218"/>
      <c r="C527" s="55"/>
      <c r="D527" s="218"/>
      <c r="E527" s="126"/>
      <c r="F527" s="224"/>
      <c r="G527" s="126"/>
      <c r="H527" s="218"/>
      <c r="I527" s="223"/>
      <c r="J527" s="46"/>
      <c r="K527" s="46"/>
      <c r="L527" s="46"/>
      <c r="M527" s="46"/>
      <c r="N527" s="46"/>
      <c r="O527" s="46"/>
      <c r="P527" s="46"/>
      <c r="Q527" s="46"/>
      <c r="R527" s="46"/>
      <c r="S527" s="46"/>
      <c r="T527" s="46"/>
      <c r="U527" s="46"/>
      <c r="V527" s="46"/>
      <c r="W527" s="46"/>
    </row>
    <row r="528">
      <c r="A528" s="55"/>
      <c r="B528" s="218"/>
      <c r="C528" s="55"/>
      <c r="D528" s="218"/>
      <c r="E528" s="126"/>
      <c r="F528" s="224"/>
      <c r="G528" s="126"/>
      <c r="H528" s="218"/>
      <c r="I528" s="223"/>
      <c r="J528" s="46"/>
      <c r="K528" s="46"/>
      <c r="L528" s="46"/>
      <c r="M528" s="46"/>
      <c r="N528" s="46"/>
      <c r="O528" s="46"/>
      <c r="P528" s="46"/>
      <c r="Q528" s="46"/>
      <c r="R528" s="46"/>
      <c r="S528" s="46"/>
      <c r="T528" s="46"/>
      <c r="U528" s="46"/>
      <c r="V528" s="46"/>
      <c r="W528" s="46"/>
    </row>
    <row r="529">
      <c r="A529" s="55"/>
      <c r="B529" s="218"/>
      <c r="C529" s="55"/>
      <c r="D529" s="218"/>
      <c r="E529" s="126"/>
      <c r="F529" s="224"/>
      <c r="G529" s="126"/>
      <c r="H529" s="218"/>
      <c r="I529" s="223"/>
      <c r="J529" s="46"/>
      <c r="K529" s="46"/>
      <c r="L529" s="46"/>
      <c r="M529" s="46"/>
      <c r="N529" s="46"/>
      <c r="O529" s="46"/>
      <c r="P529" s="46"/>
      <c r="Q529" s="46"/>
      <c r="R529" s="46"/>
      <c r="S529" s="46"/>
      <c r="T529" s="46"/>
      <c r="U529" s="46"/>
      <c r="V529" s="46"/>
      <c r="W529" s="46"/>
    </row>
    <row r="530">
      <c r="A530" s="55"/>
      <c r="B530" s="218"/>
      <c r="C530" s="55"/>
      <c r="D530" s="218"/>
      <c r="E530" s="126"/>
      <c r="F530" s="224"/>
      <c r="G530" s="126"/>
      <c r="H530" s="218"/>
      <c r="I530" s="223"/>
      <c r="J530" s="46"/>
      <c r="K530" s="46"/>
      <c r="L530" s="46"/>
      <c r="M530" s="46"/>
      <c r="N530" s="46"/>
      <c r="O530" s="46"/>
      <c r="P530" s="46"/>
      <c r="Q530" s="46"/>
      <c r="R530" s="46"/>
      <c r="S530" s="46"/>
      <c r="T530" s="46"/>
      <c r="U530" s="46"/>
      <c r="V530" s="46"/>
      <c r="W530" s="46"/>
    </row>
    <row r="531">
      <c r="A531" s="55"/>
      <c r="B531" s="218"/>
      <c r="C531" s="55"/>
      <c r="D531" s="218"/>
      <c r="E531" s="126"/>
      <c r="F531" s="224"/>
      <c r="G531" s="126"/>
      <c r="H531" s="218"/>
      <c r="I531" s="223"/>
      <c r="J531" s="46"/>
      <c r="K531" s="46"/>
      <c r="L531" s="46"/>
      <c r="M531" s="46"/>
      <c r="N531" s="46"/>
      <c r="O531" s="46"/>
      <c r="P531" s="46"/>
      <c r="Q531" s="46"/>
      <c r="R531" s="46"/>
      <c r="S531" s="46"/>
      <c r="T531" s="46"/>
      <c r="U531" s="46"/>
      <c r="V531" s="46"/>
      <c r="W531" s="46"/>
    </row>
    <row r="532">
      <c r="A532" s="55"/>
      <c r="B532" s="218"/>
      <c r="C532" s="55"/>
      <c r="D532" s="218"/>
      <c r="E532" s="126"/>
      <c r="F532" s="224"/>
      <c r="G532" s="126"/>
      <c r="H532" s="218"/>
      <c r="I532" s="223"/>
      <c r="J532" s="46"/>
      <c r="K532" s="46"/>
      <c r="L532" s="46"/>
      <c r="M532" s="46"/>
      <c r="N532" s="46"/>
      <c r="O532" s="46"/>
      <c r="P532" s="46"/>
      <c r="Q532" s="46"/>
      <c r="R532" s="46"/>
      <c r="S532" s="46"/>
      <c r="T532" s="46"/>
      <c r="U532" s="46"/>
      <c r="V532" s="46"/>
      <c r="W532" s="46"/>
    </row>
    <row r="533">
      <c r="A533" s="55"/>
      <c r="B533" s="218"/>
      <c r="C533" s="55"/>
      <c r="D533" s="218"/>
      <c r="E533" s="126"/>
      <c r="F533" s="224"/>
      <c r="G533" s="126"/>
      <c r="H533" s="218"/>
      <c r="I533" s="223"/>
      <c r="J533" s="46"/>
      <c r="K533" s="46"/>
      <c r="L533" s="46"/>
      <c r="M533" s="46"/>
      <c r="N533" s="46"/>
      <c r="O533" s="46"/>
      <c r="P533" s="46"/>
      <c r="Q533" s="46"/>
      <c r="R533" s="46"/>
      <c r="S533" s="46"/>
      <c r="T533" s="46"/>
      <c r="U533" s="46"/>
      <c r="V533" s="46"/>
      <c r="W533" s="46"/>
    </row>
    <row r="534">
      <c r="A534" s="55"/>
      <c r="B534" s="218"/>
      <c r="C534" s="55"/>
      <c r="D534" s="218"/>
      <c r="E534" s="126"/>
      <c r="F534" s="224"/>
      <c r="G534" s="126"/>
      <c r="H534" s="218"/>
      <c r="I534" s="223"/>
      <c r="J534" s="46"/>
      <c r="K534" s="46"/>
      <c r="L534" s="46"/>
      <c r="M534" s="46"/>
      <c r="N534" s="46"/>
      <c r="O534" s="46"/>
      <c r="P534" s="46"/>
      <c r="Q534" s="46"/>
      <c r="R534" s="46"/>
      <c r="S534" s="46"/>
      <c r="T534" s="46"/>
      <c r="U534" s="46"/>
      <c r="V534" s="46"/>
      <c r="W534" s="46"/>
    </row>
    <row r="535">
      <c r="A535" s="55"/>
      <c r="B535" s="218"/>
      <c r="C535" s="55"/>
      <c r="D535" s="218"/>
      <c r="E535" s="126"/>
      <c r="F535" s="224"/>
      <c r="G535" s="126"/>
      <c r="H535" s="218"/>
      <c r="I535" s="223"/>
      <c r="J535" s="46"/>
      <c r="K535" s="46"/>
      <c r="L535" s="46"/>
      <c r="M535" s="46"/>
      <c r="N535" s="46"/>
      <c r="O535" s="46"/>
      <c r="P535" s="46"/>
      <c r="Q535" s="46"/>
      <c r="R535" s="46"/>
      <c r="S535" s="46"/>
      <c r="T535" s="46"/>
      <c r="U535" s="46"/>
      <c r="V535" s="46"/>
      <c r="W535" s="46"/>
    </row>
    <row r="536">
      <c r="A536" s="55"/>
      <c r="B536" s="218"/>
      <c r="C536" s="55"/>
      <c r="D536" s="218"/>
      <c r="E536" s="126"/>
      <c r="F536" s="224"/>
      <c r="G536" s="126"/>
      <c r="H536" s="218"/>
      <c r="I536" s="223"/>
      <c r="J536" s="46"/>
      <c r="K536" s="46"/>
      <c r="L536" s="46"/>
      <c r="M536" s="46"/>
      <c r="N536" s="46"/>
      <c r="O536" s="46"/>
      <c r="P536" s="46"/>
      <c r="Q536" s="46"/>
      <c r="R536" s="46"/>
      <c r="S536" s="46"/>
      <c r="T536" s="46"/>
      <c r="U536" s="46"/>
      <c r="V536" s="46"/>
      <c r="W536" s="46"/>
    </row>
    <row r="537">
      <c r="A537" s="55"/>
      <c r="B537" s="218"/>
      <c r="C537" s="55"/>
      <c r="D537" s="218"/>
      <c r="E537" s="126"/>
      <c r="F537" s="224"/>
      <c r="G537" s="126"/>
      <c r="H537" s="218"/>
      <c r="I537" s="223"/>
      <c r="J537" s="46"/>
      <c r="K537" s="46"/>
      <c r="L537" s="46"/>
      <c r="M537" s="46"/>
      <c r="N537" s="46"/>
      <c r="O537" s="46"/>
      <c r="P537" s="46"/>
      <c r="Q537" s="46"/>
      <c r="R537" s="46"/>
      <c r="S537" s="46"/>
      <c r="T537" s="46"/>
      <c r="U537" s="46"/>
      <c r="V537" s="46"/>
      <c r="W537" s="46"/>
    </row>
    <row r="538">
      <c r="A538" s="55"/>
      <c r="B538" s="218"/>
      <c r="C538" s="55"/>
      <c r="D538" s="218"/>
      <c r="E538" s="126"/>
      <c r="F538" s="224"/>
      <c r="G538" s="126"/>
      <c r="H538" s="218"/>
      <c r="I538" s="223"/>
      <c r="J538" s="46"/>
      <c r="K538" s="46"/>
      <c r="L538" s="46"/>
      <c r="M538" s="46"/>
      <c r="N538" s="46"/>
      <c r="O538" s="46"/>
      <c r="P538" s="46"/>
      <c r="Q538" s="46"/>
      <c r="R538" s="46"/>
      <c r="S538" s="46"/>
      <c r="T538" s="46"/>
      <c r="U538" s="46"/>
      <c r="V538" s="46"/>
      <c r="W538" s="46"/>
    </row>
    <row r="539">
      <c r="A539" s="55"/>
      <c r="B539" s="218"/>
      <c r="C539" s="55"/>
      <c r="D539" s="218"/>
      <c r="E539" s="126"/>
      <c r="F539" s="224"/>
      <c r="G539" s="126"/>
      <c r="H539" s="218"/>
      <c r="I539" s="223"/>
      <c r="J539" s="46"/>
      <c r="K539" s="46"/>
      <c r="L539" s="46"/>
      <c r="M539" s="46"/>
      <c r="N539" s="46"/>
      <c r="O539" s="46"/>
      <c r="P539" s="46"/>
      <c r="Q539" s="46"/>
      <c r="R539" s="46"/>
      <c r="S539" s="46"/>
      <c r="T539" s="46"/>
      <c r="U539" s="46"/>
      <c r="V539" s="46"/>
      <c r="W539" s="46"/>
    </row>
    <row r="540">
      <c r="A540" s="55"/>
      <c r="B540" s="218"/>
      <c r="C540" s="55"/>
      <c r="D540" s="218"/>
      <c r="E540" s="126"/>
      <c r="F540" s="224"/>
      <c r="G540" s="126"/>
      <c r="H540" s="218"/>
      <c r="I540" s="223"/>
      <c r="J540" s="46"/>
      <c r="K540" s="46"/>
      <c r="L540" s="46"/>
      <c r="M540" s="46"/>
      <c r="N540" s="46"/>
      <c r="O540" s="46"/>
      <c r="P540" s="46"/>
      <c r="Q540" s="46"/>
      <c r="R540" s="46"/>
      <c r="S540" s="46"/>
      <c r="T540" s="46"/>
      <c r="U540" s="46"/>
      <c r="V540" s="46"/>
      <c r="W540" s="46"/>
    </row>
    <row r="541">
      <c r="A541" s="55"/>
      <c r="B541" s="218"/>
      <c r="C541" s="55"/>
      <c r="D541" s="218"/>
      <c r="E541" s="126"/>
      <c r="F541" s="224"/>
      <c r="G541" s="126"/>
      <c r="H541" s="218"/>
      <c r="I541" s="223"/>
      <c r="J541" s="46"/>
      <c r="K541" s="46"/>
      <c r="L541" s="46"/>
      <c r="M541" s="46"/>
      <c r="N541" s="46"/>
      <c r="O541" s="46"/>
      <c r="P541" s="46"/>
      <c r="Q541" s="46"/>
      <c r="R541" s="46"/>
      <c r="S541" s="46"/>
      <c r="T541" s="46"/>
      <c r="U541" s="46"/>
      <c r="V541" s="46"/>
      <c r="W541" s="46"/>
    </row>
    <row r="542">
      <c r="A542" s="55"/>
      <c r="B542" s="218"/>
      <c r="C542" s="55"/>
      <c r="D542" s="218"/>
      <c r="E542" s="126"/>
      <c r="F542" s="224"/>
      <c r="G542" s="126"/>
      <c r="H542" s="218"/>
      <c r="I542" s="223"/>
      <c r="J542" s="46"/>
      <c r="K542" s="46"/>
      <c r="L542" s="46"/>
      <c r="M542" s="46"/>
      <c r="N542" s="46"/>
      <c r="O542" s="46"/>
      <c r="P542" s="46"/>
      <c r="Q542" s="46"/>
      <c r="R542" s="46"/>
      <c r="S542" s="46"/>
      <c r="T542" s="46"/>
      <c r="U542" s="46"/>
      <c r="V542" s="46"/>
      <c r="W542" s="46"/>
    </row>
    <row r="543">
      <c r="A543" s="55"/>
      <c r="B543" s="218"/>
      <c r="C543" s="55"/>
      <c r="D543" s="218"/>
      <c r="E543" s="126"/>
      <c r="F543" s="224"/>
      <c r="G543" s="126"/>
      <c r="H543" s="218"/>
      <c r="I543" s="223"/>
      <c r="J543" s="46"/>
      <c r="K543" s="46"/>
      <c r="L543" s="46"/>
      <c r="M543" s="46"/>
      <c r="N543" s="46"/>
      <c r="O543" s="46"/>
      <c r="P543" s="46"/>
      <c r="Q543" s="46"/>
      <c r="R543" s="46"/>
      <c r="S543" s="46"/>
      <c r="T543" s="46"/>
      <c r="U543" s="46"/>
      <c r="V543" s="46"/>
      <c r="W543" s="46"/>
    </row>
    <row r="544">
      <c r="A544" s="55"/>
      <c r="B544" s="218"/>
      <c r="C544" s="55"/>
      <c r="D544" s="218"/>
      <c r="E544" s="126"/>
      <c r="F544" s="224"/>
      <c r="G544" s="126"/>
      <c r="H544" s="218"/>
      <c r="I544" s="223"/>
      <c r="J544" s="46"/>
      <c r="K544" s="46"/>
      <c r="L544" s="46"/>
      <c r="M544" s="46"/>
      <c r="N544" s="46"/>
      <c r="O544" s="46"/>
      <c r="P544" s="46"/>
      <c r="Q544" s="46"/>
      <c r="R544" s="46"/>
      <c r="S544" s="46"/>
      <c r="T544" s="46"/>
      <c r="U544" s="46"/>
      <c r="V544" s="46"/>
      <c r="W544" s="46"/>
    </row>
    <row r="545">
      <c r="A545" s="55"/>
      <c r="B545" s="218"/>
      <c r="C545" s="55"/>
      <c r="D545" s="218"/>
      <c r="E545" s="126"/>
      <c r="F545" s="224"/>
      <c r="G545" s="126"/>
      <c r="H545" s="218"/>
      <c r="I545" s="223"/>
      <c r="J545" s="46"/>
      <c r="K545" s="46"/>
      <c r="L545" s="46"/>
      <c r="M545" s="46"/>
      <c r="N545" s="46"/>
      <c r="O545" s="46"/>
      <c r="P545" s="46"/>
      <c r="Q545" s="46"/>
      <c r="R545" s="46"/>
      <c r="S545" s="46"/>
      <c r="T545" s="46"/>
      <c r="U545" s="46"/>
      <c r="V545" s="46"/>
      <c r="W545" s="46"/>
    </row>
    <row r="546">
      <c r="A546" s="55"/>
      <c r="B546" s="218"/>
      <c r="C546" s="55"/>
      <c r="D546" s="218"/>
      <c r="E546" s="126"/>
      <c r="F546" s="224"/>
      <c r="G546" s="126"/>
      <c r="H546" s="218"/>
      <c r="I546" s="223"/>
      <c r="J546" s="46"/>
      <c r="K546" s="46"/>
      <c r="L546" s="46"/>
      <c r="M546" s="46"/>
      <c r="N546" s="46"/>
      <c r="O546" s="46"/>
      <c r="P546" s="46"/>
      <c r="Q546" s="46"/>
      <c r="R546" s="46"/>
      <c r="S546" s="46"/>
      <c r="T546" s="46"/>
      <c r="U546" s="46"/>
      <c r="V546" s="46"/>
      <c r="W546" s="46"/>
    </row>
    <row r="547">
      <c r="A547" s="55"/>
      <c r="B547" s="218"/>
      <c r="C547" s="55"/>
      <c r="D547" s="218"/>
      <c r="E547" s="126"/>
      <c r="F547" s="224"/>
      <c r="G547" s="126"/>
      <c r="H547" s="218"/>
      <c r="I547" s="223"/>
      <c r="J547" s="46"/>
      <c r="K547" s="46"/>
      <c r="L547" s="46"/>
      <c r="M547" s="46"/>
      <c r="N547" s="46"/>
      <c r="O547" s="46"/>
      <c r="P547" s="46"/>
      <c r="Q547" s="46"/>
      <c r="R547" s="46"/>
      <c r="S547" s="46"/>
      <c r="T547" s="46"/>
      <c r="U547" s="46"/>
      <c r="V547" s="46"/>
      <c r="W547" s="46"/>
    </row>
    <row r="548">
      <c r="A548" s="55"/>
      <c r="B548" s="218"/>
      <c r="C548" s="55"/>
      <c r="D548" s="218"/>
      <c r="E548" s="126"/>
      <c r="F548" s="224"/>
      <c r="G548" s="126"/>
      <c r="H548" s="218"/>
      <c r="I548" s="223"/>
      <c r="J548" s="46"/>
      <c r="K548" s="46"/>
      <c r="L548" s="46"/>
      <c r="M548" s="46"/>
      <c r="N548" s="46"/>
      <c r="O548" s="46"/>
      <c r="P548" s="46"/>
      <c r="Q548" s="46"/>
      <c r="R548" s="46"/>
      <c r="S548" s="46"/>
      <c r="T548" s="46"/>
      <c r="U548" s="46"/>
      <c r="V548" s="46"/>
      <c r="W548" s="46"/>
    </row>
    <row r="549">
      <c r="A549" s="55"/>
      <c r="B549" s="218"/>
      <c r="C549" s="55"/>
      <c r="D549" s="218"/>
      <c r="E549" s="126"/>
      <c r="F549" s="224"/>
      <c r="G549" s="126"/>
      <c r="H549" s="218"/>
      <c r="I549" s="223"/>
      <c r="J549" s="46"/>
      <c r="K549" s="46"/>
      <c r="L549" s="46"/>
      <c r="M549" s="46"/>
      <c r="N549" s="46"/>
      <c r="O549" s="46"/>
      <c r="P549" s="46"/>
      <c r="Q549" s="46"/>
      <c r="R549" s="46"/>
      <c r="S549" s="46"/>
      <c r="T549" s="46"/>
      <c r="U549" s="46"/>
      <c r="V549" s="46"/>
      <c r="W549" s="46"/>
    </row>
    <row r="550">
      <c r="A550" s="55"/>
      <c r="B550" s="218"/>
      <c r="C550" s="55"/>
      <c r="D550" s="218"/>
      <c r="E550" s="126"/>
      <c r="F550" s="224"/>
      <c r="G550" s="126"/>
      <c r="H550" s="218"/>
      <c r="I550" s="223"/>
      <c r="J550" s="46"/>
      <c r="K550" s="46"/>
      <c r="L550" s="46"/>
      <c r="M550" s="46"/>
      <c r="N550" s="46"/>
      <c r="O550" s="46"/>
      <c r="P550" s="46"/>
      <c r="Q550" s="46"/>
      <c r="R550" s="46"/>
      <c r="S550" s="46"/>
      <c r="T550" s="46"/>
      <c r="U550" s="46"/>
      <c r="V550" s="46"/>
      <c r="W550" s="46"/>
    </row>
    <row r="551">
      <c r="A551" s="55"/>
      <c r="B551" s="218"/>
      <c r="C551" s="55"/>
      <c r="D551" s="218"/>
      <c r="E551" s="126"/>
      <c r="F551" s="224"/>
      <c r="G551" s="126"/>
      <c r="H551" s="218"/>
      <c r="I551" s="223"/>
      <c r="J551" s="46"/>
      <c r="K551" s="46"/>
      <c r="L551" s="46"/>
      <c r="M551" s="46"/>
      <c r="N551" s="46"/>
      <c r="O551" s="46"/>
      <c r="P551" s="46"/>
      <c r="Q551" s="46"/>
      <c r="R551" s="46"/>
      <c r="S551" s="46"/>
      <c r="T551" s="46"/>
      <c r="U551" s="46"/>
      <c r="V551" s="46"/>
      <c r="W551" s="46"/>
    </row>
    <row r="552">
      <c r="A552" s="55"/>
      <c r="B552" s="218"/>
      <c r="C552" s="55"/>
      <c r="D552" s="218"/>
      <c r="E552" s="126"/>
      <c r="F552" s="224"/>
      <c r="G552" s="126"/>
      <c r="H552" s="218"/>
      <c r="I552" s="223"/>
      <c r="J552" s="46"/>
      <c r="K552" s="46"/>
      <c r="L552" s="46"/>
      <c r="M552" s="46"/>
      <c r="N552" s="46"/>
      <c r="O552" s="46"/>
      <c r="P552" s="46"/>
      <c r="Q552" s="46"/>
      <c r="R552" s="46"/>
      <c r="S552" s="46"/>
      <c r="T552" s="46"/>
      <c r="U552" s="46"/>
      <c r="V552" s="46"/>
      <c r="W552" s="46"/>
    </row>
    <row r="553">
      <c r="A553" s="55"/>
      <c r="B553" s="218"/>
      <c r="C553" s="55"/>
      <c r="D553" s="218"/>
      <c r="E553" s="126"/>
      <c r="F553" s="224"/>
      <c r="G553" s="126"/>
      <c r="H553" s="218"/>
      <c r="I553" s="223"/>
      <c r="J553" s="46"/>
      <c r="K553" s="46"/>
      <c r="L553" s="46"/>
      <c r="M553" s="46"/>
      <c r="N553" s="46"/>
      <c r="O553" s="46"/>
      <c r="P553" s="46"/>
      <c r="Q553" s="46"/>
      <c r="R553" s="46"/>
      <c r="S553" s="46"/>
      <c r="T553" s="46"/>
      <c r="U553" s="46"/>
      <c r="V553" s="46"/>
      <c r="W553" s="46"/>
    </row>
    <row r="554">
      <c r="A554" s="55"/>
      <c r="B554" s="218"/>
      <c r="C554" s="55"/>
      <c r="D554" s="218"/>
      <c r="E554" s="126"/>
      <c r="F554" s="224"/>
      <c r="G554" s="126"/>
      <c r="H554" s="218"/>
      <c r="I554" s="223"/>
      <c r="J554" s="46"/>
      <c r="K554" s="46"/>
      <c r="L554" s="46"/>
      <c r="M554" s="46"/>
      <c r="N554" s="46"/>
      <c r="O554" s="46"/>
      <c r="P554" s="46"/>
      <c r="Q554" s="46"/>
      <c r="R554" s="46"/>
      <c r="S554" s="46"/>
      <c r="T554" s="46"/>
      <c r="U554" s="46"/>
      <c r="V554" s="46"/>
      <c r="W554" s="46"/>
    </row>
    <row r="555">
      <c r="A555" s="55"/>
      <c r="B555" s="218"/>
      <c r="C555" s="55"/>
      <c r="D555" s="218"/>
      <c r="E555" s="126"/>
      <c r="F555" s="224"/>
      <c r="G555" s="126"/>
      <c r="H555" s="218"/>
      <c r="I555" s="223"/>
      <c r="J555" s="46"/>
      <c r="K555" s="46"/>
      <c r="L555" s="46"/>
      <c r="M555" s="46"/>
      <c r="N555" s="46"/>
      <c r="O555" s="46"/>
      <c r="P555" s="46"/>
      <c r="Q555" s="46"/>
      <c r="R555" s="46"/>
      <c r="S555" s="46"/>
      <c r="T555" s="46"/>
      <c r="U555" s="46"/>
      <c r="V555" s="46"/>
      <c r="W555" s="46"/>
    </row>
    <row r="556">
      <c r="A556" s="55"/>
      <c r="B556" s="218"/>
      <c r="C556" s="55"/>
      <c r="D556" s="218"/>
      <c r="E556" s="126"/>
      <c r="F556" s="224"/>
      <c r="G556" s="126"/>
      <c r="H556" s="218"/>
      <c r="I556" s="223"/>
      <c r="J556" s="46"/>
      <c r="K556" s="46"/>
      <c r="L556" s="46"/>
      <c r="M556" s="46"/>
      <c r="N556" s="46"/>
      <c r="O556" s="46"/>
      <c r="P556" s="46"/>
      <c r="Q556" s="46"/>
      <c r="R556" s="46"/>
      <c r="S556" s="46"/>
      <c r="T556" s="46"/>
      <c r="U556" s="46"/>
      <c r="V556" s="46"/>
      <c r="W556" s="46"/>
    </row>
    <row r="557">
      <c r="A557" s="55"/>
      <c r="B557" s="218"/>
      <c r="C557" s="55"/>
      <c r="D557" s="218"/>
      <c r="E557" s="126"/>
      <c r="F557" s="224"/>
      <c r="G557" s="126"/>
      <c r="H557" s="218"/>
      <c r="I557" s="223"/>
      <c r="J557" s="46"/>
      <c r="K557" s="46"/>
      <c r="L557" s="46"/>
      <c r="M557" s="46"/>
      <c r="N557" s="46"/>
      <c r="O557" s="46"/>
      <c r="P557" s="46"/>
      <c r="Q557" s="46"/>
      <c r="R557" s="46"/>
      <c r="S557" s="46"/>
      <c r="T557" s="46"/>
      <c r="U557" s="46"/>
      <c r="V557" s="46"/>
      <c r="W557" s="46"/>
    </row>
    <row r="558">
      <c r="A558" s="55"/>
      <c r="B558" s="218"/>
      <c r="C558" s="55"/>
      <c r="D558" s="218"/>
      <c r="E558" s="126"/>
      <c r="F558" s="224"/>
      <c r="G558" s="126"/>
      <c r="H558" s="218"/>
      <c r="I558" s="223"/>
      <c r="J558" s="46"/>
      <c r="K558" s="46"/>
      <c r="L558" s="46"/>
      <c r="M558" s="46"/>
      <c r="N558" s="46"/>
      <c r="O558" s="46"/>
      <c r="P558" s="46"/>
      <c r="Q558" s="46"/>
      <c r="R558" s="46"/>
      <c r="S558" s="46"/>
      <c r="T558" s="46"/>
      <c r="U558" s="46"/>
      <c r="V558" s="46"/>
      <c r="W558" s="46"/>
    </row>
    <row r="559">
      <c r="A559" s="55"/>
      <c r="B559" s="218"/>
      <c r="C559" s="55"/>
      <c r="D559" s="218"/>
      <c r="E559" s="126"/>
      <c r="F559" s="224"/>
      <c r="G559" s="126"/>
      <c r="H559" s="218"/>
      <c r="I559" s="223"/>
      <c r="J559" s="46"/>
      <c r="K559" s="46"/>
      <c r="L559" s="46"/>
      <c r="M559" s="46"/>
      <c r="N559" s="46"/>
      <c r="O559" s="46"/>
      <c r="P559" s="46"/>
      <c r="Q559" s="46"/>
      <c r="R559" s="46"/>
      <c r="S559" s="46"/>
      <c r="T559" s="46"/>
      <c r="U559" s="46"/>
      <c r="V559" s="46"/>
      <c r="W559" s="46"/>
    </row>
    <row r="560">
      <c r="A560" s="55"/>
      <c r="B560" s="218"/>
      <c r="C560" s="55"/>
      <c r="D560" s="218"/>
      <c r="E560" s="126"/>
      <c r="F560" s="224"/>
      <c r="G560" s="126"/>
      <c r="H560" s="218"/>
      <c r="I560" s="223"/>
      <c r="J560" s="46"/>
      <c r="K560" s="46"/>
      <c r="L560" s="46"/>
      <c r="M560" s="46"/>
      <c r="N560" s="46"/>
      <c r="O560" s="46"/>
      <c r="P560" s="46"/>
      <c r="Q560" s="46"/>
      <c r="R560" s="46"/>
      <c r="S560" s="46"/>
      <c r="T560" s="46"/>
      <c r="U560" s="46"/>
      <c r="V560" s="46"/>
      <c r="W560" s="46"/>
    </row>
    <row r="561">
      <c r="A561" s="55"/>
      <c r="B561" s="218"/>
      <c r="C561" s="55"/>
      <c r="D561" s="218"/>
      <c r="E561" s="126"/>
      <c r="F561" s="224"/>
      <c r="G561" s="126"/>
      <c r="H561" s="218"/>
      <c r="I561" s="223"/>
      <c r="J561" s="46"/>
      <c r="K561" s="46"/>
      <c r="L561" s="46"/>
      <c r="M561" s="46"/>
      <c r="N561" s="46"/>
      <c r="O561" s="46"/>
      <c r="P561" s="46"/>
      <c r="Q561" s="46"/>
      <c r="R561" s="46"/>
      <c r="S561" s="46"/>
      <c r="T561" s="46"/>
      <c r="U561" s="46"/>
      <c r="V561" s="46"/>
      <c r="W561" s="46"/>
    </row>
    <row r="562">
      <c r="A562" s="55"/>
      <c r="B562" s="218"/>
      <c r="C562" s="55"/>
      <c r="D562" s="218"/>
      <c r="E562" s="126"/>
      <c r="F562" s="224"/>
      <c r="G562" s="126"/>
      <c r="H562" s="218"/>
      <c r="I562" s="223"/>
      <c r="J562" s="46"/>
      <c r="K562" s="46"/>
      <c r="L562" s="46"/>
      <c r="M562" s="46"/>
      <c r="N562" s="46"/>
      <c r="O562" s="46"/>
      <c r="P562" s="46"/>
      <c r="Q562" s="46"/>
      <c r="R562" s="46"/>
      <c r="S562" s="46"/>
      <c r="T562" s="46"/>
      <c r="U562" s="46"/>
      <c r="V562" s="46"/>
      <c r="W562" s="46"/>
    </row>
    <row r="563">
      <c r="A563" s="55"/>
      <c r="B563" s="218"/>
      <c r="C563" s="55"/>
      <c r="D563" s="218"/>
      <c r="E563" s="126"/>
      <c r="F563" s="224"/>
      <c r="G563" s="126"/>
      <c r="H563" s="218"/>
      <c r="I563" s="223"/>
      <c r="J563" s="46"/>
      <c r="K563" s="46"/>
      <c r="L563" s="46"/>
      <c r="M563" s="46"/>
      <c r="N563" s="46"/>
      <c r="O563" s="46"/>
      <c r="P563" s="46"/>
      <c r="Q563" s="46"/>
      <c r="R563" s="46"/>
      <c r="S563" s="46"/>
      <c r="T563" s="46"/>
      <c r="U563" s="46"/>
      <c r="V563" s="46"/>
      <c r="W563" s="46"/>
    </row>
    <row r="564">
      <c r="A564" s="55"/>
      <c r="B564" s="218"/>
      <c r="C564" s="55"/>
      <c r="D564" s="218"/>
      <c r="E564" s="126"/>
      <c r="F564" s="224"/>
      <c r="G564" s="126"/>
      <c r="H564" s="218"/>
      <c r="I564" s="223"/>
      <c r="J564" s="46"/>
      <c r="K564" s="46"/>
      <c r="L564" s="46"/>
      <c r="M564" s="46"/>
      <c r="N564" s="46"/>
      <c r="O564" s="46"/>
      <c r="P564" s="46"/>
      <c r="Q564" s="46"/>
      <c r="R564" s="46"/>
      <c r="S564" s="46"/>
      <c r="T564" s="46"/>
      <c r="U564" s="46"/>
      <c r="V564" s="46"/>
      <c r="W564" s="46"/>
    </row>
    <row r="565">
      <c r="A565" s="55"/>
      <c r="B565" s="218"/>
      <c r="C565" s="55"/>
      <c r="D565" s="218"/>
      <c r="E565" s="126"/>
      <c r="F565" s="224"/>
      <c r="G565" s="126"/>
      <c r="H565" s="218"/>
      <c r="I565" s="223"/>
      <c r="J565" s="46"/>
      <c r="K565" s="46"/>
      <c r="L565" s="46"/>
      <c r="M565" s="46"/>
      <c r="N565" s="46"/>
      <c r="O565" s="46"/>
      <c r="P565" s="46"/>
      <c r="Q565" s="46"/>
      <c r="R565" s="46"/>
      <c r="S565" s="46"/>
      <c r="T565" s="46"/>
      <c r="U565" s="46"/>
      <c r="V565" s="46"/>
      <c r="W565" s="46"/>
    </row>
    <row r="566">
      <c r="A566" s="55"/>
      <c r="B566" s="218"/>
      <c r="C566" s="55"/>
      <c r="D566" s="218"/>
      <c r="E566" s="126"/>
      <c r="F566" s="224"/>
      <c r="G566" s="126"/>
      <c r="H566" s="218"/>
      <c r="I566" s="223"/>
      <c r="J566" s="46"/>
      <c r="K566" s="46"/>
      <c r="L566" s="46"/>
      <c r="M566" s="46"/>
      <c r="N566" s="46"/>
      <c r="O566" s="46"/>
      <c r="P566" s="46"/>
      <c r="Q566" s="46"/>
      <c r="R566" s="46"/>
      <c r="S566" s="46"/>
      <c r="T566" s="46"/>
      <c r="U566" s="46"/>
      <c r="V566" s="46"/>
      <c r="W566" s="46"/>
    </row>
    <row r="567">
      <c r="A567" s="55"/>
      <c r="B567" s="218"/>
      <c r="C567" s="55"/>
      <c r="D567" s="218"/>
      <c r="E567" s="126"/>
      <c r="F567" s="224"/>
      <c r="G567" s="126"/>
      <c r="H567" s="218"/>
      <c r="I567" s="223"/>
      <c r="J567" s="46"/>
      <c r="K567" s="46"/>
      <c r="L567" s="46"/>
      <c r="M567" s="46"/>
      <c r="N567" s="46"/>
      <c r="O567" s="46"/>
      <c r="P567" s="46"/>
      <c r="Q567" s="46"/>
      <c r="R567" s="46"/>
      <c r="S567" s="46"/>
      <c r="T567" s="46"/>
      <c r="U567" s="46"/>
      <c r="V567" s="46"/>
      <c r="W567" s="46"/>
    </row>
    <row r="568">
      <c r="A568" s="55"/>
      <c r="B568" s="218"/>
      <c r="C568" s="55"/>
      <c r="D568" s="218"/>
      <c r="E568" s="126"/>
      <c r="F568" s="224"/>
      <c r="G568" s="126"/>
      <c r="H568" s="218"/>
      <c r="I568" s="223"/>
      <c r="J568" s="46"/>
      <c r="K568" s="46"/>
      <c r="L568" s="46"/>
      <c r="M568" s="46"/>
      <c r="N568" s="46"/>
      <c r="O568" s="46"/>
      <c r="P568" s="46"/>
      <c r="Q568" s="46"/>
      <c r="R568" s="46"/>
      <c r="S568" s="46"/>
      <c r="T568" s="46"/>
      <c r="U568" s="46"/>
      <c r="V568" s="46"/>
      <c r="W568" s="46"/>
    </row>
    <row r="569">
      <c r="A569" s="55"/>
      <c r="B569" s="218"/>
      <c r="C569" s="55"/>
      <c r="D569" s="218"/>
      <c r="E569" s="126"/>
      <c r="F569" s="224"/>
      <c r="G569" s="126"/>
      <c r="H569" s="218"/>
      <c r="I569" s="223"/>
      <c r="J569" s="46"/>
      <c r="K569" s="46"/>
      <c r="L569" s="46"/>
      <c r="M569" s="46"/>
      <c r="N569" s="46"/>
      <c r="O569" s="46"/>
      <c r="P569" s="46"/>
      <c r="Q569" s="46"/>
      <c r="R569" s="46"/>
      <c r="S569" s="46"/>
      <c r="T569" s="46"/>
      <c r="U569" s="46"/>
      <c r="V569" s="46"/>
      <c r="W569" s="46"/>
    </row>
    <row r="570">
      <c r="A570" s="55"/>
      <c r="B570" s="218"/>
      <c r="C570" s="55"/>
      <c r="D570" s="218"/>
      <c r="E570" s="126"/>
      <c r="F570" s="224"/>
      <c r="G570" s="126"/>
      <c r="H570" s="218"/>
      <c r="I570" s="223"/>
      <c r="J570" s="46"/>
      <c r="K570" s="46"/>
      <c r="L570" s="46"/>
      <c r="M570" s="46"/>
      <c r="N570" s="46"/>
      <c r="O570" s="46"/>
      <c r="P570" s="46"/>
      <c r="Q570" s="46"/>
      <c r="R570" s="46"/>
      <c r="S570" s="46"/>
      <c r="T570" s="46"/>
      <c r="U570" s="46"/>
      <c r="V570" s="46"/>
      <c r="W570" s="46"/>
    </row>
    <row r="571">
      <c r="A571" s="55"/>
      <c r="B571" s="218"/>
      <c r="C571" s="55"/>
      <c r="D571" s="218"/>
      <c r="E571" s="126"/>
      <c r="F571" s="224"/>
      <c r="G571" s="126"/>
      <c r="H571" s="218"/>
      <c r="I571" s="223"/>
      <c r="J571" s="46"/>
      <c r="K571" s="46"/>
      <c r="L571" s="46"/>
      <c r="M571" s="46"/>
      <c r="N571" s="46"/>
      <c r="O571" s="46"/>
      <c r="P571" s="46"/>
      <c r="Q571" s="46"/>
      <c r="R571" s="46"/>
      <c r="S571" s="46"/>
      <c r="T571" s="46"/>
      <c r="U571" s="46"/>
      <c r="V571" s="46"/>
      <c r="W571" s="46"/>
    </row>
    <row r="572">
      <c r="A572" s="55"/>
      <c r="B572" s="218"/>
      <c r="C572" s="55"/>
      <c r="D572" s="218"/>
      <c r="E572" s="126"/>
      <c r="F572" s="224"/>
      <c r="G572" s="126"/>
      <c r="H572" s="218"/>
      <c r="I572" s="223"/>
      <c r="J572" s="46"/>
      <c r="K572" s="46"/>
      <c r="L572" s="46"/>
      <c r="M572" s="46"/>
      <c r="N572" s="46"/>
      <c r="O572" s="46"/>
      <c r="P572" s="46"/>
      <c r="Q572" s="46"/>
      <c r="R572" s="46"/>
      <c r="S572" s="46"/>
      <c r="T572" s="46"/>
      <c r="U572" s="46"/>
      <c r="V572" s="46"/>
      <c r="W572" s="46"/>
    </row>
    <row r="573">
      <c r="A573" s="55"/>
      <c r="B573" s="218"/>
      <c r="C573" s="55"/>
      <c r="D573" s="218"/>
      <c r="E573" s="126"/>
      <c r="F573" s="224"/>
      <c r="G573" s="126"/>
      <c r="H573" s="218"/>
      <c r="I573" s="223"/>
      <c r="J573" s="46"/>
      <c r="K573" s="46"/>
      <c r="L573" s="46"/>
      <c r="M573" s="46"/>
      <c r="N573" s="46"/>
      <c r="O573" s="46"/>
      <c r="P573" s="46"/>
      <c r="Q573" s="46"/>
      <c r="R573" s="46"/>
      <c r="S573" s="46"/>
      <c r="T573" s="46"/>
      <c r="U573" s="46"/>
      <c r="V573" s="46"/>
      <c r="W573" s="46"/>
    </row>
    <row r="574">
      <c r="A574" s="55"/>
      <c r="B574" s="218"/>
      <c r="C574" s="55"/>
      <c r="D574" s="218"/>
      <c r="E574" s="126"/>
      <c r="F574" s="224"/>
      <c r="G574" s="126"/>
      <c r="H574" s="218"/>
      <c r="I574" s="223"/>
      <c r="J574" s="46"/>
      <c r="K574" s="46"/>
      <c r="L574" s="46"/>
      <c r="M574" s="46"/>
      <c r="N574" s="46"/>
      <c r="O574" s="46"/>
      <c r="P574" s="46"/>
      <c r="Q574" s="46"/>
      <c r="R574" s="46"/>
      <c r="S574" s="46"/>
      <c r="T574" s="46"/>
      <c r="U574" s="46"/>
      <c r="V574" s="46"/>
      <c r="W574" s="46"/>
    </row>
    <row r="575">
      <c r="A575" s="55"/>
      <c r="B575" s="218"/>
      <c r="C575" s="55"/>
      <c r="D575" s="218"/>
      <c r="E575" s="126"/>
      <c r="F575" s="224"/>
      <c r="G575" s="126"/>
      <c r="H575" s="218"/>
      <c r="I575" s="223"/>
      <c r="J575" s="46"/>
      <c r="K575" s="46"/>
      <c r="L575" s="46"/>
      <c r="M575" s="46"/>
      <c r="N575" s="46"/>
      <c r="O575" s="46"/>
      <c r="P575" s="46"/>
      <c r="Q575" s="46"/>
      <c r="R575" s="46"/>
      <c r="S575" s="46"/>
      <c r="T575" s="46"/>
      <c r="U575" s="46"/>
      <c r="V575" s="46"/>
      <c r="W575" s="46"/>
    </row>
    <row r="576">
      <c r="A576" s="55"/>
      <c r="B576" s="218"/>
      <c r="C576" s="55"/>
      <c r="D576" s="218"/>
      <c r="E576" s="126"/>
      <c r="F576" s="224"/>
      <c r="G576" s="126"/>
      <c r="H576" s="218"/>
      <c r="I576" s="223"/>
      <c r="J576" s="46"/>
      <c r="K576" s="46"/>
      <c r="L576" s="46"/>
      <c r="M576" s="46"/>
      <c r="N576" s="46"/>
      <c r="O576" s="46"/>
      <c r="P576" s="46"/>
      <c r="Q576" s="46"/>
      <c r="R576" s="46"/>
      <c r="S576" s="46"/>
      <c r="T576" s="46"/>
      <c r="U576" s="46"/>
      <c r="V576" s="46"/>
      <c r="W576" s="46"/>
    </row>
    <row r="577">
      <c r="A577" s="55"/>
      <c r="B577" s="218"/>
      <c r="C577" s="55"/>
      <c r="D577" s="218"/>
      <c r="E577" s="126"/>
      <c r="F577" s="224"/>
      <c r="G577" s="126"/>
      <c r="H577" s="218"/>
      <c r="I577" s="223"/>
      <c r="J577" s="46"/>
      <c r="K577" s="46"/>
      <c r="L577" s="46"/>
      <c r="M577" s="46"/>
      <c r="N577" s="46"/>
      <c r="O577" s="46"/>
      <c r="P577" s="46"/>
      <c r="Q577" s="46"/>
      <c r="R577" s="46"/>
      <c r="S577" s="46"/>
      <c r="T577" s="46"/>
      <c r="U577" s="46"/>
      <c r="V577" s="46"/>
      <c r="W577" s="46"/>
    </row>
    <row r="578">
      <c r="A578" s="55"/>
      <c r="B578" s="218"/>
      <c r="C578" s="55"/>
      <c r="D578" s="218"/>
      <c r="E578" s="126"/>
      <c r="F578" s="224"/>
      <c r="G578" s="126"/>
      <c r="H578" s="218"/>
      <c r="I578" s="223"/>
      <c r="J578" s="46"/>
      <c r="K578" s="46"/>
      <c r="L578" s="46"/>
      <c r="M578" s="46"/>
      <c r="N578" s="46"/>
      <c r="O578" s="46"/>
      <c r="P578" s="46"/>
      <c r="Q578" s="46"/>
      <c r="R578" s="46"/>
      <c r="S578" s="46"/>
      <c r="T578" s="46"/>
      <c r="U578" s="46"/>
      <c r="V578" s="46"/>
      <c r="W578" s="46"/>
    </row>
    <row r="579">
      <c r="A579" s="55"/>
      <c r="B579" s="218"/>
      <c r="C579" s="55"/>
      <c r="D579" s="218"/>
      <c r="E579" s="126"/>
      <c r="F579" s="224"/>
      <c r="G579" s="126"/>
      <c r="H579" s="218"/>
      <c r="I579" s="223"/>
      <c r="J579" s="46"/>
      <c r="K579" s="46"/>
      <c r="L579" s="46"/>
      <c r="M579" s="46"/>
      <c r="N579" s="46"/>
      <c r="O579" s="46"/>
      <c r="P579" s="46"/>
      <c r="Q579" s="46"/>
      <c r="R579" s="46"/>
      <c r="S579" s="46"/>
      <c r="T579" s="46"/>
      <c r="U579" s="46"/>
      <c r="V579" s="46"/>
      <c r="W579" s="46"/>
    </row>
    <row r="580">
      <c r="A580" s="55"/>
      <c r="B580" s="218"/>
      <c r="C580" s="55"/>
      <c r="D580" s="218"/>
      <c r="E580" s="126"/>
      <c r="F580" s="224"/>
      <c r="G580" s="126"/>
      <c r="H580" s="218"/>
      <c r="I580" s="223"/>
      <c r="J580" s="46"/>
      <c r="K580" s="46"/>
      <c r="L580" s="46"/>
      <c r="M580" s="46"/>
      <c r="N580" s="46"/>
      <c r="O580" s="46"/>
      <c r="P580" s="46"/>
      <c r="Q580" s="46"/>
      <c r="R580" s="46"/>
      <c r="S580" s="46"/>
      <c r="T580" s="46"/>
      <c r="U580" s="46"/>
      <c r="V580" s="46"/>
      <c r="W580" s="46"/>
    </row>
    <row r="581">
      <c r="A581" s="55"/>
      <c r="B581" s="218"/>
      <c r="C581" s="55"/>
      <c r="D581" s="218"/>
      <c r="E581" s="126"/>
      <c r="F581" s="224"/>
      <c r="G581" s="126"/>
      <c r="H581" s="218"/>
      <c r="I581" s="223"/>
      <c r="J581" s="46"/>
      <c r="K581" s="46"/>
      <c r="L581" s="46"/>
      <c r="M581" s="46"/>
      <c r="N581" s="46"/>
      <c r="O581" s="46"/>
      <c r="P581" s="46"/>
      <c r="Q581" s="46"/>
      <c r="R581" s="46"/>
      <c r="S581" s="46"/>
      <c r="T581" s="46"/>
      <c r="U581" s="46"/>
      <c r="V581" s="46"/>
      <c r="W581" s="46"/>
    </row>
    <row r="582">
      <c r="A582" s="55"/>
      <c r="B582" s="218"/>
      <c r="C582" s="55"/>
      <c r="D582" s="218"/>
      <c r="E582" s="126"/>
      <c r="F582" s="224"/>
      <c r="G582" s="126"/>
      <c r="H582" s="218"/>
      <c r="I582" s="223"/>
      <c r="J582" s="46"/>
      <c r="K582" s="46"/>
      <c r="L582" s="46"/>
      <c r="M582" s="46"/>
      <c r="N582" s="46"/>
      <c r="O582" s="46"/>
      <c r="P582" s="46"/>
      <c r="Q582" s="46"/>
      <c r="R582" s="46"/>
      <c r="S582" s="46"/>
      <c r="T582" s="46"/>
      <c r="U582" s="46"/>
      <c r="V582" s="46"/>
      <c r="W582" s="46"/>
    </row>
    <row r="583">
      <c r="A583" s="55"/>
      <c r="B583" s="218"/>
      <c r="C583" s="55"/>
      <c r="D583" s="218"/>
      <c r="E583" s="126"/>
      <c r="F583" s="224"/>
      <c r="G583" s="126"/>
      <c r="H583" s="218"/>
      <c r="I583" s="223"/>
      <c r="J583" s="46"/>
      <c r="K583" s="46"/>
      <c r="L583" s="46"/>
      <c r="M583" s="46"/>
      <c r="N583" s="46"/>
      <c r="O583" s="46"/>
      <c r="P583" s="46"/>
      <c r="Q583" s="46"/>
      <c r="R583" s="46"/>
      <c r="S583" s="46"/>
      <c r="T583" s="46"/>
      <c r="U583" s="46"/>
      <c r="V583" s="46"/>
      <c r="W583" s="46"/>
    </row>
    <row r="584">
      <c r="A584" s="55"/>
      <c r="B584" s="218"/>
      <c r="C584" s="55"/>
      <c r="D584" s="218"/>
      <c r="E584" s="126"/>
      <c r="F584" s="224"/>
      <c r="G584" s="126"/>
      <c r="H584" s="218"/>
      <c r="I584" s="223"/>
      <c r="J584" s="46"/>
      <c r="K584" s="46"/>
      <c r="L584" s="46"/>
      <c r="M584" s="46"/>
      <c r="N584" s="46"/>
      <c r="O584" s="46"/>
      <c r="P584" s="46"/>
      <c r="Q584" s="46"/>
      <c r="R584" s="46"/>
      <c r="S584" s="46"/>
      <c r="T584" s="46"/>
      <c r="U584" s="46"/>
      <c r="V584" s="46"/>
      <c r="W584" s="46"/>
    </row>
    <row r="585">
      <c r="A585" s="55"/>
      <c r="B585" s="218"/>
      <c r="C585" s="55"/>
      <c r="D585" s="218"/>
      <c r="E585" s="126"/>
      <c r="F585" s="224"/>
      <c r="G585" s="126"/>
      <c r="H585" s="218"/>
      <c r="I585" s="223"/>
      <c r="J585" s="46"/>
      <c r="K585" s="46"/>
      <c r="L585" s="46"/>
      <c r="M585" s="46"/>
      <c r="N585" s="46"/>
      <c r="O585" s="46"/>
      <c r="P585" s="46"/>
      <c r="Q585" s="46"/>
      <c r="R585" s="46"/>
      <c r="S585" s="46"/>
      <c r="T585" s="46"/>
      <c r="U585" s="46"/>
      <c r="V585" s="46"/>
      <c r="W585" s="46"/>
    </row>
    <row r="586">
      <c r="A586" s="55"/>
      <c r="B586" s="218"/>
      <c r="C586" s="55"/>
      <c r="D586" s="218"/>
      <c r="E586" s="126"/>
      <c r="F586" s="224"/>
      <c r="G586" s="126"/>
      <c r="H586" s="218"/>
      <c r="I586" s="223"/>
      <c r="J586" s="46"/>
      <c r="K586" s="46"/>
      <c r="L586" s="46"/>
      <c r="M586" s="46"/>
      <c r="N586" s="46"/>
      <c r="O586" s="46"/>
      <c r="P586" s="46"/>
      <c r="Q586" s="46"/>
      <c r="R586" s="46"/>
      <c r="S586" s="46"/>
      <c r="T586" s="46"/>
      <c r="U586" s="46"/>
      <c r="V586" s="46"/>
      <c r="W586" s="46"/>
    </row>
    <row r="587">
      <c r="A587" s="55"/>
      <c r="B587" s="218"/>
      <c r="C587" s="55"/>
      <c r="D587" s="218"/>
      <c r="E587" s="126"/>
      <c r="F587" s="224"/>
      <c r="G587" s="126"/>
      <c r="H587" s="218"/>
      <c r="I587" s="223"/>
      <c r="J587" s="46"/>
      <c r="K587" s="46"/>
      <c r="L587" s="46"/>
      <c r="M587" s="46"/>
      <c r="N587" s="46"/>
      <c r="O587" s="46"/>
      <c r="P587" s="46"/>
      <c r="Q587" s="46"/>
      <c r="R587" s="46"/>
      <c r="S587" s="46"/>
      <c r="T587" s="46"/>
      <c r="U587" s="46"/>
      <c r="V587" s="46"/>
      <c r="W587" s="46"/>
    </row>
    <row r="588">
      <c r="A588" s="55"/>
      <c r="B588" s="218"/>
      <c r="C588" s="55"/>
      <c r="D588" s="218"/>
      <c r="E588" s="126"/>
      <c r="F588" s="224"/>
      <c r="G588" s="126"/>
      <c r="H588" s="218"/>
      <c r="I588" s="223"/>
      <c r="J588" s="46"/>
      <c r="K588" s="46"/>
      <c r="L588" s="46"/>
      <c r="M588" s="46"/>
      <c r="N588" s="46"/>
      <c r="O588" s="46"/>
      <c r="P588" s="46"/>
      <c r="Q588" s="46"/>
      <c r="R588" s="46"/>
      <c r="S588" s="46"/>
      <c r="T588" s="46"/>
      <c r="U588" s="46"/>
      <c r="V588" s="46"/>
      <c r="W588" s="46"/>
    </row>
    <row r="589">
      <c r="A589" s="55"/>
      <c r="B589" s="218"/>
      <c r="C589" s="55"/>
      <c r="D589" s="218"/>
      <c r="E589" s="126"/>
      <c r="F589" s="224"/>
      <c r="G589" s="126"/>
      <c r="H589" s="218"/>
      <c r="I589" s="223"/>
      <c r="J589" s="46"/>
      <c r="K589" s="46"/>
      <c r="L589" s="46"/>
      <c r="M589" s="46"/>
      <c r="N589" s="46"/>
      <c r="O589" s="46"/>
      <c r="P589" s="46"/>
      <c r="Q589" s="46"/>
      <c r="R589" s="46"/>
      <c r="S589" s="46"/>
      <c r="T589" s="46"/>
      <c r="U589" s="46"/>
      <c r="V589" s="46"/>
      <c r="W589" s="46"/>
    </row>
    <row r="590">
      <c r="A590" s="55"/>
      <c r="B590" s="218"/>
      <c r="C590" s="55"/>
      <c r="D590" s="218"/>
      <c r="E590" s="126"/>
      <c r="F590" s="224"/>
      <c r="G590" s="126"/>
      <c r="H590" s="218"/>
      <c r="I590" s="223"/>
      <c r="J590" s="46"/>
      <c r="K590" s="46"/>
      <c r="L590" s="46"/>
      <c r="M590" s="46"/>
      <c r="N590" s="46"/>
      <c r="O590" s="46"/>
      <c r="P590" s="46"/>
      <c r="Q590" s="46"/>
      <c r="R590" s="46"/>
      <c r="S590" s="46"/>
      <c r="T590" s="46"/>
      <c r="U590" s="46"/>
      <c r="V590" s="46"/>
      <c r="W590" s="46"/>
    </row>
    <row r="591">
      <c r="A591" s="55"/>
      <c r="B591" s="218"/>
      <c r="C591" s="55"/>
      <c r="D591" s="218"/>
      <c r="E591" s="126"/>
      <c r="F591" s="224"/>
      <c r="G591" s="126"/>
      <c r="H591" s="218"/>
      <c r="I591" s="223"/>
      <c r="J591" s="46"/>
      <c r="K591" s="46"/>
      <c r="L591" s="46"/>
      <c r="M591" s="46"/>
      <c r="N591" s="46"/>
      <c r="O591" s="46"/>
      <c r="P591" s="46"/>
      <c r="Q591" s="46"/>
      <c r="R591" s="46"/>
      <c r="S591" s="46"/>
      <c r="T591" s="46"/>
      <c r="U591" s="46"/>
      <c r="V591" s="46"/>
      <c r="W591" s="46"/>
    </row>
    <row r="592">
      <c r="A592" s="55"/>
      <c r="B592" s="218"/>
      <c r="C592" s="55"/>
      <c r="D592" s="218"/>
      <c r="E592" s="126"/>
      <c r="F592" s="224"/>
      <c r="G592" s="126"/>
      <c r="H592" s="218"/>
      <c r="I592" s="223"/>
      <c r="J592" s="46"/>
      <c r="K592" s="46"/>
      <c r="L592" s="46"/>
      <c r="M592" s="46"/>
      <c r="N592" s="46"/>
      <c r="O592" s="46"/>
      <c r="P592" s="46"/>
      <c r="Q592" s="46"/>
      <c r="R592" s="46"/>
      <c r="S592" s="46"/>
      <c r="T592" s="46"/>
      <c r="U592" s="46"/>
      <c r="V592" s="46"/>
      <c r="W592" s="46"/>
    </row>
    <row r="593">
      <c r="A593" s="55"/>
      <c r="B593" s="218"/>
      <c r="C593" s="55"/>
      <c r="D593" s="218"/>
      <c r="E593" s="126"/>
      <c r="F593" s="224"/>
      <c r="G593" s="126"/>
      <c r="H593" s="218"/>
      <c r="I593" s="223"/>
      <c r="J593" s="46"/>
      <c r="K593" s="46"/>
      <c r="L593" s="46"/>
      <c r="M593" s="46"/>
      <c r="N593" s="46"/>
      <c r="O593" s="46"/>
      <c r="P593" s="46"/>
      <c r="Q593" s="46"/>
      <c r="R593" s="46"/>
      <c r="S593" s="46"/>
      <c r="T593" s="46"/>
      <c r="U593" s="46"/>
      <c r="V593" s="46"/>
      <c r="W593" s="46"/>
    </row>
    <row r="594">
      <c r="A594" s="55"/>
      <c r="B594" s="218"/>
      <c r="C594" s="55"/>
      <c r="D594" s="218"/>
      <c r="E594" s="126"/>
      <c r="F594" s="224"/>
      <c r="G594" s="126"/>
      <c r="H594" s="218"/>
      <c r="I594" s="223"/>
      <c r="J594" s="46"/>
      <c r="K594" s="46"/>
      <c r="L594" s="46"/>
      <c r="M594" s="46"/>
      <c r="N594" s="46"/>
      <c r="O594" s="46"/>
      <c r="P594" s="46"/>
      <c r="Q594" s="46"/>
      <c r="R594" s="46"/>
      <c r="S594" s="46"/>
      <c r="T594" s="46"/>
      <c r="U594" s="46"/>
      <c r="V594" s="46"/>
      <c r="W594" s="46"/>
    </row>
    <row r="595">
      <c r="A595" s="55"/>
      <c r="B595" s="218"/>
      <c r="C595" s="55"/>
      <c r="D595" s="218"/>
      <c r="E595" s="126"/>
      <c r="F595" s="224"/>
      <c r="G595" s="126"/>
      <c r="H595" s="218"/>
      <c r="I595" s="223"/>
      <c r="J595" s="46"/>
      <c r="K595" s="46"/>
      <c r="L595" s="46"/>
      <c r="M595" s="46"/>
      <c r="N595" s="46"/>
      <c r="O595" s="46"/>
      <c r="P595" s="46"/>
      <c r="Q595" s="46"/>
      <c r="R595" s="46"/>
      <c r="S595" s="46"/>
      <c r="T595" s="46"/>
      <c r="U595" s="46"/>
      <c r="V595" s="46"/>
      <c r="W595" s="46"/>
    </row>
    <row r="596">
      <c r="A596" s="55"/>
      <c r="B596" s="218"/>
      <c r="C596" s="55"/>
      <c r="D596" s="218"/>
      <c r="E596" s="126"/>
      <c r="F596" s="224"/>
      <c r="G596" s="126"/>
      <c r="H596" s="218"/>
      <c r="I596" s="223"/>
      <c r="J596" s="46"/>
      <c r="K596" s="46"/>
      <c r="L596" s="46"/>
      <c r="M596" s="46"/>
      <c r="N596" s="46"/>
      <c r="O596" s="46"/>
      <c r="P596" s="46"/>
      <c r="Q596" s="46"/>
      <c r="R596" s="46"/>
      <c r="S596" s="46"/>
      <c r="T596" s="46"/>
      <c r="U596" s="46"/>
      <c r="V596" s="46"/>
      <c r="W596" s="46"/>
    </row>
    <row r="597">
      <c r="A597" s="55"/>
      <c r="B597" s="218"/>
      <c r="C597" s="55"/>
      <c r="D597" s="218"/>
      <c r="E597" s="126"/>
      <c r="F597" s="224"/>
      <c r="G597" s="126"/>
      <c r="H597" s="218"/>
      <c r="I597" s="223"/>
      <c r="J597" s="46"/>
      <c r="K597" s="46"/>
      <c r="L597" s="46"/>
      <c r="M597" s="46"/>
      <c r="N597" s="46"/>
      <c r="O597" s="46"/>
      <c r="P597" s="46"/>
      <c r="Q597" s="46"/>
      <c r="R597" s="46"/>
      <c r="S597" s="46"/>
      <c r="T597" s="46"/>
      <c r="U597" s="46"/>
      <c r="V597" s="46"/>
      <c r="W597" s="46"/>
    </row>
    <row r="598">
      <c r="A598" s="55"/>
      <c r="B598" s="218"/>
      <c r="C598" s="55"/>
      <c r="D598" s="218"/>
      <c r="E598" s="126"/>
      <c r="F598" s="224"/>
      <c r="G598" s="126"/>
      <c r="H598" s="218"/>
      <c r="I598" s="223"/>
      <c r="J598" s="46"/>
      <c r="K598" s="46"/>
      <c r="L598" s="46"/>
      <c r="M598" s="46"/>
      <c r="N598" s="46"/>
      <c r="O598" s="46"/>
      <c r="P598" s="46"/>
      <c r="Q598" s="46"/>
      <c r="R598" s="46"/>
      <c r="S598" s="46"/>
      <c r="T598" s="46"/>
      <c r="U598" s="46"/>
      <c r="V598" s="46"/>
      <c r="W598" s="46"/>
    </row>
    <row r="599">
      <c r="A599" s="55"/>
      <c r="B599" s="218"/>
      <c r="C599" s="55"/>
      <c r="D599" s="218"/>
      <c r="E599" s="126"/>
      <c r="F599" s="224"/>
      <c r="G599" s="126"/>
      <c r="H599" s="218"/>
      <c r="I599" s="223"/>
      <c r="J599" s="46"/>
      <c r="K599" s="46"/>
      <c r="L599" s="46"/>
      <c r="M599" s="46"/>
      <c r="N599" s="46"/>
      <c r="O599" s="46"/>
      <c r="P599" s="46"/>
      <c r="Q599" s="46"/>
      <c r="R599" s="46"/>
      <c r="S599" s="46"/>
      <c r="T599" s="46"/>
      <c r="U599" s="46"/>
      <c r="V599" s="46"/>
      <c r="W599" s="46"/>
    </row>
    <row r="600">
      <c r="A600" s="55"/>
      <c r="B600" s="218"/>
      <c r="C600" s="55"/>
      <c r="D600" s="218"/>
      <c r="E600" s="126"/>
      <c r="F600" s="224"/>
      <c r="G600" s="126"/>
      <c r="H600" s="218"/>
      <c r="I600" s="223"/>
      <c r="J600" s="46"/>
      <c r="K600" s="46"/>
      <c r="L600" s="46"/>
      <c r="M600" s="46"/>
      <c r="N600" s="46"/>
      <c r="O600" s="46"/>
      <c r="P600" s="46"/>
      <c r="Q600" s="46"/>
      <c r="R600" s="46"/>
      <c r="S600" s="46"/>
      <c r="T600" s="46"/>
      <c r="U600" s="46"/>
      <c r="V600" s="46"/>
      <c r="W600" s="46"/>
    </row>
    <row r="601">
      <c r="A601" s="55"/>
      <c r="B601" s="218"/>
      <c r="C601" s="55"/>
      <c r="D601" s="218"/>
      <c r="E601" s="126"/>
      <c r="F601" s="224"/>
      <c r="G601" s="126"/>
      <c r="H601" s="218"/>
      <c r="I601" s="223"/>
      <c r="J601" s="46"/>
      <c r="K601" s="46"/>
      <c r="L601" s="46"/>
      <c r="M601" s="46"/>
      <c r="N601" s="46"/>
      <c r="O601" s="46"/>
      <c r="P601" s="46"/>
      <c r="Q601" s="46"/>
      <c r="R601" s="46"/>
      <c r="S601" s="46"/>
      <c r="T601" s="46"/>
      <c r="U601" s="46"/>
      <c r="V601" s="46"/>
      <c r="W601" s="46"/>
    </row>
    <row r="602">
      <c r="A602" s="55"/>
      <c r="B602" s="218"/>
      <c r="C602" s="55"/>
      <c r="D602" s="218"/>
      <c r="E602" s="126"/>
      <c r="F602" s="224"/>
      <c r="G602" s="126"/>
      <c r="H602" s="218"/>
      <c r="I602" s="223"/>
      <c r="J602" s="46"/>
      <c r="K602" s="46"/>
      <c r="L602" s="46"/>
      <c r="M602" s="46"/>
      <c r="N602" s="46"/>
      <c r="O602" s="46"/>
      <c r="P602" s="46"/>
      <c r="Q602" s="46"/>
      <c r="R602" s="46"/>
      <c r="S602" s="46"/>
      <c r="T602" s="46"/>
      <c r="U602" s="46"/>
      <c r="V602" s="46"/>
      <c r="W602" s="46"/>
    </row>
    <row r="603">
      <c r="A603" s="55"/>
      <c r="B603" s="218"/>
      <c r="C603" s="55"/>
      <c r="D603" s="218"/>
      <c r="E603" s="126"/>
      <c r="F603" s="224"/>
      <c r="G603" s="126"/>
      <c r="H603" s="218"/>
      <c r="I603" s="223"/>
      <c r="J603" s="46"/>
      <c r="K603" s="46"/>
      <c r="L603" s="46"/>
      <c r="M603" s="46"/>
      <c r="N603" s="46"/>
      <c r="O603" s="46"/>
      <c r="P603" s="46"/>
      <c r="Q603" s="46"/>
      <c r="R603" s="46"/>
      <c r="S603" s="46"/>
      <c r="T603" s="46"/>
      <c r="U603" s="46"/>
      <c r="V603" s="46"/>
      <c r="W603" s="46"/>
    </row>
    <row r="604">
      <c r="A604" s="55"/>
      <c r="B604" s="218"/>
      <c r="C604" s="55"/>
      <c r="D604" s="218"/>
      <c r="E604" s="126"/>
      <c r="F604" s="224"/>
      <c r="G604" s="126"/>
      <c r="H604" s="218"/>
      <c r="I604" s="223"/>
      <c r="J604" s="46"/>
      <c r="K604" s="46"/>
      <c r="L604" s="46"/>
      <c r="M604" s="46"/>
      <c r="N604" s="46"/>
      <c r="O604" s="46"/>
      <c r="P604" s="46"/>
      <c r="Q604" s="46"/>
      <c r="R604" s="46"/>
      <c r="S604" s="46"/>
      <c r="T604" s="46"/>
      <c r="U604" s="46"/>
      <c r="V604" s="46"/>
      <c r="W604" s="46"/>
    </row>
    <row r="605">
      <c r="A605" s="55"/>
      <c r="B605" s="218"/>
      <c r="C605" s="55"/>
      <c r="D605" s="218"/>
      <c r="E605" s="126"/>
      <c r="F605" s="224"/>
      <c r="G605" s="126"/>
      <c r="H605" s="218"/>
      <c r="I605" s="223"/>
      <c r="J605" s="46"/>
      <c r="K605" s="46"/>
      <c r="L605" s="46"/>
      <c r="M605" s="46"/>
      <c r="N605" s="46"/>
      <c r="O605" s="46"/>
      <c r="P605" s="46"/>
      <c r="Q605" s="46"/>
      <c r="R605" s="46"/>
      <c r="S605" s="46"/>
      <c r="T605" s="46"/>
      <c r="U605" s="46"/>
      <c r="V605" s="46"/>
      <c r="W605" s="46"/>
    </row>
    <row r="606">
      <c r="A606" s="55"/>
      <c r="B606" s="218"/>
      <c r="C606" s="55"/>
      <c r="D606" s="218"/>
      <c r="E606" s="126"/>
      <c r="F606" s="224"/>
      <c r="G606" s="126"/>
      <c r="H606" s="218"/>
      <c r="I606" s="223"/>
      <c r="J606" s="46"/>
      <c r="K606" s="46"/>
      <c r="L606" s="46"/>
      <c r="M606" s="46"/>
      <c r="N606" s="46"/>
      <c r="O606" s="46"/>
      <c r="P606" s="46"/>
      <c r="Q606" s="46"/>
      <c r="R606" s="46"/>
      <c r="S606" s="46"/>
      <c r="T606" s="46"/>
      <c r="U606" s="46"/>
      <c r="V606" s="46"/>
      <c r="W606" s="46"/>
    </row>
    <row r="607">
      <c r="A607" s="55"/>
      <c r="B607" s="218"/>
      <c r="C607" s="55"/>
      <c r="D607" s="218"/>
      <c r="E607" s="126"/>
      <c r="F607" s="224"/>
      <c r="G607" s="126"/>
      <c r="H607" s="218"/>
      <c r="I607" s="223"/>
      <c r="J607" s="46"/>
      <c r="K607" s="46"/>
      <c r="L607" s="46"/>
      <c r="M607" s="46"/>
      <c r="N607" s="46"/>
      <c r="O607" s="46"/>
      <c r="P607" s="46"/>
      <c r="Q607" s="46"/>
      <c r="R607" s="46"/>
      <c r="S607" s="46"/>
      <c r="T607" s="46"/>
      <c r="U607" s="46"/>
      <c r="V607" s="46"/>
      <c r="W607" s="46"/>
    </row>
    <row r="608">
      <c r="A608" s="55"/>
      <c r="B608" s="218"/>
      <c r="C608" s="55"/>
      <c r="D608" s="218"/>
      <c r="E608" s="126"/>
      <c r="F608" s="224"/>
      <c r="G608" s="126"/>
      <c r="H608" s="218"/>
      <c r="I608" s="223"/>
      <c r="J608" s="46"/>
      <c r="K608" s="46"/>
      <c r="L608" s="46"/>
      <c r="M608" s="46"/>
      <c r="N608" s="46"/>
      <c r="O608" s="46"/>
      <c r="P608" s="46"/>
      <c r="Q608" s="46"/>
      <c r="R608" s="46"/>
      <c r="S608" s="46"/>
      <c r="T608" s="46"/>
      <c r="U608" s="46"/>
      <c r="V608" s="46"/>
      <c r="W608" s="46"/>
    </row>
    <row r="609">
      <c r="A609" s="55"/>
      <c r="B609" s="218"/>
      <c r="C609" s="55"/>
      <c r="D609" s="218"/>
      <c r="E609" s="126"/>
      <c r="F609" s="224"/>
      <c r="G609" s="126"/>
      <c r="H609" s="218"/>
      <c r="I609" s="223"/>
      <c r="J609" s="46"/>
      <c r="K609" s="46"/>
      <c r="L609" s="46"/>
      <c r="M609" s="46"/>
      <c r="N609" s="46"/>
      <c r="O609" s="46"/>
      <c r="P609" s="46"/>
      <c r="Q609" s="46"/>
      <c r="R609" s="46"/>
      <c r="S609" s="46"/>
      <c r="T609" s="46"/>
      <c r="U609" s="46"/>
      <c r="V609" s="46"/>
      <c r="W609" s="46"/>
    </row>
    <row r="610">
      <c r="A610" s="55"/>
      <c r="B610" s="218"/>
      <c r="C610" s="55"/>
      <c r="D610" s="218"/>
      <c r="E610" s="126"/>
      <c r="F610" s="224"/>
      <c r="G610" s="126"/>
      <c r="H610" s="218"/>
      <c r="I610" s="223"/>
      <c r="J610" s="46"/>
      <c r="K610" s="46"/>
      <c r="L610" s="46"/>
      <c r="M610" s="46"/>
      <c r="N610" s="46"/>
      <c r="O610" s="46"/>
      <c r="P610" s="46"/>
      <c r="Q610" s="46"/>
      <c r="R610" s="46"/>
      <c r="S610" s="46"/>
      <c r="T610" s="46"/>
      <c r="U610" s="46"/>
      <c r="V610" s="46"/>
      <c r="W610" s="46"/>
    </row>
    <row r="611">
      <c r="A611" s="55"/>
      <c r="B611" s="218"/>
      <c r="C611" s="55"/>
      <c r="D611" s="218"/>
      <c r="E611" s="126"/>
      <c r="F611" s="224"/>
      <c r="G611" s="126"/>
      <c r="H611" s="218"/>
      <c r="I611" s="223"/>
      <c r="J611" s="46"/>
      <c r="K611" s="46"/>
      <c r="L611" s="46"/>
      <c r="M611" s="46"/>
      <c r="N611" s="46"/>
      <c r="O611" s="46"/>
      <c r="P611" s="46"/>
      <c r="Q611" s="46"/>
      <c r="R611" s="46"/>
      <c r="S611" s="46"/>
      <c r="T611" s="46"/>
      <c r="U611" s="46"/>
      <c r="V611" s="46"/>
      <c r="W611" s="46"/>
    </row>
    <row r="612">
      <c r="A612" s="55"/>
      <c r="B612" s="218"/>
      <c r="C612" s="55"/>
      <c r="D612" s="218"/>
      <c r="E612" s="126"/>
      <c r="F612" s="224"/>
      <c r="G612" s="126"/>
      <c r="H612" s="218"/>
      <c r="I612" s="223"/>
      <c r="J612" s="46"/>
      <c r="K612" s="46"/>
      <c r="L612" s="46"/>
      <c r="M612" s="46"/>
      <c r="N612" s="46"/>
      <c r="O612" s="46"/>
      <c r="P612" s="46"/>
      <c r="Q612" s="46"/>
      <c r="R612" s="46"/>
      <c r="S612" s="46"/>
      <c r="T612" s="46"/>
      <c r="U612" s="46"/>
      <c r="V612" s="46"/>
      <c r="W612" s="46"/>
    </row>
    <row r="613">
      <c r="A613" s="55"/>
      <c r="B613" s="218"/>
      <c r="C613" s="55"/>
      <c r="D613" s="218"/>
      <c r="E613" s="126"/>
      <c r="F613" s="224"/>
      <c r="G613" s="126"/>
      <c r="H613" s="218"/>
      <c r="I613" s="223"/>
      <c r="J613" s="46"/>
      <c r="K613" s="46"/>
      <c r="L613" s="46"/>
      <c r="M613" s="46"/>
      <c r="N613" s="46"/>
      <c r="O613" s="46"/>
      <c r="P613" s="46"/>
      <c r="Q613" s="46"/>
      <c r="R613" s="46"/>
      <c r="S613" s="46"/>
      <c r="T613" s="46"/>
      <c r="U613" s="46"/>
      <c r="V613" s="46"/>
      <c r="W613" s="46"/>
    </row>
    <row r="614">
      <c r="A614" s="55"/>
      <c r="B614" s="218"/>
      <c r="C614" s="55"/>
      <c r="D614" s="218"/>
      <c r="E614" s="126"/>
      <c r="F614" s="224"/>
      <c r="G614" s="126"/>
      <c r="H614" s="218"/>
      <c r="I614" s="223"/>
      <c r="J614" s="46"/>
      <c r="K614" s="46"/>
      <c r="L614" s="46"/>
      <c r="M614" s="46"/>
      <c r="N614" s="46"/>
      <c r="O614" s="46"/>
      <c r="P614" s="46"/>
      <c r="Q614" s="46"/>
      <c r="R614" s="46"/>
      <c r="S614" s="46"/>
      <c r="T614" s="46"/>
      <c r="U614" s="46"/>
      <c r="V614" s="46"/>
      <c r="W614" s="46"/>
    </row>
    <row r="615">
      <c r="A615" s="55"/>
      <c r="B615" s="218"/>
      <c r="C615" s="55"/>
      <c r="D615" s="218"/>
      <c r="E615" s="126"/>
      <c r="F615" s="224"/>
      <c r="G615" s="126"/>
      <c r="H615" s="218"/>
      <c r="I615" s="223"/>
      <c r="J615" s="46"/>
      <c r="K615" s="46"/>
      <c r="L615" s="46"/>
      <c r="M615" s="46"/>
      <c r="N615" s="46"/>
      <c r="O615" s="46"/>
      <c r="P615" s="46"/>
      <c r="Q615" s="46"/>
      <c r="R615" s="46"/>
      <c r="S615" s="46"/>
      <c r="T615" s="46"/>
      <c r="U615" s="46"/>
      <c r="V615" s="46"/>
      <c r="W615" s="46"/>
    </row>
    <row r="616">
      <c r="A616" s="55"/>
      <c r="B616" s="218"/>
      <c r="C616" s="55"/>
      <c r="D616" s="218"/>
      <c r="E616" s="126"/>
      <c r="F616" s="224"/>
      <c r="G616" s="126"/>
      <c r="H616" s="218"/>
      <c r="I616" s="223"/>
      <c r="J616" s="46"/>
      <c r="K616" s="46"/>
      <c r="L616" s="46"/>
      <c r="M616" s="46"/>
      <c r="N616" s="46"/>
      <c r="O616" s="46"/>
      <c r="P616" s="46"/>
      <c r="Q616" s="46"/>
      <c r="R616" s="46"/>
      <c r="S616" s="46"/>
      <c r="T616" s="46"/>
      <c r="U616" s="46"/>
      <c r="V616" s="46"/>
      <c r="W616" s="46"/>
    </row>
    <row r="617">
      <c r="A617" s="55"/>
      <c r="B617" s="218"/>
      <c r="C617" s="55"/>
      <c r="D617" s="218"/>
      <c r="E617" s="126"/>
      <c r="F617" s="224"/>
      <c r="G617" s="126"/>
      <c r="H617" s="218"/>
      <c r="I617" s="223"/>
      <c r="J617" s="46"/>
      <c r="K617" s="46"/>
      <c r="L617" s="46"/>
      <c r="M617" s="46"/>
      <c r="N617" s="46"/>
      <c r="O617" s="46"/>
      <c r="P617" s="46"/>
      <c r="Q617" s="46"/>
      <c r="R617" s="46"/>
      <c r="S617" s="46"/>
      <c r="T617" s="46"/>
      <c r="U617" s="46"/>
      <c r="V617" s="46"/>
      <c r="W617" s="46"/>
    </row>
    <row r="618">
      <c r="A618" s="55"/>
      <c r="B618" s="218"/>
      <c r="C618" s="55"/>
      <c r="D618" s="218"/>
      <c r="E618" s="126"/>
      <c r="F618" s="224"/>
      <c r="G618" s="126"/>
      <c r="H618" s="218"/>
      <c r="I618" s="223"/>
      <c r="J618" s="46"/>
      <c r="K618" s="46"/>
      <c r="L618" s="46"/>
      <c r="M618" s="46"/>
      <c r="N618" s="46"/>
      <c r="O618" s="46"/>
      <c r="P618" s="46"/>
      <c r="Q618" s="46"/>
      <c r="R618" s="46"/>
      <c r="S618" s="46"/>
      <c r="T618" s="46"/>
      <c r="U618" s="46"/>
      <c r="V618" s="46"/>
      <c r="W618" s="46"/>
    </row>
    <row r="619">
      <c r="A619" s="55"/>
      <c r="B619" s="218"/>
      <c r="C619" s="55"/>
      <c r="D619" s="218"/>
      <c r="E619" s="126"/>
      <c r="F619" s="224"/>
      <c r="G619" s="126"/>
      <c r="H619" s="218"/>
      <c r="I619" s="223"/>
      <c r="J619" s="46"/>
      <c r="K619" s="46"/>
      <c r="L619" s="46"/>
      <c r="M619" s="46"/>
      <c r="N619" s="46"/>
      <c r="O619" s="46"/>
      <c r="P619" s="46"/>
      <c r="Q619" s="46"/>
      <c r="R619" s="46"/>
      <c r="S619" s="46"/>
      <c r="T619" s="46"/>
      <c r="U619" s="46"/>
      <c r="V619" s="46"/>
      <c r="W619" s="46"/>
    </row>
    <row r="620">
      <c r="A620" s="55"/>
      <c r="B620" s="218"/>
      <c r="C620" s="55"/>
      <c r="D620" s="218"/>
      <c r="E620" s="126"/>
      <c r="F620" s="224"/>
      <c r="G620" s="126"/>
      <c r="H620" s="218"/>
      <c r="I620" s="223"/>
      <c r="J620" s="46"/>
      <c r="K620" s="46"/>
      <c r="L620" s="46"/>
      <c r="M620" s="46"/>
      <c r="N620" s="46"/>
      <c r="O620" s="46"/>
      <c r="P620" s="46"/>
      <c r="Q620" s="46"/>
      <c r="R620" s="46"/>
      <c r="S620" s="46"/>
      <c r="T620" s="46"/>
      <c r="U620" s="46"/>
      <c r="V620" s="46"/>
      <c r="W620" s="46"/>
    </row>
    <row r="621">
      <c r="A621" s="55"/>
      <c r="B621" s="218"/>
      <c r="C621" s="55"/>
      <c r="D621" s="218"/>
      <c r="E621" s="126"/>
      <c r="F621" s="224"/>
      <c r="G621" s="126"/>
      <c r="H621" s="218"/>
      <c r="I621" s="223"/>
      <c r="J621" s="46"/>
      <c r="K621" s="46"/>
      <c r="L621" s="46"/>
      <c r="M621" s="46"/>
      <c r="N621" s="46"/>
      <c r="O621" s="46"/>
      <c r="P621" s="46"/>
      <c r="Q621" s="46"/>
      <c r="R621" s="46"/>
      <c r="S621" s="46"/>
      <c r="T621" s="46"/>
      <c r="U621" s="46"/>
      <c r="V621" s="46"/>
      <c r="W621" s="46"/>
    </row>
    <row r="622">
      <c r="A622" s="55"/>
      <c r="B622" s="218"/>
      <c r="C622" s="55"/>
      <c r="D622" s="218"/>
      <c r="E622" s="126"/>
      <c r="F622" s="224"/>
      <c r="G622" s="126"/>
      <c r="H622" s="218"/>
      <c r="I622" s="223"/>
      <c r="J622" s="46"/>
      <c r="K622" s="46"/>
      <c r="L622" s="46"/>
      <c r="M622" s="46"/>
      <c r="N622" s="46"/>
      <c r="O622" s="46"/>
      <c r="P622" s="46"/>
      <c r="Q622" s="46"/>
      <c r="R622" s="46"/>
      <c r="S622" s="46"/>
      <c r="T622" s="46"/>
      <c r="U622" s="46"/>
      <c r="V622" s="46"/>
      <c r="W622" s="46"/>
    </row>
    <row r="623">
      <c r="A623" s="55"/>
      <c r="B623" s="218"/>
      <c r="C623" s="55"/>
      <c r="D623" s="218"/>
      <c r="E623" s="126"/>
      <c r="F623" s="224"/>
      <c r="G623" s="126"/>
      <c r="H623" s="218"/>
      <c r="I623" s="223"/>
      <c r="J623" s="46"/>
      <c r="K623" s="46"/>
      <c r="L623" s="46"/>
      <c r="M623" s="46"/>
      <c r="N623" s="46"/>
      <c r="O623" s="46"/>
      <c r="P623" s="46"/>
      <c r="Q623" s="46"/>
      <c r="R623" s="46"/>
      <c r="S623" s="46"/>
      <c r="T623" s="46"/>
      <c r="U623" s="46"/>
      <c r="V623" s="46"/>
      <c r="W623" s="46"/>
    </row>
    <row r="624">
      <c r="A624" s="55"/>
      <c r="B624" s="218"/>
      <c r="C624" s="55"/>
      <c r="D624" s="218"/>
      <c r="E624" s="126"/>
      <c r="F624" s="224"/>
      <c r="G624" s="126"/>
      <c r="H624" s="218"/>
      <c r="I624" s="223"/>
      <c r="J624" s="46"/>
      <c r="K624" s="46"/>
      <c r="L624" s="46"/>
      <c r="M624" s="46"/>
      <c r="N624" s="46"/>
      <c r="O624" s="46"/>
      <c r="P624" s="46"/>
      <c r="Q624" s="46"/>
      <c r="R624" s="46"/>
      <c r="S624" s="46"/>
      <c r="T624" s="46"/>
      <c r="U624" s="46"/>
      <c r="V624" s="46"/>
      <c r="W624" s="46"/>
    </row>
    <row r="625">
      <c r="A625" s="55"/>
      <c r="B625" s="218"/>
      <c r="C625" s="55"/>
      <c r="D625" s="218"/>
      <c r="E625" s="126"/>
      <c r="F625" s="224"/>
      <c r="G625" s="126"/>
      <c r="H625" s="218"/>
      <c r="I625" s="223"/>
      <c r="J625" s="46"/>
      <c r="K625" s="46"/>
      <c r="L625" s="46"/>
      <c r="M625" s="46"/>
      <c r="N625" s="46"/>
      <c r="O625" s="46"/>
      <c r="P625" s="46"/>
      <c r="Q625" s="46"/>
      <c r="R625" s="46"/>
      <c r="S625" s="46"/>
      <c r="T625" s="46"/>
      <c r="U625" s="46"/>
      <c r="V625" s="46"/>
      <c r="W625" s="46"/>
    </row>
    <row r="626">
      <c r="A626" s="55"/>
      <c r="B626" s="218"/>
      <c r="C626" s="55"/>
      <c r="D626" s="218"/>
      <c r="E626" s="126"/>
      <c r="F626" s="224"/>
      <c r="G626" s="126"/>
      <c r="H626" s="218"/>
      <c r="I626" s="223"/>
      <c r="J626" s="46"/>
      <c r="K626" s="46"/>
      <c r="L626" s="46"/>
      <c r="M626" s="46"/>
      <c r="N626" s="46"/>
      <c r="O626" s="46"/>
      <c r="P626" s="46"/>
      <c r="Q626" s="46"/>
      <c r="R626" s="46"/>
      <c r="S626" s="46"/>
      <c r="T626" s="46"/>
      <c r="U626" s="46"/>
      <c r="V626" s="46"/>
      <c r="W626" s="46"/>
    </row>
    <row r="627">
      <c r="A627" s="55"/>
      <c r="B627" s="218"/>
      <c r="C627" s="55"/>
      <c r="D627" s="218"/>
      <c r="E627" s="126"/>
      <c r="F627" s="224"/>
      <c r="G627" s="126"/>
      <c r="H627" s="218"/>
      <c r="I627" s="223"/>
      <c r="J627" s="46"/>
      <c r="K627" s="46"/>
      <c r="L627" s="46"/>
      <c r="M627" s="46"/>
      <c r="N627" s="46"/>
      <c r="O627" s="46"/>
      <c r="P627" s="46"/>
      <c r="Q627" s="46"/>
      <c r="R627" s="46"/>
      <c r="S627" s="46"/>
      <c r="T627" s="46"/>
      <c r="U627" s="46"/>
      <c r="V627" s="46"/>
      <c r="W627" s="46"/>
    </row>
    <row r="628">
      <c r="A628" s="55"/>
      <c r="B628" s="218"/>
      <c r="C628" s="55"/>
      <c r="D628" s="218"/>
      <c r="E628" s="126"/>
      <c r="F628" s="224"/>
      <c r="G628" s="126"/>
      <c r="H628" s="218"/>
      <c r="I628" s="223"/>
      <c r="J628" s="46"/>
      <c r="K628" s="46"/>
      <c r="L628" s="46"/>
      <c r="M628" s="46"/>
      <c r="N628" s="46"/>
      <c r="O628" s="46"/>
      <c r="P628" s="46"/>
      <c r="Q628" s="46"/>
      <c r="R628" s="46"/>
      <c r="S628" s="46"/>
      <c r="T628" s="46"/>
      <c r="U628" s="46"/>
      <c r="V628" s="46"/>
      <c r="W628" s="46"/>
    </row>
    <row r="629">
      <c r="A629" s="55"/>
      <c r="B629" s="218"/>
      <c r="C629" s="55"/>
      <c r="D629" s="218"/>
      <c r="E629" s="126"/>
      <c r="F629" s="224"/>
      <c r="G629" s="126"/>
      <c r="H629" s="218"/>
      <c r="I629" s="223"/>
      <c r="J629" s="46"/>
      <c r="K629" s="46"/>
      <c r="L629" s="46"/>
      <c r="M629" s="46"/>
      <c r="N629" s="46"/>
      <c r="O629" s="46"/>
      <c r="P629" s="46"/>
      <c r="Q629" s="46"/>
      <c r="R629" s="46"/>
      <c r="S629" s="46"/>
      <c r="T629" s="46"/>
      <c r="U629" s="46"/>
      <c r="V629" s="46"/>
      <c r="W629" s="46"/>
    </row>
    <row r="630">
      <c r="A630" s="55"/>
      <c r="B630" s="218"/>
      <c r="C630" s="55"/>
      <c r="D630" s="218"/>
      <c r="E630" s="126"/>
      <c r="F630" s="224"/>
      <c r="G630" s="126"/>
      <c r="H630" s="218"/>
      <c r="I630" s="223"/>
      <c r="J630" s="46"/>
      <c r="K630" s="46"/>
      <c r="L630" s="46"/>
      <c r="M630" s="46"/>
      <c r="N630" s="46"/>
      <c r="O630" s="46"/>
      <c r="P630" s="46"/>
      <c r="Q630" s="46"/>
      <c r="R630" s="46"/>
      <c r="S630" s="46"/>
      <c r="T630" s="46"/>
      <c r="U630" s="46"/>
      <c r="V630" s="46"/>
      <c r="W630" s="46"/>
    </row>
    <row r="631">
      <c r="A631" s="55"/>
      <c r="B631" s="218"/>
      <c r="C631" s="55"/>
      <c r="D631" s="218"/>
      <c r="E631" s="126"/>
      <c r="F631" s="224"/>
      <c r="G631" s="126"/>
      <c r="H631" s="218"/>
      <c r="I631" s="223"/>
      <c r="J631" s="46"/>
      <c r="K631" s="46"/>
      <c r="L631" s="46"/>
      <c r="M631" s="46"/>
      <c r="N631" s="46"/>
      <c r="O631" s="46"/>
      <c r="P631" s="46"/>
      <c r="Q631" s="46"/>
      <c r="R631" s="46"/>
      <c r="S631" s="46"/>
      <c r="T631" s="46"/>
      <c r="U631" s="46"/>
      <c r="V631" s="46"/>
      <c r="W631" s="46"/>
    </row>
    <row r="632">
      <c r="A632" s="55"/>
      <c r="B632" s="218"/>
      <c r="C632" s="55"/>
      <c r="D632" s="218"/>
      <c r="E632" s="126"/>
      <c r="F632" s="224"/>
      <c r="G632" s="126"/>
      <c r="H632" s="218"/>
      <c r="I632" s="223"/>
      <c r="J632" s="46"/>
      <c r="K632" s="46"/>
      <c r="L632" s="46"/>
      <c r="M632" s="46"/>
      <c r="N632" s="46"/>
      <c r="O632" s="46"/>
      <c r="P632" s="46"/>
      <c r="Q632" s="46"/>
      <c r="R632" s="46"/>
      <c r="S632" s="46"/>
      <c r="T632" s="46"/>
      <c r="U632" s="46"/>
      <c r="V632" s="46"/>
      <c r="W632" s="46"/>
    </row>
    <row r="633">
      <c r="A633" s="55"/>
      <c r="B633" s="218"/>
      <c r="C633" s="55"/>
      <c r="D633" s="218"/>
      <c r="E633" s="126"/>
      <c r="F633" s="224"/>
      <c r="G633" s="126"/>
      <c r="H633" s="218"/>
      <c r="I633" s="223"/>
      <c r="J633" s="46"/>
      <c r="K633" s="46"/>
      <c r="L633" s="46"/>
      <c r="M633" s="46"/>
      <c r="N633" s="46"/>
      <c r="O633" s="46"/>
      <c r="P633" s="46"/>
      <c r="Q633" s="46"/>
      <c r="R633" s="46"/>
      <c r="S633" s="46"/>
      <c r="T633" s="46"/>
      <c r="U633" s="46"/>
      <c r="V633" s="46"/>
      <c r="W633" s="46"/>
    </row>
    <row r="634">
      <c r="A634" s="55"/>
      <c r="B634" s="218"/>
      <c r="C634" s="55"/>
      <c r="D634" s="218"/>
      <c r="E634" s="126"/>
      <c r="F634" s="224"/>
      <c r="G634" s="126"/>
      <c r="H634" s="218"/>
      <c r="I634" s="223"/>
      <c r="J634" s="46"/>
      <c r="K634" s="46"/>
      <c r="L634" s="46"/>
      <c r="M634" s="46"/>
      <c r="N634" s="46"/>
      <c r="O634" s="46"/>
      <c r="P634" s="46"/>
      <c r="Q634" s="46"/>
      <c r="R634" s="46"/>
      <c r="S634" s="46"/>
      <c r="T634" s="46"/>
      <c r="U634" s="46"/>
      <c r="V634" s="46"/>
      <c r="W634" s="46"/>
    </row>
    <row r="635">
      <c r="A635" s="55"/>
      <c r="B635" s="218"/>
      <c r="C635" s="55"/>
      <c r="D635" s="218"/>
      <c r="E635" s="126"/>
      <c r="F635" s="224"/>
      <c r="G635" s="126"/>
      <c r="H635" s="218"/>
      <c r="I635" s="223"/>
      <c r="J635" s="46"/>
      <c r="K635" s="46"/>
      <c r="L635" s="46"/>
      <c r="M635" s="46"/>
      <c r="N635" s="46"/>
      <c r="O635" s="46"/>
      <c r="P635" s="46"/>
      <c r="Q635" s="46"/>
      <c r="R635" s="46"/>
      <c r="S635" s="46"/>
      <c r="T635" s="46"/>
      <c r="U635" s="46"/>
      <c r="V635" s="46"/>
      <c r="W635" s="46"/>
    </row>
    <row r="636">
      <c r="A636" s="55"/>
      <c r="B636" s="218"/>
      <c r="C636" s="55"/>
      <c r="D636" s="218"/>
      <c r="E636" s="126"/>
      <c r="F636" s="224"/>
      <c r="G636" s="126"/>
      <c r="H636" s="218"/>
      <c r="I636" s="223"/>
      <c r="J636" s="46"/>
      <c r="K636" s="46"/>
      <c r="L636" s="46"/>
      <c r="M636" s="46"/>
      <c r="N636" s="46"/>
      <c r="O636" s="46"/>
      <c r="P636" s="46"/>
      <c r="Q636" s="46"/>
      <c r="R636" s="46"/>
      <c r="S636" s="46"/>
      <c r="T636" s="46"/>
      <c r="U636" s="46"/>
      <c r="V636" s="46"/>
      <c r="W636" s="46"/>
    </row>
    <row r="637">
      <c r="A637" s="55"/>
      <c r="B637" s="218"/>
      <c r="C637" s="55"/>
      <c r="D637" s="218"/>
      <c r="E637" s="126"/>
      <c r="F637" s="224"/>
      <c r="G637" s="126"/>
      <c r="H637" s="218"/>
      <c r="I637" s="223"/>
      <c r="J637" s="46"/>
      <c r="K637" s="46"/>
      <c r="L637" s="46"/>
      <c r="M637" s="46"/>
      <c r="N637" s="46"/>
      <c r="O637" s="46"/>
      <c r="P637" s="46"/>
      <c r="Q637" s="46"/>
      <c r="R637" s="46"/>
      <c r="S637" s="46"/>
      <c r="T637" s="46"/>
      <c r="U637" s="46"/>
      <c r="V637" s="46"/>
      <c r="W637" s="46"/>
    </row>
    <row r="638">
      <c r="A638" s="55"/>
      <c r="B638" s="218"/>
      <c r="C638" s="55"/>
      <c r="D638" s="218"/>
      <c r="E638" s="126"/>
      <c r="F638" s="224"/>
      <c r="G638" s="126"/>
      <c r="H638" s="218"/>
      <c r="I638" s="223"/>
      <c r="J638" s="46"/>
      <c r="K638" s="46"/>
      <c r="L638" s="46"/>
      <c r="M638" s="46"/>
      <c r="N638" s="46"/>
      <c r="O638" s="46"/>
      <c r="P638" s="46"/>
      <c r="Q638" s="46"/>
      <c r="R638" s="46"/>
      <c r="S638" s="46"/>
      <c r="T638" s="46"/>
      <c r="U638" s="46"/>
      <c r="V638" s="46"/>
      <c r="W638" s="46"/>
    </row>
    <row r="639">
      <c r="A639" s="55"/>
      <c r="B639" s="218"/>
      <c r="C639" s="55"/>
      <c r="D639" s="218"/>
      <c r="E639" s="126"/>
      <c r="F639" s="224"/>
      <c r="G639" s="126"/>
      <c r="H639" s="218"/>
      <c r="I639" s="223"/>
      <c r="J639" s="46"/>
      <c r="K639" s="46"/>
      <c r="L639" s="46"/>
      <c r="M639" s="46"/>
      <c r="N639" s="46"/>
      <c r="O639" s="46"/>
      <c r="P639" s="46"/>
      <c r="Q639" s="46"/>
      <c r="R639" s="46"/>
      <c r="S639" s="46"/>
      <c r="T639" s="46"/>
      <c r="U639" s="46"/>
      <c r="V639" s="46"/>
      <c r="W639" s="46"/>
    </row>
    <row r="640">
      <c r="A640" s="55"/>
      <c r="B640" s="218"/>
      <c r="C640" s="55"/>
      <c r="D640" s="218"/>
      <c r="E640" s="126"/>
      <c r="F640" s="224"/>
      <c r="G640" s="126"/>
      <c r="H640" s="218"/>
      <c r="I640" s="223"/>
      <c r="J640" s="46"/>
      <c r="K640" s="46"/>
      <c r="L640" s="46"/>
      <c r="M640" s="46"/>
      <c r="N640" s="46"/>
      <c r="O640" s="46"/>
      <c r="P640" s="46"/>
      <c r="Q640" s="46"/>
      <c r="R640" s="46"/>
      <c r="S640" s="46"/>
      <c r="T640" s="46"/>
      <c r="U640" s="46"/>
      <c r="V640" s="46"/>
      <c r="W640" s="46"/>
    </row>
    <row r="641">
      <c r="A641" s="55"/>
      <c r="B641" s="218"/>
      <c r="C641" s="55"/>
      <c r="D641" s="218"/>
      <c r="E641" s="126"/>
      <c r="F641" s="224"/>
      <c r="G641" s="126"/>
      <c r="H641" s="218"/>
      <c r="I641" s="223"/>
      <c r="J641" s="46"/>
      <c r="K641" s="46"/>
      <c r="L641" s="46"/>
      <c r="M641" s="46"/>
      <c r="N641" s="46"/>
      <c r="O641" s="46"/>
      <c r="P641" s="46"/>
      <c r="Q641" s="46"/>
      <c r="R641" s="46"/>
      <c r="S641" s="46"/>
      <c r="T641" s="46"/>
      <c r="U641" s="46"/>
      <c r="V641" s="46"/>
      <c r="W641" s="46"/>
    </row>
    <row r="642">
      <c r="A642" s="55"/>
      <c r="B642" s="218"/>
      <c r="C642" s="55"/>
      <c r="D642" s="218"/>
      <c r="E642" s="126"/>
      <c r="F642" s="224"/>
      <c r="G642" s="126"/>
      <c r="H642" s="218"/>
      <c r="I642" s="223"/>
      <c r="J642" s="46"/>
      <c r="K642" s="46"/>
      <c r="L642" s="46"/>
      <c r="M642" s="46"/>
      <c r="N642" s="46"/>
      <c r="O642" s="46"/>
      <c r="P642" s="46"/>
      <c r="Q642" s="46"/>
      <c r="R642" s="46"/>
      <c r="S642" s="46"/>
      <c r="T642" s="46"/>
      <c r="U642" s="46"/>
      <c r="V642" s="46"/>
      <c r="W642" s="46"/>
    </row>
    <row r="643">
      <c r="A643" s="55"/>
      <c r="B643" s="218"/>
      <c r="C643" s="55"/>
      <c r="D643" s="218"/>
      <c r="E643" s="126"/>
      <c r="F643" s="224"/>
      <c r="G643" s="126"/>
      <c r="H643" s="218"/>
      <c r="I643" s="223"/>
      <c r="J643" s="46"/>
      <c r="K643" s="46"/>
      <c r="L643" s="46"/>
      <c r="M643" s="46"/>
      <c r="N643" s="46"/>
      <c r="O643" s="46"/>
      <c r="P643" s="46"/>
      <c r="Q643" s="46"/>
      <c r="R643" s="46"/>
      <c r="S643" s="46"/>
      <c r="T643" s="46"/>
      <c r="U643" s="46"/>
      <c r="V643" s="46"/>
      <c r="W643" s="46"/>
    </row>
    <row r="644">
      <c r="A644" s="55"/>
      <c r="B644" s="218"/>
      <c r="C644" s="55"/>
      <c r="D644" s="218"/>
      <c r="E644" s="126"/>
      <c r="F644" s="224"/>
      <c r="G644" s="126"/>
      <c r="H644" s="218"/>
      <c r="I644" s="223"/>
      <c r="J644" s="46"/>
      <c r="K644" s="46"/>
      <c r="L644" s="46"/>
      <c r="M644" s="46"/>
      <c r="N644" s="46"/>
      <c r="O644" s="46"/>
      <c r="P644" s="46"/>
      <c r="Q644" s="46"/>
      <c r="R644" s="46"/>
      <c r="S644" s="46"/>
      <c r="T644" s="46"/>
      <c r="U644" s="46"/>
      <c r="V644" s="46"/>
      <c r="W644" s="46"/>
    </row>
    <row r="645">
      <c r="A645" s="55"/>
      <c r="B645" s="218"/>
      <c r="C645" s="55"/>
      <c r="D645" s="218"/>
      <c r="E645" s="126"/>
      <c r="F645" s="224"/>
      <c r="G645" s="126"/>
      <c r="H645" s="218"/>
      <c r="I645" s="223"/>
      <c r="J645" s="46"/>
      <c r="K645" s="46"/>
      <c r="L645" s="46"/>
      <c r="M645" s="46"/>
      <c r="N645" s="46"/>
      <c r="O645" s="46"/>
      <c r="P645" s="46"/>
      <c r="Q645" s="46"/>
      <c r="R645" s="46"/>
      <c r="S645" s="46"/>
      <c r="T645" s="46"/>
      <c r="U645" s="46"/>
      <c r="V645" s="46"/>
      <c r="W645" s="46"/>
    </row>
    <row r="646">
      <c r="A646" s="55"/>
      <c r="B646" s="218"/>
      <c r="C646" s="55"/>
      <c r="D646" s="218"/>
      <c r="E646" s="126"/>
      <c r="F646" s="224"/>
      <c r="G646" s="126"/>
      <c r="H646" s="218"/>
      <c r="I646" s="223"/>
      <c r="J646" s="46"/>
      <c r="K646" s="46"/>
      <c r="L646" s="46"/>
      <c r="M646" s="46"/>
      <c r="N646" s="46"/>
      <c r="O646" s="46"/>
      <c r="P646" s="46"/>
      <c r="Q646" s="46"/>
      <c r="R646" s="46"/>
      <c r="S646" s="46"/>
      <c r="T646" s="46"/>
      <c r="U646" s="46"/>
      <c r="V646" s="46"/>
      <c r="W646" s="46"/>
    </row>
    <row r="647">
      <c r="A647" s="55"/>
      <c r="B647" s="218"/>
      <c r="C647" s="55"/>
      <c r="D647" s="218"/>
      <c r="E647" s="126"/>
      <c r="F647" s="224"/>
      <c r="G647" s="126"/>
      <c r="H647" s="218"/>
      <c r="I647" s="223"/>
      <c r="J647" s="46"/>
      <c r="K647" s="46"/>
      <c r="L647" s="46"/>
      <c r="M647" s="46"/>
      <c r="N647" s="46"/>
      <c r="O647" s="46"/>
      <c r="P647" s="46"/>
      <c r="Q647" s="46"/>
      <c r="R647" s="46"/>
      <c r="S647" s="46"/>
      <c r="T647" s="46"/>
      <c r="U647" s="46"/>
      <c r="V647" s="46"/>
      <c r="W647" s="46"/>
    </row>
    <row r="648">
      <c r="A648" s="55"/>
      <c r="B648" s="218"/>
      <c r="C648" s="55"/>
      <c r="D648" s="218"/>
      <c r="E648" s="126"/>
      <c r="F648" s="224"/>
      <c r="G648" s="126"/>
      <c r="H648" s="218"/>
      <c r="I648" s="223"/>
      <c r="J648" s="46"/>
      <c r="K648" s="46"/>
      <c r="L648" s="46"/>
      <c r="M648" s="46"/>
      <c r="N648" s="46"/>
      <c r="O648" s="46"/>
      <c r="P648" s="46"/>
      <c r="Q648" s="46"/>
      <c r="R648" s="46"/>
      <c r="S648" s="46"/>
      <c r="T648" s="46"/>
      <c r="U648" s="46"/>
      <c r="V648" s="46"/>
      <c r="W648" s="46"/>
    </row>
    <row r="649">
      <c r="A649" s="55"/>
      <c r="B649" s="218"/>
      <c r="C649" s="55"/>
      <c r="D649" s="218"/>
      <c r="E649" s="126"/>
      <c r="F649" s="224"/>
      <c r="G649" s="126"/>
      <c r="H649" s="218"/>
      <c r="I649" s="223"/>
      <c r="J649" s="46"/>
      <c r="K649" s="46"/>
      <c r="L649" s="46"/>
      <c r="M649" s="46"/>
      <c r="N649" s="46"/>
      <c r="O649" s="46"/>
      <c r="P649" s="46"/>
      <c r="Q649" s="46"/>
      <c r="R649" s="46"/>
      <c r="S649" s="46"/>
      <c r="T649" s="46"/>
      <c r="U649" s="46"/>
      <c r="V649" s="46"/>
      <c r="W649" s="46"/>
    </row>
    <row r="650">
      <c r="A650" s="55"/>
      <c r="B650" s="218"/>
      <c r="C650" s="55"/>
      <c r="D650" s="218"/>
      <c r="E650" s="126"/>
      <c r="F650" s="224"/>
      <c r="G650" s="126"/>
      <c r="H650" s="218"/>
      <c r="I650" s="223"/>
      <c r="J650" s="46"/>
      <c r="K650" s="46"/>
      <c r="L650" s="46"/>
      <c r="M650" s="46"/>
      <c r="N650" s="46"/>
      <c r="O650" s="46"/>
      <c r="P650" s="46"/>
      <c r="Q650" s="46"/>
      <c r="R650" s="46"/>
      <c r="S650" s="46"/>
      <c r="T650" s="46"/>
      <c r="U650" s="46"/>
      <c r="V650" s="46"/>
      <c r="W650" s="46"/>
    </row>
    <row r="651">
      <c r="A651" s="55"/>
      <c r="B651" s="218"/>
      <c r="C651" s="55"/>
      <c r="D651" s="218"/>
      <c r="E651" s="126"/>
      <c r="F651" s="224"/>
      <c r="G651" s="126"/>
      <c r="H651" s="218"/>
      <c r="I651" s="223"/>
      <c r="J651" s="46"/>
      <c r="K651" s="46"/>
      <c r="L651" s="46"/>
      <c r="M651" s="46"/>
      <c r="N651" s="46"/>
      <c r="O651" s="46"/>
      <c r="P651" s="46"/>
      <c r="Q651" s="46"/>
      <c r="R651" s="46"/>
      <c r="S651" s="46"/>
      <c r="T651" s="46"/>
      <c r="U651" s="46"/>
      <c r="V651" s="46"/>
      <c r="W651" s="46"/>
    </row>
    <row r="652">
      <c r="A652" s="55"/>
      <c r="B652" s="218"/>
      <c r="C652" s="55"/>
      <c r="D652" s="218"/>
      <c r="E652" s="126"/>
      <c r="F652" s="224"/>
      <c r="G652" s="126"/>
      <c r="H652" s="218"/>
      <c r="I652" s="223"/>
      <c r="J652" s="46"/>
      <c r="K652" s="46"/>
      <c r="L652" s="46"/>
      <c r="M652" s="46"/>
      <c r="N652" s="46"/>
      <c r="O652" s="46"/>
      <c r="P652" s="46"/>
      <c r="Q652" s="46"/>
      <c r="R652" s="46"/>
      <c r="S652" s="46"/>
      <c r="T652" s="46"/>
      <c r="U652" s="46"/>
      <c r="V652" s="46"/>
      <c r="W652" s="46"/>
    </row>
    <row r="653">
      <c r="A653" s="55"/>
      <c r="B653" s="218"/>
      <c r="C653" s="55"/>
      <c r="D653" s="218"/>
      <c r="E653" s="126"/>
      <c r="F653" s="224"/>
      <c r="G653" s="126"/>
      <c r="H653" s="218"/>
      <c r="I653" s="223"/>
      <c r="J653" s="46"/>
      <c r="K653" s="46"/>
      <c r="L653" s="46"/>
      <c r="M653" s="46"/>
      <c r="N653" s="46"/>
      <c r="O653" s="46"/>
      <c r="P653" s="46"/>
      <c r="Q653" s="46"/>
      <c r="R653" s="46"/>
      <c r="S653" s="46"/>
      <c r="T653" s="46"/>
      <c r="U653" s="46"/>
      <c r="V653" s="46"/>
      <c r="W653" s="46"/>
    </row>
    <row r="654">
      <c r="A654" s="55"/>
      <c r="B654" s="218"/>
      <c r="C654" s="55"/>
      <c r="D654" s="218"/>
      <c r="E654" s="126"/>
      <c r="F654" s="224"/>
      <c r="G654" s="126"/>
      <c r="H654" s="218"/>
      <c r="I654" s="223"/>
      <c r="J654" s="46"/>
      <c r="K654" s="46"/>
      <c r="L654" s="46"/>
      <c r="M654" s="46"/>
      <c r="N654" s="46"/>
      <c r="O654" s="46"/>
      <c r="P654" s="46"/>
      <c r="Q654" s="46"/>
      <c r="R654" s="46"/>
      <c r="S654" s="46"/>
      <c r="T654" s="46"/>
      <c r="U654" s="46"/>
      <c r="V654" s="46"/>
      <c r="W654" s="46"/>
    </row>
    <row r="655">
      <c r="A655" s="55"/>
      <c r="B655" s="218"/>
      <c r="C655" s="55"/>
      <c r="D655" s="218"/>
      <c r="E655" s="126"/>
      <c r="F655" s="224"/>
      <c r="G655" s="126"/>
      <c r="H655" s="218"/>
      <c r="I655" s="223"/>
      <c r="J655" s="46"/>
      <c r="K655" s="46"/>
      <c r="L655" s="46"/>
      <c r="M655" s="46"/>
      <c r="N655" s="46"/>
      <c r="O655" s="46"/>
      <c r="P655" s="46"/>
      <c r="Q655" s="46"/>
      <c r="R655" s="46"/>
      <c r="S655" s="46"/>
      <c r="T655" s="46"/>
      <c r="U655" s="46"/>
      <c r="V655" s="46"/>
      <c r="W655" s="46"/>
    </row>
    <row r="656">
      <c r="A656" s="55"/>
      <c r="B656" s="218"/>
      <c r="C656" s="55"/>
      <c r="D656" s="218"/>
      <c r="E656" s="126"/>
      <c r="F656" s="224"/>
      <c r="G656" s="126"/>
      <c r="H656" s="218"/>
      <c r="I656" s="223"/>
      <c r="J656" s="46"/>
      <c r="K656" s="46"/>
      <c r="L656" s="46"/>
      <c r="M656" s="46"/>
      <c r="N656" s="46"/>
      <c r="O656" s="46"/>
      <c r="P656" s="46"/>
      <c r="Q656" s="46"/>
      <c r="R656" s="46"/>
      <c r="S656" s="46"/>
      <c r="T656" s="46"/>
      <c r="U656" s="46"/>
      <c r="V656" s="46"/>
      <c r="W656" s="46"/>
    </row>
    <row r="657">
      <c r="A657" s="55"/>
      <c r="B657" s="218"/>
      <c r="C657" s="55"/>
      <c r="D657" s="218"/>
      <c r="E657" s="126"/>
      <c r="F657" s="224"/>
      <c r="G657" s="126"/>
      <c r="H657" s="218"/>
      <c r="I657" s="223"/>
      <c r="J657" s="46"/>
      <c r="K657" s="46"/>
      <c r="L657" s="46"/>
      <c r="M657" s="46"/>
      <c r="N657" s="46"/>
      <c r="O657" s="46"/>
      <c r="P657" s="46"/>
      <c r="Q657" s="46"/>
      <c r="R657" s="46"/>
      <c r="S657" s="46"/>
      <c r="T657" s="46"/>
      <c r="U657" s="46"/>
      <c r="V657" s="46"/>
      <c r="W657" s="46"/>
    </row>
    <row r="658">
      <c r="A658" s="55"/>
      <c r="B658" s="218"/>
      <c r="C658" s="55"/>
      <c r="D658" s="218"/>
      <c r="E658" s="126"/>
      <c r="F658" s="224"/>
      <c r="G658" s="126"/>
      <c r="H658" s="218"/>
      <c r="I658" s="223"/>
      <c r="J658" s="46"/>
      <c r="K658" s="46"/>
      <c r="L658" s="46"/>
      <c r="M658" s="46"/>
      <c r="N658" s="46"/>
      <c r="O658" s="46"/>
      <c r="P658" s="46"/>
      <c r="Q658" s="46"/>
      <c r="R658" s="46"/>
      <c r="S658" s="46"/>
      <c r="T658" s="46"/>
      <c r="U658" s="46"/>
      <c r="V658" s="46"/>
      <c r="W658" s="46"/>
    </row>
    <row r="659">
      <c r="A659" s="55"/>
      <c r="B659" s="218"/>
      <c r="C659" s="55"/>
      <c r="D659" s="218"/>
      <c r="E659" s="126"/>
      <c r="F659" s="224"/>
      <c r="G659" s="126"/>
      <c r="H659" s="218"/>
      <c r="I659" s="223"/>
      <c r="J659" s="46"/>
      <c r="K659" s="46"/>
      <c r="L659" s="46"/>
      <c r="M659" s="46"/>
      <c r="N659" s="46"/>
      <c r="O659" s="46"/>
      <c r="P659" s="46"/>
      <c r="Q659" s="46"/>
      <c r="R659" s="46"/>
      <c r="S659" s="46"/>
      <c r="T659" s="46"/>
      <c r="U659" s="46"/>
      <c r="V659" s="46"/>
      <c r="W659" s="46"/>
    </row>
    <row r="660">
      <c r="A660" s="55"/>
      <c r="B660" s="218"/>
      <c r="C660" s="55"/>
      <c r="D660" s="218"/>
      <c r="E660" s="126"/>
      <c r="F660" s="224"/>
      <c r="G660" s="126"/>
      <c r="H660" s="218"/>
      <c r="I660" s="223"/>
      <c r="J660" s="46"/>
      <c r="K660" s="46"/>
      <c r="L660" s="46"/>
      <c r="M660" s="46"/>
      <c r="N660" s="46"/>
      <c r="O660" s="46"/>
      <c r="P660" s="46"/>
      <c r="Q660" s="46"/>
      <c r="R660" s="46"/>
      <c r="S660" s="46"/>
      <c r="T660" s="46"/>
      <c r="U660" s="46"/>
      <c r="V660" s="46"/>
      <c r="W660" s="46"/>
    </row>
    <row r="661">
      <c r="A661" s="55"/>
      <c r="B661" s="218"/>
      <c r="C661" s="55"/>
      <c r="D661" s="218"/>
      <c r="E661" s="126"/>
      <c r="F661" s="224"/>
      <c r="G661" s="126"/>
      <c r="H661" s="218"/>
      <c r="I661" s="223"/>
      <c r="J661" s="46"/>
      <c r="K661" s="46"/>
      <c r="L661" s="46"/>
      <c r="M661" s="46"/>
      <c r="N661" s="46"/>
      <c r="O661" s="46"/>
      <c r="P661" s="46"/>
      <c r="Q661" s="46"/>
      <c r="R661" s="46"/>
      <c r="S661" s="46"/>
      <c r="T661" s="46"/>
      <c r="U661" s="46"/>
      <c r="V661" s="46"/>
      <c r="W661" s="46"/>
    </row>
    <row r="662">
      <c r="A662" s="55"/>
      <c r="B662" s="218"/>
      <c r="C662" s="55"/>
      <c r="D662" s="218"/>
      <c r="E662" s="126"/>
      <c r="F662" s="224"/>
      <c r="G662" s="126"/>
      <c r="H662" s="218"/>
      <c r="I662" s="223"/>
      <c r="J662" s="46"/>
      <c r="K662" s="46"/>
      <c r="L662" s="46"/>
      <c r="M662" s="46"/>
      <c r="N662" s="46"/>
      <c r="O662" s="46"/>
      <c r="P662" s="46"/>
      <c r="Q662" s="46"/>
      <c r="R662" s="46"/>
      <c r="S662" s="46"/>
      <c r="T662" s="46"/>
      <c r="U662" s="46"/>
      <c r="V662" s="46"/>
      <c r="W662" s="46"/>
    </row>
    <row r="663">
      <c r="A663" s="55"/>
      <c r="B663" s="218"/>
      <c r="C663" s="55"/>
      <c r="D663" s="218"/>
      <c r="E663" s="126"/>
      <c r="F663" s="224"/>
      <c r="G663" s="126"/>
      <c r="H663" s="218"/>
      <c r="I663" s="223"/>
      <c r="J663" s="46"/>
      <c r="K663" s="46"/>
      <c r="L663" s="46"/>
      <c r="M663" s="46"/>
      <c r="N663" s="46"/>
      <c r="O663" s="46"/>
      <c r="P663" s="46"/>
      <c r="Q663" s="46"/>
      <c r="R663" s="46"/>
      <c r="S663" s="46"/>
      <c r="T663" s="46"/>
      <c r="U663" s="46"/>
      <c r="V663" s="46"/>
      <c r="W663" s="46"/>
    </row>
    <row r="664">
      <c r="A664" s="55"/>
      <c r="B664" s="218"/>
      <c r="C664" s="55"/>
      <c r="D664" s="218"/>
      <c r="E664" s="126"/>
      <c r="F664" s="224"/>
      <c r="G664" s="126"/>
      <c r="H664" s="218"/>
      <c r="I664" s="223"/>
      <c r="J664" s="46"/>
      <c r="K664" s="46"/>
      <c r="L664" s="46"/>
      <c r="M664" s="46"/>
      <c r="N664" s="46"/>
      <c r="O664" s="46"/>
      <c r="P664" s="46"/>
      <c r="Q664" s="46"/>
      <c r="R664" s="46"/>
      <c r="S664" s="46"/>
      <c r="T664" s="46"/>
      <c r="U664" s="46"/>
      <c r="V664" s="46"/>
      <c r="W664" s="46"/>
    </row>
    <row r="665">
      <c r="A665" s="55"/>
      <c r="B665" s="218"/>
      <c r="C665" s="55"/>
      <c r="D665" s="218"/>
      <c r="E665" s="126"/>
      <c r="F665" s="224"/>
      <c r="G665" s="126"/>
      <c r="H665" s="218"/>
      <c r="I665" s="223"/>
      <c r="J665" s="46"/>
      <c r="K665" s="46"/>
      <c r="L665" s="46"/>
      <c r="M665" s="46"/>
      <c r="N665" s="46"/>
      <c r="O665" s="46"/>
      <c r="P665" s="46"/>
      <c r="Q665" s="46"/>
      <c r="R665" s="46"/>
      <c r="S665" s="46"/>
      <c r="T665" s="46"/>
      <c r="U665" s="46"/>
      <c r="V665" s="46"/>
      <c r="W665" s="46"/>
    </row>
    <row r="666">
      <c r="A666" s="55"/>
      <c r="B666" s="218"/>
      <c r="C666" s="55"/>
      <c r="D666" s="218"/>
      <c r="E666" s="126"/>
      <c r="F666" s="224"/>
      <c r="G666" s="126"/>
      <c r="H666" s="218"/>
      <c r="I666" s="223"/>
      <c r="J666" s="46"/>
      <c r="K666" s="46"/>
      <c r="L666" s="46"/>
      <c r="M666" s="46"/>
      <c r="N666" s="46"/>
      <c r="O666" s="46"/>
      <c r="P666" s="46"/>
      <c r="Q666" s="46"/>
      <c r="R666" s="46"/>
      <c r="S666" s="46"/>
      <c r="T666" s="46"/>
      <c r="U666" s="46"/>
      <c r="V666" s="46"/>
      <c r="W666" s="46"/>
    </row>
    <row r="667">
      <c r="A667" s="55"/>
      <c r="B667" s="218"/>
      <c r="C667" s="55"/>
      <c r="D667" s="218"/>
      <c r="E667" s="126"/>
      <c r="F667" s="224"/>
      <c r="G667" s="126"/>
      <c r="H667" s="218"/>
      <c r="I667" s="223"/>
      <c r="J667" s="46"/>
      <c r="K667" s="46"/>
      <c r="L667" s="46"/>
      <c r="M667" s="46"/>
      <c r="N667" s="46"/>
      <c r="O667" s="46"/>
      <c r="P667" s="46"/>
      <c r="Q667" s="46"/>
      <c r="R667" s="46"/>
      <c r="S667" s="46"/>
      <c r="T667" s="46"/>
      <c r="U667" s="46"/>
      <c r="V667" s="46"/>
      <c r="W667" s="46"/>
    </row>
    <row r="668">
      <c r="A668" s="55"/>
      <c r="B668" s="218"/>
      <c r="C668" s="55"/>
      <c r="D668" s="218"/>
      <c r="E668" s="126"/>
      <c r="F668" s="224"/>
      <c r="G668" s="126"/>
      <c r="H668" s="218"/>
      <c r="I668" s="223"/>
      <c r="J668" s="46"/>
      <c r="K668" s="46"/>
      <c r="L668" s="46"/>
      <c r="M668" s="46"/>
      <c r="N668" s="46"/>
      <c r="O668" s="46"/>
      <c r="P668" s="46"/>
      <c r="Q668" s="46"/>
      <c r="R668" s="46"/>
      <c r="S668" s="46"/>
      <c r="T668" s="46"/>
      <c r="U668" s="46"/>
      <c r="V668" s="46"/>
      <c r="W668" s="46"/>
    </row>
    <row r="669">
      <c r="A669" s="55"/>
      <c r="B669" s="218"/>
      <c r="C669" s="55"/>
      <c r="D669" s="218"/>
      <c r="E669" s="126"/>
      <c r="F669" s="224"/>
      <c r="G669" s="126"/>
      <c r="H669" s="218"/>
      <c r="I669" s="223"/>
      <c r="J669" s="46"/>
      <c r="K669" s="46"/>
      <c r="L669" s="46"/>
      <c r="M669" s="46"/>
      <c r="N669" s="46"/>
      <c r="O669" s="46"/>
      <c r="P669" s="46"/>
      <c r="Q669" s="46"/>
      <c r="R669" s="46"/>
      <c r="S669" s="46"/>
      <c r="T669" s="46"/>
      <c r="U669" s="46"/>
      <c r="V669" s="46"/>
      <c r="W669" s="46"/>
    </row>
    <row r="670">
      <c r="A670" s="55"/>
      <c r="B670" s="218"/>
      <c r="C670" s="55"/>
      <c r="D670" s="218"/>
      <c r="E670" s="126"/>
      <c r="F670" s="224"/>
      <c r="G670" s="126"/>
      <c r="H670" s="218"/>
      <c r="I670" s="223"/>
      <c r="J670" s="46"/>
      <c r="K670" s="46"/>
      <c r="L670" s="46"/>
      <c r="M670" s="46"/>
      <c r="N670" s="46"/>
      <c r="O670" s="46"/>
      <c r="P670" s="46"/>
      <c r="Q670" s="46"/>
      <c r="R670" s="46"/>
      <c r="S670" s="46"/>
      <c r="T670" s="46"/>
      <c r="U670" s="46"/>
      <c r="V670" s="46"/>
      <c r="W670" s="46"/>
    </row>
    <row r="671">
      <c r="A671" s="55"/>
      <c r="B671" s="218"/>
      <c r="C671" s="55"/>
      <c r="D671" s="218"/>
      <c r="E671" s="126"/>
      <c r="F671" s="224"/>
      <c r="G671" s="126"/>
      <c r="H671" s="218"/>
      <c r="I671" s="223"/>
      <c r="J671" s="46"/>
      <c r="K671" s="46"/>
      <c r="L671" s="46"/>
      <c r="M671" s="46"/>
      <c r="N671" s="46"/>
      <c r="O671" s="46"/>
      <c r="P671" s="46"/>
      <c r="Q671" s="46"/>
      <c r="R671" s="46"/>
      <c r="S671" s="46"/>
      <c r="T671" s="46"/>
      <c r="U671" s="46"/>
      <c r="V671" s="46"/>
      <c r="W671" s="46"/>
    </row>
    <row r="672">
      <c r="A672" s="55"/>
      <c r="B672" s="218"/>
      <c r="C672" s="55"/>
      <c r="D672" s="218"/>
      <c r="E672" s="126"/>
      <c r="F672" s="224"/>
      <c r="G672" s="126"/>
      <c r="H672" s="218"/>
      <c r="I672" s="223"/>
      <c r="J672" s="46"/>
      <c r="K672" s="46"/>
      <c r="L672" s="46"/>
      <c r="M672" s="46"/>
      <c r="N672" s="46"/>
      <c r="O672" s="46"/>
      <c r="P672" s="46"/>
      <c r="Q672" s="46"/>
      <c r="R672" s="46"/>
      <c r="S672" s="46"/>
      <c r="T672" s="46"/>
      <c r="U672" s="46"/>
      <c r="V672" s="46"/>
      <c r="W672" s="46"/>
    </row>
    <row r="673">
      <c r="A673" s="55"/>
      <c r="B673" s="218"/>
      <c r="C673" s="55"/>
      <c r="D673" s="218"/>
      <c r="E673" s="126"/>
      <c r="F673" s="224"/>
      <c r="G673" s="126"/>
      <c r="H673" s="218"/>
      <c r="I673" s="223"/>
      <c r="J673" s="46"/>
      <c r="K673" s="46"/>
      <c r="L673" s="46"/>
      <c r="M673" s="46"/>
      <c r="N673" s="46"/>
      <c r="O673" s="46"/>
      <c r="P673" s="46"/>
      <c r="Q673" s="46"/>
      <c r="R673" s="46"/>
      <c r="S673" s="46"/>
      <c r="T673" s="46"/>
      <c r="U673" s="46"/>
      <c r="V673" s="46"/>
      <c r="W673" s="46"/>
    </row>
    <row r="674">
      <c r="A674" s="55"/>
      <c r="B674" s="218"/>
      <c r="C674" s="55"/>
      <c r="D674" s="218"/>
      <c r="E674" s="126"/>
      <c r="F674" s="224"/>
      <c r="G674" s="126"/>
      <c r="H674" s="218"/>
      <c r="I674" s="223"/>
      <c r="J674" s="46"/>
      <c r="K674" s="46"/>
      <c r="L674" s="46"/>
      <c r="M674" s="46"/>
      <c r="N674" s="46"/>
      <c r="O674" s="46"/>
      <c r="P674" s="46"/>
      <c r="Q674" s="46"/>
      <c r="R674" s="46"/>
      <c r="S674" s="46"/>
      <c r="T674" s="46"/>
      <c r="U674" s="46"/>
      <c r="V674" s="46"/>
      <c r="W674" s="46"/>
    </row>
    <row r="675">
      <c r="A675" s="55"/>
      <c r="B675" s="218"/>
      <c r="C675" s="55"/>
      <c r="D675" s="218"/>
      <c r="E675" s="126"/>
      <c r="F675" s="224"/>
      <c r="G675" s="126"/>
      <c r="H675" s="218"/>
      <c r="I675" s="223"/>
      <c r="J675" s="46"/>
      <c r="K675" s="46"/>
      <c r="L675" s="46"/>
      <c r="M675" s="46"/>
      <c r="N675" s="46"/>
      <c r="O675" s="46"/>
      <c r="P675" s="46"/>
      <c r="Q675" s="46"/>
      <c r="R675" s="46"/>
      <c r="S675" s="46"/>
      <c r="T675" s="46"/>
      <c r="U675" s="46"/>
      <c r="V675" s="46"/>
      <c r="W675" s="46"/>
    </row>
    <row r="676">
      <c r="A676" s="55"/>
      <c r="B676" s="218"/>
      <c r="C676" s="55"/>
      <c r="D676" s="218"/>
      <c r="E676" s="126"/>
      <c r="F676" s="224"/>
      <c r="G676" s="126"/>
      <c r="H676" s="218"/>
      <c r="I676" s="223"/>
      <c r="J676" s="46"/>
      <c r="K676" s="46"/>
      <c r="L676" s="46"/>
      <c r="M676" s="46"/>
      <c r="N676" s="46"/>
      <c r="O676" s="46"/>
      <c r="P676" s="46"/>
      <c r="Q676" s="46"/>
      <c r="R676" s="46"/>
      <c r="S676" s="46"/>
      <c r="T676" s="46"/>
      <c r="U676" s="46"/>
      <c r="V676" s="46"/>
      <c r="W676" s="46"/>
    </row>
    <row r="677">
      <c r="A677" s="55"/>
      <c r="B677" s="218"/>
      <c r="C677" s="55"/>
      <c r="D677" s="218"/>
      <c r="E677" s="126"/>
      <c r="F677" s="224"/>
      <c r="G677" s="126"/>
      <c r="H677" s="218"/>
      <c r="I677" s="223"/>
      <c r="J677" s="46"/>
      <c r="K677" s="46"/>
      <c r="L677" s="46"/>
      <c r="M677" s="46"/>
      <c r="N677" s="46"/>
      <c r="O677" s="46"/>
      <c r="P677" s="46"/>
      <c r="Q677" s="46"/>
      <c r="R677" s="46"/>
      <c r="S677" s="46"/>
      <c r="T677" s="46"/>
      <c r="U677" s="46"/>
      <c r="V677" s="46"/>
      <c r="W677" s="46"/>
    </row>
    <row r="678">
      <c r="A678" s="55"/>
      <c r="B678" s="218"/>
      <c r="C678" s="55"/>
      <c r="D678" s="218"/>
      <c r="E678" s="126"/>
      <c r="F678" s="224"/>
      <c r="G678" s="126"/>
      <c r="H678" s="218"/>
      <c r="I678" s="223"/>
      <c r="J678" s="46"/>
      <c r="K678" s="46"/>
      <c r="L678" s="46"/>
      <c r="M678" s="46"/>
      <c r="N678" s="46"/>
      <c r="O678" s="46"/>
      <c r="P678" s="46"/>
      <c r="Q678" s="46"/>
      <c r="R678" s="46"/>
      <c r="S678" s="46"/>
      <c r="T678" s="46"/>
      <c r="U678" s="46"/>
      <c r="V678" s="46"/>
      <c r="W678" s="46"/>
    </row>
    <row r="679">
      <c r="A679" s="55"/>
      <c r="B679" s="218"/>
      <c r="C679" s="55"/>
      <c r="D679" s="218"/>
      <c r="E679" s="126"/>
      <c r="F679" s="224"/>
      <c r="G679" s="126"/>
      <c r="H679" s="218"/>
      <c r="I679" s="223"/>
      <c r="J679" s="46"/>
      <c r="K679" s="46"/>
      <c r="L679" s="46"/>
      <c r="M679" s="46"/>
      <c r="N679" s="46"/>
      <c r="O679" s="46"/>
      <c r="P679" s="46"/>
      <c r="Q679" s="46"/>
      <c r="R679" s="46"/>
      <c r="S679" s="46"/>
      <c r="T679" s="46"/>
      <c r="U679" s="46"/>
      <c r="V679" s="46"/>
      <c r="W679" s="46"/>
    </row>
    <row r="680">
      <c r="A680" s="55"/>
      <c r="B680" s="218"/>
      <c r="C680" s="55"/>
      <c r="D680" s="218"/>
      <c r="E680" s="126"/>
      <c r="F680" s="224"/>
      <c r="G680" s="126"/>
      <c r="H680" s="218"/>
      <c r="I680" s="223"/>
      <c r="J680" s="46"/>
      <c r="K680" s="46"/>
      <c r="L680" s="46"/>
      <c r="M680" s="46"/>
      <c r="N680" s="46"/>
      <c r="O680" s="46"/>
      <c r="P680" s="46"/>
      <c r="Q680" s="46"/>
      <c r="R680" s="46"/>
      <c r="S680" s="46"/>
      <c r="T680" s="46"/>
      <c r="U680" s="46"/>
      <c r="V680" s="46"/>
      <c r="W680" s="46"/>
    </row>
    <row r="681">
      <c r="A681" s="55"/>
      <c r="B681" s="218"/>
      <c r="C681" s="55"/>
      <c r="D681" s="218"/>
      <c r="E681" s="126"/>
      <c r="F681" s="224"/>
      <c r="G681" s="126"/>
      <c r="H681" s="218"/>
      <c r="I681" s="223"/>
      <c r="J681" s="46"/>
      <c r="K681" s="46"/>
      <c r="L681" s="46"/>
      <c r="M681" s="46"/>
      <c r="N681" s="46"/>
      <c r="O681" s="46"/>
      <c r="P681" s="46"/>
      <c r="Q681" s="46"/>
      <c r="R681" s="46"/>
      <c r="S681" s="46"/>
      <c r="T681" s="46"/>
      <c r="U681" s="46"/>
      <c r="V681" s="46"/>
      <c r="W681" s="46"/>
    </row>
    <row r="682">
      <c r="A682" s="55"/>
      <c r="B682" s="218"/>
      <c r="C682" s="55"/>
      <c r="D682" s="218"/>
      <c r="E682" s="126"/>
      <c r="F682" s="224"/>
      <c r="G682" s="126"/>
      <c r="H682" s="218"/>
      <c r="I682" s="223"/>
      <c r="J682" s="46"/>
      <c r="K682" s="46"/>
      <c r="L682" s="46"/>
      <c r="M682" s="46"/>
      <c r="N682" s="46"/>
      <c r="O682" s="46"/>
      <c r="P682" s="46"/>
      <c r="Q682" s="46"/>
      <c r="R682" s="46"/>
      <c r="S682" s="46"/>
      <c r="T682" s="46"/>
      <c r="U682" s="46"/>
      <c r="V682" s="46"/>
      <c r="W682" s="46"/>
    </row>
    <row r="683">
      <c r="A683" s="55"/>
      <c r="B683" s="218"/>
      <c r="C683" s="55"/>
      <c r="D683" s="218"/>
      <c r="E683" s="126"/>
      <c r="F683" s="224"/>
      <c r="G683" s="126"/>
      <c r="H683" s="218"/>
      <c r="I683" s="223"/>
      <c r="J683" s="46"/>
      <c r="K683" s="46"/>
      <c r="L683" s="46"/>
      <c r="M683" s="46"/>
      <c r="N683" s="46"/>
      <c r="O683" s="46"/>
      <c r="P683" s="46"/>
      <c r="Q683" s="46"/>
      <c r="R683" s="46"/>
      <c r="S683" s="46"/>
      <c r="T683" s="46"/>
      <c r="U683" s="46"/>
      <c r="V683" s="46"/>
      <c r="W683" s="46"/>
    </row>
    <row r="684">
      <c r="A684" s="55"/>
      <c r="B684" s="218"/>
      <c r="C684" s="55"/>
      <c r="D684" s="218"/>
      <c r="E684" s="126"/>
      <c r="F684" s="224"/>
      <c r="G684" s="126"/>
      <c r="H684" s="218"/>
      <c r="I684" s="223"/>
      <c r="J684" s="46"/>
      <c r="K684" s="46"/>
      <c r="L684" s="46"/>
      <c r="M684" s="46"/>
      <c r="N684" s="46"/>
      <c r="O684" s="46"/>
      <c r="P684" s="46"/>
      <c r="Q684" s="46"/>
      <c r="R684" s="46"/>
      <c r="S684" s="46"/>
      <c r="T684" s="46"/>
      <c r="U684" s="46"/>
      <c r="V684" s="46"/>
      <c r="W684" s="46"/>
    </row>
    <row r="685">
      <c r="A685" s="55"/>
      <c r="B685" s="218"/>
      <c r="C685" s="55"/>
      <c r="D685" s="218"/>
      <c r="E685" s="126"/>
      <c r="F685" s="224"/>
      <c r="G685" s="126"/>
      <c r="H685" s="218"/>
      <c r="I685" s="223"/>
      <c r="J685" s="46"/>
      <c r="K685" s="46"/>
      <c r="L685" s="46"/>
      <c r="M685" s="46"/>
      <c r="N685" s="46"/>
      <c r="O685" s="46"/>
      <c r="P685" s="46"/>
      <c r="Q685" s="46"/>
      <c r="R685" s="46"/>
      <c r="S685" s="46"/>
      <c r="T685" s="46"/>
      <c r="U685" s="46"/>
      <c r="V685" s="46"/>
      <c r="W685" s="46"/>
    </row>
    <row r="686">
      <c r="A686" s="55"/>
      <c r="B686" s="218"/>
      <c r="C686" s="55"/>
      <c r="D686" s="218"/>
      <c r="E686" s="126"/>
      <c r="F686" s="224"/>
      <c r="G686" s="126"/>
      <c r="H686" s="218"/>
      <c r="I686" s="223"/>
      <c r="J686" s="46"/>
      <c r="K686" s="46"/>
      <c r="L686" s="46"/>
      <c r="M686" s="46"/>
      <c r="N686" s="46"/>
      <c r="O686" s="46"/>
      <c r="P686" s="46"/>
      <c r="Q686" s="46"/>
      <c r="R686" s="46"/>
      <c r="S686" s="46"/>
      <c r="T686" s="46"/>
      <c r="U686" s="46"/>
      <c r="V686" s="46"/>
      <c r="W686" s="46"/>
    </row>
    <row r="687">
      <c r="A687" s="55"/>
      <c r="B687" s="218"/>
      <c r="C687" s="55"/>
      <c r="D687" s="218"/>
      <c r="E687" s="126"/>
      <c r="F687" s="224"/>
      <c r="G687" s="126"/>
      <c r="H687" s="218"/>
      <c r="I687" s="223"/>
      <c r="J687" s="46"/>
      <c r="K687" s="46"/>
      <c r="L687" s="46"/>
      <c r="M687" s="46"/>
      <c r="N687" s="46"/>
      <c r="O687" s="46"/>
      <c r="P687" s="46"/>
      <c r="Q687" s="46"/>
      <c r="R687" s="46"/>
      <c r="S687" s="46"/>
      <c r="T687" s="46"/>
      <c r="U687" s="46"/>
      <c r="V687" s="46"/>
      <c r="W687" s="46"/>
    </row>
    <row r="688">
      <c r="A688" s="55"/>
      <c r="B688" s="218"/>
      <c r="C688" s="55"/>
      <c r="D688" s="218"/>
      <c r="E688" s="126"/>
      <c r="F688" s="224"/>
      <c r="G688" s="126"/>
      <c r="H688" s="218"/>
      <c r="I688" s="223"/>
      <c r="J688" s="46"/>
      <c r="K688" s="46"/>
      <c r="L688" s="46"/>
      <c r="M688" s="46"/>
      <c r="N688" s="46"/>
      <c r="O688" s="46"/>
      <c r="P688" s="46"/>
      <c r="Q688" s="46"/>
      <c r="R688" s="46"/>
      <c r="S688" s="46"/>
      <c r="T688" s="46"/>
      <c r="U688" s="46"/>
      <c r="V688" s="46"/>
      <c r="W688" s="46"/>
    </row>
    <row r="689">
      <c r="A689" s="55"/>
      <c r="B689" s="218"/>
      <c r="C689" s="55"/>
      <c r="D689" s="218"/>
      <c r="E689" s="126"/>
      <c r="F689" s="224"/>
      <c r="G689" s="126"/>
      <c r="H689" s="218"/>
      <c r="I689" s="223"/>
      <c r="J689" s="46"/>
      <c r="K689" s="46"/>
      <c r="L689" s="46"/>
      <c r="M689" s="46"/>
      <c r="N689" s="46"/>
      <c r="O689" s="46"/>
      <c r="P689" s="46"/>
      <c r="Q689" s="46"/>
      <c r="R689" s="46"/>
      <c r="S689" s="46"/>
      <c r="T689" s="46"/>
      <c r="U689" s="46"/>
      <c r="V689" s="46"/>
      <c r="W689" s="46"/>
    </row>
    <row r="690">
      <c r="A690" s="55"/>
      <c r="B690" s="218"/>
      <c r="C690" s="55"/>
      <c r="D690" s="218"/>
      <c r="E690" s="126"/>
      <c r="F690" s="224"/>
      <c r="G690" s="126"/>
      <c r="H690" s="218"/>
      <c r="I690" s="223"/>
      <c r="J690" s="46"/>
      <c r="K690" s="46"/>
      <c r="L690" s="46"/>
      <c r="M690" s="46"/>
      <c r="N690" s="46"/>
      <c r="O690" s="46"/>
      <c r="P690" s="46"/>
      <c r="Q690" s="46"/>
      <c r="R690" s="46"/>
      <c r="S690" s="46"/>
      <c r="T690" s="46"/>
      <c r="U690" s="46"/>
      <c r="V690" s="46"/>
      <c r="W690" s="46"/>
    </row>
    <row r="691">
      <c r="A691" s="55"/>
      <c r="B691" s="218"/>
      <c r="C691" s="55"/>
      <c r="D691" s="218"/>
      <c r="E691" s="126"/>
      <c r="F691" s="224"/>
      <c r="G691" s="126"/>
      <c r="H691" s="218"/>
      <c r="I691" s="223"/>
      <c r="J691" s="46"/>
      <c r="K691" s="46"/>
      <c r="L691" s="46"/>
      <c r="M691" s="46"/>
      <c r="N691" s="46"/>
      <c r="O691" s="46"/>
      <c r="P691" s="46"/>
      <c r="Q691" s="46"/>
      <c r="R691" s="46"/>
      <c r="S691" s="46"/>
      <c r="T691" s="46"/>
      <c r="U691" s="46"/>
      <c r="V691" s="46"/>
      <c r="W691" s="46"/>
    </row>
    <row r="692">
      <c r="A692" s="55"/>
      <c r="B692" s="218"/>
      <c r="C692" s="55"/>
      <c r="D692" s="218"/>
      <c r="E692" s="126"/>
      <c r="F692" s="224"/>
      <c r="G692" s="126"/>
      <c r="H692" s="218"/>
      <c r="I692" s="223"/>
      <c r="J692" s="46"/>
      <c r="K692" s="46"/>
      <c r="L692" s="46"/>
      <c r="M692" s="46"/>
      <c r="N692" s="46"/>
      <c r="O692" s="46"/>
      <c r="P692" s="46"/>
      <c r="Q692" s="46"/>
      <c r="R692" s="46"/>
      <c r="S692" s="46"/>
      <c r="T692" s="46"/>
      <c r="U692" s="46"/>
      <c r="V692" s="46"/>
      <c r="W692" s="46"/>
    </row>
    <row r="693">
      <c r="A693" s="55"/>
      <c r="B693" s="218"/>
      <c r="C693" s="55"/>
      <c r="D693" s="218"/>
      <c r="E693" s="126"/>
      <c r="F693" s="224"/>
      <c r="G693" s="126"/>
      <c r="H693" s="218"/>
      <c r="I693" s="223"/>
      <c r="J693" s="46"/>
      <c r="K693" s="46"/>
      <c r="L693" s="46"/>
      <c r="M693" s="46"/>
      <c r="N693" s="46"/>
      <c r="O693" s="46"/>
      <c r="P693" s="46"/>
      <c r="Q693" s="46"/>
      <c r="R693" s="46"/>
      <c r="S693" s="46"/>
      <c r="T693" s="46"/>
      <c r="U693" s="46"/>
      <c r="V693" s="46"/>
      <c r="W693" s="46"/>
    </row>
    <row r="694">
      <c r="A694" s="55"/>
      <c r="B694" s="218"/>
      <c r="C694" s="55"/>
      <c r="D694" s="218"/>
      <c r="E694" s="126"/>
      <c r="F694" s="224"/>
      <c r="G694" s="126"/>
      <c r="H694" s="218"/>
      <c r="I694" s="223"/>
      <c r="J694" s="46"/>
      <c r="K694" s="46"/>
      <c r="L694" s="46"/>
      <c r="M694" s="46"/>
      <c r="N694" s="46"/>
      <c r="O694" s="46"/>
      <c r="P694" s="46"/>
      <c r="Q694" s="46"/>
      <c r="R694" s="46"/>
      <c r="S694" s="46"/>
      <c r="T694" s="46"/>
      <c r="U694" s="46"/>
      <c r="V694" s="46"/>
      <c r="W694" s="46"/>
    </row>
    <row r="695">
      <c r="A695" s="55"/>
      <c r="B695" s="218"/>
      <c r="C695" s="55"/>
      <c r="D695" s="218"/>
      <c r="E695" s="126"/>
      <c r="F695" s="224"/>
      <c r="G695" s="126"/>
      <c r="H695" s="218"/>
      <c r="I695" s="223"/>
      <c r="J695" s="46"/>
      <c r="K695" s="46"/>
      <c r="L695" s="46"/>
      <c r="M695" s="46"/>
      <c r="N695" s="46"/>
      <c r="O695" s="46"/>
      <c r="P695" s="46"/>
      <c r="Q695" s="46"/>
      <c r="R695" s="46"/>
      <c r="S695" s="46"/>
      <c r="T695" s="46"/>
      <c r="U695" s="46"/>
      <c r="V695" s="46"/>
      <c r="W695" s="46"/>
    </row>
    <row r="696">
      <c r="A696" s="55"/>
      <c r="B696" s="218"/>
      <c r="C696" s="55"/>
      <c r="D696" s="218"/>
      <c r="E696" s="126"/>
      <c r="F696" s="224"/>
      <c r="G696" s="126"/>
      <c r="H696" s="218"/>
      <c r="I696" s="223"/>
      <c r="J696" s="46"/>
      <c r="K696" s="46"/>
      <c r="L696" s="46"/>
      <c r="M696" s="46"/>
      <c r="N696" s="46"/>
      <c r="O696" s="46"/>
      <c r="P696" s="46"/>
      <c r="Q696" s="46"/>
      <c r="R696" s="46"/>
      <c r="S696" s="46"/>
      <c r="T696" s="46"/>
      <c r="U696" s="46"/>
      <c r="V696" s="46"/>
      <c r="W696" s="46"/>
    </row>
    <row r="697">
      <c r="A697" s="55"/>
      <c r="B697" s="218"/>
      <c r="C697" s="55"/>
      <c r="D697" s="218"/>
      <c r="E697" s="126"/>
      <c r="F697" s="224"/>
      <c r="G697" s="126"/>
      <c r="H697" s="218"/>
      <c r="I697" s="223"/>
      <c r="J697" s="46"/>
      <c r="K697" s="46"/>
      <c r="L697" s="46"/>
      <c r="M697" s="46"/>
      <c r="N697" s="46"/>
      <c r="O697" s="46"/>
      <c r="P697" s="46"/>
      <c r="Q697" s="46"/>
      <c r="R697" s="46"/>
      <c r="S697" s="46"/>
      <c r="T697" s="46"/>
      <c r="U697" s="46"/>
      <c r="V697" s="46"/>
      <c r="W697" s="46"/>
    </row>
    <row r="698">
      <c r="A698" s="55"/>
      <c r="B698" s="218"/>
      <c r="C698" s="55"/>
      <c r="D698" s="218"/>
      <c r="E698" s="126"/>
      <c r="F698" s="224"/>
      <c r="G698" s="126"/>
      <c r="H698" s="218"/>
      <c r="I698" s="223"/>
      <c r="J698" s="46"/>
      <c r="K698" s="46"/>
      <c r="L698" s="46"/>
      <c r="M698" s="46"/>
      <c r="N698" s="46"/>
      <c r="O698" s="46"/>
      <c r="P698" s="46"/>
      <c r="Q698" s="46"/>
      <c r="R698" s="46"/>
      <c r="S698" s="46"/>
      <c r="T698" s="46"/>
      <c r="U698" s="46"/>
      <c r="V698" s="46"/>
      <c r="W698" s="46"/>
    </row>
    <row r="699">
      <c r="A699" s="55"/>
      <c r="B699" s="218"/>
      <c r="C699" s="55"/>
      <c r="D699" s="218"/>
      <c r="E699" s="126"/>
      <c r="F699" s="224"/>
      <c r="G699" s="126"/>
      <c r="H699" s="218"/>
      <c r="I699" s="223"/>
      <c r="J699" s="46"/>
      <c r="K699" s="46"/>
      <c r="L699" s="46"/>
      <c r="M699" s="46"/>
      <c r="N699" s="46"/>
      <c r="O699" s="46"/>
      <c r="P699" s="46"/>
      <c r="Q699" s="46"/>
      <c r="R699" s="46"/>
      <c r="S699" s="46"/>
      <c r="T699" s="46"/>
      <c r="U699" s="46"/>
      <c r="V699" s="46"/>
      <c r="W699" s="46"/>
    </row>
    <row r="700">
      <c r="A700" s="55"/>
      <c r="B700" s="218"/>
      <c r="C700" s="55"/>
      <c r="D700" s="218"/>
      <c r="E700" s="126"/>
      <c r="F700" s="224"/>
      <c r="G700" s="126"/>
      <c r="H700" s="218"/>
      <c r="I700" s="223"/>
      <c r="J700" s="46"/>
      <c r="K700" s="46"/>
      <c r="L700" s="46"/>
      <c r="M700" s="46"/>
      <c r="N700" s="46"/>
      <c r="O700" s="46"/>
      <c r="P700" s="46"/>
      <c r="Q700" s="46"/>
      <c r="R700" s="46"/>
      <c r="S700" s="46"/>
      <c r="T700" s="46"/>
      <c r="U700" s="46"/>
      <c r="V700" s="46"/>
      <c r="W700" s="46"/>
    </row>
    <row r="701">
      <c r="A701" s="55"/>
      <c r="B701" s="218"/>
      <c r="C701" s="55"/>
      <c r="D701" s="218"/>
      <c r="E701" s="126"/>
      <c r="F701" s="224"/>
      <c r="G701" s="126"/>
      <c r="H701" s="218"/>
      <c r="I701" s="223"/>
      <c r="J701" s="46"/>
      <c r="K701" s="46"/>
      <c r="L701" s="46"/>
      <c r="M701" s="46"/>
      <c r="N701" s="46"/>
      <c r="O701" s="46"/>
      <c r="P701" s="46"/>
      <c r="Q701" s="46"/>
      <c r="R701" s="46"/>
      <c r="S701" s="46"/>
      <c r="T701" s="46"/>
      <c r="U701" s="46"/>
      <c r="V701" s="46"/>
      <c r="W701" s="46"/>
    </row>
    <row r="702">
      <c r="A702" s="55"/>
      <c r="B702" s="218"/>
      <c r="C702" s="55"/>
      <c r="D702" s="218"/>
      <c r="E702" s="126"/>
      <c r="F702" s="224"/>
      <c r="G702" s="126"/>
      <c r="H702" s="218"/>
      <c r="I702" s="223"/>
      <c r="J702" s="46"/>
      <c r="K702" s="46"/>
      <c r="L702" s="46"/>
      <c r="M702" s="46"/>
      <c r="N702" s="46"/>
      <c r="O702" s="46"/>
      <c r="P702" s="46"/>
      <c r="Q702" s="46"/>
      <c r="R702" s="46"/>
      <c r="S702" s="46"/>
      <c r="T702" s="46"/>
      <c r="U702" s="46"/>
      <c r="V702" s="46"/>
      <c r="W702" s="46"/>
    </row>
    <row r="703">
      <c r="A703" s="55"/>
      <c r="B703" s="218"/>
      <c r="C703" s="55"/>
      <c r="D703" s="218"/>
      <c r="E703" s="126"/>
      <c r="F703" s="224"/>
      <c r="G703" s="126"/>
      <c r="H703" s="218"/>
      <c r="I703" s="223"/>
      <c r="J703" s="46"/>
      <c r="K703" s="46"/>
      <c r="L703" s="46"/>
      <c r="M703" s="46"/>
      <c r="N703" s="46"/>
      <c r="O703" s="46"/>
      <c r="P703" s="46"/>
      <c r="Q703" s="46"/>
      <c r="R703" s="46"/>
      <c r="S703" s="46"/>
      <c r="T703" s="46"/>
      <c r="U703" s="46"/>
      <c r="V703" s="46"/>
      <c r="W703" s="46"/>
    </row>
    <row r="704">
      <c r="A704" s="55"/>
      <c r="B704" s="218"/>
      <c r="C704" s="55"/>
      <c r="D704" s="218"/>
      <c r="E704" s="126"/>
      <c r="F704" s="224"/>
      <c r="G704" s="126"/>
      <c r="H704" s="218"/>
      <c r="I704" s="223"/>
      <c r="J704" s="46"/>
      <c r="K704" s="46"/>
      <c r="L704" s="46"/>
      <c r="M704" s="46"/>
      <c r="N704" s="46"/>
      <c r="O704" s="46"/>
      <c r="P704" s="46"/>
      <c r="Q704" s="46"/>
      <c r="R704" s="46"/>
      <c r="S704" s="46"/>
      <c r="T704" s="46"/>
      <c r="U704" s="46"/>
      <c r="V704" s="46"/>
      <c r="W704" s="46"/>
    </row>
    <row r="705">
      <c r="A705" s="55"/>
      <c r="B705" s="218"/>
      <c r="C705" s="55"/>
      <c r="D705" s="218"/>
      <c r="E705" s="126"/>
      <c r="F705" s="224"/>
      <c r="G705" s="126"/>
      <c r="H705" s="218"/>
      <c r="I705" s="223"/>
      <c r="J705" s="46"/>
      <c r="K705" s="46"/>
      <c r="L705" s="46"/>
      <c r="M705" s="46"/>
      <c r="N705" s="46"/>
      <c r="O705" s="46"/>
      <c r="P705" s="46"/>
      <c r="Q705" s="46"/>
      <c r="R705" s="46"/>
      <c r="S705" s="46"/>
      <c r="T705" s="46"/>
      <c r="U705" s="46"/>
      <c r="V705" s="46"/>
      <c r="W705" s="46"/>
    </row>
    <row r="706">
      <c r="A706" s="55"/>
      <c r="B706" s="218"/>
      <c r="C706" s="55"/>
      <c r="D706" s="218"/>
      <c r="E706" s="126"/>
      <c r="F706" s="224"/>
      <c r="G706" s="126"/>
      <c r="H706" s="218"/>
      <c r="I706" s="223"/>
      <c r="J706" s="46"/>
      <c r="K706" s="46"/>
      <c r="L706" s="46"/>
      <c r="M706" s="46"/>
      <c r="N706" s="46"/>
      <c r="O706" s="46"/>
      <c r="P706" s="46"/>
      <c r="Q706" s="46"/>
      <c r="R706" s="46"/>
      <c r="S706" s="46"/>
      <c r="T706" s="46"/>
      <c r="U706" s="46"/>
      <c r="V706" s="46"/>
      <c r="W706" s="46"/>
    </row>
    <row r="707">
      <c r="A707" s="55"/>
      <c r="B707" s="218"/>
      <c r="C707" s="55"/>
      <c r="D707" s="218"/>
      <c r="E707" s="126"/>
      <c r="F707" s="224"/>
      <c r="G707" s="126"/>
      <c r="H707" s="218"/>
      <c r="I707" s="223"/>
      <c r="J707" s="46"/>
      <c r="K707" s="46"/>
      <c r="L707" s="46"/>
      <c r="M707" s="46"/>
      <c r="N707" s="46"/>
      <c r="O707" s="46"/>
      <c r="P707" s="46"/>
      <c r="Q707" s="46"/>
      <c r="R707" s="46"/>
      <c r="S707" s="46"/>
      <c r="T707" s="46"/>
      <c r="U707" s="46"/>
      <c r="V707" s="46"/>
      <c r="W707" s="46"/>
    </row>
    <row r="708">
      <c r="A708" s="55"/>
      <c r="B708" s="218"/>
      <c r="C708" s="55"/>
      <c r="D708" s="218"/>
      <c r="E708" s="126"/>
      <c r="F708" s="224"/>
      <c r="G708" s="126"/>
      <c r="H708" s="218"/>
      <c r="I708" s="223"/>
      <c r="J708" s="46"/>
      <c r="K708" s="46"/>
      <c r="L708" s="46"/>
      <c r="M708" s="46"/>
      <c r="N708" s="46"/>
      <c r="O708" s="46"/>
      <c r="P708" s="46"/>
      <c r="Q708" s="46"/>
      <c r="R708" s="46"/>
      <c r="S708" s="46"/>
      <c r="T708" s="46"/>
      <c r="U708" s="46"/>
      <c r="V708" s="46"/>
      <c r="W708" s="46"/>
    </row>
    <row r="709">
      <c r="A709" s="55"/>
      <c r="B709" s="218"/>
      <c r="C709" s="55"/>
      <c r="D709" s="218"/>
      <c r="E709" s="126"/>
      <c r="F709" s="224"/>
      <c r="G709" s="126"/>
      <c r="H709" s="218"/>
      <c r="I709" s="223"/>
      <c r="J709" s="46"/>
      <c r="K709" s="46"/>
      <c r="L709" s="46"/>
      <c r="M709" s="46"/>
      <c r="N709" s="46"/>
      <c r="O709" s="46"/>
      <c r="P709" s="46"/>
      <c r="Q709" s="46"/>
      <c r="R709" s="46"/>
      <c r="S709" s="46"/>
      <c r="T709" s="46"/>
      <c r="U709" s="46"/>
      <c r="V709" s="46"/>
      <c r="W709" s="46"/>
    </row>
    <row r="710">
      <c r="A710" s="55"/>
      <c r="B710" s="218"/>
      <c r="C710" s="55"/>
      <c r="D710" s="218"/>
      <c r="E710" s="126"/>
      <c r="F710" s="224"/>
      <c r="G710" s="126"/>
      <c r="H710" s="218"/>
      <c r="I710" s="223"/>
      <c r="J710" s="46"/>
      <c r="K710" s="46"/>
      <c r="L710" s="46"/>
      <c r="M710" s="46"/>
      <c r="N710" s="46"/>
      <c r="O710" s="46"/>
      <c r="P710" s="46"/>
      <c r="Q710" s="46"/>
      <c r="R710" s="46"/>
      <c r="S710" s="46"/>
      <c r="T710" s="46"/>
      <c r="U710" s="46"/>
      <c r="V710" s="46"/>
      <c r="W710" s="46"/>
    </row>
    <row r="711">
      <c r="A711" s="55"/>
      <c r="B711" s="218"/>
      <c r="C711" s="55"/>
      <c r="D711" s="218"/>
      <c r="E711" s="126"/>
      <c r="F711" s="224"/>
      <c r="G711" s="126"/>
      <c r="H711" s="218"/>
      <c r="I711" s="223"/>
      <c r="J711" s="46"/>
      <c r="K711" s="46"/>
      <c r="L711" s="46"/>
      <c r="M711" s="46"/>
      <c r="N711" s="46"/>
      <c r="O711" s="46"/>
      <c r="P711" s="46"/>
      <c r="Q711" s="46"/>
      <c r="R711" s="46"/>
      <c r="S711" s="46"/>
      <c r="T711" s="46"/>
      <c r="U711" s="46"/>
      <c r="V711" s="46"/>
      <c r="W711" s="46"/>
    </row>
    <row r="712">
      <c r="A712" s="55"/>
      <c r="B712" s="218"/>
      <c r="C712" s="55"/>
      <c r="D712" s="218"/>
      <c r="E712" s="126"/>
      <c r="F712" s="224"/>
      <c r="G712" s="126"/>
      <c r="H712" s="218"/>
      <c r="I712" s="223"/>
      <c r="J712" s="46"/>
      <c r="K712" s="46"/>
      <c r="L712" s="46"/>
      <c r="M712" s="46"/>
      <c r="N712" s="46"/>
      <c r="O712" s="46"/>
      <c r="P712" s="46"/>
      <c r="Q712" s="46"/>
      <c r="R712" s="46"/>
      <c r="S712" s="46"/>
      <c r="T712" s="46"/>
      <c r="U712" s="46"/>
      <c r="V712" s="46"/>
      <c r="W712" s="46"/>
    </row>
    <row r="713">
      <c r="A713" s="55"/>
      <c r="B713" s="218"/>
      <c r="C713" s="55"/>
      <c r="D713" s="218"/>
      <c r="E713" s="126"/>
      <c r="F713" s="224"/>
      <c r="G713" s="126"/>
      <c r="H713" s="218"/>
      <c r="I713" s="223"/>
      <c r="J713" s="46"/>
      <c r="K713" s="46"/>
      <c r="L713" s="46"/>
      <c r="M713" s="46"/>
      <c r="N713" s="46"/>
      <c r="O713" s="46"/>
      <c r="P713" s="46"/>
      <c r="Q713" s="46"/>
      <c r="R713" s="46"/>
      <c r="S713" s="46"/>
      <c r="T713" s="46"/>
      <c r="U713" s="46"/>
      <c r="V713" s="46"/>
      <c r="W713" s="46"/>
    </row>
    <row r="714">
      <c r="A714" s="55"/>
      <c r="B714" s="218"/>
      <c r="C714" s="55"/>
      <c r="D714" s="218"/>
      <c r="E714" s="126"/>
      <c r="F714" s="224"/>
      <c r="G714" s="126"/>
      <c r="H714" s="218"/>
      <c r="I714" s="223"/>
      <c r="J714" s="46"/>
      <c r="K714" s="46"/>
      <c r="L714" s="46"/>
      <c r="M714" s="46"/>
      <c r="N714" s="46"/>
      <c r="O714" s="46"/>
      <c r="P714" s="46"/>
      <c r="Q714" s="46"/>
      <c r="R714" s="46"/>
      <c r="S714" s="46"/>
      <c r="T714" s="46"/>
      <c r="U714" s="46"/>
      <c r="V714" s="46"/>
      <c r="W714" s="46"/>
    </row>
    <row r="715">
      <c r="A715" s="55"/>
      <c r="B715" s="218"/>
      <c r="C715" s="55"/>
      <c r="D715" s="218"/>
      <c r="E715" s="126"/>
      <c r="F715" s="224"/>
      <c r="G715" s="126"/>
      <c r="H715" s="218"/>
      <c r="I715" s="223"/>
      <c r="J715" s="46"/>
      <c r="K715" s="46"/>
      <c r="L715" s="46"/>
      <c r="M715" s="46"/>
      <c r="N715" s="46"/>
      <c r="O715" s="46"/>
      <c r="P715" s="46"/>
      <c r="Q715" s="46"/>
      <c r="R715" s="46"/>
      <c r="S715" s="46"/>
      <c r="T715" s="46"/>
      <c r="U715" s="46"/>
      <c r="V715" s="46"/>
      <c r="W715" s="46"/>
    </row>
    <row r="716">
      <c r="A716" s="55"/>
      <c r="B716" s="218"/>
      <c r="C716" s="55"/>
      <c r="D716" s="218"/>
      <c r="E716" s="126"/>
      <c r="F716" s="224"/>
      <c r="G716" s="126"/>
      <c r="H716" s="218"/>
      <c r="I716" s="223"/>
      <c r="J716" s="46"/>
      <c r="K716" s="46"/>
      <c r="L716" s="46"/>
      <c r="M716" s="46"/>
      <c r="N716" s="46"/>
      <c r="O716" s="46"/>
      <c r="P716" s="46"/>
      <c r="Q716" s="46"/>
      <c r="R716" s="46"/>
      <c r="S716" s="46"/>
      <c r="T716" s="46"/>
      <c r="U716" s="46"/>
      <c r="V716" s="46"/>
      <c r="W716" s="46"/>
    </row>
    <row r="717">
      <c r="A717" s="55"/>
      <c r="B717" s="218"/>
      <c r="C717" s="55"/>
      <c r="D717" s="218"/>
      <c r="E717" s="126"/>
      <c r="F717" s="224"/>
      <c r="G717" s="126"/>
      <c r="H717" s="218"/>
      <c r="I717" s="223"/>
      <c r="J717" s="46"/>
      <c r="K717" s="46"/>
      <c r="L717" s="46"/>
      <c r="M717" s="46"/>
      <c r="N717" s="46"/>
      <c r="O717" s="46"/>
      <c r="P717" s="46"/>
      <c r="Q717" s="46"/>
      <c r="R717" s="46"/>
      <c r="S717" s="46"/>
      <c r="T717" s="46"/>
      <c r="U717" s="46"/>
      <c r="V717" s="46"/>
      <c r="W717" s="46"/>
    </row>
    <row r="718">
      <c r="A718" s="55"/>
      <c r="B718" s="218"/>
      <c r="C718" s="55"/>
      <c r="D718" s="218"/>
      <c r="E718" s="126"/>
      <c r="F718" s="224"/>
      <c r="G718" s="126"/>
      <c r="H718" s="218"/>
      <c r="I718" s="223"/>
      <c r="J718" s="46"/>
      <c r="K718" s="46"/>
      <c r="L718" s="46"/>
      <c r="M718" s="46"/>
      <c r="N718" s="46"/>
      <c r="O718" s="46"/>
      <c r="P718" s="46"/>
      <c r="Q718" s="46"/>
      <c r="R718" s="46"/>
      <c r="S718" s="46"/>
      <c r="T718" s="46"/>
      <c r="U718" s="46"/>
      <c r="V718" s="46"/>
      <c r="W718" s="46"/>
    </row>
    <row r="719">
      <c r="A719" s="55"/>
      <c r="B719" s="218"/>
      <c r="C719" s="55"/>
      <c r="D719" s="218"/>
      <c r="E719" s="126"/>
      <c r="F719" s="224"/>
      <c r="G719" s="126"/>
      <c r="H719" s="218"/>
      <c r="I719" s="223"/>
      <c r="J719" s="46"/>
      <c r="K719" s="46"/>
      <c r="L719" s="46"/>
      <c r="M719" s="46"/>
      <c r="N719" s="46"/>
      <c r="O719" s="46"/>
      <c r="P719" s="46"/>
      <c r="Q719" s="46"/>
      <c r="R719" s="46"/>
      <c r="S719" s="46"/>
      <c r="T719" s="46"/>
      <c r="U719" s="46"/>
      <c r="V719" s="46"/>
      <c r="W719" s="46"/>
    </row>
    <row r="720">
      <c r="A720" s="55"/>
      <c r="B720" s="218"/>
      <c r="C720" s="55"/>
      <c r="D720" s="218"/>
      <c r="E720" s="126"/>
      <c r="F720" s="224"/>
      <c r="G720" s="126"/>
      <c r="H720" s="218"/>
      <c r="I720" s="223"/>
      <c r="J720" s="46"/>
      <c r="K720" s="46"/>
      <c r="L720" s="46"/>
      <c r="M720" s="46"/>
      <c r="N720" s="46"/>
      <c r="O720" s="46"/>
      <c r="P720" s="46"/>
      <c r="Q720" s="46"/>
      <c r="R720" s="46"/>
      <c r="S720" s="46"/>
      <c r="T720" s="46"/>
      <c r="U720" s="46"/>
      <c r="V720" s="46"/>
      <c r="W720" s="46"/>
    </row>
    <row r="721">
      <c r="A721" s="55"/>
      <c r="B721" s="218"/>
      <c r="C721" s="55"/>
      <c r="D721" s="218"/>
      <c r="E721" s="126"/>
      <c r="F721" s="224"/>
      <c r="G721" s="126"/>
      <c r="H721" s="218"/>
      <c r="I721" s="223"/>
      <c r="J721" s="46"/>
      <c r="K721" s="46"/>
      <c r="L721" s="46"/>
      <c r="M721" s="46"/>
      <c r="N721" s="46"/>
      <c r="O721" s="46"/>
      <c r="P721" s="46"/>
      <c r="Q721" s="46"/>
      <c r="R721" s="46"/>
      <c r="S721" s="46"/>
      <c r="T721" s="46"/>
      <c r="U721" s="46"/>
      <c r="V721" s="46"/>
      <c r="W721" s="46"/>
    </row>
    <row r="722">
      <c r="A722" s="55"/>
      <c r="B722" s="218"/>
      <c r="C722" s="55"/>
      <c r="D722" s="218"/>
      <c r="E722" s="126"/>
      <c r="F722" s="224"/>
      <c r="G722" s="126"/>
      <c r="H722" s="218"/>
      <c r="I722" s="223"/>
      <c r="J722" s="46"/>
      <c r="K722" s="46"/>
      <c r="L722" s="46"/>
      <c r="M722" s="46"/>
      <c r="N722" s="46"/>
      <c r="O722" s="46"/>
      <c r="P722" s="46"/>
      <c r="Q722" s="46"/>
      <c r="R722" s="46"/>
      <c r="S722" s="46"/>
      <c r="T722" s="46"/>
      <c r="U722" s="46"/>
      <c r="V722" s="46"/>
      <c r="W722" s="46"/>
    </row>
    <row r="723">
      <c r="A723" s="55"/>
      <c r="B723" s="218"/>
      <c r="C723" s="55"/>
      <c r="D723" s="218"/>
      <c r="E723" s="126"/>
      <c r="F723" s="224"/>
      <c r="G723" s="126"/>
      <c r="H723" s="218"/>
      <c r="I723" s="223"/>
      <c r="J723" s="46"/>
      <c r="K723" s="46"/>
      <c r="L723" s="46"/>
      <c r="M723" s="46"/>
      <c r="N723" s="46"/>
      <c r="O723" s="46"/>
      <c r="P723" s="46"/>
      <c r="Q723" s="46"/>
      <c r="R723" s="46"/>
      <c r="S723" s="46"/>
      <c r="T723" s="46"/>
      <c r="U723" s="46"/>
      <c r="V723" s="46"/>
      <c r="W723" s="46"/>
    </row>
    <row r="724">
      <c r="A724" s="55"/>
      <c r="B724" s="218"/>
      <c r="C724" s="55"/>
      <c r="D724" s="218"/>
      <c r="E724" s="126"/>
      <c r="F724" s="224"/>
      <c r="G724" s="126"/>
      <c r="H724" s="218"/>
      <c r="I724" s="223"/>
      <c r="J724" s="46"/>
      <c r="K724" s="46"/>
      <c r="L724" s="46"/>
      <c r="M724" s="46"/>
      <c r="N724" s="46"/>
      <c r="O724" s="46"/>
      <c r="P724" s="46"/>
      <c r="Q724" s="46"/>
      <c r="R724" s="46"/>
      <c r="S724" s="46"/>
      <c r="T724" s="46"/>
      <c r="U724" s="46"/>
      <c r="V724" s="46"/>
      <c r="W724" s="46"/>
    </row>
    <row r="725">
      <c r="A725" s="55"/>
      <c r="B725" s="218"/>
      <c r="C725" s="55"/>
      <c r="D725" s="218"/>
      <c r="E725" s="126"/>
      <c r="F725" s="224"/>
      <c r="G725" s="126"/>
      <c r="H725" s="218"/>
      <c r="I725" s="223"/>
      <c r="J725" s="46"/>
      <c r="K725" s="46"/>
      <c r="L725" s="46"/>
      <c r="M725" s="46"/>
      <c r="N725" s="46"/>
      <c r="O725" s="46"/>
      <c r="P725" s="46"/>
      <c r="Q725" s="46"/>
      <c r="R725" s="46"/>
      <c r="S725" s="46"/>
      <c r="T725" s="46"/>
      <c r="U725" s="46"/>
      <c r="V725" s="46"/>
      <c r="W725" s="46"/>
    </row>
    <row r="726">
      <c r="A726" s="55"/>
      <c r="B726" s="218"/>
      <c r="C726" s="55"/>
      <c r="D726" s="218"/>
      <c r="E726" s="126"/>
      <c r="F726" s="224"/>
      <c r="G726" s="126"/>
      <c r="H726" s="218"/>
      <c r="I726" s="223"/>
      <c r="J726" s="46"/>
      <c r="K726" s="46"/>
      <c r="L726" s="46"/>
      <c r="M726" s="46"/>
      <c r="N726" s="46"/>
      <c r="O726" s="46"/>
      <c r="P726" s="46"/>
      <c r="Q726" s="46"/>
      <c r="R726" s="46"/>
      <c r="S726" s="46"/>
      <c r="T726" s="46"/>
      <c r="U726" s="46"/>
      <c r="V726" s="46"/>
      <c r="W726" s="46"/>
    </row>
    <row r="727">
      <c r="A727" s="55"/>
      <c r="B727" s="218"/>
      <c r="C727" s="55"/>
      <c r="D727" s="218"/>
      <c r="E727" s="126"/>
      <c r="F727" s="224"/>
      <c r="G727" s="126"/>
      <c r="H727" s="218"/>
      <c r="I727" s="223"/>
      <c r="J727" s="46"/>
      <c r="K727" s="46"/>
      <c r="L727" s="46"/>
      <c r="M727" s="46"/>
      <c r="N727" s="46"/>
      <c r="O727" s="46"/>
      <c r="P727" s="46"/>
      <c r="Q727" s="46"/>
      <c r="R727" s="46"/>
      <c r="S727" s="46"/>
      <c r="T727" s="46"/>
      <c r="U727" s="46"/>
      <c r="V727" s="46"/>
      <c r="W727" s="46"/>
    </row>
    <row r="728">
      <c r="A728" s="55"/>
      <c r="B728" s="218"/>
      <c r="C728" s="55"/>
      <c r="D728" s="218"/>
      <c r="E728" s="126"/>
      <c r="F728" s="224"/>
      <c r="G728" s="126"/>
      <c r="H728" s="218"/>
      <c r="I728" s="223"/>
      <c r="J728" s="46"/>
      <c r="K728" s="46"/>
      <c r="L728" s="46"/>
      <c r="M728" s="46"/>
      <c r="N728" s="46"/>
      <c r="O728" s="46"/>
      <c r="P728" s="46"/>
      <c r="Q728" s="46"/>
      <c r="R728" s="46"/>
      <c r="S728" s="46"/>
      <c r="T728" s="46"/>
      <c r="U728" s="46"/>
      <c r="V728" s="46"/>
      <c r="W728" s="46"/>
    </row>
    <row r="729">
      <c r="A729" s="55"/>
      <c r="B729" s="218"/>
      <c r="C729" s="55"/>
      <c r="D729" s="218"/>
      <c r="E729" s="126"/>
      <c r="F729" s="224"/>
      <c r="G729" s="126"/>
      <c r="H729" s="218"/>
      <c r="I729" s="223"/>
      <c r="J729" s="46"/>
      <c r="K729" s="46"/>
      <c r="L729" s="46"/>
      <c r="M729" s="46"/>
      <c r="N729" s="46"/>
      <c r="O729" s="46"/>
      <c r="P729" s="46"/>
      <c r="Q729" s="46"/>
      <c r="R729" s="46"/>
      <c r="S729" s="46"/>
      <c r="T729" s="46"/>
      <c r="U729" s="46"/>
      <c r="V729" s="46"/>
      <c r="W729" s="46"/>
    </row>
    <row r="730">
      <c r="A730" s="55"/>
      <c r="B730" s="218"/>
      <c r="C730" s="55"/>
      <c r="D730" s="218"/>
      <c r="E730" s="126"/>
      <c r="F730" s="224"/>
      <c r="G730" s="126"/>
      <c r="H730" s="218"/>
      <c r="I730" s="223"/>
      <c r="J730" s="46"/>
      <c r="K730" s="46"/>
      <c r="L730" s="46"/>
      <c r="M730" s="46"/>
      <c r="N730" s="46"/>
      <c r="O730" s="46"/>
      <c r="P730" s="46"/>
      <c r="Q730" s="46"/>
      <c r="R730" s="46"/>
      <c r="S730" s="46"/>
      <c r="T730" s="46"/>
      <c r="U730" s="46"/>
      <c r="V730" s="46"/>
      <c r="W730" s="46"/>
    </row>
    <row r="731">
      <c r="A731" s="55"/>
      <c r="B731" s="218"/>
      <c r="C731" s="55"/>
      <c r="D731" s="218"/>
      <c r="E731" s="126"/>
      <c r="F731" s="224"/>
      <c r="G731" s="126"/>
      <c r="H731" s="218"/>
      <c r="I731" s="223"/>
      <c r="J731" s="46"/>
      <c r="K731" s="46"/>
      <c r="L731" s="46"/>
      <c r="M731" s="46"/>
      <c r="N731" s="46"/>
      <c r="O731" s="46"/>
      <c r="P731" s="46"/>
      <c r="Q731" s="46"/>
      <c r="R731" s="46"/>
      <c r="S731" s="46"/>
      <c r="T731" s="46"/>
      <c r="U731" s="46"/>
      <c r="V731" s="46"/>
      <c r="W731" s="46"/>
    </row>
    <row r="732">
      <c r="A732" s="55"/>
      <c r="B732" s="218"/>
      <c r="C732" s="55"/>
      <c r="D732" s="218"/>
      <c r="E732" s="126"/>
      <c r="F732" s="224"/>
      <c r="G732" s="126"/>
      <c r="H732" s="218"/>
      <c r="I732" s="223"/>
      <c r="J732" s="46"/>
      <c r="K732" s="46"/>
      <c r="L732" s="46"/>
      <c r="M732" s="46"/>
      <c r="N732" s="46"/>
      <c r="O732" s="46"/>
      <c r="P732" s="46"/>
      <c r="Q732" s="46"/>
      <c r="R732" s="46"/>
      <c r="S732" s="46"/>
      <c r="T732" s="46"/>
      <c r="U732" s="46"/>
      <c r="V732" s="46"/>
      <c r="W732" s="46"/>
    </row>
    <row r="733">
      <c r="A733" s="55"/>
      <c r="B733" s="218"/>
      <c r="C733" s="55"/>
      <c r="D733" s="218"/>
      <c r="E733" s="126"/>
      <c r="F733" s="224"/>
      <c r="G733" s="126"/>
      <c r="H733" s="218"/>
      <c r="I733" s="223"/>
      <c r="J733" s="46"/>
      <c r="K733" s="46"/>
      <c r="L733" s="46"/>
      <c r="M733" s="46"/>
      <c r="N733" s="46"/>
      <c r="O733" s="46"/>
      <c r="P733" s="46"/>
      <c r="Q733" s="46"/>
      <c r="R733" s="46"/>
      <c r="S733" s="46"/>
      <c r="T733" s="46"/>
      <c r="U733" s="46"/>
      <c r="V733" s="46"/>
      <c r="W733" s="46"/>
    </row>
    <row r="734">
      <c r="A734" s="55"/>
      <c r="B734" s="218"/>
      <c r="C734" s="55"/>
      <c r="D734" s="218"/>
      <c r="E734" s="126"/>
      <c r="F734" s="224"/>
      <c r="G734" s="126"/>
      <c r="H734" s="218"/>
      <c r="I734" s="223"/>
      <c r="J734" s="46"/>
      <c r="K734" s="46"/>
      <c r="L734" s="46"/>
      <c r="M734" s="46"/>
      <c r="N734" s="46"/>
      <c r="O734" s="46"/>
      <c r="P734" s="46"/>
      <c r="Q734" s="46"/>
      <c r="R734" s="46"/>
      <c r="S734" s="46"/>
      <c r="T734" s="46"/>
      <c r="U734" s="46"/>
      <c r="V734" s="46"/>
      <c r="W734" s="46"/>
    </row>
    <row r="735">
      <c r="A735" s="55"/>
      <c r="B735" s="218"/>
      <c r="C735" s="55"/>
      <c r="D735" s="218"/>
      <c r="E735" s="126"/>
      <c r="F735" s="224"/>
      <c r="G735" s="126"/>
      <c r="H735" s="218"/>
      <c r="I735" s="223"/>
      <c r="J735" s="46"/>
      <c r="K735" s="46"/>
      <c r="L735" s="46"/>
      <c r="M735" s="46"/>
      <c r="N735" s="46"/>
      <c r="O735" s="46"/>
      <c r="P735" s="46"/>
      <c r="Q735" s="46"/>
      <c r="R735" s="46"/>
      <c r="S735" s="46"/>
      <c r="T735" s="46"/>
      <c r="U735" s="46"/>
      <c r="V735" s="46"/>
      <c r="W735" s="46"/>
    </row>
    <row r="736">
      <c r="A736" s="55"/>
      <c r="B736" s="218"/>
      <c r="C736" s="55"/>
      <c r="D736" s="218"/>
      <c r="E736" s="126"/>
      <c r="F736" s="224"/>
      <c r="G736" s="126"/>
      <c r="H736" s="218"/>
      <c r="I736" s="223"/>
      <c r="J736" s="46"/>
      <c r="K736" s="46"/>
      <c r="L736" s="46"/>
      <c r="M736" s="46"/>
      <c r="N736" s="46"/>
      <c r="O736" s="46"/>
      <c r="P736" s="46"/>
      <c r="Q736" s="46"/>
      <c r="R736" s="46"/>
      <c r="S736" s="46"/>
      <c r="T736" s="46"/>
      <c r="U736" s="46"/>
      <c r="V736" s="46"/>
      <c r="W736" s="46"/>
    </row>
    <row r="737">
      <c r="A737" s="55"/>
      <c r="B737" s="218"/>
      <c r="C737" s="55"/>
      <c r="D737" s="218"/>
      <c r="E737" s="126"/>
      <c r="F737" s="224"/>
      <c r="G737" s="126"/>
      <c r="H737" s="218"/>
      <c r="I737" s="223"/>
      <c r="J737" s="46"/>
      <c r="K737" s="46"/>
      <c r="L737" s="46"/>
      <c r="M737" s="46"/>
      <c r="N737" s="46"/>
      <c r="O737" s="46"/>
      <c r="P737" s="46"/>
      <c r="Q737" s="46"/>
      <c r="R737" s="46"/>
      <c r="S737" s="46"/>
      <c r="T737" s="46"/>
      <c r="U737" s="46"/>
      <c r="V737" s="46"/>
      <c r="W737" s="46"/>
    </row>
    <row r="738">
      <c r="A738" s="55"/>
      <c r="B738" s="218"/>
      <c r="C738" s="55"/>
      <c r="D738" s="218"/>
      <c r="E738" s="126"/>
      <c r="F738" s="224"/>
      <c r="G738" s="126"/>
      <c r="H738" s="218"/>
      <c r="I738" s="223"/>
      <c r="J738" s="46"/>
      <c r="K738" s="46"/>
      <c r="L738" s="46"/>
      <c r="M738" s="46"/>
      <c r="N738" s="46"/>
      <c r="O738" s="46"/>
      <c r="P738" s="46"/>
      <c r="Q738" s="46"/>
      <c r="R738" s="46"/>
      <c r="S738" s="46"/>
      <c r="T738" s="46"/>
      <c r="U738" s="46"/>
      <c r="V738" s="46"/>
      <c r="W738" s="46"/>
    </row>
    <row r="739">
      <c r="A739" s="55"/>
      <c r="B739" s="218"/>
      <c r="C739" s="55"/>
      <c r="D739" s="218"/>
      <c r="E739" s="126"/>
      <c r="F739" s="224"/>
      <c r="G739" s="126"/>
      <c r="H739" s="218"/>
      <c r="I739" s="223"/>
      <c r="J739" s="46"/>
      <c r="K739" s="46"/>
      <c r="L739" s="46"/>
      <c r="M739" s="46"/>
      <c r="N739" s="46"/>
      <c r="O739" s="46"/>
      <c r="P739" s="46"/>
      <c r="Q739" s="46"/>
      <c r="R739" s="46"/>
      <c r="S739" s="46"/>
      <c r="T739" s="46"/>
      <c r="U739" s="46"/>
      <c r="V739" s="46"/>
      <c r="W739" s="46"/>
    </row>
    <row r="740">
      <c r="A740" s="55"/>
      <c r="B740" s="218"/>
      <c r="C740" s="55"/>
      <c r="D740" s="218"/>
      <c r="E740" s="126"/>
      <c r="F740" s="224"/>
      <c r="G740" s="126"/>
      <c r="H740" s="218"/>
      <c r="I740" s="223"/>
      <c r="J740" s="46"/>
      <c r="K740" s="46"/>
      <c r="L740" s="46"/>
      <c r="M740" s="46"/>
      <c r="N740" s="46"/>
      <c r="O740" s="46"/>
      <c r="P740" s="46"/>
      <c r="Q740" s="46"/>
      <c r="R740" s="46"/>
      <c r="S740" s="46"/>
      <c r="T740" s="46"/>
      <c r="U740" s="46"/>
      <c r="V740" s="46"/>
      <c r="W740" s="46"/>
    </row>
    <row r="741">
      <c r="A741" s="55"/>
      <c r="B741" s="218"/>
      <c r="C741" s="55"/>
      <c r="D741" s="218"/>
      <c r="E741" s="126"/>
      <c r="F741" s="224"/>
      <c r="G741" s="126"/>
      <c r="H741" s="218"/>
      <c r="I741" s="223"/>
      <c r="J741" s="46"/>
      <c r="K741" s="46"/>
      <c r="L741" s="46"/>
      <c r="M741" s="46"/>
      <c r="N741" s="46"/>
      <c r="O741" s="46"/>
      <c r="P741" s="46"/>
      <c r="Q741" s="46"/>
      <c r="R741" s="46"/>
      <c r="S741" s="46"/>
      <c r="T741" s="46"/>
      <c r="U741" s="46"/>
      <c r="V741" s="46"/>
      <c r="W741" s="46"/>
    </row>
    <row r="742">
      <c r="A742" s="55"/>
      <c r="B742" s="218"/>
      <c r="C742" s="55"/>
      <c r="D742" s="218"/>
      <c r="E742" s="126"/>
      <c r="F742" s="224"/>
      <c r="G742" s="126"/>
      <c r="H742" s="218"/>
      <c r="I742" s="223"/>
      <c r="J742" s="46"/>
      <c r="K742" s="46"/>
      <c r="L742" s="46"/>
      <c r="M742" s="46"/>
      <c r="N742" s="46"/>
      <c r="O742" s="46"/>
      <c r="P742" s="46"/>
      <c r="Q742" s="46"/>
      <c r="R742" s="46"/>
      <c r="S742" s="46"/>
      <c r="T742" s="46"/>
      <c r="U742" s="46"/>
      <c r="V742" s="46"/>
      <c r="W742" s="46"/>
    </row>
    <row r="743">
      <c r="A743" s="55"/>
      <c r="B743" s="218"/>
      <c r="C743" s="55"/>
      <c r="D743" s="218"/>
      <c r="E743" s="126"/>
      <c r="F743" s="224"/>
      <c r="G743" s="126"/>
      <c r="H743" s="218"/>
      <c r="I743" s="223"/>
      <c r="J743" s="46"/>
      <c r="K743" s="46"/>
      <c r="L743" s="46"/>
      <c r="M743" s="46"/>
      <c r="N743" s="46"/>
      <c r="O743" s="46"/>
      <c r="P743" s="46"/>
      <c r="Q743" s="46"/>
      <c r="R743" s="46"/>
      <c r="S743" s="46"/>
      <c r="T743" s="46"/>
      <c r="U743" s="46"/>
      <c r="V743" s="46"/>
      <c r="W743" s="46"/>
    </row>
    <row r="744">
      <c r="A744" s="55"/>
      <c r="B744" s="218"/>
      <c r="C744" s="55"/>
      <c r="D744" s="218"/>
      <c r="E744" s="126"/>
      <c r="F744" s="224"/>
      <c r="G744" s="126"/>
      <c r="H744" s="218"/>
      <c r="I744" s="223"/>
      <c r="J744" s="46"/>
      <c r="K744" s="46"/>
      <c r="L744" s="46"/>
      <c r="M744" s="46"/>
      <c r="N744" s="46"/>
      <c r="O744" s="46"/>
      <c r="P744" s="46"/>
      <c r="Q744" s="46"/>
      <c r="R744" s="46"/>
      <c r="S744" s="46"/>
      <c r="T744" s="46"/>
      <c r="U744" s="46"/>
      <c r="V744" s="46"/>
      <c r="W744" s="46"/>
    </row>
    <row r="745">
      <c r="A745" s="55"/>
      <c r="B745" s="218"/>
      <c r="C745" s="55"/>
      <c r="D745" s="218"/>
      <c r="E745" s="126"/>
      <c r="F745" s="224"/>
      <c r="G745" s="126"/>
      <c r="H745" s="218"/>
      <c r="I745" s="223"/>
      <c r="J745" s="46"/>
      <c r="K745" s="46"/>
      <c r="L745" s="46"/>
      <c r="M745" s="46"/>
      <c r="N745" s="46"/>
      <c r="O745" s="46"/>
      <c r="P745" s="46"/>
      <c r="Q745" s="46"/>
      <c r="R745" s="46"/>
      <c r="S745" s="46"/>
      <c r="T745" s="46"/>
      <c r="U745" s="46"/>
      <c r="V745" s="46"/>
      <c r="W745" s="46"/>
    </row>
    <row r="746">
      <c r="A746" s="55"/>
      <c r="B746" s="218"/>
      <c r="C746" s="55"/>
      <c r="D746" s="218"/>
      <c r="E746" s="126"/>
      <c r="F746" s="224"/>
      <c r="G746" s="126"/>
      <c r="H746" s="218"/>
      <c r="I746" s="223"/>
      <c r="J746" s="46"/>
      <c r="K746" s="46"/>
      <c r="L746" s="46"/>
      <c r="M746" s="46"/>
      <c r="N746" s="46"/>
      <c r="O746" s="46"/>
      <c r="P746" s="46"/>
      <c r="Q746" s="46"/>
      <c r="R746" s="46"/>
      <c r="S746" s="46"/>
      <c r="T746" s="46"/>
      <c r="U746" s="46"/>
      <c r="V746" s="46"/>
      <c r="W746" s="46"/>
    </row>
    <row r="747">
      <c r="A747" s="55"/>
      <c r="B747" s="218"/>
      <c r="C747" s="55"/>
      <c r="D747" s="218"/>
      <c r="E747" s="126"/>
      <c r="F747" s="224"/>
      <c r="G747" s="126"/>
      <c r="H747" s="218"/>
      <c r="I747" s="223"/>
      <c r="J747" s="46"/>
      <c r="K747" s="46"/>
      <c r="L747" s="46"/>
      <c r="M747" s="46"/>
      <c r="N747" s="46"/>
      <c r="O747" s="46"/>
      <c r="P747" s="46"/>
      <c r="Q747" s="46"/>
      <c r="R747" s="46"/>
      <c r="S747" s="46"/>
      <c r="T747" s="46"/>
      <c r="U747" s="46"/>
      <c r="V747" s="46"/>
      <c r="W747" s="46"/>
    </row>
    <row r="748">
      <c r="A748" s="55"/>
      <c r="B748" s="218"/>
      <c r="C748" s="55"/>
      <c r="D748" s="218"/>
      <c r="E748" s="126"/>
      <c r="F748" s="224"/>
      <c r="G748" s="126"/>
      <c r="H748" s="218"/>
      <c r="I748" s="223"/>
      <c r="J748" s="46"/>
      <c r="K748" s="46"/>
      <c r="L748" s="46"/>
      <c r="M748" s="46"/>
      <c r="N748" s="46"/>
      <c r="O748" s="46"/>
      <c r="P748" s="46"/>
      <c r="Q748" s="46"/>
      <c r="R748" s="46"/>
      <c r="S748" s="46"/>
      <c r="T748" s="46"/>
      <c r="U748" s="46"/>
      <c r="V748" s="46"/>
      <c r="W748" s="46"/>
    </row>
    <row r="749">
      <c r="A749" s="55"/>
      <c r="B749" s="218"/>
      <c r="C749" s="55"/>
      <c r="D749" s="218"/>
      <c r="E749" s="126"/>
      <c r="F749" s="224"/>
      <c r="G749" s="126"/>
      <c r="H749" s="218"/>
      <c r="I749" s="223"/>
      <c r="J749" s="46"/>
      <c r="K749" s="46"/>
      <c r="L749" s="46"/>
      <c r="M749" s="46"/>
      <c r="N749" s="46"/>
      <c r="O749" s="46"/>
      <c r="P749" s="46"/>
      <c r="Q749" s="46"/>
      <c r="R749" s="46"/>
      <c r="S749" s="46"/>
      <c r="T749" s="46"/>
      <c r="U749" s="46"/>
      <c r="V749" s="46"/>
      <c r="W749" s="46"/>
    </row>
    <row r="750">
      <c r="A750" s="55"/>
      <c r="B750" s="218"/>
      <c r="C750" s="55"/>
      <c r="D750" s="218"/>
      <c r="E750" s="126"/>
      <c r="F750" s="224"/>
      <c r="G750" s="126"/>
      <c r="H750" s="218"/>
      <c r="I750" s="223"/>
      <c r="J750" s="46"/>
      <c r="K750" s="46"/>
      <c r="L750" s="46"/>
      <c r="M750" s="46"/>
      <c r="N750" s="46"/>
      <c r="O750" s="46"/>
      <c r="P750" s="46"/>
      <c r="Q750" s="46"/>
      <c r="R750" s="46"/>
      <c r="S750" s="46"/>
      <c r="T750" s="46"/>
      <c r="U750" s="46"/>
      <c r="V750" s="46"/>
      <c r="W750" s="46"/>
    </row>
    <row r="751">
      <c r="A751" s="55"/>
      <c r="B751" s="218"/>
      <c r="C751" s="55"/>
      <c r="D751" s="218"/>
      <c r="E751" s="126"/>
      <c r="F751" s="224"/>
      <c r="G751" s="126"/>
      <c r="H751" s="218"/>
      <c r="I751" s="223"/>
      <c r="J751" s="46"/>
      <c r="K751" s="46"/>
      <c r="L751" s="46"/>
      <c r="M751" s="46"/>
      <c r="N751" s="46"/>
      <c r="O751" s="46"/>
      <c r="P751" s="46"/>
      <c r="Q751" s="46"/>
      <c r="R751" s="46"/>
      <c r="S751" s="46"/>
      <c r="T751" s="46"/>
      <c r="U751" s="46"/>
      <c r="V751" s="46"/>
      <c r="W751" s="46"/>
    </row>
    <row r="752">
      <c r="A752" s="55"/>
      <c r="B752" s="218"/>
      <c r="C752" s="55"/>
      <c r="D752" s="218"/>
      <c r="E752" s="126"/>
      <c r="F752" s="224"/>
      <c r="G752" s="126"/>
      <c r="H752" s="218"/>
      <c r="I752" s="223"/>
      <c r="J752" s="46"/>
      <c r="K752" s="46"/>
      <c r="L752" s="46"/>
      <c r="M752" s="46"/>
      <c r="N752" s="46"/>
      <c r="O752" s="46"/>
      <c r="P752" s="46"/>
      <c r="Q752" s="46"/>
      <c r="R752" s="46"/>
      <c r="S752" s="46"/>
      <c r="T752" s="46"/>
      <c r="U752" s="46"/>
      <c r="V752" s="46"/>
      <c r="W752" s="46"/>
    </row>
    <row r="753">
      <c r="A753" s="55"/>
      <c r="B753" s="218"/>
      <c r="C753" s="55"/>
      <c r="D753" s="218"/>
      <c r="E753" s="126"/>
      <c r="F753" s="224"/>
      <c r="G753" s="126"/>
      <c r="H753" s="218"/>
      <c r="I753" s="223"/>
      <c r="J753" s="46"/>
      <c r="K753" s="46"/>
      <c r="L753" s="46"/>
      <c r="M753" s="46"/>
      <c r="N753" s="46"/>
      <c r="O753" s="46"/>
      <c r="P753" s="46"/>
      <c r="Q753" s="46"/>
      <c r="R753" s="46"/>
      <c r="S753" s="46"/>
      <c r="T753" s="46"/>
      <c r="U753" s="46"/>
      <c r="V753" s="46"/>
      <c r="W753" s="46"/>
    </row>
    <row r="754">
      <c r="A754" s="55"/>
      <c r="B754" s="218"/>
      <c r="C754" s="55"/>
      <c r="D754" s="218"/>
      <c r="E754" s="126"/>
      <c r="F754" s="224"/>
      <c r="G754" s="126"/>
      <c r="H754" s="218"/>
      <c r="I754" s="223"/>
      <c r="J754" s="46"/>
      <c r="K754" s="46"/>
      <c r="L754" s="46"/>
      <c r="M754" s="46"/>
      <c r="N754" s="46"/>
      <c r="O754" s="46"/>
      <c r="P754" s="46"/>
      <c r="Q754" s="46"/>
      <c r="R754" s="46"/>
      <c r="S754" s="46"/>
      <c r="T754" s="46"/>
      <c r="U754" s="46"/>
      <c r="V754" s="46"/>
      <c r="W754" s="46"/>
    </row>
    <row r="755">
      <c r="A755" s="55"/>
      <c r="B755" s="218"/>
      <c r="C755" s="55"/>
      <c r="D755" s="218"/>
      <c r="E755" s="126"/>
      <c r="F755" s="224"/>
      <c r="G755" s="126"/>
      <c r="H755" s="218"/>
      <c r="I755" s="223"/>
      <c r="J755" s="46"/>
      <c r="K755" s="46"/>
      <c r="L755" s="46"/>
      <c r="M755" s="46"/>
      <c r="N755" s="46"/>
      <c r="O755" s="46"/>
      <c r="P755" s="46"/>
      <c r="Q755" s="46"/>
      <c r="R755" s="46"/>
      <c r="S755" s="46"/>
      <c r="T755" s="46"/>
      <c r="U755" s="46"/>
      <c r="V755" s="46"/>
      <c r="W755" s="46"/>
    </row>
    <row r="756">
      <c r="A756" s="55"/>
      <c r="B756" s="218"/>
      <c r="C756" s="55"/>
      <c r="D756" s="218"/>
      <c r="E756" s="126"/>
      <c r="F756" s="224"/>
      <c r="G756" s="126"/>
      <c r="H756" s="218"/>
      <c r="I756" s="223"/>
      <c r="J756" s="46"/>
      <c r="K756" s="46"/>
      <c r="L756" s="46"/>
      <c r="M756" s="46"/>
      <c r="N756" s="46"/>
      <c r="O756" s="46"/>
      <c r="P756" s="46"/>
      <c r="Q756" s="46"/>
      <c r="R756" s="46"/>
      <c r="S756" s="46"/>
      <c r="T756" s="46"/>
      <c r="U756" s="46"/>
      <c r="V756" s="46"/>
      <c r="W756" s="46"/>
    </row>
    <row r="757">
      <c r="A757" s="55"/>
      <c r="B757" s="218"/>
      <c r="C757" s="55"/>
      <c r="D757" s="218"/>
      <c r="E757" s="126"/>
      <c r="F757" s="224"/>
      <c r="G757" s="126"/>
      <c r="H757" s="218"/>
      <c r="I757" s="223"/>
      <c r="J757" s="46"/>
      <c r="K757" s="46"/>
      <c r="L757" s="46"/>
      <c r="M757" s="46"/>
      <c r="N757" s="46"/>
      <c r="O757" s="46"/>
      <c r="P757" s="46"/>
      <c r="Q757" s="46"/>
      <c r="R757" s="46"/>
      <c r="S757" s="46"/>
      <c r="T757" s="46"/>
      <c r="U757" s="46"/>
      <c r="V757" s="46"/>
      <c r="W757" s="46"/>
    </row>
    <row r="758">
      <c r="A758" s="55"/>
      <c r="B758" s="218"/>
      <c r="C758" s="55"/>
      <c r="D758" s="218"/>
      <c r="E758" s="126"/>
      <c r="F758" s="224"/>
      <c r="G758" s="126"/>
      <c r="H758" s="218"/>
      <c r="I758" s="223"/>
      <c r="J758" s="46"/>
      <c r="K758" s="46"/>
      <c r="L758" s="46"/>
      <c r="M758" s="46"/>
      <c r="N758" s="46"/>
      <c r="O758" s="46"/>
      <c r="P758" s="46"/>
      <c r="Q758" s="46"/>
      <c r="R758" s="46"/>
      <c r="S758" s="46"/>
      <c r="T758" s="46"/>
      <c r="U758" s="46"/>
      <c r="V758" s="46"/>
      <c r="W758" s="46"/>
    </row>
    <row r="759">
      <c r="A759" s="55"/>
      <c r="B759" s="218"/>
      <c r="C759" s="55"/>
      <c r="D759" s="218"/>
      <c r="E759" s="126"/>
      <c r="F759" s="224"/>
      <c r="G759" s="126"/>
      <c r="H759" s="218"/>
      <c r="I759" s="223"/>
      <c r="J759" s="46"/>
      <c r="K759" s="46"/>
      <c r="L759" s="46"/>
      <c r="M759" s="46"/>
      <c r="N759" s="46"/>
      <c r="O759" s="46"/>
      <c r="P759" s="46"/>
      <c r="Q759" s="46"/>
      <c r="R759" s="46"/>
      <c r="S759" s="46"/>
      <c r="T759" s="46"/>
      <c r="U759" s="46"/>
      <c r="V759" s="46"/>
      <c r="W759" s="46"/>
    </row>
    <row r="760">
      <c r="A760" s="55"/>
      <c r="B760" s="218"/>
      <c r="C760" s="55"/>
      <c r="D760" s="218"/>
      <c r="E760" s="126"/>
      <c r="F760" s="224"/>
      <c r="G760" s="126"/>
      <c r="H760" s="218"/>
      <c r="I760" s="223"/>
      <c r="J760" s="46"/>
      <c r="K760" s="46"/>
      <c r="L760" s="46"/>
      <c r="M760" s="46"/>
      <c r="N760" s="46"/>
      <c r="O760" s="46"/>
      <c r="P760" s="46"/>
      <c r="Q760" s="46"/>
      <c r="R760" s="46"/>
      <c r="S760" s="46"/>
      <c r="T760" s="46"/>
      <c r="U760" s="46"/>
      <c r="V760" s="46"/>
      <c r="W760" s="46"/>
    </row>
    <row r="761">
      <c r="A761" s="55"/>
      <c r="B761" s="218"/>
      <c r="C761" s="55"/>
      <c r="D761" s="218"/>
      <c r="E761" s="126"/>
      <c r="F761" s="224"/>
      <c r="G761" s="126"/>
      <c r="H761" s="218"/>
      <c r="I761" s="223"/>
      <c r="J761" s="46"/>
      <c r="K761" s="46"/>
      <c r="L761" s="46"/>
      <c r="M761" s="46"/>
      <c r="N761" s="46"/>
      <c r="O761" s="46"/>
      <c r="P761" s="46"/>
      <c r="Q761" s="46"/>
      <c r="R761" s="46"/>
      <c r="S761" s="46"/>
      <c r="T761" s="46"/>
      <c r="U761" s="46"/>
      <c r="V761" s="46"/>
      <c r="W761" s="46"/>
    </row>
    <row r="762">
      <c r="A762" s="55"/>
      <c r="B762" s="218"/>
      <c r="C762" s="55"/>
      <c r="D762" s="218"/>
      <c r="E762" s="126"/>
      <c r="F762" s="224"/>
      <c r="G762" s="126"/>
      <c r="H762" s="218"/>
      <c r="I762" s="223"/>
      <c r="J762" s="46"/>
      <c r="K762" s="46"/>
      <c r="L762" s="46"/>
      <c r="M762" s="46"/>
      <c r="N762" s="46"/>
      <c r="O762" s="46"/>
      <c r="P762" s="46"/>
      <c r="Q762" s="46"/>
      <c r="R762" s="46"/>
      <c r="S762" s="46"/>
      <c r="T762" s="46"/>
      <c r="U762" s="46"/>
      <c r="V762" s="46"/>
      <c r="W762" s="46"/>
    </row>
    <row r="763">
      <c r="A763" s="55"/>
      <c r="B763" s="218"/>
      <c r="C763" s="55"/>
      <c r="D763" s="218"/>
      <c r="E763" s="126"/>
      <c r="F763" s="224"/>
      <c r="G763" s="126"/>
      <c r="H763" s="218"/>
      <c r="I763" s="223"/>
      <c r="J763" s="46"/>
      <c r="K763" s="46"/>
      <c r="L763" s="46"/>
      <c r="M763" s="46"/>
      <c r="N763" s="46"/>
      <c r="O763" s="46"/>
      <c r="P763" s="46"/>
      <c r="Q763" s="46"/>
      <c r="R763" s="46"/>
      <c r="S763" s="46"/>
      <c r="T763" s="46"/>
      <c r="U763" s="46"/>
      <c r="V763" s="46"/>
      <c r="W763" s="46"/>
    </row>
    <row r="764">
      <c r="A764" s="55"/>
      <c r="B764" s="218"/>
      <c r="C764" s="55"/>
      <c r="D764" s="218"/>
      <c r="E764" s="126"/>
      <c r="F764" s="224"/>
      <c r="G764" s="126"/>
      <c r="H764" s="218"/>
      <c r="I764" s="223"/>
      <c r="J764" s="46"/>
      <c r="K764" s="46"/>
      <c r="L764" s="46"/>
      <c r="M764" s="46"/>
      <c r="N764" s="46"/>
      <c r="O764" s="46"/>
      <c r="P764" s="46"/>
      <c r="Q764" s="46"/>
      <c r="R764" s="46"/>
      <c r="S764" s="46"/>
      <c r="T764" s="46"/>
      <c r="U764" s="46"/>
      <c r="V764" s="46"/>
      <c r="W764" s="46"/>
    </row>
    <row r="765">
      <c r="A765" s="55"/>
      <c r="B765" s="218"/>
      <c r="C765" s="55"/>
      <c r="D765" s="218"/>
      <c r="E765" s="126"/>
      <c r="F765" s="224"/>
      <c r="G765" s="126"/>
      <c r="H765" s="218"/>
      <c r="I765" s="223"/>
      <c r="J765" s="46"/>
      <c r="K765" s="46"/>
      <c r="L765" s="46"/>
      <c r="M765" s="46"/>
      <c r="N765" s="46"/>
      <c r="O765" s="46"/>
      <c r="P765" s="46"/>
      <c r="Q765" s="46"/>
      <c r="R765" s="46"/>
      <c r="S765" s="46"/>
      <c r="T765" s="46"/>
      <c r="U765" s="46"/>
      <c r="V765" s="46"/>
      <c r="W765" s="46"/>
    </row>
    <row r="766">
      <c r="A766" s="55"/>
      <c r="B766" s="218"/>
      <c r="C766" s="55"/>
      <c r="D766" s="218"/>
      <c r="E766" s="126"/>
      <c r="F766" s="224"/>
      <c r="G766" s="126"/>
      <c r="H766" s="218"/>
      <c r="I766" s="223"/>
      <c r="J766" s="46"/>
      <c r="K766" s="46"/>
      <c r="L766" s="46"/>
      <c r="M766" s="46"/>
      <c r="N766" s="46"/>
      <c r="O766" s="46"/>
      <c r="P766" s="46"/>
      <c r="Q766" s="46"/>
      <c r="R766" s="46"/>
      <c r="S766" s="46"/>
      <c r="T766" s="46"/>
      <c r="U766" s="46"/>
      <c r="V766" s="46"/>
      <c r="W766" s="46"/>
    </row>
    <row r="767">
      <c r="A767" s="55"/>
      <c r="B767" s="218"/>
      <c r="C767" s="55"/>
      <c r="D767" s="218"/>
      <c r="E767" s="126"/>
      <c r="F767" s="224"/>
      <c r="G767" s="126"/>
      <c r="H767" s="218"/>
      <c r="I767" s="223"/>
      <c r="J767" s="46"/>
      <c r="K767" s="46"/>
      <c r="L767" s="46"/>
      <c r="M767" s="46"/>
      <c r="N767" s="46"/>
      <c r="O767" s="46"/>
      <c r="P767" s="46"/>
      <c r="Q767" s="46"/>
      <c r="R767" s="46"/>
      <c r="S767" s="46"/>
      <c r="T767" s="46"/>
      <c r="U767" s="46"/>
      <c r="V767" s="46"/>
      <c r="W767" s="46"/>
    </row>
    <row r="768">
      <c r="A768" s="55"/>
      <c r="B768" s="218"/>
      <c r="C768" s="55"/>
      <c r="D768" s="218"/>
      <c r="E768" s="126"/>
      <c r="F768" s="224"/>
      <c r="G768" s="126"/>
      <c r="H768" s="218"/>
      <c r="I768" s="223"/>
      <c r="J768" s="46"/>
      <c r="K768" s="46"/>
      <c r="L768" s="46"/>
      <c r="M768" s="46"/>
      <c r="N768" s="46"/>
      <c r="O768" s="46"/>
      <c r="P768" s="46"/>
      <c r="Q768" s="46"/>
      <c r="R768" s="46"/>
      <c r="S768" s="46"/>
      <c r="T768" s="46"/>
      <c r="U768" s="46"/>
      <c r="V768" s="46"/>
      <c r="W768" s="46"/>
    </row>
    <row r="769">
      <c r="A769" s="55"/>
      <c r="B769" s="218"/>
      <c r="C769" s="55"/>
      <c r="D769" s="218"/>
      <c r="E769" s="126"/>
      <c r="F769" s="224"/>
      <c r="G769" s="126"/>
      <c r="H769" s="218"/>
      <c r="I769" s="223"/>
      <c r="J769" s="46"/>
      <c r="K769" s="46"/>
      <c r="L769" s="46"/>
      <c r="M769" s="46"/>
      <c r="N769" s="46"/>
      <c r="O769" s="46"/>
      <c r="P769" s="46"/>
      <c r="Q769" s="46"/>
      <c r="R769" s="46"/>
      <c r="S769" s="46"/>
      <c r="T769" s="46"/>
      <c r="U769" s="46"/>
      <c r="V769" s="46"/>
      <c r="W769" s="46"/>
    </row>
    <row r="770">
      <c r="A770" s="55"/>
      <c r="B770" s="218"/>
      <c r="C770" s="55"/>
      <c r="D770" s="218"/>
      <c r="E770" s="126"/>
      <c r="F770" s="224"/>
      <c r="G770" s="126"/>
      <c r="H770" s="218"/>
      <c r="I770" s="223"/>
      <c r="J770" s="46"/>
      <c r="K770" s="46"/>
      <c r="L770" s="46"/>
      <c r="M770" s="46"/>
      <c r="N770" s="46"/>
      <c r="O770" s="46"/>
      <c r="P770" s="46"/>
      <c r="Q770" s="46"/>
      <c r="R770" s="46"/>
      <c r="S770" s="46"/>
      <c r="T770" s="46"/>
      <c r="U770" s="46"/>
      <c r="V770" s="46"/>
      <c r="W770" s="46"/>
    </row>
    <row r="771">
      <c r="A771" s="55"/>
      <c r="B771" s="218"/>
      <c r="C771" s="55"/>
      <c r="D771" s="218"/>
      <c r="E771" s="126"/>
      <c r="F771" s="224"/>
      <c r="G771" s="126"/>
      <c r="H771" s="218"/>
      <c r="I771" s="223"/>
      <c r="J771" s="46"/>
      <c r="K771" s="46"/>
      <c r="L771" s="46"/>
      <c r="M771" s="46"/>
      <c r="N771" s="46"/>
      <c r="O771" s="46"/>
      <c r="P771" s="46"/>
      <c r="Q771" s="46"/>
      <c r="R771" s="46"/>
      <c r="S771" s="46"/>
      <c r="T771" s="46"/>
      <c r="U771" s="46"/>
      <c r="V771" s="46"/>
      <c r="W771" s="46"/>
    </row>
    <row r="772">
      <c r="A772" s="55"/>
      <c r="B772" s="218"/>
      <c r="C772" s="55"/>
      <c r="D772" s="218"/>
      <c r="E772" s="126"/>
      <c r="F772" s="224"/>
      <c r="G772" s="126"/>
      <c r="H772" s="218"/>
      <c r="I772" s="223"/>
      <c r="J772" s="46"/>
      <c r="K772" s="46"/>
      <c r="L772" s="46"/>
      <c r="M772" s="46"/>
      <c r="N772" s="46"/>
      <c r="O772" s="46"/>
      <c r="P772" s="46"/>
      <c r="Q772" s="46"/>
      <c r="R772" s="46"/>
      <c r="S772" s="46"/>
      <c r="T772" s="46"/>
      <c r="U772" s="46"/>
      <c r="V772" s="46"/>
      <c r="W772" s="46"/>
    </row>
    <row r="773">
      <c r="A773" s="55"/>
      <c r="B773" s="218"/>
      <c r="C773" s="55"/>
      <c r="D773" s="218"/>
      <c r="E773" s="126"/>
      <c r="F773" s="224"/>
      <c r="G773" s="126"/>
      <c r="H773" s="218"/>
      <c r="I773" s="223"/>
      <c r="J773" s="46"/>
      <c r="K773" s="46"/>
      <c r="L773" s="46"/>
      <c r="M773" s="46"/>
      <c r="N773" s="46"/>
      <c r="O773" s="46"/>
      <c r="P773" s="46"/>
      <c r="Q773" s="46"/>
      <c r="R773" s="46"/>
      <c r="S773" s="46"/>
      <c r="T773" s="46"/>
      <c r="U773" s="46"/>
      <c r="V773" s="46"/>
      <c r="W773" s="46"/>
    </row>
    <row r="774">
      <c r="A774" s="55"/>
      <c r="B774" s="218"/>
      <c r="C774" s="55"/>
      <c r="D774" s="218"/>
      <c r="E774" s="126"/>
      <c r="F774" s="224"/>
      <c r="G774" s="126"/>
      <c r="H774" s="218"/>
      <c r="I774" s="223"/>
      <c r="J774" s="46"/>
      <c r="K774" s="46"/>
      <c r="L774" s="46"/>
      <c r="M774" s="46"/>
      <c r="N774" s="46"/>
      <c r="O774" s="46"/>
      <c r="P774" s="46"/>
      <c r="Q774" s="46"/>
      <c r="R774" s="46"/>
      <c r="S774" s="46"/>
      <c r="T774" s="46"/>
      <c r="U774" s="46"/>
      <c r="V774" s="46"/>
      <c r="W774" s="46"/>
    </row>
    <row r="775">
      <c r="A775" s="55"/>
      <c r="B775" s="218"/>
      <c r="C775" s="55"/>
      <c r="D775" s="218"/>
      <c r="E775" s="126"/>
      <c r="F775" s="224"/>
      <c r="G775" s="126"/>
      <c r="H775" s="218"/>
      <c r="I775" s="223"/>
      <c r="J775" s="46"/>
      <c r="K775" s="46"/>
      <c r="L775" s="46"/>
      <c r="M775" s="46"/>
      <c r="N775" s="46"/>
      <c r="O775" s="46"/>
      <c r="P775" s="46"/>
      <c r="Q775" s="46"/>
      <c r="R775" s="46"/>
      <c r="S775" s="46"/>
      <c r="T775" s="46"/>
      <c r="U775" s="46"/>
      <c r="V775" s="46"/>
      <c r="W775" s="46"/>
    </row>
    <row r="776">
      <c r="A776" s="55"/>
      <c r="B776" s="218"/>
      <c r="C776" s="55"/>
      <c r="D776" s="218"/>
      <c r="E776" s="126"/>
      <c r="F776" s="224"/>
      <c r="G776" s="126"/>
      <c r="H776" s="218"/>
      <c r="I776" s="223"/>
      <c r="J776" s="46"/>
      <c r="K776" s="46"/>
      <c r="L776" s="46"/>
      <c r="M776" s="46"/>
      <c r="N776" s="46"/>
      <c r="O776" s="46"/>
      <c r="P776" s="46"/>
      <c r="Q776" s="46"/>
      <c r="R776" s="46"/>
      <c r="S776" s="46"/>
      <c r="T776" s="46"/>
      <c r="U776" s="46"/>
      <c r="V776" s="46"/>
      <c r="W776" s="46"/>
    </row>
    <row r="777">
      <c r="A777" s="55"/>
      <c r="B777" s="218"/>
      <c r="C777" s="55"/>
      <c r="D777" s="218"/>
      <c r="E777" s="126"/>
      <c r="F777" s="224"/>
      <c r="G777" s="126"/>
      <c r="H777" s="218"/>
      <c r="I777" s="223"/>
      <c r="J777" s="46"/>
      <c r="K777" s="46"/>
      <c r="L777" s="46"/>
      <c r="M777" s="46"/>
      <c r="N777" s="46"/>
      <c r="O777" s="46"/>
      <c r="P777" s="46"/>
      <c r="Q777" s="46"/>
      <c r="R777" s="46"/>
      <c r="S777" s="46"/>
      <c r="T777" s="46"/>
      <c r="U777" s="46"/>
      <c r="V777" s="46"/>
      <c r="W777" s="46"/>
    </row>
    <row r="778">
      <c r="A778" s="55"/>
      <c r="B778" s="218"/>
      <c r="C778" s="55"/>
      <c r="D778" s="218"/>
      <c r="E778" s="126"/>
      <c r="F778" s="224"/>
      <c r="G778" s="126"/>
      <c r="H778" s="218"/>
      <c r="I778" s="223"/>
      <c r="J778" s="46"/>
      <c r="K778" s="46"/>
      <c r="L778" s="46"/>
      <c r="M778" s="46"/>
      <c r="N778" s="46"/>
      <c r="O778" s="46"/>
      <c r="P778" s="46"/>
      <c r="Q778" s="46"/>
      <c r="R778" s="46"/>
      <c r="S778" s="46"/>
      <c r="T778" s="46"/>
      <c r="U778" s="46"/>
      <c r="V778" s="46"/>
      <c r="W778" s="46"/>
    </row>
    <row r="779">
      <c r="A779" s="55"/>
      <c r="B779" s="218"/>
      <c r="C779" s="55"/>
      <c r="D779" s="218"/>
      <c r="E779" s="126"/>
      <c r="F779" s="224"/>
      <c r="G779" s="126"/>
      <c r="H779" s="218"/>
      <c r="I779" s="223"/>
      <c r="J779" s="46"/>
      <c r="K779" s="46"/>
      <c r="L779" s="46"/>
      <c r="M779" s="46"/>
      <c r="N779" s="46"/>
      <c r="O779" s="46"/>
      <c r="P779" s="46"/>
      <c r="Q779" s="46"/>
      <c r="R779" s="46"/>
      <c r="S779" s="46"/>
      <c r="T779" s="46"/>
      <c r="U779" s="46"/>
      <c r="V779" s="46"/>
      <c r="W779" s="46"/>
    </row>
    <row r="780">
      <c r="A780" s="55"/>
      <c r="B780" s="218"/>
      <c r="C780" s="55"/>
      <c r="D780" s="218"/>
      <c r="E780" s="126"/>
      <c r="F780" s="224"/>
      <c r="G780" s="126"/>
      <c r="H780" s="218"/>
      <c r="I780" s="223"/>
      <c r="J780" s="46"/>
      <c r="K780" s="46"/>
      <c r="L780" s="46"/>
      <c r="M780" s="46"/>
      <c r="N780" s="46"/>
      <c r="O780" s="46"/>
      <c r="P780" s="46"/>
      <c r="Q780" s="46"/>
      <c r="R780" s="46"/>
      <c r="S780" s="46"/>
      <c r="T780" s="46"/>
      <c r="U780" s="46"/>
      <c r="V780" s="46"/>
      <c r="W780" s="46"/>
    </row>
    <row r="781">
      <c r="A781" s="55"/>
      <c r="B781" s="218"/>
      <c r="C781" s="55"/>
      <c r="D781" s="218"/>
      <c r="E781" s="126"/>
      <c r="F781" s="224"/>
      <c r="G781" s="126"/>
      <c r="H781" s="218"/>
      <c r="I781" s="223"/>
      <c r="J781" s="46"/>
      <c r="K781" s="46"/>
      <c r="L781" s="46"/>
      <c r="M781" s="46"/>
      <c r="N781" s="46"/>
      <c r="O781" s="46"/>
      <c r="P781" s="46"/>
      <c r="Q781" s="46"/>
      <c r="R781" s="46"/>
      <c r="S781" s="46"/>
      <c r="T781" s="46"/>
      <c r="U781" s="46"/>
      <c r="V781" s="46"/>
      <c r="W781" s="46"/>
    </row>
    <row r="782">
      <c r="A782" s="55"/>
      <c r="B782" s="218"/>
      <c r="C782" s="55"/>
      <c r="D782" s="218"/>
      <c r="E782" s="126"/>
      <c r="F782" s="224"/>
      <c r="G782" s="126"/>
      <c r="H782" s="218"/>
      <c r="I782" s="223"/>
      <c r="J782" s="46"/>
      <c r="K782" s="46"/>
      <c r="L782" s="46"/>
      <c r="M782" s="46"/>
      <c r="N782" s="46"/>
      <c r="O782" s="46"/>
      <c r="P782" s="46"/>
      <c r="Q782" s="46"/>
      <c r="R782" s="46"/>
      <c r="S782" s="46"/>
      <c r="T782" s="46"/>
      <c r="U782" s="46"/>
      <c r="V782" s="46"/>
      <c r="W782" s="46"/>
    </row>
    <row r="783">
      <c r="A783" s="55"/>
      <c r="B783" s="218"/>
      <c r="C783" s="55"/>
      <c r="D783" s="218"/>
      <c r="E783" s="126"/>
      <c r="F783" s="224"/>
      <c r="G783" s="126"/>
      <c r="H783" s="218"/>
      <c r="I783" s="223"/>
      <c r="J783" s="46"/>
      <c r="K783" s="46"/>
      <c r="L783" s="46"/>
      <c r="M783" s="46"/>
      <c r="N783" s="46"/>
      <c r="O783" s="46"/>
      <c r="P783" s="46"/>
      <c r="Q783" s="46"/>
      <c r="R783" s="46"/>
      <c r="S783" s="46"/>
      <c r="T783" s="46"/>
      <c r="U783" s="46"/>
      <c r="V783" s="46"/>
      <c r="W783" s="46"/>
    </row>
    <row r="784">
      <c r="A784" s="55"/>
      <c r="B784" s="218"/>
      <c r="C784" s="55"/>
      <c r="D784" s="218"/>
      <c r="E784" s="126"/>
      <c r="F784" s="224"/>
      <c r="G784" s="126"/>
      <c r="H784" s="218"/>
      <c r="I784" s="223"/>
      <c r="J784" s="46"/>
      <c r="K784" s="46"/>
      <c r="L784" s="46"/>
      <c r="M784" s="46"/>
      <c r="N784" s="46"/>
      <c r="O784" s="46"/>
      <c r="P784" s="46"/>
      <c r="Q784" s="46"/>
      <c r="R784" s="46"/>
      <c r="S784" s="46"/>
      <c r="T784" s="46"/>
      <c r="U784" s="46"/>
      <c r="V784" s="46"/>
      <c r="W784" s="46"/>
    </row>
    <row r="785">
      <c r="A785" s="55"/>
      <c r="B785" s="218"/>
      <c r="C785" s="55"/>
      <c r="D785" s="218"/>
      <c r="E785" s="126"/>
      <c r="F785" s="224"/>
      <c r="G785" s="126"/>
      <c r="H785" s="218"/>
      <c r="I785" s="223"/>
      <c r="J785" s="46"/>
      <c r="K785" s="46"/>
      <c r="L785" s="46"/>
      <c r="M785" s="46"/>
      <c r="N785" s="46"/>
      <c r="O785" s="46"/>
      <c r="P785" s="46"/>
      <c r="Q785" s="46"/>
      <c r="R785" s="46"/>
      <c r="S785" s="46"/>
      <c r="T785" s="46"/>
      <c r="U785" s="46"/>
      <c r="V785" s="46"/>
      <c r="W785" s="46"/>
    </row>
    <row r="786">
      <c r="A786" s="55"/>
      <c r="B786" s="218"/>
      <c r="C786" s="55"/>
      <c r="D786" s="218"/>
      <c r="E786" s="126"/>
      <c r="F786" s="224"/>
      <c r="G786" s="126"/>
      <c r="H786" s="218"/>
      <c r="I786" s="223"/>
      <c r="J786" s="46"/>
      <c r="K786" s="46"/>
      <c r="L786" s="46"/>
      <c r="M786" s="46"/>
      <c r="N786" s="46"/>
      <c r="O786" s="46"/>
      <c r="P786" s="46"/>
      <c r="Q786" s="46"/>
      <c r="R786" s="46"/>
      <c r="S786" s="46"/>
      <c r="T786" s="46"/>
      <c r="U786" s="46"/>
      <c r="V786" s="46"/>
      <c r="W786" s="46"/>
    </row>
    <row r="787">
      <c r="A787" s="55"/>
      <c r="B787" s="218"/>
      <c r="C787" s="55"/>
      <c r="D787" s="218"/>
      <c r="E787" s="126"/>
      <c r="F787" s="224"/>
      <c r="G787" s="126"/>
      <c r="H787" s="218"/>
      <c r="I787" s="223"/>
      <c r="J787" s="46"/>
      <c r="K787" s="46"/>
      <c r="L787" s="46"/>
      <c r="M787" s="46"/>
      <c r="N787" s="46"/>
      <c r="O787" s="46"/>
      <c r="P787" s="46"/>
      <c r="Q787" s="46"/>
      <c r="R787" s="46"/>
      <c r="S787" s="46"/>
      <c r="T787" s="46"/>
      <c r="U787" s="46"/>
      <c r="V787" s="46"/>
      <c r="W787" s="46"/>
    </row>
    <row r="788">
      <c r="A788" s="55"/>
      <c r="B788" s="218"/>
      <c r="C788" s="55"/>
      <c r="D788" s="218"/>
      <c r="E788" s="126"/>
      <c r="F788" s="224"/>
      <c r="G788" s="126"/>
      <c r="H788" s="218"/>
      <c r="I788" s="223"/>
      <c r="J788" s="46"/>
      <c r="K788" s="46"/>
      <c r="L788" s="46"/>
      <c r="M788" s="46"/>
      <c r="N788" s="46"/>
      <c r="O788" s="46"/>
      <c r="P788" s="46"/>
      <c r="Q788" s="46"/>
      <c r="R788" s="46"/>
      <c r="S788" s="46"/>
      <c r="T788" s="46"/>
      <c r="U788" s="46"/>
      <c r="V788" s="46"/>
      <c r="W788" s="46"/>
    </row>
    <row r="789">
      <c r="A789" s="55"/>
      <c r="B789" s="218"/>
      <c r="C789" s="55"/>
      <c r="D789" s="218"/>
      <c r="E789" s="126"/>
      <c r="F789" s="224"/>
      <c r="G789" s="126"/>
      <c r="H789" s="218"/>
      <c r="I789" s="223"/>
      <c r="J789" s="46"/>
      <c r="K789" s="46"/>
      <c r="L789" s="46"/>
      <c r="M789" s="46"/>
      <c r="N789" s="46"/>
      <c r="O789" s="46"/>
      <c r="P789" s="46"/>
      <c r="Q789" s="46"/>
      <c r="R789" s="46"/>
      <c r="S789" s="46"/>
      <c r="T789" s="46"/>
      <c r="U789" s="46"/>
      <c r="V789" s="46"/>
      <c r="W789" s="46"/>
    </row>
    <row r="790">
      <c r="A790" s="55"/>
      <c r="B790" s="218"/>
      <c r="C790" s="55"/>
      <c r="D790" s="218"/>
      <c r="E790" s="126"/>
      <c r="F790" s="224"/>
      <c r="G790" s="126"/>
      <c r="H790" s="218"/>
      <c r="I790" s="223"/>
      <c r="J790" s="46"/>
      <c r="K790" s="46"/>
      <c r="L790" s="46"/>
      <c r="M790" s="46"/>
      <c r="N790" s="46"/>
      <c r="O790" s="46"/>
      <c r="P790" s="46"/>
      <c r="Q790" s="46"/>
      <c r="R790" s="46"/>
      <c r="S790" s="46"/>
      <c r="T790" s="46"/>
      <c r="U790" s="46"/>
      <c r="V790" s="46"/>
      <c r="W790" s="46"/>
    </row>
    <row r="791">
      <c r="A791" s="55"/>
      <c r="B791" s="218"/>
      <c r="C791" s="55"/>
      <c r="D791" s="218"/>
      <c r="E791" s="126"/>
      <c r="F791" s="224"/>
      <c r="G791" s="126"/>
      <c r="H791" s="218"/>
      <c r="I791" s="223"/>
      <c r="J791" s="46"/>
      <c r="K791" s="46"/>
      <c r="L791" s="46"/>
      <c r="M791" s="46"/>
      <c r="N791" s="46"/>
      <c r="O791" s="46"/>
      <c r="P791" s="46"/>
      <c r="Q791" s="46"/>
      <c r="R791" s="46"/>
      <c r="S791" s="46"/>
      <c r="T791" s="46"/>
      <c r="U791" s="46"/>
      <c r="V791" s="46"/>
      <c r="W791" s="46"/>
    </row>
    <row r="792">
      <c r="A792" s="55"/>
      <c r="B792" s="218"/>
      <c r="C792" s="55"/>
      <c r="D792" s="218"/>
      <c r="E792" s="126"/>
      <c r="F792" s="224"/>
      <c r="G792" s="126"/>
      <c r="H792" s="218"/>
      <c r="I792" s="223"/>
      <c r="J792" s="46"/>
      <c r="K792" s="46"/>
      <c r="L792" s="46"/>
      <c r="M792" s="46"/>
      <c r="N792" s="46"/>
      <c r="O792" s="46"/>
      <c r="P792" s="46"/>
      <c r="Q792" s="46"/>
      <c r="R792" s="46"/>
      <c r="S792" s="46"/>
      <c r="T792" s="46"/>
      <c r="U792" s="46"/>
      <c r="V792" s="46"/>
      <c r="W792" s="46"/>
    </row>
    <row r="793">
      <c r="A793" s="55"/>
      <c r="B793" s="218"/>
      <c r="C793" s="55"/>
      <c r="D793" s="218"/>
      <c r="E793" s="126"/>
      <c r="F793" s="224"/>
      <c r="G793" s="126"/>
      <c r="H793" s="218"/>
      <c r="I793" s="223"/>
      <c r="J793" s="46"/>
      <c r="K793" s="46"/>
      <c r="L793" s="46"/>
      <c r="M793" s="46"/>
      <c r="N793" s="46"/>
      <c r="O793" s="46"/>
      <c r="P793" s="46"/>
      <c r="Q793" s="46"/>
      <c r="R793" s="46"/>
      <c r="S793" s="46"/>
      <c r="T793" s="46"/>
      <c r="U793" s="46"/>
      <c r="V793" s="46"/>
      <c r="W793" s="46"/>
    </row>
    <row r="794">
      <c r="A794" s="55"/>
      <c r="B794" s="218"/>
      <c r="C794" s="55"/>
      <c r="D794" s="218"/>
      <c r="E794" s="126"/>
      <c r="F794" s="224"/>
      <c r="G794" s="126"/>
      <c r="H794" s="218"/>
      <c r="I794" s="223"/>
      <c r="J794" s="46"/>
      <c r="K794" s="46"/>
      <c r="L794" s="46"/>
      <c r="M794" s="46"/>
      <c r="N794" s="46"/>
      <c r="O794" s="46"/>
      <c r="P794" s="46"/>
      <c r="Q794" s="46"/>
      <c r="R794" s="46"/>
      <c r="S794" s="46"/>
      <c r="T794" s="46"/>
      <c r="U794" s="46"/>
      <c r="V794" s="46"/>
      <c r="W794" s="46"/>
    </row>
    <row r="795">
      <c r="A795" s="55"/>
      <c r="B795" s="218"/>
      <c r="C795" s="55"/>
      <c r="D795" s="218"/>
      <c r="E795" s="126"/>
      <c r="F795" s="224"/>
      <c r="G795" s="126"/>
      <c r="H795" s="218"/>
      <c r="I795" s="223"/>
      <c r="J795" s="46"/>
      <c r="K795" s="46"/>
      <c r="L795" s="46"/>
      <c r="M795" s="46"/>
      <c r="N795" s="46"/>
      <c r="O795" s="46"/>
      <c r="P795" s="46"/>
      <c r="Q795" s="46"/>
      <c r="R795" s="46"/>
      <c r="S795" s="46"/>
      <c r="T795" s="46"/>
      <c r="U795" s="46"/>
      <c r="V795" s="46"/>
      <c r="W795" s="46"/>
    </row>
    <row r="796">
      <c r="A796" s="55"/>
      <c r="B796" s="218"/>
      <c r="C796" s="55"/>
      <c r="D796" s="218"/>
      <c r="E796" s="126"/>
      <c r="F796" s="224"/>
      <c r="G796" s="126"/>
      <c r="H796" s="218"/>
      <c r="I796" s="223"/>
      <c r="J796" s="46"/>
      <c r="K796" s="46"/>
      <c r="L796" s="46"/>
      <c r="M796" s="46"/>
      <c r="N796" s="46"/>
      <c r="O796" s="46"/>
      <c r="P796" s="46"/>
      <c r="Q796" s="46"/>
      <c r="R796" s="46"/>
      <c r="S796" s="46"/>
      <c r="T796" s="46"/>
      <c r="U796" s="46"/>
      <c r="V796" s="46"/>
      <c r="W796" s="46"/>
    </row>
    <row r="797">
      <c r="A797" s="55"/>
      <c r="B797" s="218"/>
      <c r="C797" s="55"/>
      <c r="D797" s="218"/>
      <c r="E797" s="126"/>
      <c r="F797" s="224"/>
      <c r="G797" s="126"/>
      <c r="H797" s="218"/>
      <c r="I797" s="223"/>
      <c r="J797" s="46"/>
      <c r="K797" s="46"/>
      <c r="L797" s="46"/>
      <c r="M797" s="46"/>
      <c r="N797" s="46"/>
      <c r="O797" s="46"/>
      <c r="P797" s="46"/>
      <c r="Q797" s="46"/>
      <c r="R797" s="46"/>
      <c r="S797" s="46"/>
      <c r="T797" s="46"/>
      <c r="U797" s="46"/>
      <c r="V797" s="46"/>
      <c r="W797" s="46"/>
    </row>
    <row r="798">
      <c r="A798" s="55"/>
      <c r="B798" s="218"/>
      <c r="C798" s="55"/>
      <c r="D798" s="218"/>
      <c r="E798" s="126"/>
      <c r="F798" s="224"/>
      <c r="G798" s="126"/>
      <c r="H798" s="218"/>
      <c r="I798" s="223"/>
      <c r="J798" s="46"/>
      <c r="K798" s="46"/>
      <c r="L798" s="46"/>
      <c r="M798" s="46"/>
      <c r="N798" s="46"/>
      <c r="O798" s="46"/>
      <c r="P798" s="46"/>
      <c r="Q798" s="46"/>
      <c r="R798" s="46"/>
      <c r="S798" s="46"/>
      <c r="T798" s="46"/>
      <c r="U798" s="46"/>
      <c r="V798" s="46"/>
      <c r="W798" s="46"/>
    </row>
    <row r="799">
      <c r="A799" s="55"/>
      <c r="B799" s="218"/>
      <c r="C799" s="55"/>
      <c r="D799" s="218"/>
      <c r="E799" s="126"/>
      <c r="F799" s="224"/>
      <c r="G799" s="126"/>
      <c r="H799" s="218"/>
      <c r="I799" s="223"/>
      <c r="J799" s="46"/>
      <c r="K799" s="46"/>
      <c r="L799" s="46"/>
      <c r="M799" s="46"/>
      <c r="N799" s="46"/>
      <c r="O799" s="46"/>
      <c r="P799" s="46"/>
      <c r="Q799" s="46"/>
      <c r="R799" s="46"/>
      <c r="S799" s="46"/>
      <c r="T799" s="46"/>
      <c r="U799" s="46"/>
      <c r="V799" s="46"/>
      <c r="W799" s="46"/>
    </row>
    <row r="800">
      <c r="A800" s="55"/>
      <c r="B800" s="218"/>
      <c r="C800" s="55"/>
      <c r="D800" s="218"/>
      <c r="E800" s="126"/>
      <c r="F800" s="224"/>
      <c r="G800" s="126"/>
      <c r="H800" s="218"/>
      <c r="I800" s="223"/>
      <c r="J800" s="46"/>
      <c r="K800" s="46"/>
      <c r="L800" s="46"/>
      <c r="M800" s="46"/>
      <c r="N800" s="46"/>
      <c r="O800" s="46"/>
      <c r="P800" s="46"/>
      <c r="Q800" s="46"/>
      <c r="R800" s="46"/>
      <c r="S800" s="46"/>
      <c r="T800" s="46"/>
      <c r="U800" s="46"/>
      <c r="V800" s="46"/>
      <c r="W800" s="46"/>
    </row>
    <row r="801">
      <c r="A801" s="55"/>
      <c r="B801" s="218"/>
      <c r="C801" s="55"/>
      <c r="D801" s="218"/>
      <c r="E801" s="126"/>
      <c r="F801" s="224"/>
      <c r="G801" s="126"/>
      <c r="H801" s="218"/>
      <c r="I801" s="223"/>
      <c r="J801" s="46"/>
      <c r="K801" s="46"/>
      <c r="L801" s="46"/>
      <c r="M801" s="46"/>
      <c r="N801" s="46"/>
      <c r="O801" s="46"/>
      <c r="P801" s="46"/>
      <c r="Q801" s="46"/>
      <c r="R801" s="46"/>
      <c r="S801" s="46"/>
      <c r="T801" s="46"/>
      <c r="U801" s="46"/>
      <c r="V801" s="46"/>
      <c r="W801" s="46"/>
    </row>
    <row r="802">
      <c r="A802" s="55"/>
      <c r="B802" s="218"/>
      <c r="C802" s="55"/>
      <c r="D802" s="218"/>
      <c r="E802" s="126"/>
      <c r="F802" s="224"/>
      <c r="G802" s="126"/>
      <c r="H802" s="218"/>
      <c r="I802" s="223"/>
      <c r="J802" s="46"/>
      <c r="K802" s="46"/>
      <c r="L802" s="46"/>
      <c r="M802" s="46"/>
      <c r="N802" s="46"/>
      <c r="O802" s="46"/>
      <c r="P802" s="46"/>
      <c r="Q802" s="46"/>
      <c r="R802" s="46"/>
      <c r="S802" s="46"/>
      <c r="T802" s="46"/>
      <c r="U802" s="46"/>
      <c r="V802" s="46"/>
      <c r="W802" s="46"/>
    </row>
    <row r="803">
      <c r="A803" s="55"/>
      <c r="B803" s="218"/>
      <c r="C803" s="55"/>
      <c r="D803" s="218"/>
      <c r="E803" s="126"/>
      <c r="F803" s="224"/>
      <c r="G803" s="126"/>
      <c r="H803" s="218"/>
      <c r="I803" s="223"/>
      <c r="J803" s="46"/>
      <c r="K803" s="46"/>
      <c r="L803" s="46"/>
      <c r="M803" s="46"/>
      <c r="N803" s="46"/>
      <c r="O803" s="46"/>
      <c r="P803" s="46"/>
      <c r="Q803" s="46"/>
      <c r="R803" s="46"/>
      <c r="S803" s="46"/>
      <c r="T803" s="46"/>
      <c r="U803" s="46"/>
      <c r="V803" s="46"/>
      <c r="W803" s="46"/>
    </row>
    <row r="804">
      <c r="A804" s="55"/>
      <c r="B804" s="218"/>
      <c r="C804" s="55"/>
      <c r="D804" s="218"/>
      <c r="E804" s="126"/>
      <c r="F804" s="224"/>
      <c r="G804" s="126"/>
      <c r="H804" s="218"/>
      <c r="I804" s="223"/>
      <c r="J804" s="46"/>
      <c r="K804" s="46"/>
      <c r="L804" s="46"/>
      <c r="M804" s="46"/>
      <c r="N804" s="46"/>
      <c r="O804" s="46"/>
      <c r="P804" s="46"/>
      <c r="Q804" s="46"/>
      <c r="R804" s="46"/>
      <c r="S804" s="46"/>
      <c r="T804" s="46"/>
      <c r="U804" s="46"/>
      <c r="V804" s="46"/>
      <c r="W804" s="46"/>
    </row>
    <row r="805">
      <c r="A805" s="55"/>
      <c r="B805" s="218"/>
      <c r="C805" s="55"/>
      <c r="D805" s="218"/>
      <c r="E805" s="126"/>
      <c r="F805" s="224"/>
      <c r="G805" s="126"/>
      <c r="H805" s="218"/>
      <c r="I805" s="223"/>
      <c r="J805" s="46"/>
      <c r="K805" s="46"/>
      <c r="L805" s="46"/>
      <c r="M805" s="46"/>
      <c r="N805" s="46"/>
      <c r="O805" s="46"/>
      <c r="P805" s="46"/>
      <c r="Q805" s="46"/>
      <c r="R805" s="46"/>
      <c r="S805" s="46"/>
      <c r="T805" s="46"/>
      <c r="U805" s="46"/>
      <c r="V805" s="46"/>
      <c r="W805" s="46"/>
    </row>
    <row r="806">
      <c r="A806" s="55"/>
      <c r="B806" s="218"/>
      <c r="C806" s="55"/>
      <c r="D806" s="218"/>
      <c r="E806" s="126"/>
      <c r="F806" s="224"/>
      <c r="G806" s="126"/>
      <c r="H806" s="218"/>
      <c r="I806" s="223"/>
      <c r="J806" s="46"/>
      <c r="K806" s="46"/>
      <c r="L806" s="46"/>
      <c r="M806" s="46"/>
      <c r="N806" s="46"/>
      <c r="O806" s="46"/>
      <c r="P806" s="46"/>
      <c r="Q806" s="46"/>
      <c r="R806" s="46"/>
      <c r="S806" s="46"/>
      <c r="T806" s="46"/>
      <c r="U806" s="46"/>
      <c r="V806" s="46"/>
      <c r="W806" s="46"/>
    </row>
    <row r="807">
      <c r="A807" s="55"/>
      <c r="B807" s="218"/>
      <c r="C807" s="55"/>
      <c r="D807" s="218"/>
      <c r="E807" s="126"/>
      <c r="F807" s="224"/>
      <c r="G807" s="126"/>
      <c r="H807" s="218"/>
      <c r="I807" s="223"/>
      <c r="J807" s="46"/>
      <c r="K807" s="46"/>
      <c r="L807" s="46"/>
      <c r="M807" s="46"/>
      <c r="N807" s="46"/>
      <c r="O807" s="46"/>
      <c r="P807" s="46"/>
      <c r="Q807" s="46"/>
      <c r="R807" s="46"/>
      <c r="S807" s="46"/>
      <c r="T807" s="46"/>
      <c r="U807" s="46"/>
      <c r="V807" s="46"/>
      <c r="W807" s="46"/>
    </row>
    <row r="808">
      <c r="A808" s="55"/>
      <c r="B808" s="218"/>
      <c r="C808" s="55"/>
      <c r="D808" s="218"/>
      <c r="E808" s="126"/>
      <c r="F808" s="224"/>
      <c r="G808" s="126"/>
      <c r="H808" s="218"/>
      <c r="I808" s="223"/>
      <c r="J808" s="46"/>
      <c r="K808" s="46"/>
      <c r="L808" s="46"/>
      <c r="M808" s="46"/>
      <c r="N808" s="46"/>
      <c r="O808" s="46"/>
      <c r="P808" s="46"/>
      <c r="Q808" s="46"/>
      <c r="R808" s="46"/>
      <c r="S808" s="46"/>
      <c r="T808" s="46"/>
      <c r="U808" s="46"/>
      <c r="V808" s="46"/>
      <c r="W808" s="46"/>
    </row>
    <row r="809">
      <c r="A809" s="55"/>
      <c r="B809" s="218"/>
      <c r="C809" s="55"/>
      <c r="D809" s="218"/>
      <c r="E809" s="126"/>
      <c r="F809" s="224"/>
      <c r="G809" s="126"/>
      <c r="H809" s="218"/>
      <c r="I809" s="223"/>
      <c r="J809" s="46"/>
      <c r="K809" s="46"/>
      <c r="L809" s="46"/>
      <c r="M809" s="46"/>
      <c r="N809" s="46"/>
      <c r="O809" s="46"/>
      <c r="P809" s="46"/>
      <c r="Q809" s="46"/>
      <c r="R809" s="46"/>
      <c r="S809" s="46"/>
      <c r="T809" s="46"/>
      <c r="U809" s="46"/>
      <c r="V809" s="46"/>
      <c r="W809" s="46"/>
    </row>
    <row r="810">
      <c r="A810" s="55"/>
      <c r="B810" s="218"/>
      <c r="C810" s="55"/>
      <c r="D810" s="218"/>
      <c r="E810" s="126"/>
      <c r="F810" s="224"/>
      <c r="G810" s="126"/>
      <c r="H810" s="218"/>
      <c r="I810" s="223"/>
      <c r="J810" s="46"/>
      <c r="K810" s="46"/>
      <c r="L810" s="46"/>
      <c r="M810" s="46"/>
      <c r="N810" s="46"/>
      <c r="O810" s="46"/>
      <c r="P810" s="46"/>
      <c r="Q810" s="46"/>
      <c r="R810" s="46"/>
      <c r="S810" s="46"/>
      <c r="T810" s="46"/>
      <c r="U810" s="46"/>
      <c r="V810" s="46"/>
      <c r="W810" s="46"/>
    </row>
    <row r="811">
      <c r="A811" s="55"/>
      <c r="B811" s="218"/>
      <c r="C811" s="55"/>
      <c r="D811" s="218"/>
      <c r="E811" s="126"/>
      <c r="F811" s="224"/>
      <c r="G811" s="126"/>
      <c r="H811" s="218"/>
      <c r="I811" s="223"/>
      <c r="J811" s="46"/>
      <c r="K811" s="46"/>
      <c r="L811" s="46"/>
      <c r="M811" s="46"/>
      <c r="N811" s="46"/>
      <c r="O811" s="46"/>
      <c r="P811" s="46"/>
      <c r="Q811" s="46"/>
      <c r="R811" s="46"/>
      <c r="S811" s="46"/>
      <c r="T811" s="46"/>
      <c r="U811" s="46"/>
      <c r="V811" s="46"/>
      <c r="W811" s="46"/>
    </row>
    <row r="812">
      <c r="A812" s="55"/>
      <c r="B812" s="218"/>
      <c r="C812" s="55"/>
      <c r="D812" s="218"/>
      <c r="E812" s="126"/>
      <c r="F812" s="224"/>
      <c r="G812" s="126"/>
      <c r="H812" s="218"/>
      <c r="I812" s="223"/>
      <c r="J812" s="46"/>
      <c r="K812" s="46"/>
      <c r="L812" s="46"/>
      <c r="M812" s="46"/>
      <c r="N812" s="46"/>
      <c r="O812" s="46"/>
      <c r="P812" s="46"/>
      <c r="Q812" s="46"/>
      <c r="R812" s="46"/>
      <c r="S812" s="46"/>
      <c r="T812" s="46"/>
      <c r="U812" s="46"/>
      <c r="V812" s="46"/>
      <c r="W812" s="46"/>
    </row>
    <row r="813">
      <c r="A813" s="55"/>
      <c r="B813" s="218"/>
      <c r="C813" s="55"/>
      <c r="D813" s="218"/>
      <c r="E813" s="126"/>
      <c r="F813" s="224"/>
      <c r="G813" s="126"/>
      <c r="H813" s="218"/>
      <c r="I813" s="223"/>
      <c r="J813" s="46"/>
      <c r="K813" s="46"/>
      <c r="L813" s="46"/>
      <c r="M813" s="46"/>
      <c r="N813" s="46"/>
      <c r="O813" s="46"/>
      <c r="P813" s="46"/>
      <c r="Q813" s="46"/>
      <c r="R813" s="46"/>
      <c r="S813" s="46"/>
      <c r="T813" s="46"/>
      <c r="U813" s="46"/>
      <c r="V813" s="46"/>
      <c r="W813" s="46"/>
    </row>
    <row r="814">
      <c r="A814" s="55"/>
      <c r="B814" s="218"/>
      <c r="C814" s="55"/>
      <c r="D814" s="218"/>
      <c r="E814" s="126"/>
      <c r="F814" s="224"/>
      <c r="G814" s="126"/>
      <c r="H814" s="218"/>
      <c r="I814" s="223"/>
      <c r="J814" s="46"/>
      <c r="K814" s="46"/>
      <c r="L814" s="46"/>
      <c r="M814" s="46"/>
      <c r="N814" s="46"/>
      <c r="O814" s="46"/>
      <c r="P814" s="46"/>
      <c r="Q814" s="46"/>
      <c r="R814" s="46"/>
      <c r="S814" s="46"/>
      <c r="T814" s="46"/>
      <c r="U814" s="46"/>
      <c r="V814" s="46"/>
      <c r="W814" s="46"/>
    </row>
    <row r="815">
      <c r="A815" s="55"/>
      <c r="B815" s="218"/>
      <c r="C815" s="55"/>
      <c r="D815" s="218"/>
      <c r="E815" s="126"/>
      <c r="F815" s="224"/>
      <c r="G815" s="126"/>
      <c r="H815" s="218"/>
      <c r="I815" s="223"/>
      <c r="J815" s="46"/>
      <c r="K815" s="46"/>
      <c r="L815" s="46"/>
      <c r="M815" s="46"/>
      <c r="N815" s="46"/>
      <c r="O815" s="46"/>
      <c r="P815" s="46"/>
      <c r="Q815" s="46"/>
      <c r="R815" s="46"/>
      <c r="S815" s="46"/>
      <c r="T815" s="46"/>
      <c r="U815" s="46"/>
      <c r="V815" s="46"/>
      <c r="W815" s="46"/>
    </row>
    <row r="816">
      <c r="A816" s="55"/>
      <c r="B816" s="218"/>
      <c r="C816" s="55"/>
      <c r="D816" s="218"/>
      <c r="E816" s="126"/>
      <c r="F816" s="224"/>
      <c r="G816" s="126"/>
      <c r="H816" s="218"/>
      <c r="I816" s="223"/>
      <c r="J816" s="46"/>
      <c r="K816" s="46"/>
      <c r="L816" s="46"/>
      <c r="M816" s="46"/>
      <c r="N816" s="46"/>
      <c r="O816" s="46"/>
      <c r="P816" s="46"/>
      <c r="Q816" s="46"/>
      <c r="R816" s="46"/>
      <c r="S816" s="46"/>
      <c r="T816" s="46"/>
      <c r="U816" s="46"/>
      <c r="V816" s="46"/>
      <c r="W816" s="46"/>
    </row>
    <row r="817">
      <c r="A817" s="55"/>
      <c r="B817" s="218"/>
      <c r="C817" s="55"/>
      <c r="D817" s="218"/>
      <c r="E817" s="126"/>
      <c r="F817" s="224"/>
      <c r="G817" s="126"/>
      <c r="H817" s="218"/>
      <c r="I817" s="223"/>
      <c r="J817" s="46"/>
      <c r="K817" s="46"/>
      <c r="L817" s="46"/>
      <c r="M817" s="46"/>
      <c r="N817" s="46"/>
      <c r="O817" s="46"/>
      <c r="P817" s="46"/>
      <c r="Q817" s="46"/>
      <c r="R817" s="46"/>
      <c r="S817" s="46"/>
      <c r="T817" s="46"/>
      <c r="U817" s="46"/>
      <c r="V817" s="46"/>
      <c r="W817" s="46"/>
    </row>
    <row r="818">
      <c r="A818" s="55"/>
      <c r="B818" s="218"/>
      <c r="C818" s="55"/>
      <c r="D818" s="218"/>
      <c r="E818" s="126"/>
      <c r="F818" s="224"/>
      <c r="G818" s="126"/>
      <c r="H818" s="218"/>
      <c r="I818" s="223"/>
      <c r="J818" s="46"/>
      <c r="K818" s="46"/>
      <c r="L818" s="46"/>
      <c r="M818" s="46"/>
      <c r="N818" s="46"/>
      <c r="O818" s="46"/>
      <c r="P818" s="46"/>
      <c r="Q818" s="46"/>
      <c r="R818" s="46"/>
      <c r="S818" s="46"/>
      <c r="T818" s="46"/>
      <c r="U818" s="46"/>
      <c r="V818" s="46"/>
      <c r="W818" s="46"/>
    </row>
    <row r="819">
      <c r="A819" s="55"/>
      <c r="B819" s="218"/>
      <c r="C819" s="55"/>
      <c r="D819" s="218"/>
      <c r="E819" s="126"/>
      <c r="F819" s="224"/>
      <c r="G819" s="126"/>
      <c r="H819" s="218"/>
      <c r="I819" s="223"/>
      <c r="J819" s="46"/>
      <c r="K819" s="46"/>
      <c r="L819" s="46"/>
      <c r="M819" s="46"/>
      <c r="N819" s="46"/>
      <c r="O819" s="46"/>
      <c r="P819" s="46"/>
      <c r="Q819" s="46"/>
      <c r="R819" s="46"/>
      <c r="S819" s="46"/>
      <c r="T819" s="46"/>
      <c r="U819" s="46"/>
      <c r="V819" s="46"/>
      <c r="W819" s="46"/>
    </row>
    <row r="820">
      <c r="A820" s="55"/>
      <c r="B820" s="218"/>
      <c r="C820" s="55"/>
      <c r="D820" s="218"/>
      <c r="E820" s="126"/>
      <c r="F820" s="224"/>
      <c r="G820" s="126"/>
      <c r="H820" s="218"/>
      <c r="I820" s="223"/>
      <c r="J820" s="46"/>
      <c r="K820" s="46"/>
      <c r="L820" s="46"/>
      <c r="M820" s="46"/>
      <c r="N820" s="46"/>
      <c r="O820" s="46"/>
      <c r="P820" s="46"/>
      <c r="Q820" s="46"/>
      <c r="R820" s="46"/>
      <c r="S820" s="46"/>
      <c r="T820" s="46"/>
      <c r="U820" s="46"/>
      <c r="V820" s="46"/>
      <c r="W820" s="46"/>
    </row>
    <row r="821">
      <c r="A821" s="55"/>
      <c r="B821" s="218"/>
      <c r="C821" s="55"/>
      <c r="D821" s="218"/>
      <c r="E821" s="126"/>
      <c r="F821" s="224"/>
      <c r="G821" s="126"/>
      <c r="H821" s="218"/>
      <c r="I821" s="223"/>
      <c r="J821" s="46"/>
      <c r="K821" s="46"/>
      <c r="L821" s="46"/>
      <c r="M821" s="46"/>
      <c r="N821" s="46"/>
      <c r="O821" s="46"/>
      <c r="P821" s="46"/>
      <c r="Q821" s="46"/>
      <c r="R821" s="46"/>
      <c r="S821" s="46"/>
      <c r="T821" s="46"/>
      <c r="U821" s="46"/>
      <c r="V821" s="46"/>
      <c r="W821" s="46"/>
    </row>
    <row r="822">
      <c r="A822" s="55"/>
      <c r="B822" s="218"/>
      <c r="C822" s="55"/>
      <c r="D822" s="218"/>
      <c r="E822" s="126"/>
      <c r="F822" s="224"/>
      <c r="G822" s="126"/>
      <c r="H822" s="218"/>
      <c r="I822" s="223"/>
      <c r="J822" s="46"/>
      <c r="K822" s="46"/>
      <c r="L822" s="46"/>
      <c r="M822" s="46"/>
      <c r="N822" s="46"/>
      <c r="O822" s="46"/>
      <c r="P822" s="46"/>
      <c r="Q822" s="46"/>
      <c r="R822" s="46"/>
      <c r="S822" s="46"/>
      <c r="T822" s="46"/>
      <c r="U822" s="46"/>
      <c r="V822" s="46"/>
      <c r="W822" s="46"/>
    </row>
    <row r="823">
      <c r="A823" s="55"/>
      <c r="B823" s="218"/>
      <c r="C823" s="55"/>
      <c r="D823" s="218"/>
      <c r="E823" s="126"/>
      <c r="F823" s="224"/>
      <c r="G823" s="126"/>
      <c r="H823" s="218"/>
      <c r="I823" s="223"/>
      <c r="J823" s="46"/>
      <c r="K823" s="46"/>
      <c r="L823" s="46"/>
      <c r="M823" s="46"/>
      <c r="N823" s="46"/>
      <c r="O823" s="46"/>
      <c r="P823" s="46"/>
      <c r="Q823" s="46"/>
      <c r="R823" s="46"/>
      <c r="S823" s="46"/>
      <c r="T823" s="46"/>
      <c r="U823" s="46"/>
      <c r="V823" s="46"/>
      <c r="W823" s="46"/>
    </row>
    <row r="824">
      <c r="A824" s="55"/>
      <c r="B824" s="218"/>
      <c r="C824" s="55"/>
      <c r="D824" s="218"/>
      <c r="E824" s="126"/>
      <c r="F824" s="224"/>
      <c r="G824" s="126"/>
      <c r="H824" s="218"/>
      <c r="I824" s="223"/>
      <c r="J824" s="46"/>
      <c r="K824" s="46"/>
      <c r="L824" s="46"/>
      <c r="M824" s="46"/>
      <c r="N824" s="46"/>
      <c r="O824" s="46"/>
      <c r="P824" s="46"/>
      <c r="Q824" s="46"/>
      <c r="R824" s="46"/>
      <c r="S824" s="46"/>
      <c r="T824" s="46"/>
      <c r="U824" s="46"/>
      <c r="V824" s="46"/>
      <c r="W824" s="46"/>
    </row>
    <row r="825">
      <c r="A825" s="55"/>
      <c r="B825" s="218"/>
      <c r="C825" s="55"/>
      <c r="D825" s="218"/>
      <c r="E825" s="126"/>
      <c r="F825" s="224"/>
      <c r="G825" s="126"/>
      <c r="H825" s="218"/>
      <c r="I825" s="223"/>
      <c r="J825" s="46"/>
      <c r="K825" s="46"/>
      <c r="L825" s="46"/>
      <c r="M825" s="46"/>
      <c r="N825" s="46"/>
      <c r="O825" s="46"/>
      <c r="P825" s="46"/>
      <c r="Q825" s="46"/>
      <c r="R825" s="46"/>
      <c r="S825" s="46"/>
      <c r="T825" s="46"/>
      <c r="U825" s="46"/>
      <c r="V825" s="46"/>
      <c r="W825" s="46"/>
    </row>
    <row r="826">
      <c r="A826" s="55"/>
      <c r="B826" s="218"/>
      <c r="C826" s="55"/>
      <c r="D826" s="218"/>
      <c r="E826" s="126"/>
      <c r="F826" s="224"/>
      <c r="G826" s="126"/>
      <c r="H826" s="218"/>
      <c r="I826" s="223"/>
      <c r="J826" s="46"/>
      <c r="K826" s="46"/>
      <c r="L826" s="46"/>
      <c r="M826" s="46"/>
      <c r="N826" s="46"/>
      <c r="O826" s="46"/>
      <c r="P826" s="46"/>
      <c r="Q826" s="46"/>
      <c r="R826" s="46"/>
      <c r="S826" s="46"/>
      <c r="T826" s="46"/>
      <c r="U826" s="46"/>
      <c r="V826" s="46"/>
      <c r="W826" s="46"/>
    </row>
    <row r="827">
      <c r="A827" s="55"/>
      <c r="B827" s="218"/>
      <c r="C827" s="55"/>
      <c r="D827" s="218"/>
      <c r="E827" s="126"/>
      <c r="F827" s="224"/>
      <c r="G827" s="126"/>
      <c r="H827" s="218"/>
      <c r="I827" s="223"/>
      <c r="J827" s="46"/>
      <c r="K827" s="46"/>
      <c r="L827" s="46"/>
      <c r="M827" s="46"/>
      <c r="N827" s="46"/>
      <c r="O827" s="46"/>
      <c r="P827" s="46"/>
      <c r="Q827" s="46"/>
      <c r="R827" s="46"/>
      <c r="S827" s="46"/>
      <c r="T827" s="46"/>
      <c r="U827" s="46"/>
      <c r="V827" s="46"/>
      <c r="W827" s="46"/>
    </row>
    <row r="828">
      <c r="A828" s="55"/>
      <c r="B828" s="218"/>
      <c r="C828" s="55"/>
      <c r="D828" s="218"/>
      <c r="E828" s="126"/>
      <c r="F828" s="224"/>
      <c r="G828" s="126"/>
      <c r="H828" s="218"/>
      <c r="I828" s="223"/>
      <c r="J828" s="46"/>
      <c r="K828" s="46"/>
      <c r="L828" s="46"/>
      <c r="M828" s="46"/>
      <c r="N828" s="46"/>
      <c r="O828" s="46"/>
      <c r="P828" s="46"/>
      <c r="Q828" s="46"/>
      <c r="R828" s="46"/>
      <c r="S828" s="46"/>
      <c r="T828" s="46"/>
      <c r="U828" s="46"/>
      <c r="V828" s="46"/>
      <c r="W828" s="46"/>
    </row>
    <row r="829">
      <c r="A829" s="55"/>
      <c r="B829" s="218"/>
      <c r="C829" s="55"/>
      <c r="D829" s="218"/>
      <c r="E829" s="126"/>
      <c r="F829" s="224"/>
      <c r="G829" s="126"/>
      <c r="H829" s="218"/>
      <c r="I829" s="223"/>
      <c r="J829" s="46"/>
      <c r="K829" s="46"/>
      <c r="L829" s="46"/>
      <c r="M829" s="46"/>
      <c r="N829" s="46"/>
      <c r="O829" s="46"/>
      <c r="P829" s="46"/>
      <c r="Q829" s="46"/>
      <c r="R829" s="46"/>
      <c r="S829" s="46"/>
      <c r="T829" s="46"/>
      <c r="U829" s="46"/>
      <c r="V829" s="46"/>
      <c r="W829" s="46"/>
    </row>
    <row r="830">
      <c r="A830" s="55"/>
      <c r="B830" s="218"/>
      <c r="C830" s="55"/>
      <c r="D830" s="218"/>
      <c r="E830" s="126"/>
      <c r="F830" s="224"/>
      <c r="G830" s="126"/>
      <c r="H830" s="218"/>
      <c r="I830" s="223"/>
      <c r="J830" s="46"/>
      <c r="K830" s="46"/>
      <c r="L830" s="46"/>
      <c r="M830" s="46"/>
      <c r="N830" s="46"/>
      <c r="O830" s="46"/>
      <c r="P830" s="46"/>
      <c r="Q830" s="46"/>
      <c r="R830" s="46"/>
      <c r="S830" s="46"/>
      <c r="T830" s="46"/>
      <c r="U830" s="46"/>
      <c r="V830" s="46"/>
      <c r="W830" s="46"/>
    </row>
    <row r="831">
      <c r="A831" s="55"/>
      <c r="B831" s="218"/>
      <c r="C831" s="55"/>
      <c r="D831" s="218"/>
      <c r="E831" s="126"/>
      <c r="F831" s="224"/>
      <c r="G831" s="126"/>
      <c r="H831" s="218"/>
      <c r="I831" s="223"/>
      <c r="J831" s="46"/>
      <c r="K831" s="46"/>
      <c r="L831" s="46"/>
      <c r="M831" s="46"/>
      <c r="N831" s="46"/>
      <c r="O831" s="46"/>
      <c r="P831" s="46"/>
      <c r="Q831" s="46"/>
      <c r="R831" s="46"/>
      <c r="S831" s="46"/>
      <c r="T831" s="46"/>
      <c r="U831" s="46"/>
      <c r="V831" s="46"/>
      <c r="W831" s="46"/>
    </row>
    <row r="832">
      <c r="A832" s="55"/>
      <c r="B832" s="218"/>
      <c r="C832" s="55"/>
      <c r="D832" s="218"/>
      <c r="E832" s="126"/>
      <c r="F832" s="224"/>
      <c r="G832" s="126"/>
      <c r="H832" s="218"/>
      <c r="I832" s="223"/>
      <c r="J832" s="46"/>
      <c r="K832" s="46"/>
      <c r="L832" s="46"/>
      <c r="M832" s="46"/>
      <c r="N832" s="46"/>
      <c r="O832" s="46"/>
      <c r="P832" s="46"/>
      <c r="Q832" s="46"/>
      <c r="R832" s="46"/>
      <c r="S832" s="46"/>
      <c r="T832" s="46"/>
      <c r="U832" s="46"/>
      <c r="V832" s="46"/>
      <c r="W832" s="46"/>
    </row>
    <row r="833">
      <c r="A833" s="55"/>
      <c r="B833" s="218"/>
      <c r="C833" s="55"/>
      <c r="D833" s="218"/>
      <c r="E833" s="126"/>
      <c r="F833" s="224"/>
      <c r="G833" s="126"/>
      <c r="H833" s="218"/>
      <c r="I833" s="223"/>
      <c r="J833" s="46"/>
      <c r="K833" s="46"/>
      <c r="L833" s="46"/>
      <c r="M833" s="46"/>
      <c r="N833" s="46"/>
      <c r="O833" s="46"/>
      <c r="P833" s="46"/>
      <c r="Q833" s="46"/>
      <c r="R833" s="46"/>
      <c r="S833" s="46"/>
      <c r="T833" s="46"/>
      <c r="U833" s="46"/>
      <c r="V833" s="46"/>
      <c r="W833" s="46"/>
    </row>
    <row r="834">
      <c r="A834" s="55"/>
      <c r="B834" s="218"/>
      <c r="C834" s="55"/>
      <c r="D834" s="218"/>
      <c r="E834" s="126"/>
      <c r="F834" s="224"/>
      <c r="G834" s="126"/>
      <c r="H834" s="218"/>
      <c r="I834" s="223"/>
      <c r="J834" s="46"/>
      <c r="K834" s="46"/>
      <c r="L834" s="46"/>
      <c r="M834" s="46"/>
      <c r="N834" s="46"/>
      <c r="O834" s="46"/>
      <c r="P834" s="46"/>
      <c r="Q834" s="46"/>
      <c r="R834" s="46"/>
      <c r="S834" s="46"/>
      <c r="T834" s="46"/>
      <c r="U834" s="46"/>
      <c r="V834" s="46"/>
      <c r="W834" s="46"/>
    </row>
    <row r="835">
      <c r="A835" s="55"/>
      <c r="B835" s="218"/>
      <c r="C835" s="55"/>
      <c r="D835" s="218"/>
      <c r="E835" s="126"/>
      <c r="F835" s="224"/>
      <c r="G835" s="126"/>
      <c r="H835" s="218"/>
      <c r="I835" s="223"/>
      <c r="J835" s="46"/>
      <c r="K835" s="46"/>
      <c r="L835" s="46"/>
      <c r="M835" s="46"/>
      <c r="N835" s="46"/>
      <c r="O835" s="46"/>
      <c r="P835" s="46"/>
      <c r="Q835" s="46"/>
      <c r="R835" s="46"/>
      <c r="S835" s="46"/>
      <c r="T835" s="46"/>
      <c r="U835" s="46"/>
      <c r="V835" s="46"/>
      <c r="W835" s="46"/>
    </row>
    <row r="836">
      <c r="A836" s="55"/>
      <c r="B836" s="218"/>
      <c r="C836" s="55"/>
      <c r="D836" s="218"/>
      <c r="E836" s="126"/>
      <c r="F836" s="224"/>
      <c r="G836" s="126"/>
      <c r="H836" s="218"/>
      <c r="I836" s="223"/>
      <c r="J836" s="46"/>
      <c r="K836" s="46"/>
      <c r="L836" s="46"/>
      <c r="M836" s="46"/>
      <c r="N836" s="46"/>
      <c r="O836" s="46"/>
      <c r="P836" s="46"/>
      <c r="Q836" s="46"/>
      <c r="R836" s="46"/>
      <c r="S836" s="46"/>
      <c r="T836" s="46"/>
      <c r="U836" s="46"/>
      <c r="V836" s="46"/>
      <c r="W836" s="46"/>
    </row>
    <row r="837">
      <c r="A837" s="55"/>
      <c r="B837" s="218"/>
      <c r="C837" s="55"/>
      <c r="D837" s="218"/>
      <c r="E837" s="126"/>
      <c r="F837" s="224"/>
      <c r="G837" s="126"/>
      <c r="H837" s="218"/>
      <c r="I837" s="223"/>
      <c r="J837" s="46"/>
      <c r="K837" s="46"/>
      <c r="L837" s="46"/>
      <c r="M837" s="46"/>
      <c r="N837" s="46"/>
      <c r="O837" s="46"/>
      <c r="P837" s="46"/>
      <c r="Q837" s="46"/>
      <c r="R837" s="46"/>
      <c r="S837" s="46"/>
      <c r="T837" s="46"/>
      <c r="U837" s="46"/>
      <c r="V837" s="46"/>
      <c r="W837" s="46"/>
    </row>
    <row r="838">
      <c r="A838" s="55"/>
      <c r="B838" s="218"/>
      <c r="C838" s="55"/>
      <c r="D838" s="218"/>
      <c r="E838" s="126"/>
      <c r="F838" s="224"/>
      <c r="G838" s="126"/>
      <c r="H838" s="218"/>
      <c r="I838" s="223"/>
      <c r="J838" s="46"/>
      <c r="K838" s="46"/>
      <c r="L838" s="46"/>
      <c r="M838" s="46"/>
      <c r="N838" s="46"/>
      <c r="O838" s="46"/>
      <c r="P838" s="46"/>
      <c r="Q838" s="46"/>
      <c r="R838" s="46"/>
      <c r="S838" s="46"/>
      <c r="T838" s="46"/>
      <c r="U838" s="46"/>
      <c r="V838" s="46"/>
      <c r="W838" s="46"/>
    </row>
    <row r="839">
      <c r="A839" s="55"/>
      <c r="B839" s="218"/>
      <c r="C839" s="55"/>
      <c r="D839" s="218"/>
      <c r="E839" s="126"/>
      <c r="F839" s="224"/>
      <c r="G839" s="126"/>
      <c r="H839" s="218"/>
      <c r="I839" s="223"/>
      <c r="J839" s="46"/>
      <c r="K839" s="46"/>
      <c r="L839" s="46"/>
      <c r="M839" s="46"/>
      <c r="N839" s="46"/>
      <c r="O839" s="46"/>
      <c r="P839" s="46"/>
      <c r="Q839" s="46"/>
      <c r="R839" s="46"/>
      <c r="S839" s="46"/>
      <c r="T839" s="46"/>
      <c r="U839" s="46"/>
      <c r="V839" s="46"/>
      <c r="W839" s="46"/>
    </row>
    <row r="840">
      <c r="A840" s="55"/>
      <c r="B840" s="218"/>
      <c r="C840" s="55"/>
      <c r="D840" s="218"/>
      <c r="E840" s="126"/>
      <c r="F840" s="224"/>
      <c r="G840" s="126"/>
      <c r="H840" s="218"/>
      <c r="I840" s="223"/>
      <c r="J840" s="46"/>
      <c r="K840" s="46"/>
      <c r="L840" s="46"/>
      <c r="M840" s="46"/>
      <c r="N840" s="46"/>
      <c r="O840" s="46"/>
      <c r="P840" s="46"/>
      <c r="Q840" s="46"/>
      <c r="R840" s="46"/>
      <c r="S840" s="46"/>
      <c r="T840" s="46"/>
      <c r="U840" s="46"/>
      <c r="V840" s="46"/>
      <c r="W840" s="46"/>
    </row>
    <row r="841">
      <c r="A841" s="55"/>
      <c r="B841" s="218"/>
      <c r="C841" s="55"/>
      <c r="D841" s="218"/>
      <c r="E841" s="126"/>
      <c r="F841" s="224"/>
      <c r="G841" s="126"/>
      <c r="H841" s="218"/>
      <c r="I841" s="223"/>
      <c r="J841" s="46"/>
      <c r="K841" s="46"/>
      <c r="L841" s="46"/>
      <c r="M841" s="46"/>
      <c r="N841" s="46"/>
      <c r="O841" s="46"/>
      <c r="P841" s="46"/>
      <c r="Q841" s="46"/>
      <c r="R841" s="46"/>
      <c r="S841" s="46"/>
      <c r="T841" s="46"/>
      <c r="U841" s="46"/>
      <c r="V841" s="46"/>
      <c r="W841" s="46"/>
    </row>
    <row r="842">
      <c r="A842" s="55"/>
      <c r="B842" s="218"/>
      <c r="C842" s="55"/>
      <c r="D842" s="218"/>
      <c r="E842" s="126"/>
      <c r="F842" s="224"/>
      <c r="G842" s="126"/>
      <c r="H842" s="218"/>
      <c r="I842" s="223"/>
      <c r="J842" s="46"/>
      <c r="K842" s="46"/>
      <c r="L842" s="46"/>
      <c r="M842" s="46"/>
      <c r="N842" s="46"/>
      <c r="O842" s="46"/>
      <c r="P842" s="46"/>
      <c r="Q842" s="46"/>
      <c r="R842" s="46"/>
      <c r="S842" s="46"/>
      <c r="T842" s="46"/>
      <c r="U842" s="46"/>
      <c r="V842" s="46"/>
      <c r="W842" s="46"/>
    </row>
    <row r="843">
      <c r="A843" s="55"/>
      <c r="B843" s="218"/>
      <c r="C843" s="55"/>
      <c r="D843" s="218"/>
      <c r="E843" s="126"/>
      <c r="F843" s="224"/>
      <c r="G843" s="126"/>
      <c r="H843" s="218"/>
      <c r="I843" s="223"/>
      <c r="J843" s="46"/>
      <c r="K843" s="46"/>
      <c r="L843" s="46"/>
      <c r="M843" s="46"/>
      <c r="N843" s="46"/>
      <c r="O843" s="46"/>
      <c r="P843" s="46"/>
      <c r="Q843" s="46"/>
      <c r="R843" s="46"/>
      <c r="S843" s="46"/>
      <c r="T843" s="46"/>
      <c r="U843" s="46"/>
      <c r="V843" s="46"/>
      <c r="W843" s="46"/>
    </row>
    <row r="844">
      <c r="A844" s="55"/>
      <c r="B844" s="218"/>
      <c r="C844" s="55"/>
      <c r="D844" s="218"/>
      <c r="E844" s="126"/>
      <c r="F844" s="224"/>
      <c r="G844" s="126"/>
      <c r="H844" s="218"/>
      <c r="I844" s="223"/>
      <c r="J844" s="46"/>
      <c r="K844" s="46"/>
      <c r="L844" s="46"/>
      <c r="M844" s="46"/>
      <c r="N844" s="46"/>
      <c r="O844" s="46"/>
      <c r="P844" s="46"/>
      <c r="Q844" s="46"/>
      <c r="R844" s="46"/>
      <c r="S844" s="46"/>
      <c r="T844" s="46"/>
      <c r="U844" s="46"/>
      <c r="V844" s="46"/>
      <c r="W844" s="46"/>
    </row>
    <row r="845">
      <c r="A845" s="55"/>
      <c r="B845" s="218"/>
      <c r="C845" s="55"/>
      <c r="D845" s="218"/>
      <c r="E845" s="126"/>
      <c r="F845" s="224"/>
      <c r="G845" s="126"/>
      <c r="H845" s="218"/>
      <c r="I845" s="223"/>
      <c r="J845" s="46"/>
      <c r="K845" s="46"/>
      <c r="L845" s="46"/>
      <c r="M845" s="46"/>
      <c r="N845" s="46"/>
      <c r="O845" s="46"/>
      <c r="P845" s="46"/>
      <c r="Q845" s="46"/>
      <c r="R845" s="46"/>
      <c r="S845" s="46"/>
      <c r="T845" s="46"/>
      <c r="U845" s="46"/>
      <c r="V845" s="46"/>
      <c r="W845" s="46"/>
    </row>
    <row r="846">
      <c r="A846" s="55"/>
      <c r="B846" s="218"/>
      <c r="C846" s="55"/>
      <c r="D846" s="218"/>
      <c r="E846" s="126"/>
      <c r="F846" s="224"/>
      <c r="G846" s="126"/>
      <c r="H846" s="218"/>
      <c r="I846" s="223"/>
      <c r="J846" s="46"/>
      <c r="K846" s="46"/>
      <c r="L846" s="46"/>
      <c r="M846" s="46"/>
      <c r="N846" s="46"/>
      <c r="O846" s="46"/>
      <c r="P846" s="46"/>
      <c r="Q846" s="46"/>
      <c r="R846" s="46"/>
      <c r="S846" s="46"/>
      <c r="T846" s="46"/>
      <c r="U846" s="46"/>
      <c r="V846" s="46"/>
      <c r="W846" s="46"/>
    </row>
    <row r="847">
      <c r="A847" s="55"/>
      <c r="B847" s="218"/>
      <c r="C847" s="55"/>
      <c r="D847" s="218"/>
      <c r="E847" s="126"/>
      <c r="F847" s="224"/>
      <c r="G847" s="126"/>
      <c r="H847" s="218"/>
      <c r="I847" s="223"/>
      <c r="J847" s="46"/>
      <c r="K847" s="46"/>
      <c r="L847" s="46"/>
      <c r="M847" s="46"/>
      <c r="N847" s="46"/>
      <c r="O847" s="46"/>
      <c r="P847" s="46"/>
      <c r="Q847" s="46"/>
      <c r="R847" s="46"/>
      <c r="S847" s="46"/>
      <c r="T847" s="46"/>
      <c r="U847" s="46"/>
      <c r="V847" s="46"/>
      <c r="W847" s="46"/>
    </row>
    <row r="848">
      <c r="A848" s="55"/>
      <c r="B848" s="218"/>
      <c r="C848" s="55"/>
      <c r="D848" s="218"/>
      <c r="E848" s="126"/>
      <c r="F848" s="224"/>
      <c r="G848" s="126"/>
      <c r="H848" s="218"/>
      <c r="I848" s="223"/>
      <c r="J848" s="46"/>
      <c r="K848" s="46"/>
      <c r="L848" s="46"/>
      <c r="M848" s="46"/>
      <c r="N848" s="46"/>
      <c r="O848" s="46"/>
      <c r="P848" s="46"/>
      <c r="Q848" s="46"/>
      <c r="R848" s="46"/>
      <c r="S848" s="46"/>
      <c r="T848" s="46"/>
      <c r="U848" s="46"/>
      <c r="V848" s="46"/>
      <c r="W848" s="46"/>
    </row>
    <row r="849">
      <c r="A849" s="55"/>
      <c r="B849" s="218"/>
      <c r="C849" s="55"/>
      <c r="D849" s="218"/>
      <c r="E849" s="126"/>
      <c r="F849" s="224"/>
      <c r="G849" s="126"/>
      <c r="H849" s="218"/>
      <c r="I849" s="223"/>
      <c r="J849" s="46"/>
      <c r="K849" s="46"/>
      <c r="L849" s="46"/>
      <c r="M849" s="46"/>
      <c r="N849" s="46"/>
      <c r="O849" s="46"/>
      <c r="P849" s="46"/>
      <c r="Q849" s="46"/>
      <c r="R849" s="46"/>
      <c r="S849" s="46"/>
      <c r="T849" s="46"/>
      <c r="U849" s="46"/>
      <c r="V849" s="46"/>
      <c r="W849" s="46"/>
    </row>
    <row r="850">
      <c r="A850" s="55"/>
      <c r="B850" s="218"/>
      <c r="C850" s="55"/>
      <c r="D850" s="218"/>
      <c r="E850" s="126"/>
      <c r="F850" s="224"/>
      <c r="G850" s="126"/>
      <c r="H850" s="218"/>
      <c r="I850" s="223"/>
      <c r="J850" s="46"/>
      <c r="K850" s="46"/>
      <c r="L850" s="46"/>
      <c r="M850" s="46"/>
      <c r="N850" s="46"/>
      <c r="O850" s="46"/>
      <c r="P850" s="46"/>
      <c r="Q850" s="46"/>
      <c r="R850" s="46"/>
      <c r="S850" s="46"/>
      <c r="T850" s="46"/>
      <c r="U850" s="46"/>
      <c r="V850" s="46"/>
      <c r="W850" s="46"/>
    </row>
    <row r="851">
      <c r="A851" s="55"/>
      <c r="B851" s="218"/>
      <c r="C851" s="55"/>
      <c r="D851" s="218"/>
      <c r="E851" s="126"/>
      <c r="F851" s="224"/>
      <c r="G851" s="126"/>
      <c r="H851" s="218"/>
      <c r="I851" s="223"/>
      <c r="J851" s="46"/>
      <c r="K851" s="46"/>
      <c r="L851" s="46"/>
      <c r="M851" s="46"/>
      <c r="N851" s="46"/>
      <c r="O851" s="46"/>
      <c r="P851" s="46"/>
      <c r="Q851" s="46"/>
      <c r="R851" s="46"/>
      <c r="S851" s="46"/>
      <c r="T851" s="46"/>
      <c r="U851" s="46"/>
      <c r="V851" s="46"/>
      <c r="W851" s="46"/>
    </row>
    <row r="852">
      <c r="A852" s="55"/>
      <c r="B852" s="218"/>
      <c r="C852" s="55"/>
      <c r="D852" s="218"/>
      <c r="E852" s="126"/>
      <c r="F852" s="224"/>
      <c r="G852" s="126"/>
      <c r="H852" s="218"/>
      <c r="I852" s="223"/>
      <c r="J852" s="46"/>
      <c r="K852" s="46"/>
      <c r="L852" s="46"/>
      <c r="M852" s="46"/>
      <c r="N852" s="46"/>
      <c r="O852" s="46"/>
      <c r="P852" s="46"/>
      <c r="Q852" s="46"/>
      <c r="R852" s="46"/>
      <c r="S852" s="46"/>
      <c r="T852" s="46"/>
      <c r="U852" s="46"/>
      <c r="V852" s="46"/>
      <c r="W852" s="46"/>
    </row>
    <row r="853">
      <c r="A853" s="55"/>
      <c r="B853" s="218"/>
      <c r="C853" s="55"/>
      <c r="D853" s="218"/>
      <c r="E853" s="126"/>
      <c r="F853" s="224"/>
      <c r="G853" s="126"/>
      <c r="H853" s="218"/>
      <c r="I853" s="223"/>
      <c r="J853" s="46"/>
      <c r="K853" s="46"/>
      <c r="L853" s="46"/>
      <c r="M853" s="46"/>
      <c r="N853" s="46"/>
      <c r="O853" s="46"/>
      <c r="P853" s="46"/>
      <c r="Q853" s="46"/>
      <c r="R853" s="46"/>
      <c r="S853" s="46"/>
      <c r="T853" s="46"/>
      <c r="U853" s="46"/>
      <c r="V853" s="46"/>
      <c r="W853" s="46"/>
    </row>
    <row r="854">
      <c r="A854" s="55"/>
      <c r="B854" s="218"/>
      <c r="C854" s="55"/>
      <c r="D854" s="218"/>
      <c r="E854" s="126"/>
      <c r="F854" s="224"/>
      <c r="G854" s="126"/>
      <c r="H854" s="218"/>
      <c r="I854" s="223"/>
      <c r="J854" s="46"/>
      <c r="K854" s="46"/>
      <c r="L854" s="46"/>
      <c r="M854" s="46"/>
      <c r="N854" s="46"/>
      <c r="O854" s="46"/>
      <c r="P854" s="46"/>
      <c r="Q854" s="46"/>
      <c r="R854" s="46"/>
      <c r="S854" s="46"/>
      <c r="T854" s="46"/>
      <c r="U854" s="46"/>
      <c r="V854" s="46"/>
      <c r="W854" s="46"/>
    </row>
    <row r="855">
      <c r="A855" s="55"/>
      <c r="B855" s="218"/>
      <c r="C855" s="55"/>
      <c r="D855" s="218"/>
      <c r="E855" s="126"/>
      <c r="F855" s="224"/>
      <c r="G855" s="126"/>
      <c r="H855" s="218"/>
      <c r="I855" s="223"/>
      <c r="J855" s="46"/>
      <c r="K855" s="46"/>
      <c r="L855" s="46"/>
      <c r="M855" s="46"/>
      <c r="N855" s="46"/>
      <c r="O855" s="46"/>
      <c r="P855" s="46"/>
      <c r="Q855" s="46"/>
      <c r="R855" s="46"/>
      <c r="S855" s="46"/>
      <c r="T855" s="46"/>
      <c r="U855" s="46"/>
      <c r="V855" s="46"/>
      <c r="W855" s="46"/>
    </row>
    <row r="856">
      <c r="A856" s="55"/>
      <c r="B856" s="218"/>
      <c r="C856" s="55"/>
      <c r="D856" s="218"/>
      <c r="E856" s="126"/>
      <c r="F856" s="224"/>
      <c r="G856" s="126"/>
      <c r="H856" s="218"/>
      <c r="I856" s="223"/>
      <c r="J856" s="46"/>
      <c r="K856" s="46"/>
      <c r="L856" s="46"/>
      <c r="M856" s="46"/>
      <c r="N856" s="46"/>
      <c r="O856" s="46"/>
      <c r="P856" s="46"/>
      <c r="Q856" s="46"/>
      <c r="R856" s="46"/>
      <c r="S856" s="46"/>
      <c r="T856" s="46"/>
      <c r="U856" s="46"/>
      <c r="V856" s="46"/>
      <c r="W856" s="46"/>
    </row>
    <row r="857">
      <c r="A857" s="55"/>
      <c r="B857" s="218"/>
      <c r="C857" s="55"/>
      <c r="D857" s="218"/>
      <c r="E857" s="126"/>
      <c r="F857" s="224"/>
      <c r="G857" s="126"/>
      <c r="H857" s="218"/>
      <c r="I857" s="223"/>
      <c r="J857" s="46"/>
      <c r="K857" s="46"/>
      <c r="L857" s="46"/>
      <c r="M857" s="46"/>
      <c r="N857" s="46"/>
      <c r="O857" s="46"/>
      <c r="P857" s="46"/>
      <c r="Q857" s="46"/>
      <c r="R857" s="46"/>
      <c r="S857" s="46"/>
      <c r="T857" s="46"/>
      <c r="U857" s="46"/>
      <c r="V857" s="46"/>
      <c r="W857" s="46"/>
    </row>
    <row r="858">
      <c r="A858" s="55"/>
      <c r="B858" s="218"/>
      <c r="C858" s="55"/>
      <c r="D858" s="218"/>
      <c r="E858" s="126"/>
      <c r="F858" s="224"/>
      <c r="G858" s="126"/>
      <c r="H858" s="218"/>
      <c r="I858" s="223"/>
      <c r="J858" s="46"/>
      <c r="K858" s="46"/>
      <c r="L858" s="46"/>
      <c r="M858" s="46"/>
      <c r="N858" s="46"/>
      <c r="O858" s="46"/>
      <c r="P858" s="46"/>
      <c r="Q858" s="46"/>
      <c r="R858" s="46"/>
      <c r="S858" s="46"/>
      <c r="T858" s="46"/>
      <c r="U858" s="46"/>
      <c r="V858" s="46"/>
      <c r="W858" s="46"/>
    </row>
    <row r="859">
      <c r="A859" s="55"/>
      <c r="B859" s="218"/>
      <c r="C859" s="55"/>
      <c r="D859" s="218"/>
      <c r="E859" s="126"/>
      <c r="F859" s="224"/>
      <c r="G859" s="126"/>
      <c r="H859" s="218"/>
      <c r="I859" s="223"/>
      <c r="J859" s="46"/>
      <c r="K859" s="46"/>
      <c r="L859" s="46"/>
      <c r="M859" s="46"/>
      <c r="N859" s="46"/>
      <c r="O859" s="46"/>
      <c r="P859" s="46"/>
      <c r="Q859" s="46"/>
      <c r="R859" s="46"/>
      <c r="S859" s="46"/>
      <c r="T859" s="46"/>
      <c r="U859" s="46"/>
      <c r="V859" s="46"/>
      <c r="W859" s="46"/>
    </row>
    <row r="860">
      <c r="A860" s="55"/>
      <c r="B860" s="218"/>
      <c r="C860" s="55"/>
      <c r="D860" s="218"/>
      <c r="E860" s="126"/>
      <c r="F860" s="224"/>
      <c r="G860" s="126"/>
      <c r="H860" s="218"/>
      <c r="I860" s="223"/>
      <c r="J860" s="46"/>
      <c r="K860" s="46"/>
      <c r="L860" s="46"/>
      <c r="M860" s="46"/>
      <c r="N860" s="46"/>
      <c r="O860" s="46"/>
      <c r="P860" s="46"/>
      <c r="Q860" s="46"/>
      <c r="R860" s="46"/>
      <c r="S860" s="46"/>
      <c r="T860" s="46"/>
      <c r="U860" s="46"/>
      <c r="V860" s="46"/>
      <c r="W860" s="46"/>
    </row>
    <row r="861">
      <c r="A861" s="55"/>
      <c r="B861" s="218"/>
      <c r="C861" s="55"/>
      <c r="D861" s="218"/>
      <c r="E861" s="126"/>
      <c r="F861" s="224"/>
      <c r="G861" s="126"/>
      <c r="H861" s="218"/>
      <c r="I861" s="223"/>
      <c r="J861" s="46"/>
      <c r="K861" s="46"/>
      <c r="L861" s="46"/>
      <c r="M861" s="46"/>
      <c r="N861" s="46"/>
      <c r="O861" s="46"/>
      <c r="P861" s="46"/>
      <c r="Q861" s="46"/>
      <c r="R861" s="46"/>
      <c r="S861" s="46"/>
      <c r="T861" s="46"/>
      <c r="U861" s="46"/>
      <c r="V861" s="46"/>
      <c r="W861" s="46"/>
    </row>
    <row r="862">
      <c r="A862" s="55"/>
      <c r="B862" s="218"/>
      <c r="C862" s="55"/>
      <c r="D862" s="218"/>
      <c r="E862" s="126"/>
      <c r="F862" s="224"/>
      <c r="G862" s="126"/>
      <c r="H862" s="218"/>
      <c r="I862" s="223"/>
      <c r="J862" s="46"/>
      <c r="K862" s="46"/>
      <c r="L862" s="46"/>
      <c r="M862" s="46"/>
      <c r="N862" s="46"/>
      <c r="O862" s="46"/>
      <c r="P862" s="46"/>
      <c r="Q862" s="46"/>
      <c r="R862" s="46"/>
      <c r="S862" s="46"/>
      <c r="T862" s="46"/>
      <c r="U862" s="46"/>
      <c r="V862" s="46"/>
      <c r="W862" s="46"/>
    </row>
    <row r="863">
      <c r="A863" s="55"/>
      <c r="B863" s="218"/>
      <c r="C863" s="55"/>
      <c r="D863" s="218"/>
      <c r="E863" s="126"/>
      <c r="F863" s="224"/>
      <c r="G863" s="126"/>
      <c r="H863" s="218"/>
      <c r="I863" s="223"/>
      <c r="J863" s="46"/>
      <c r="K863" s="46"/>
      <c r="L863" s="46"/>
      <c r="M863" s="46"/>
      <c r="N863" s="46"/>
      <c r="O863" s="46"/>
      <c r="P863" s="46"/>
      <c r="Q863" s="46"/>
      <c r="R863" s="46"/>
      <c r="S863" s="46"/>
      <c r="T863" s="46"/>
      <c r="U863" s="46"/>
      <c r="V863" s="46"/>
      <c r="W863" s="46"/>
    </row>
    <row r="864">
      <c r="A864" s="55"/>
      <c r="B864" s="218"/>
      <c r="C864" s="55"/>
      <c r="D864" s="218"/>
      <c r="E864" s="126"/>
      <c r="F864" s="224"/>
      <c r="G864" s="126"/>
      <c r="H864" s="218"/>
      <c r="I864" s="223"/>
      <c r="J864" s="46"/>
      <c r="K864" s="46"/>
      <c r="L864" s="46"/>
      <c r="M864" s="46"/>
      <c r="N864" s="46"/>
      <c r="O864" s="46"/>
      <c r="P864" s="46"/>
      <c r="Q864" s="46"/>
      <c r="R864" s="46"/>
      <c r="S864" s="46"/>
      <c r="T864" s="46"/>
      <c r="U864" s="46"/>
      <c r="V864" s="46"/>
      <c r="W864" s="46"/>
    </row>
    <row r="865">
      <c r="A865" s="55"/>
      <c r="B865" s="218"/>
      <c r="C865" s="55"/>
      <c r="D865" s="218"/>
      <c r="E865" s="126"/>
      <c r="F865" s="224"/>
      <c r="G865" s="126"/>
      <c r="H865" s="218"/>
      <c r="I865" s="223"/>
      <c r="J865" s="46"/>
      <c r="K865" s="46"/>
      <c r="L865" s="46"/>
      <c r="M865" s="46"/>
      <c r="N865" s="46"/>
      <c r="O865" s="46"/>
      <c r="P865" s="46"/>
      <c r="Q865" s="46"/>
      <c r="R865" s="46"/>
      <c r="S865" s="46"/>
      <c r="T865" s="46"/>
      <c r="U865" s="46"/>
      <c r="V865" s="46"/>
      <c r="W865" s="46"/>
    </row>
    <row r="866">
      <c r="A866" s="55"/>
      <c r="B866" s="218"/>
      <c r="C866" s="55"/>
      <c r="D866" s="218"/>
      <c r="E866" s="126"/>
      <c r="F866" s="224"/>
      <c r="G866" s="126"/>
      <c r="H866" s="218"/>
      <c r="I866" s="223"/>
      <c r="J866" s="46"/>
      <c r="K866" s="46"/>
      <c r="L866" s="46"/>
      <c r="M866" s="46"/>
      <c r="N866" s="46"/>
      <c r="O866" s="46"/>
      <c r="P866" s="46"/>
      <c r="Q866" s="46"/>
      <c r="R866" s="46"/>
      <c r="S866" s="46"/>
      <c r="T866" s="46"/>
      <c r="U866" s="46"/>
      <c r="V866" s="46"/>
      <c r="W866" s="46"/>
    </row>
    <row r="867">
      <c r="A867" s="55"/>
      <c r="B867" s="218"/>
      <c r="C867" s="55"/>
      <c r="D867" s="218"/>
      <c r="E867" s="126"/>
      <c r="F867" s="224"/>
      <c r="G867" s="126"/>
      <c r="H867" s="218"/>
      <c r="I867" s="223"/>
      <c r="J867" s="46"/>
      <c r="K867" s="46"/>
      <c r="L867" s="46"/>
      <c r="M867" s="46"/>
      <c r="N867" s="46"/>
      <c r="O867" s="46"/>
      <c r="P867" s="46"/>
      <c r="Q867" s="46"/>
      <c r="R867" s="46"/>
      <c r="S867" s="46"/>
      <c r="T867" s="46"/>
      <c r="U867" s="46"/>
      <c r="V867" s="46"/>
      <c r="W867" s="46"/>
    </row>
    <row r="868">
      <c r="A868" s="55"/>
      <c r="B868" s="218"/>
      <c r="C868" s="55"/>
      <c r="D868" s="218"/>
      <c r="E868" s="126"/>
      <c r="F868" s="224"/>
      <c r="G868" s="126"/>
      <c r="H868" s="218"/>
      <c r="I868" s="223"/>
      <c r="J868" s="46"/>
      <c r="K868" s="46"/>
      <c r="L868" s="46"/>
      <c r="M868" s="46"/>
      <c r="N868" s="46"/>
      <c r="O868" s="46"/>
      <c r="P868" s="46"/>
      <c r="Q868" s="46"/>
      <c r="R868" s="46"/>
      <c r="S868" s="46"/>
      <c r="T868" s="46"/>
      <c r="U868" s="46"/>
      <c r="V868" s="46"/>
      <c r="W868" s="46"/>
    </row>
    <row r="869">
      <c r="A869" s="55"/>
      <c r="B869" s="218"/>
      <c r="C869" s="55"/>
      <c r="D869" s="218"/>
      <c r="E869" s="126"/>
      <c r="F869" s="224"/>
      <c r="G869" s="126"/>
      <c r="H869" s="218"/>
      <c r="I869" s="223"/>
      <c r="J869" s="46"/>
      <c r="K869" s="46"/>
      <c r="L869" s="46"/>
      <c r="M869" s="46"/>
      <c r="N869" s="46"/>
      <c r="O869" s="46"/>
      <c r="P869" s="46"/>
      <c r="Q869" s="46"/>
      <c r="R869" s="46"/>
      <c r="S869" s="46"/>
      <c r="T869" s="46"/>
      <c r="U869" s="46"/>
      <c r="V869" s="46"/>
      <c r="W869" s="46"/>
    </row>
    <row r="870">
      <c r="A870" s="55"/>
      <c r="B870" s="218"/>
      <c r="C870" s="55"/>
      <c r="D870" s="218"/>
      <c r="E870" s="126"/>
      <c r="F870" s="224"/>
      <c r="G870" s="126"/>
      <c r="H870" s="218"/>
      <c r="I870" s="223"/>
      <c r="J870" s="46"/>
      <c r="K870" s="46"/>
      <c r="L870" s="46"/>
      <c r="M870" s="46"/>
      <c r="N870" s="46"/>
      <c r="O870" s="46"/>
      <c r="P870" s="46"/>
      <c r="Q870" s="46"/>
      <c r="R870" s="46"/>
      <c r="S870" s="46"/>
      <c r="T870" s="46"/>
      <c r="U870" s="46"/>
      <c r="V870" s="46"/>
      <c r="W870" s="46"/>
    </row>
    <row r="871">
      <c r="A871" s="55"/>
      <c r="B871" s="218"/>
      <c r="C871" s="55"/>
      <c r="D871" s="218"/>
      <c r="E871" s="126"/>
      <c r="F871" s="224"/>
      <c r="G871" s="126"/>
      <c r="H871" s="218"/>
      <c r="I871" s="223"/>
      <c r="J871" s="46"/>
      <c r="K871" s="46"/>
      <c r="L871" s="46"/>
      <c r="M871" s="46"/>
      <c r="N871" s="46"/>
      <c r="O871" s="46"/>
      <c r="P871" s="46"/>
      <c r="Q871" s="46"/>
      <c r="R871" s="46"/>
      <c r="S871" s="46"/>
      <c r="T871" s="46"/>
      <c r="U871" s="46"/>
      <c r="V871" s="46"/>
      <c r="W871" s="46"/>
    </row>
    <row r="872">
      <c r="A872" s="55"/>
      <c r="B872" s="218"/>
      <c r="C872" s="55"/>
      <c r="D872" s="218"/>
      <c r="E872" s="126"/>
      <c r="F872" s="224"/>
      <c r="G872" s="126"/>
      <c r="H872" s="218"/>
      <c r="I872" s="223"/>
      <c r="J872" s="46"/>
      <c r="K872" s="46"/>
      <c r="L872" s="46"/>
      <c r="M872" s="46"/>
      <c r="N872" s="46"/>
      <c r="O872" s="46"/>
      <c r="P872" s="46"/>
      <c r="Q872" s="46"/>
      <c r="R872" s="46"/>
      <c r="S872" s="46"/>
      <c r="T872" s="46"/>
      <c r="U872" s="46"/>
      <c r="V872" s="46"/>
      <c r="W872" s="46"/>
    </row>
    <row r="873">
      <c r="A873" s="55"/>
      <c r="B873" s="218"/>
      <c r="C873" s="55"/>
      <c r="D873" s="218"/>
      <c r="E873" s="126"/>
      <c r="F873" s="224"/>
      <c r="G873" s="126"/>
      <c r="H873" s="218"/>
      <c r="I873" s="223"/>
      <c r="J873" s="46"/>
      <c r="K873" s="46"/>
      <c r="L873" s="46"/>
      <c r="M873" s="46"/>
      <c r="N873" s="46"/>
      <c r="O873" s="46"/>
      <c r="P873" s="46"/>
      <c r="Q873" s="46"/>
      <c r="R873" s="46"/>
      <c r="S873" s="46"/>
      <c r="T873" s="46"/>
      <c r="U873" s="46"/>
      <c r="V873" s="46"/>
      <c r="W873" s="46"/>
    </row>
    <row r="874">
      <c r="A874" s="55"/>
      <c r="B874" s="218"/>
      <c r="C874" s="55"/>
      <c r="D874" s="218"/>
      <c r="E874" s="126"/>
      <c r="F874" s="224"/>
      <c r="G874" s="126"/>
      <c r="H874" s="218"/>
      <c r="I874" s="223"/>
      <c r="J874" s="46"/>
      <c r="K874" s="46"/>
      <c r="L874" s="46"/>
      <c r="M874" s="46"/>
      <c r="N874" s="46"/>
      <c r="O874" s="46"/>
      <c r="P874" s="46"/>
      <c r="Q874" s="46"/>
      <c r="R874" s="46"/>
      <c r="S874" s="46"/>
      <c r="T874" s="46"/>
      <c r="U874" s="46"/>
      <c r="V874" s="46"/>
      <c r="W874" s="46"/>
    </row>
    <row r="875">
      <c r="A875" s="55"/>
      <c r="B875" s="218"/>
      <c r="C875" s="55"/>
      <c r="D875" s="218"/>
      <c r="E875" s="126"/>
      <c r="F875" s="224"/>
      <c r="G875" s="126"/>
      <c r="H875" s="218"/>
      <c r="I875" s="223"/>
      <c r="J875" s="46"/>
      <c r="K875" s="46"/>
      <c r="L875" s="46"/>
      <c r="M875" s="46"/>
      <c r="N875" s="46"/>
      <c r="O875" s="46"/>
      <c r="P875" s="46"/>
      <c r="Q875" s="46"/>
      <c r="R875" s="46"/>
      <c r="S875" s="46"/>
      <c r="T875" s="46"/>
      <c r="U875" s="46"/>
      <c r="V875" s="46"/>
      <c r="W875" s="46"/>
    </row>
    <row r="876">
      <c r="A876" s="55"/>
      <c r="B876" s="218"/>
      <c r="C876" s="55"/>
      <c r="D876" s="218"/>
      <c r="E876" s="126"/>
      <c r="F876" s="224"/>
      <c r="G876" s="126"/>
      <c r="H876" s="218"/>
      <c r="I876" s="223"/>
      <c r="J876" s="46"/>
      <c r="K876" s="46"/>
      <c r="L876" s="46"/>
      <c r="M876" s="46"/>
      <c r="N876" s="46"/>
      <c r="O876" s="46"/>
      <c r="P876" s="46"/>
      <c r="Q876" s="46"/>
      <c r="R876" s="46"/>
      <c r="S876" s="46"/>
      <c r="T876" s="46"/>
      <c r="U876" s="46"/>
      <c r="V876" s="46"/>
      <c r="W876" s="46"/>
    </row>
    <row r="877">
      <c r="A877" s="55"/>
      <c r="B877" s="218"/>
      <c r="C877" s="55"/>
      <c r="D877" s="218"/>
      <c r="E877" s="126"/>
      <c r="F877" s="224"/>
      <c r="G877" s="126"/>
      <c r="H877" s="218"/>
      <c r="I877" s="223"/>
      <c r="J877" s="46"/>
      <c r="K877" s="46"/>
      <c r="L877" s="46"/>
      <c r="M877" s="46"/>
      <c r="N877" s="46"/>
      <c r="O877" s="46"/>
      <c r="P877" s="46"/>
      <c r="Q877" s="46"/>
      <c r="R877" s="46"/>
      <c r="S877" s="46"/>
      <c r="T877" s="46"/>
      <c r="U877" s="46"/>
      <c r="V877" s="46"/>
      <c r="W877" s="46"/>
    </row>
    <row r="878">
      <c r="A878" s="55"/>
      <c r="B878" s="218"/>
      <c r="C878" s="55"/>
      <c r="D878" s="218"/>
      <c r="E878" s="126"/>
      <c r="F878" s="224"/>
      <c r="G878" s="126"/>
      <c r="H878" s="218"/>
      <c r="I878" s="223"/>
      <c r="J878" s="46"/>
      <c r="K878" s="46"/>
      <c r="L878" s="46"/>
      <c r="M878" s="46"/>
      <c r="N878" s="46"/>
      <c r="O878" s="46"/>
      <c r="P878" s="46"/>
      <c r="Q878" s="46"/>
      <c r="R878" s="46"/>
      <c r="S878" s="46"/>
      <c r="T878" s="46"/>
      <c r="U878" s="46"/>
      <c r="V878" s="46"/>
      <c r="W878" s="46"/>
    </row>
    <row r="879">
      <c r="A879" s="55"/>
      <c r="B879" s="218"/>
      <c r="C879" s="55"/>
      <c r="D879" s="218"/>
      <c r="E879" s="126"/>
      <c r="F879" s="224"/>
      <c r="G879" s="126"/>
      <c r="H879" s="218"/>
      <c r="I879" s="223"/>
      <c r="J879" s="46"/>
      <c r="K879" s="46"/>
      <c r="L879" s="46"/>
      <c r="M879" s="46"/>
      <c r="N879" s="46"/>
      <c r="O879" s="46"/>
      <c r="P879" s="46"/>
      <c r="Q879" s="46"/>
      <c r="R879" s="46"/>
      <c r="S879" s="46"/>
      <c r="T879" s="46"/>
      <c r="U879" s="46"/>
      <c r="V879" s="46"/>
      <c r="W879" s="46"/>
    </row>
    <row r="880">
      <c r="A880" s="55"/>
      <c r="B880" s="218"/>
      <c r="C880" s="55"/>
      <c r="D880" s="218"/>
      <c r="E880" s="126"/>
      <c r="F880" s="224"/>
      <c r="G880" s="126"/>
      <c r="H880" s="218"/>
      <c r="I880" s="223"/>
      <c r="J880" s="46"/>
      <c r="K880" s="46"/>
      <c r="L880" s="46"/>
      <c r="M880" s="46"/>
      <c r="N880" s="46"/>
      <c r="O880" s="46"/>
      <c r="P880" s="46"/>
      <c r="Q880" s="46"/>
      <c r="R880" s="46"/>
      <c r="S880" s="46"/>
      <c r="T880" s="46"/>
      <c r="U880" s="46"/>
      <c r="V880" s="46"/>
      <c r="W880" s="46"/>
    </row>
    <row r="881">
      <c r="A881" s="55"/>
      <c r="B881" s="218"/>
      <c r="C881" s="55"/>
      <c r="D881" s="218"/>
      <c r="E881" s="126"/>
      <c r="F881" s="224"/>
      <c r="G881" s="126"/>
      <c r="H881" s="218"/>
      <c r="I881" s="223"/>
      <c r="J881" s="46"/>
      <c r="K881" s="46"/>
      <c r="L881" s="46"/>
      <c r="M881" s="46"/>
      <c r="N881" s="46"/>
      <c r="O881" s="46"/>
      <c r="P881" s="46"/>
      <c r="Q881" s="46"/>
      <c r="R881" s="46"/>
      <c r="S881" s="46"/>
      <c r="T881" s="46"/>
      <c r="U881" s="46"/>
      <c r="V881" s="46"/>
      <c r="W881" s="46"/>
    </row>
    <row r="882">
      <c r="A882" s="55"/>
      <c r="B882" s="218"/>
      <c r="C882" s="55"/>
      <c r="D882" s="218"/>
      <c r="E882" s="126"/>
      <c r="F882" s="224"/>
      <c r="G882" s="126"/>
      <c r="H882" s="218"/>
      <c r="I882" s="223"/>
      <c r="J882" s="46"/>
      <c r="K882" s="46"/>
      <c r="L882" s="46"/>
      <c r="M882" s="46"/>
      <c r="N882" s="46"/>
      <c r="O882" s="46"/>
      <c r="P882" s="46"/>
      <c r="Q882" s="46"/>
      <c r="R882" s="46"/>
      <c r="S882" s="46"/>
      <c r="T882" s="46"/>
      <c r="U882" s="46"/>
      <c r="V882" s="46"/>
      <c r="W882" s="46"/>
    </row>
    <row r="883">
      <c r="A883" s="55"/>
      <c r="B883" s="218"/>
      <c r="C883" s="55"/>
      <c r="D883" s="218"/>
      <c r="E883" s="126"/>
      <c r="F883" s="224"/>
      <c r="G883" s="126"/>
      <c r="H883" s="218"/>
      <c r="I883" s="223"/>
      <c r="J883" s="46"/>
      <c r="K883" s="46"/>
      <c r="L883" s="46"/>
      <c r="M883" s="46"/>
      <c r="N883" s="46"/>
      <c r="O883" s="46"/>
      <c r="P883" s="46"/>
      <c r="Q883" s="46"/>
      <c r="R883" s="46"/>
      <c r="S883" s="46"/>
      <c r="T883" s="46"/>
      <c r="U883" s="46"/>
      <c r="V883" s="46"/>
      <c r="W883" s="46"/>
    </row>
    <row r="884">
      <c r="A884" s="55"/>
      <c r="B884" s="218"/>
      <c r="C884" s="55"/>
      <c r="D884" s="218"/>
      <c r="E884" s="126"/>
      <c r="F884" s="224"/>
      <c r="G884" s="126"/>
      <c r="H884" s="218"/>
      <c r="I884" s="223"/>
      <c r="J884" s="46"/>
      <c r="K884" s="46"/>
      <c r="L884" s="46"/>
      <c r="M884" s="46"/>
      <c r="N884" s="46"/>
      <c r="O884" s="46"/>
      <c r="P884" s="46"/>
      <c r="Q884" s="46"/>
      <c r="R884" s="46"/>
      <c r="S884" s="46"/>
      <c r="T884" s="46"/>
      <c r="U884" s="46"/>
      <c r="V884" s="46"/>
      <c r="W884" s="46"/>
    </row>
    <row r="885">
      <c r="A885" s="55"/>
      <c r="B885" s="218"/>
      <c r="C885" s="55"/>
      <c r="D885" s="218"/>
      <c r="E885" s="126"/>
      <c r="F885" s="224"/>
      <c r="G885" s="126"/>
      <c r="H885" s="218"/>
      <c r="I885" s="223"/>
      <c r="J885" s="46"/>
      <c r="K885" s="46"/>
      <c r="L885" s="46"/>
      <c r="M885" s="46"/>
      <c r="N885" s="46"/>
      <c r="O885" s="46"/>
      <c r="P885" s="46"/>
      <c r="Q885" s="46"/>
      <c r="R885" s="46"/>
      <c r="S885" s="46"/>
      <c r="T885" s="46"/>
      <c r="U885" s="46"/>
      <c r="V885" s="46"/>
      <c r="W885" s="46"/>
    </row>
    <row r="886">
      <c r="A886" s="55"/>
      <c r="B886" s="218"/>
      <c r="C886" s="55"/>
      <c r="D886" s="218"/>
      <c r="E886" s="126"/>
      <c r="F886" s="224"/>
      <c r="G886" s="126"/>
      <c r="H886" s="218"/>
      <c r="I886" s="223"/>
      <c r="J886" s="46"/>
      <c r="K886" s="46"/>
      <c r="L886" s="46"/>
      <c r="M886" s="46"/>
      <c r="N886" s="46"/>
      <c r="O886" s="46"/>
      <c r="P886" s="46"/>
      <c r="Q886" s="46"/>
      <c r="R886" s="46"/>
      <c r="S886" s="46"/>
      <c r="T886" s="46"/>
      <c r="U886" s="46"/>
      <c r="V886" s="46"/>
      <c r="W886" s="46"/>
    </row>
    <row r="887">
      <c r="A887" s="55"/>
      <c r="B887" s="218"/>
      <c r="C887" s="55"/>
      <c r="D887" s="218"/>
      <c r="E887" s="126"/>
      <c r="F887" s="224"/>
      <c r="G887" s="126"/>
      <c r="H887" s="218"/>
      <c r="I887" s="223"/>
      <c r="J887" s="46"/>
      <c r="K887" s="46"/>
      <c r="L887" s="46"/>
      <c r="M887" s="46"/>
      <c r="N887" s="46"/>
      <c r="O887" s="46"/>
      <c r="P887" s="46"/>
      <c r="Q887" s="46"/>
      <c r="R887" s="46"/>
      <c r="S887" s="46"/>
      <c r="T887" s="46"/>
      <c r="U887" s="46"/>
      <c r="V887" s="46"/>
      <c r="W887" s="46"/>
    </row>
    <row r="888">
      <c r="A888" s="55"/>
      <c r="B888" s="218"/>
      <c r="C888" s="55"/>
      <c r="D888" s="218"/>
      <c r="E888" s="126"/>
      <c r="F888" s="224"/>
      <c r="G888" s="126"/>
      <c r="H888" s="218"/>
      <c r="I888" s="223"/>
      <c r="J888" s="46"/>
      <c r="K888" s="46"/>
      <c r="L888" s="46"/>
      <c r="M888" s="46"/>
      <c r="N888" s="46"/>
      <c r="O888" s="46"/>
      <c r="P888" s="46"/>
      <c r="Q888" s="46"/>
      <c r="R888" s="46"/>
      <c r="S888" s="46"/>
      <c r="T888" s="46"/>
      <c r="U888" s="46"/>
      <c r="V888" s="46"/>
      <c r="W888" s="46"/>
    </row>
    <row r="889">
      <c r="A889" s="55"/>
      <c r="B889" s="218"/>
      <c r="C889" s="55"/>
      <c r="D889" s="218"/>
      <c r="E889" s="126"/>
      <c r="F889" s="224"/>
      <c r="G889" s="126"/>
      <c r="H889" s="218"/>
      <c r="I889" s="223"/>
      <c r="J889" s="46"/>
      <c r="K889" s="46"/>
      <c r="L889" s="46"/>
      <c r="M889" s="46"/>
      <c r="N889" s="46"/>
      <c r="O889" s="46"/>
      <c r="P889" s="46"/>
      <c r="Q889" s="46"/>
      <c r="R889" s="46"/>
      <c r="S889" s="46"/>
      <c r="T889" s="46"/>
      <c r="U889" s="46"/>
      <c r="V889" s="46"/>
      <c r="W889" s="46"/>
    </row>
    <row r="890">
      <c r="A890" s="55"/>
      <c r="B890" s="218"/>
      <c r="C890" s="55"/>
      <c r="D890" s="218"/>
      <c r="E890" s="126"/>
      <c r="F890" s="224"/>
      <c r="G890" s="126"/>
      <c r="H890" s="218"/>
      <c r="I890" s="223"/>
      <c r="J890" s="46"/>
      <c r="K890" s="46"/>
      <c r="L890" s="46"/>
      <c r="M890" s="46"/>
      <c r="N890" s="46"/>
      <c r="O890" s="46"/>
      <c r="P890" s="46"/>
      <c r="Q890" s="46"/>
      <c r="R890" s="46"/>
      <c r="S890" s="46"/>
      <c r="T890" s="46"/>
      <c r="U890" s="46"/>
      <c r="V890" s="46"/>
      <c r="W890" s="46"/>
    </row>
    <row r="891">
      <c r="A891" s="55"/>
      <c r="B891" s="218"/>
      <c r="C891" s="55"/>
      <c r="D891" s="218"/>
      <c r="E891" s="126"/>
      <c r="F891" s="224"/>
      <c r="G891" s="126"/>
      <c r="H891" s="218"/>
      <c r="I891" s="223"/>
      <c r="J891" s="46"/>
      <c r="K891" s="46"/>
      <c r="L891" s="46"/>
      <c r="M891" s="46"/>
      <c r="N891" s="46"/>
      <c r="O891" s="46"/>
      <c r="P891" s="46"/>
      <c r="Q891" s="46"/>
      <c r="R891" s="46"/>
      <c r="S891" s="46"/>
      <c r="T891" s="46"/>
      <c r="U891" s="46"/>
      <c r="V891" s="46"/>
      <c r="W891" s="46"/>
    </row>
    <row r="892">
      <c r="A892" s="55"/>
      <c r="B892" s="218"/>
      <c r="C892" s="55"/>
      <c r="D892" s="218"/>
      <c r="E892" s="126"/>
      <c r="F892" s="224"/>
      <c r="G892" s="126"/>
      <c r="H892" s="218"/>
      <c r="I892" s="223"/>
      <c r="J892" s="46"/>
      <c r="K892" s="46"/>
      <c r="L892" s="46"/>
      <c r="M892" s="46"/>
      <c r="N892" s="46"/>
      <c r="O892" s="46"/>
      <c r="P892" s="46"/>
      <c r="Q892" s="46"/>
      <c r="R892" s="46"/>
      <c r="S892" s="46"/>
      <c r="T892" s="46"/>
      <c r="U892" s="46"/>
      <c r="V892" s="46"/>
      <c r="W892" s="46"/>
    </row>
    <row r="893">
      <c r="A893" s="55"/>
      <c r="B893" s="218"/>
      <c r="C893" s="55"/>
      <c r="D893" s="218"/>
      <c r="E893" s="126"/>
      <c r="F893" s="224"/>
      <c r="G893" s="126"/>
      <c r="H893" s="218"/>
      <c r="I893" s="223"/>
      <c r="J893" s="46"/>
      <c r="K893" s="46"/>
      <c r="L893" s="46"/>
      <c r="M893" s="46"/>
      <c r="N893" s="46"/>
      <c r="O893" s="46"/>
      <c r="P893" s="46"/>
      <c r="Q893" s="46"/>
      <c r="R893" s="46"/>
      <c r="S893" s="46"/>
      <c r="T893" s="46"/>
      <c r="U893" s="46"/>
      <c r="V893" s="46"/>
      <c r="W893" s="46"/>
    </row>
    <row r="894">
      <c r="A894" s="55"/>
      <c r="B894" s="218"/>
      <c r="C894" s="55"/>
      <c r="D894" s="218"/>
      <c r="E894" s="126"/>
      <c r="F894" s="224"/>
      <c r="G894" s="126"/>
      <c r="H894" s="218"/>
      <c r="I894" s="223"/>
      <c r="J894" s="46"/>
      <c r="K894" s="46"/>
      <c r="L894" s="46"/>
      <c r="M894" s="46"/>
      <c r="N894" s="46"/>
      <c r="O894" s="46"/>
      <c r="P894" s="46"/>
      <c r="Q894" s="46"/>
      <c r="R894" s="46"/>
      <c r="S894" s="46"/>
      <c r="T894" s="46"/>
      <c r="U894" s="46"/>
      <c r="V894" s="46"/>
      <c r="W894" s="46"/>
    </row>
    <row r="895">
      <c r="A895" s="55"/>
      <c r="B895" s="218"/>
      <c r="C895" s="55"/>
      <c r="D895" s="218"/>
      <c r="E895" s="126"/>
      <c r="F895" s="224"/>
      <c r="G895" s="126"/>
      <c r="H895" s="218"/>
      <c r="I895" s="223"/>
      <c r="J895" s="46"/>
      <c r="K895" s="46"/>
      <c r="L895" s="46"/>
      <c r="M895" s="46"/>
      <c r="N895" s="46"/>
      <c r="O895" s="46"/>
      <c r="P895" s="46"/>
      <c r="Q895" s="46"/>
      <c r="R895" s="46"/>
      <c r="S895" s="46"/>
      <c r="T895" s="46"/>
      <c r="U895" s="46"/>
      <c r="V895" s="46"/>
      <c r="W895" s="46"/>
    </row>
    <row r="896">
      <c r="A896" s="55"/>
      <c r="B896" s="218"/>
      <c r="C896" s="55"/>
      <c r="D896" s="218"/>
      <c r="E896" s="126"/>
      <c r="F896" s="224"/>
      <c r="G896" s="126"/>
      <c r="H896" s="218"/>
      <c r="I896" s="223"/>
      <c r="J896" s="46"/>
      <c r="K896" s="46"/>
      <c r="L896" s="46"/>
      <c r="M896" s="46"/>
      <c r="N896" s="46"/>
      <c r="O896" s="46"/>
      <c r="P896" s="46"/>
      <c r="Q896" s="46"/>
      <c r="R896" s="46"/>
      <c r="S896" s="46"/>
      <c r="T896" s="46"/>
      <c r="U896" s="46"/>
      <c r="V896" s="46"/>
      <c r="W896" s="46"/>
    </row>
    <row r="897">
      <c r="A897" s="55"/>
      <c r="B897" s="218"/>
      <c r="C897" s="55"/>
      <c r="D897" s="218"/>
      <c r="E897" s="126"/>
      <c r="F897" s="224"/>
      <c r="G897" s="126"/>
      <c r="H897" s="218"/>
      <c r="I897" s="223"/>
      <c r="J897" s="46"/>
      <c r="K897" s="46"/>
      <c r="L897" s="46"/>
      <c r="M897" s="46"/>
      <c r="N897" s="46"/>
      <c r="O897" s="46"/>
      <c r="P897" s="46"/>
      <c r="Q897" s="46"/>
      <c r="R897" s="46"/>
      <c r="S897" s="46"/>
      <c r="T897" s="46"/>
      <c r="U897" s="46"/>
      <c r="V897" s="46"/>
      <c r="W897" s="46"/>
    </row>
    <row r="898">
      <c r="A898" s="55"/>
      <c r="B898" s="218"/>
      <c r="C898" s="55"/>
      <c r="D898" s="218"/>
      <c r="E898" s="126"/>
      <c r="F898" s="224"/>
      <c r="G898" s="126"/>
      <c r="H898" s="218"/>
      <c r="I898" s="223"/>
      <c r="J898" s="46"/>
      <c r="K898" s="46"/>
      <c r="L898" s="46"/>
      <c r="M898" s="46"/>
      <c r="N898" s="46"/>
      <c r="O898" s="46"/>
      <c r="P898" s="46"/>
      <c r="Q898" s="46"/>
      <c r="R898" s="46"/>
      <c r="S898" s="46"/>
      <c r="T898" s="46"/>
      <c r="U898" s="46"/>
      <c r="V898" s="46"/>
      <c r="W898" s="46"/>
    </row>
    <row r="899">
      <c r="A899" s="55"/>
      <c r="B899" s="218"/>
      <c r="C899" s="55"/>
      <c r="D899" s="218"/>
      <c r="E899" s="126"/>
      <c r="F899" s="224"/>
      <c r="G899" s="126"/>
      <c r="H899" s="218"/>
      <c r="I899" s="223"/>
      <c r="J899" s="46"/>
      <c r="K899" s="46"/>
      <c r="L899" s="46"/>
      <c r="M899" s="46"/>
      <c r="N899" s="46"/>
      <c r="O899" s="46"/>
      <c r="P899" s="46"/>
      <c r="Q899" s="46"/>
      <c r="R899" s="46"/>
      <c r="S899" s="46"/>
      <c r="T899" s="46"/>
      <c r="U899" s="46"/>
      <c r="V899" s="46"/>
      <c r="W899" s="46"/>
    </row>
    <row r="900">
      <c r="A900" s="55"/>
      <c r="B900" s="218"/>
      <c r="C900" s="55"/>
      <c r="D900" s="218"/>
      <c r="E900" s="126"/>
      <c r="F900" s="224"/>
      <c r="G900" s="126"/>
      <c r="H900" s="218"/>
      <c r="I900" s="223"/>
      <c r="J900" s="46"/>
      <c r="K900" s="46"/>
      <c r="L900" s="46"/>
      <c r="M900" s="46"/>
      <c r="N900" s="46"/>
      <c r="O900" s="46"/>
      <c r="P900" s="46"/>
      <c r="Q900" s="46"/>
      <c r="R900" s="46"/>
      <c r="S900" s="46"/>
      <c r="T900" s="46"/>
      <c r="U900" s="46"/>
      <c r="V900" s="46"/>
      <c r="W900" s="46"/>
    </row>
    <row r="901">
      <c r="A901" s="55"/>
      <c r="B901" s="218"/>
      <c r="C901" s="55"/>
      <c r="D901" s="218"/>
      <c r="E901" s="126"/>
      <c r="F901" s="224"/>
      <c r="G901" s="126"/>
      <c r="H901" s="218"/>
      <c r="I901" s="223"/>
      <c r="J901" s="46"/>
      <c r="K901" s="46"/>
      <c r="L901" s="46"/>
      <c r="M901" s="46"/>
      <c r="N901" s="46"/>
      <c r="O901" s="46"/>
      <c r="P901" s="46"/>
      <c r="Q901" s="46"/>
      <c r="R901" s="46"/>
      <c r="S901" s="46"/>
      <c r="T901" s="46"/>
      <c r="U901" s="46"/>
      <c r="V901" s="46"/>
      <c r="W901" s="46"/>
    </row>
    <row r="902">
      <c r="A902" s="55"/>
      <c r="B902" s="218"/>
      <c r="C902" s="55"/>
      <c r="D902" s="218"/>
      <c r="E902" s="126"/>
      <c r="F902" s="224"/>
      <c r="G902" s="126"/>
      <c r="H902" s="218"/>
      <c r="I902" s="223"/>
      <c r="J902" s="46"/>
      <c r="K902" s="46"/>
      <c r="L902" s="46"/>
      <c r="M902" s="46"/>
      <c r="N902" s="46"/>
      <c r="O902" s="46"/>
      <c r="P902" s="46"/>
      <c r="Q902" s="46"/>
      <c r="R902" s="46"/>
      <c r="S902" s="46"/>
      <c r="T902" s="46"/>
      <c r="U902" s="46"/>
      <c r="V902" s="46"/>
      <c r="W902" s="46"/>
    </row>
    <row r="903">
      <c r="A903" s="55"/>
      <c r="B903" s="218"/>
      <c r="C903" s="55"/>
      <c r="D903" s="218"/>
      <c r="E903" s="126"/>
      <c r="F903" s="224"/>
      <c r="G903" s="126"/>
      <c r="H903" s="218"/>
      <c r="I903" s="223"/>
      <c r="J903" s="46"/>
      <c r="K903" s="46"/>
      <c r="L903" s="46"/>
      <c r="M903" s="46"/>
      <c r="N903" s="46"/>
      <c r="O903" s="46"/>
      <c r="P903" s="46"/>
      <c r="Q903" s="46"/>
      <c r="R903" s="46"/>
      <c r="S903" s="46"/>
      <c r="T903" s="46"/>
      <c r="U903" s="46"/>
      <c r="V903" s="46"/>
      <c r="W903" s="46"/>
    </row>
    <row r="904">
      <c r="A904" s="55"/>
      <c r="B904" s="218"/>
      <c r="C904" s="55"/>
      <c r="D904" s="218"/>
      <c r="E904" s="126"/>
      <c r="F904" s="224"/>
      <c r="G904" s="126"/>
      <c r="H904" s="218"/>
      <c r="I904" s="223"/>
      <c r="J904" s="46"/>
      <c r="K904" s="46"/>
      <c r="L904" s="46"/>
      <c r="M904" s="46"/>
      <c r="N904" s="46"/>
      <c r="O904" s="46"/>
      <c r="P904" s="46"/>
      <c r="Q904" s="46"/>
      <c r="R904" s="46"/>
      <c r="S904" s="46"/>
      <c r="T904" s="46"/>
      <c r="U904" s="46"/>
      <c r="V904" s="46"/>
      <c r="W904" s="46"/>
    </row>
    <row r="905">
      <c r="A905" s="55"/>
      <c r="B905" s="218"/>
      <c r="C905" s="55"/>
      <c r="D905" s="218"/>
      <c r="E905" s="126"/>
      <c r="F905" s="224"/>
      <c r="G905" s="126"/>
      <c r="H905" s="218"/>
      <c r="I905" s="223"/>
      <c r="J905" s="46"/>
      <c r="K905" s="46"/>
      <c r="L905" s="46"/>
      <c r="M905" s="46"/>
      <c r="N905" s="46"/>
      <c r="O905" s="46"/>
      <c r="P905" s="46"/>
      <c r="Q905" s="46"/>
      <c r="R905" s="46"/>
      <c r="S905" s="46"/>
      <c r="T905" s="46"/>
      <c r="U905" s="46"/>
      <c r="V905" s="46"/>
      <c r="W905" s="46"/>
    </row>
    <row r="906">
      <c r="A906" s="55"/>
      <c r="B906" s="218"/>
      <c r="C906" s="55"/>
      <c r="D906" s="218"/>
      <c r="E906" s="126"/>
      <c r="F906" s="224"/>
      <c r="G906" s="126"/>
      <c r="H906" s="218"/>
      <c r="I906" s="223"/>
      <c r="J906" s="46"/>
      <c r="K906" s="46"/>
      <c r="L906" s="46"/>
      <c r="M906" s="46"/>
      <c r="N906" s="46"/>
      <c r="O906" s="46"/>
      <c r="P906" s="46"/>
      <c r="Q906" s="46"/>
      <c r="R906" s="46"/>
      <c r="S906" s="46"/>
      <c r="T906" s="46"/>
      <c r="U906" s="46"/>
      <c r="V906" s="46"/>
      <c r="W906" s="46"/>
    </row>
    <row r="907">
      <c r="A907" s="55"/>
      <c r="B907" s="218"/>
      <c r="C907" s="55"/>
      <c r="D907" s="218"/>
      <c r="E907" s="126"/>
      <c r="F907" s="224"/>
      <c r="G907" s="126"/>
      <c r="H907" s="218"/>
      <c r="I907" s="223"/>
      <c r="J907" s="46"/>
      <c r="K907" s="46"/>
      <c r="L907" s="46"/>
      <c r="M907" s="46"/>
      <c r="N907" s="46"/>
      <c r="O907" s="46"/>
      <c r="P907" s="46"/>
      <c r="Q907" s="46"/>
      <c r="R907" s="46"/>
      <c r="S907" s="46"/>
      <c r="T907" s="46"/>
      <c r="U907" s="46"/>
      <c r="V907" s="46"/>
      <c r="W907" s="46"/>
    </row>
    <row r="908">
      <c r="A908" s="55"/>
      <c r="B908" s="218"/>
      <c r="C908" s="55"/>
      <c r="D908" s="218"/>
      <c r="E908" s="126"/>
      <c r="F908" s="224"/>
      <c r="G908" s="126"/>
      <c r="H908" s="218"/>
      <c r="I908" s="223"/>
      <c r="J908" s="46"/>
      <c r="K908" s="46"/>
      <c r="L908" s="46"/>
      <c r="M908" s="46"/>
      <c r="N908" s="46"/>
      <c r="O908" s="46"/>
      <c r="P908" s="46"/>
      <c r="Q908" s="46"/>
      <c r="R908" s="46"/>
      <c r="S908" s="46"/>
      <c r="T908" s="46"/>
      <c r="U908" s="46"/>
      <c r="V908" s="46"/>
      <c r="W908" s="46"/>
    </row>
    <row r="909">
      <c r="A909" s="55"/>
      <c r="B909" s="218"/>
      <c r="C909" s="55"/>
      <c r="D909" s="218"/>
      <c r="E909" s="126"/>
      <c r="F909" s="224"/>
      <c r="G909" s="126"/>
      <c r="H909" s="218"/>
      <c r="I909" s="223"/>
      <c r="J909" s="46"/>
      <c r="K909" s="46"/>
      <c r="L909" s="46"/>
      <c r="M909" s="46"/>
      <c r="N909" s="46"/>
      <c r="O909" s="46"/>
      <c r="P909" s="46"/>
      <c r="Q909" s="46"/>
      <c r="R909" s="46"/>
      <c r="S909" s="46"/>
      <c r="T909" s="46"/>
      <c r="U909" s="46"/>
      <c r="V909" s="46"/>
      <c r="W909" s="46"/>
    </row>
    <row r="910">
      <c r="A910" s="55"/>
      <c r="B910" s="218"/>
      <c r="C910" s="55"/>
      <c r="D910" s="218"/>
      <c r="E910" s="126"/>
      <c r="F910" s="224"/>
      <c r="G910" s="126"/>
      <c r="H910" s="218"/>
      <c r="I910" s="223"/>
      <c r="J910" s="46"/>
      <c r="K910" s="46"/>
      <c r="L910" s="46"/>
      <c r="M910" s="46"/>
      <c r="N910" s="46"/>
      <c r="O910" s="46"/>
      <c r="P910" s="46"/>
      <c r="Q910" s="46"/>
      <c r="R910" s="46"/>
      <c r="S910" s="46"/>
      <c r="T910" s="46"/>
      <c r="U910" s="46"/>
      <c r="V910" s="46"/>
      <c r="W910" s="46"/>
    </row>
    <row r="911">
      <c r="A911" s="55"/>
      <c r="B911" s="218"/>
      <c r="C911" s="55"/>
      <c r="D911" s="218"/>
      <c r="E911" s="126"/>
      <c r="F911" s="224"/>
      <c r="G911" s="126"/>
      <c r="H911" s="218"/>
      <c r="I911" s="223"/>
      <c r="J911" s="46"/>
      <c r="K911" s="46"/>
      <c r="L911" s="46"/>
      <c r="M911" s="46"/>
      <c r="N911" s="46"/>
      <c r="O911" s="46"/>
      <c r="P911" s="46"/>
      <c r="Q911" s="46"/>
      <c r="R911" s="46"/>
      <c r="S911" s="46"/>
      <c r="T911" s="46"/>
      <c r="U911" s="46"/>
      <c r="V911" s="46"/>
      <c r="W911" s="46"/>
    </row>
    <row r="912">
      <c r="A912" s="55"/>
      <c r="B912" s="218"/>
      <c r="C912" s="55"/>
      <c r="D912" s="218"/>
      <c r="E912" s="126"/>
      <c r="F912" s="224"/>
      <c r="G912" s="126"/>
      <c r="H912" s="218"/>
      <c r="I912" s="223"/>
      <c r="J912" s="46"/>
      <c r="K912" s="46"/>
      <c r="L912" s="46"/>
      <c r="M912" s="46"/>
      <c r="N912" s="46"/>
      <c r="O912" s="46"/>
      <c r="P912" s="46"/>
      <c r="Q912" s="46"/>
      <c r="R912" s="46"/>
      <c r="S912" s="46"/>
      <c r="T912" s="46"/>
      <c r="U912" s="46"/>
      <c r="V912" s="46"/>
      <c r="W912" s="46"/>
    </row>
    <row r="913">
      <c r="A913" s="55"/>
      <c r="B913" s="218"/>
      <c r="C913" s="55"/>
      <c r="D913" s="218"/>
      <c r="E913" s="126"/>
      <c r="F913" s="224"/>
      <c r="G913" s="126"/>
      <c r="H913" s="218"/>
      <c r="I913" s="223"/>
      <c r="J913" s="46"/>
      <c r="K913" s="46"/>
      <c r="L913" s="46"/>
      <c r="M913" s="46"/>
      <c r="N913" s="46"/>
      <c r="O913" s="46"/>
      <c r="P913" s="46"/>
      <c r="Q913" s="46"/>
      <c r="R913" s="46"/>
      <c r="S913" s="46"/>
      <c r="T913" s="46"/>
      <c r="U913" s="46"/>
      <c r="V913" s="46"/>
      <c r="W913" s="46"/>
    </row>
    <row r="914">
      <c r="A914" s="55"/>
      <c r="B914" s="218"/>
      <c r="C914" s="55"/>
      <c r="D914" s="218"/>
      <c r="E914" s="126"/>
      <c r="F914" s="224"/>
      <c r="G914" s="126"/>
      <c r="H914" s="218"/>
      <c r="I914" s="223"/>
      <c r="J914" s="46"/>
      <c r="K914" s="46"/>
      <c r="L914" s="46"/>
      <c r="M914" s="46"/>
      <c r="N914" s="46"/>
      <c r="O914" s="46"/>
      <c r="P914" s="46"/>
      <c r="Q914" s="46"/>
      <c r="R914" s="46"/>
      <c r="S914" s="46"/>
      <c r="T914" s="46"/>
      <c r="U914" s="46"/>
      <c r="V914" s="46"/>
      <c r="W914" s="46"/>
    </row>
    <row r="915">
      <c r="A915" s="55"/>
      <c r="B915" s="218"/>
      <c r="C915" s="55"/>
      <c r="D915" s="218"/>
      <c r="E915" s="126"/>
      <c r="F915" s="224"/>
      <c r="G915" s="126"/>
      <c r="H915" s="218"/>
      <c r="I915" s="223"/>
      <c r="J915" s="46"/>
      <c r="K915" s="46"/>
      <c r="L915" s="46"/>
      <c r="M915" s="46"/>
      <c r="N915" s="46"/>
      <c r="O915" s="46"/>
      <c r="P915" s="46"/>
      <c r="Q915" s="46"/>
      <c r="R915" s="46"/>
      <c r="S915" s="46"/>
      <c r="T915" s="46"/>
      <c r="U915" s="46"/>
      <c r="V915" s="46"/>
      <c r="W915" s="46"/>
    </row>
    <row r="916">
      <c r="A916" s="55"/>
      <c r="B916" s="218"/>
      <c r="C916" s="55"/>
      <c r="D916" s="218"/>
      <c r="E916" s="126"/>
      <c r="F916" s="224"/>
      <c r="G916" s="126"/>
      <c r="H916" s="218"/>
      <c r="I916" s="223"/>
      <c r="J916" s="46"/>
      <c r="K916" s="46"/>
      <c r="L916" s="46"/>
      <c r="M916" s="46"/>
      <c r="N916" s="46"/>
      <c r="O916" s="46"/>
      <c r="P916" s="46"/>
      <c r="Q916" s="46"/>
      <c r="R916" s="46"/>
      <c r="S916" s="46"/>
      <c r="T916" s="46"/>
      <c r="U916" s="46"/>
      <c r="V916" s="46"/>
      <c r="W916" s="46"/>
    </row>
    <row r="917">
      <c r="A917" s="55"/>
      <c r="B917" s="218"/>
      <c r="C917" s="55"/>
      <c r="D917" s="218"/>
      <c r="E917" s="126"/>
      <c r="F917" s="224"/>
      <c r="G917" s="126"/>
      <c r="H917" s="218"/>
      <c r="I917" s="223"/>
      <c r="J917" s="46"/>
      <c r="K917" s="46"/>
      <c r="L917" s="46"/>
      <c r="M917" s="46"/>
      <c r="N917" s="46"/>
      <c r="O917" s="46"/>
      <c r="P917" s="46"/>
      <c r="Q917" s="46"/>
      <c r="R917" s="46"/>
      <c r="S917" s="46"/>
      <c r="T917" s="46"/>
      <c r="U917" s="46"/>
      <c r="V917" s="46"/>
      <c r="W917" s="46"/>
    </row>
    <row r="918">
      <c r="A918" s="55"/>
      <c r="B918" s="218"/>
      <c r="C918" s="55"/>
      <c r="D918" s="218"/>
      <c r="E918" s="126"/>
      <c r="F918" s="224"/>
      <c r="G918" s="126"/>
      <c r="H918" s="218"/>
      <c r="I918" s="223"/>
      <c r="J918" s="46"/>
      <c r="K918" s="46"/>
      <c r="L918" s="46"/>
      <c r="M918" s="46"/>
      <c r="N918" s="46"/>
      <c r="O918" s="46"/>
      <c r="P918" s="46"/>
      <c r="Q918" s="46"/>
      <c r="R918" s="46"/>
      <c r="S918" s="46"/>
      <c r="T918" s="46"/>
      <c r="U918" s="46"/>
      <c r="V918" s="46"/>
      <c r="W918" s="46"/>
    </row>
    <row r="919">
      <c r="A919" s="55"/>
      <c r="B919" s="218"/>
      <c r="C919" s="55"/>
      <c r="D919" s="218"/>
      <c r="E919" s="126"/>
      <c r="F919" s="224"/>
      <c r="G919" s="126"/>
      <c r="H919" s="218"/>
      <c r="I919" s="223"/>
      <c r="J919" s="46"/>
      <c r="K919" s="46"/>
      <c r="L919" s="46"/>
      <c r="M919" s="46"/>
      <c r="N919" s="46"/>
      <c r="O919" s="46"/>
      <c r="P919" s="46"/>
      <c r="Q919" s="46"/>
      <c r="R919" s="46"/>
      <c r="S919" s="46"/>
      <c r="T919" s="46"/>
      <c r="U919" s="46"/>
      <c r="V919" s="46"/>
      <c r="W919" s="46"/>
    </row>
    <row r="920">
      <c r="A920" s="55"/>
      <c r="B920" s="218"/>
      <c r="C920" s="55"/>
      <c r="D920" s="218"/>
      <c r="E920" s="126"/>
      <c r="F920" s="224"/>
      <c r="G920" s="126"/>
      <c r="H920" s="218"/>
      <c r="I920" s="223"/>
      <c r="J920" s="46"/>
      <c r="K920" s="46"/>
      <c r="L920" s="46"/>
      <c r="M920" s="46"/>
      <c r="N920" s="46"/>
      <c r="O920" s="46"/>
      <c r="P920" s="46"/>
      <c r="Q920" s="46"/>
      <c r="R920" s="46"/>
      <c r="S920" s="46"/>
      <c r="T920" s="46"/>
      <c r="U920" s="46"/>
      <c r="V920" s="46"/>
      <c r="W920" s="46"/>
    </row>
    <row r="921">
      <c r="A921" s="55"/>
      <c r="B921" s="218"/>
      <c r="C921" s="55"/>
      <c r="D921" s="218"/>
      <c r="E921" s="126"/>
      <c r="F921" s="224"/>
      <c r="G921" s="126"/>
      <c r="H921" s="218"/>
      <c r="I921" s="223"/>
      <c r="J921" s="46"/>
      <c r="K921" s="46"/>
      <c r="L921" s="46"/>
      <c r="M921" s="46"/>
      <c r="N921" s="46"/>
      <c r="O921" s="46"/>
      <c r="P921" s="46"/>
      <c r="Q921" s="46"/>
      <c r="R921" s="46"/>
      <c r="S921" s="46"/>
      <c r="T921" s="46"/>
      <c r="U921" s="46"/>
      <c r="V921" s="46"/>
      <c r="W921" s="46"/>
    </row>
    <row r="922">
      <c r="A922" s="55"/>
      <c r="B922" s="218"/>
      <c r="C922" s="55"/>
      <c r="D922" s="218"/>
      <c r="E922" s="126"/>
      <c r="F922" s="224"/>
      <c r="G922" s="126"/>
      <c r="H922" s="218"/>
      <c r="I922" s="223"/>
      <c r="J922" s="46"/>
      <c r="K922" s="46"/>
      <c r="L922" s="46"/>
      <c r="M922" s="46"/>
      <c r="N922" s="46"/>
      <c r="O922" s="46"/>
      <c r="P922" s="46"/>
      <c r="Q922" s="46"/>
      <c r="R922" s="46"/>
      <c r="S922" s="46"/>
      <c r="T922" s="46"/>
      <c r="U922" s="46"/>
      <c r="V922" s="46"/>
      <c r="W922" s="46"/>
    </row>
    <row r="923">
      <c r="A923" s="55"/>
      <c r="B923" s="218"/>
      <c r="C923" s="55"/>
      <c r="D923" s="218"/>
      <c r="E923" s="126"/>
      <c r="F923" s="224"/>
      <c r="G923" s="126"/>
      <c r="H923" s="218"/>
      <c r="I923" s="223"/>
      <c r="J923" s="46"/>
      <c r="K923" s="46"/>
      <c r="L923" s="46"/>
      <c r="M923" s="46"/>
      <c r="N923" s="46"/>
      <c r="O923" s="46"/>
      <c r="P923" s="46"/>
      <c r="Q923" s="46"/>
      <c r="R923" s="46"/>
      <c r="S923" s="46"/>
      <c r="T923" s="46"/>
      <c r="U923" s="46"/>
      <c r="V923" s="46"/>
      <c r="W923" s="46"/>
    </row>
    <row r="924">
      <c r="A924" s="55"/>
      <c r="B924" s="218"/>
      <c r="C924" s="55"/>
      <c r="D924" s="218"/>
      <c r="E924" s="126"/>
      <c r="F924" s="224"/>
      <c r="G924" s="126"/>
      <c r="H924" s="218"/>
      <c r="I924" s="223"/>
      <c r="J924" s="46"/>
      <c r="K924" s="46"/>
      <c r="L924" s="46"/>
      <c r="M924" s="46"/>
      <c r="N924" s="46"/>
      <c r="O924" s="46"/>
      <c r="P924" s="46"/>
      <c r="Q924" s="46"/>
      <c r="R924" s="46"/>
      <c r="S924" s="46"/>
      <c r="T924" s="46"/>
      <c r="U924" s="46"/>
      <c r="V924" s="46"/>
      <c r="W924" s="46"/>
    </row>
    <row r="925">
      <c r="A925" s="55"/>
      <c r="B925" s="218"/>
      <c r="C925" s="55"/>
      <c r="D925" s="218"/>
      <c r="E925" s="126"/>
      <c r="F925" s="224"/>
      <c r="G925" s="126"/>
      <c r="H925" s="218"/>
      <c r="I925" s="223"/>
      <c r="J925" s="46"/>
      <c r="K925" s="46"/>
      <c r="L925" s="46"/>
      <c r="M925" s="46"/>
      <c r="N925" s="46"/>
      <c r="O925" s="46"/>
      <c r="P925" s="46"/>
      <c r="Q925" s="46"/>
      <c r="R925" s="46"/>
      <c r="S925" s="46"/>
      <c r="T925" s="46"/>
      <c r="U925" s="46"/>
      <c r="V925" s="46"/>
      <c r="W925" s="46"/>
    </row>
    <row r="926">
      <c r="A926" s="55"/>
      <c r="B926" s="218"/>
      <c r="C926" s="55"/>
      <c r="D926" s="218"/>
      <c r="E926" s="126"/>
      <c r="F926" s="224"/>
      <c r="G926" s="126"/>
      <c r="H926" s="218"/>
      <c r="I926" s="223"/>
      <c r="J926" s="46"/>
      <c r="K926" s="46"/>
      <c r="L926" s="46"/>
      <c r="M926" s="46"/>
      <c r="N926" s="46"/>
      <c r="O926" s="46"/>
      <c r="P926" s="46"/>
      <c r="Q926" s="46"/>
      <c r="R926" s="46"/>
      <c r="S926" s="46"/>
      <c r="T926" s="46"/>
      <c r="U926" s="46"/>
      <c r="V926" s="46"/>
      <c r="W926" s="46"/>
    </row>
    <row r="927">
      <c r="A927" s="55"/>
      <c r="B927" s="218"/>
      <c r="C927" s="55"/>
      <c r="D927" s="218"/>
      <c r="E927" s="126"/>
      <c r="F927" s="224"/>
      <c r="G927" s="126"/>
      <c r="H927" s="218"/>
      <c r="I927" s="223"/>
      <c r="J927" s="46"/>
      <c r="K927" s="46"/>
      <c r="L927" s="46"/>
      <c r="M927" s="46"/>
      <c r="N927" s="46"/>
      <c r="O927" s="46"/>
      <c r="P927" s="46"/>
      <c r="Q927" s="46"/>
      <c r="R927" s="46"/>
      <c r="S927" s="46"/>
      <c r="T927" s="46"/>
      <c r="U927" s="46"/>
      <c r="V927" s="46"/>
      <c r="W927" s="46"/>
    </row>
    <row r="928">
      <c r="A928" s="55"/>
      <c r="B928" s="218"/>
      <c r="C928" s="55"/>
      <c r="D928" s="218"/>
      <c r="E928" s="126"/>
      <c r="F928" s="224"/>
      <c r="G928" s="126"/>
      <c r="H928" s="218"/>
      <c r="I928" s="223"/>
      <c r="J928" s="46"/>
      <c r="K928" s="46"/>
      <c r="L928" s="46"/>
      <c r="M928" s="46"/>
      <c r="N928" s="46"/>
      <c r="O928" s="46"/>
      <c r="P928" s="46"/>
      <c r="Q928" s="46"/>
      <c r="R928" s="46"/>
      <c r="S928" s="46"/>
      <c r="T928" s="46"/>
      <c r="U928" s="46"/>
      <c r="V928" s="46"/>
      <c r="W928" s="46"/>
    </row>
    <row r="929">
      <c r="A929" s="55"/>
      <c r="B929" s="218"/>
      <c r="C929" s="55"/>
      <c r="D929" s="218"/>
      <c r="E929" s="126"/>
      <c r="F929" s="224"/>
      <c r="G929" s="126"/>
      <c r="H929" s="218"/>
      <c r="I929" s="223"/>
      <c r="J929" s="46"/>
      <c r="K929" s="46"/>
      <c r="L929" s="46"/>
      <c r="M929" s="46"/>
      <c r="N929" s="46"/>
      <c r="O929" s="46"/>
      <c r="P929" s="46"/>
      <c r="Q929" s="46"/>
      <c r="R929" s="46"/>
      <c r="S929" s="46"/>
      <c r="T929" s="46"/>
      <c r="U929" s="46"/>
      <c r="V929" s="46"/>
      <c r="W929" s="46"/>
    </row>
    <row r="930">
      <c r="A930" s="55"/>
      <c r="B930" s="218"/>
      <c r="C930" s="55"/>
      <c r="D930" s="218"/>
      <c r="E930" s="126"/>
      <c r="F930" s="224"/>
      <c r="G930" s="126"/>
      <c r="H930" s="218"/>
      <c r="I930" s="223"/>
      <c r="J930" s="46"/>
      <c r="K930" s="46"/>
      <c r="L930" s="46"/>
      <c r="M930" s="46"/>
      <c r="N930" s="46"/>
      <c r="O930" s="46"/>
      <c r="P930" s="46"/>
      <c r="Q930" s="46"/>
      <c r="R930" s="46"/>
      <c r="S930" s="46"/>
      <c r="T930" s="46"/>
      <c r="U930" s="46"/>
      <c r="V930" s="46"/>
      <c r="W930" s="46"/>
    </row>
    <row r="931">
      <c r="A931" s="55"/>
      <c r="B931" s="218"/>
      <c r="C931" s="55"/>
      <c r="D931" s="218"/>
      <c r="E931" s="126"/>
      <c r="F931" s="224"/>
      <c r="G931" s="126"/>
      <c r="H931" s="218"/>
      <c r="I931" s="223"/>
      <c r="J931" s="46"/>
      <c r="K931" s="46"/>
      <c r="L931" s="46"/>
      <c r="M931" s="46"/>
      <c r="N931" s="46"/>
      <c r="O931" s="46"/>
      <c r="P931" s="46"/>
      <c r="Q931" s="46"/>
      <c r="R931" s="46"/>
      <c r="S931" s="46"/>
      <c r="T931" s="46"/>
      <c r="U931" s="46"/>
      <c r="V931" s="46"/>
      <c r="W931" s="46"/>
    </row>
    <row r="932">
      <c r="A932" s="55"/>
      <c r="B932" s="218"/>
      <c r="C932" s="55"/>
      <c r="D932" s="218"/>
      <c r="E932" s="126"/>
      <c r="F932" s="224"/>
      <c r="G932" s="126"/>
      <c r="H932" s="218"/>
      <c r="I932" s="223"/>
      <c r="J932" s="46"/>
      <c r="K932" s="46"/>
      <c r="L932" s="46"/>
      <c r="M932" s="46"/>
      <c r="N932" s="46"/>
      <c r="O932" s="46"/>
      <c r="P932" s="46"/>
      <c r="Q932" s="46"/>
      <c r="R932" s="46"/>
      <c r="S932" s="46"/>
      <c r="T932" s="46"/>
      <c r="U932" s="46"/>
      <c r="V932" s="46"/>
      <c r="W932" s="46"/>
    </row>
    <row r="933">
      <c r="A933" s="55"/>
      <c r="B933" s="218"/>
      <c r="C933" s="55"/>
      <c r="D933" s="218"/>
      <c r="E933" s="126"/>
      <c r="F933" s="224"/>
      <c r="G933" s="126"/>
      <c r="H933" s="218"/>
      <c r="I933" s="223"/>
      <c r="J933" s="46"/>
      <c r="K933" s="46"/>
      <c r="L933" s="46"/>
      <c r="M933" s="46"/>
      <c r="N933" s="46"/>
      <c r="O933" s="46"/>
      <c r="P933" s="46"/>
      <c r="Q933" s="46"/>
      <c r="R933" s="46"/>
      <c r="S933" s="46"/>
      <c r="T933" s="46"/>
      <c r="U933" s="46"/>
      <c r="V933" s="46"/>
      <c r="W933" s="46"/>
    </row>
    <row r="934">
      <c r="A934" s="55"/>
      <c r="B934" s="218"/>
      <c r="C934" s="55"/>
      <c r="D934" s="218"/>
      <c r="E934" s="126"/>
      <c r="F934" s="224"/>
      <c r="G934" s="126"/>
      <c r="H934" s="218"/>
      <c r="I934" s="223"/>
      <c r="J934" s="46"/>
      <c r="K934" s="46"/>
      <c r="L934" s="46"/>
      <c r="M934" s="46"/>
      <c r="N934" s="46"/>
      <c r="O934" s="46"/>
      <c r="P934" s="46"/>
      <c r="Q934" s="46"/>
      <c r="R934" s="46"/>
      <c r="S934" s="46"/>
      <c r="T934" s="46"/>
      <c r="U934" s="46"/>
      <c r="V934" s="46"/>
      <c r="W934" s="46"/>
    </row>
    <row r="935">
      <c r="A935" s="55"/>
      <c r="B935" s="218"/>
      <c r="C935" s="55"/>
      <c r="D935" s="218"/>
      <c r="E935" s="126"/>
      <c r="F935" s="224"/>
      <c r="G935" s="126"/>
      <c r="H935" s="218"/>
      <c r="I935" s="223"/>
      <c r="J935" s="46"/>
      <c r="K935" s="46"/>
      <c r="L935" s="46"/>
      <c r="M935" s="46"/>
      <c r="N935" s="46"/>
      <c r="O935" s="46"/>
      <c r="P935" s="46"/>
      <c r="Q935" s="46"/>
      <c r="R935" s="46"/>
      <c r="S935" s="46"/>
      <c r="T935" s="46"/>
      <c r="U935" s="46"/>
      <c r="V935" s="46"/>
      <c r="W935" s="46"/>
    </row>
    <row r="936">
      <c r="A936" s="55"/>
      <c r="B936" s="218"/>
      <c r="C936" s="55"/>
      <c r="D936" s="218"/>
      <c r="E936" s="126"/>
      <c r="F936" s="224"/>
      <c r="G936" s="126"/>
      <c r="H936" s="218"/>
      <c r="I936" s="223"/>
      <c r="J936" s="46"/>
      <c r="K936" s="46"/>
      <c r="L936" s="46"/>
      <c r="M936" s="46"/>
      <c r="N936" s="46"/>
      <c r="O936" s="46"/>
      <c r="P936" s="46"/>
      <c r="Q936" s="46"/>
      <c r="R936" s="46"/>
      <c r="S936" s="46"/>
      <c r="T936" s="46"/>
      <c r="U936" s="46"/>
      <c r="V936" s="46"/>
      <c r="W936" s="46"/>
    </row>
    <row r="937">
      <c r="A937" s="55"/>
      <c r="B937" s="218"/>
      <c r="C937" s="55"/>
      <c r="D937" s="218"/>
      <c r="E937" s="126"/>
      <c r="F937" s="224"/>
      <c r="G937" s="126"/>
      <c r="H937" s="218"/>
      <c r="I937" s="223"/>
      <c r="J937" s="46"/>
      <c r="K937" s="46"/>
      <c r="L937" s="46"/>
      <c r="M937" s="46"/>
      <c r="N937" s="46"/>
      <c r="O937" s="46"/>
      <c r="P937" s="46"/>
      <c r="Q937" s="46"/>
      <c r="R937" s="46"/>
      <c r="S937" s="46"/>
      <c r="T937" s="46"/>
      <c r="U937" s="46"/>
      <c r="V937" s="46"/>
      <c r="W937" s="46"/>
    </row>
    <row r="938">
      <c r="A938" s="55"/>
      <c r="B938" s="218"/>
      <c r="C938" s="55"/>
      <c r="D938" s="218"/>
      <c r="E938" s="126"/>
      <c r="F938" s="224"/>
      <c r="G938" s="126"/>
      <c r="H938" s="218"/>
      <c r="I938" s="223"/>
      <c r="J938" s="46"/>
      <c r="K938" s="46"/>
      <c r="L938" s="46"/>
      <c r="M938" s="46"/>
      <c r="N938" s="46"/>
      <c r="O938" s="46"/>
      <c r="P938" s="46"/>
      <c r="Q938" s="46"/>
      <c r="R938" s="46"/>
      <c r="S938" s="46"/>
      <c r="T938" s="46"/>
      <c r="U938" s="46"/>
      <c r="V938" s="46"/>
      <c r="W938" s="46"/>
    </row>
    <row r="939">
      <c r="A939" s="55"/>
      <c r="B939" s="218"/>
      <c r="C939" s="55"/>
      <c r="D939" s="218"/>
      <c r="E939" s="126"/>
      <c r="F939" s="224"/>
      <c r="G939" s="126"/>
      <c r="H939" s="218"/>
      <c r="I939" s="223"/>
      <c r="J939" s="46"/>
      <c r="K939" s="46"/>
      <c r="L939" s="46"/>
      <c r="M939" s="46"/>
      <c r="N939" s="46"/>
      <c r="O939" s="46"/>
      <c r="P939" s="46"/>
      <c r="Q939" s="46"/>
      <c r="R939" s="46"/>
      <c r="S939" s="46"/>
      <c r="T939" s="46"/>
      <c r="U939" s="46"/>
      <c r="V939" s="46"/>
      <c r="W939" s="46"/>
    </row>
    <row r="940">
      <c r="A940" s="55"/>
      <c r="B940" s="218"/>
      <c r="C940" s="55"/>
      <c r="D940" s="218"/>
      <c r="E940" s="126"/>
      <c r="F940" s="224"/>
      <c r="G940" s="126"/>
      <c r="H940" s="218"/>
      <c r="I940" s="223"/>
      <c r="J940" s="46"/>
      <c r="K940" s="46"/>
      <c r="L940" s="46"/>
      <c r="M940" s="46"/>
      <c r="N940" s="46"/>
      <c r="O940" s="46"/>
      <c r="P940" s="46"/>
      <c r="Q940" s="46"/>
      <c r="R940" s="46"/>
      <c r="S940" s="46"/>
      <c r="T940" s="46"/>
      <c r="U940" s="46"/>
      <c r="V940" s="46"/>
      <c r="W940" s="46"/>
    </row>
    <row r="941">
      <c r="A941" s="55"/>
      <c r="B941" s="218"/>
      <c r="C941" s="55"/>
      <c r="D941" s="218"/>
      <c r="E941" s="126"/>
      <c r="F941" s="224"/>
      <c r="G941" s="126"/>
      <c r="H941" s="218"/>
      <c r="I941" s="223"/>
      <c r="J941" s="46"/>
      <c r="K941" s="46"/>
      <c r="L941" s="46"/>
      <c r="M941" s="46"/>
      <c r="N941" s="46"/>
      <c r="O941" s="46"/>
      <c r="P941" s="46"/>
      <c r="Q941" s="46"/>
      <c r="R941" s="46"/>
      <c r="S941" s="46"/>
      <c r="T941" s="46"/>
      <c r="U941" s="46"/>
      <c r="V941" s="46"/>
      <c r="W941" s="46"/>
    </row>
    <row r="942">
      <c r="A942" s="55"/>
      <c r="B942" s="218"/>
      <c r="C942" s="55"/>
      <c r="D942" s="218"/>
      <c r="E942" s="126"/>
      <c r="F942" s="224"/>
      <c r="G942" s="126"/>
      <c r="H942" s="218"/>
      <c r="I942" s="223"/>
      <c r="J942" s="46"/>
      <c r="K942" s="46"/>
      <c r="L942" s="46"/>
      <c r="M942" s="46"/>
      <c r="N942" s="46"/>
      <c r="O942" s="46"/>
      <c r="P942" s="46"/>
      <c r="Q942" s="46"/>
      <c r="R942" s="46"/>
      <c r="S942" s="46"/>
      <c r="T942" s="46"/>
      <c r="U942" s="46"/>
      <c r="V942" s="46"/>
      <c r="W942" s="46"/>
    </row>
    <row r="943">
      <c r="A943" s="55"/>
      <c r="B943" s="218"/>
      <c r="C943" s="55"/>
      <c r="D943" s="218"/>
      <c r="E943" s="126"/>
      <c r="F943" s="224"/>
      <c r="G943" s="126"/>
      <c r="H943" s="218"/>
      <c r="I943" s="223"/>
      <c r="J943" s="46"/>
      <c r="K943" s="46"/>
      <c r="L943" s="46"/>
      <c r="M943" s="46"/>
      <c r="N943" s="46"/>
      <c r="O943" s="46"/>
      <c r="P943" s="46"/>
      <c r="Q943" s="46"/>
      <c r="R943" s="46"/>
      <c r="S943" s="46"/>
      <c r="T943" s="46"/>
      <c r="U943" s="46"/>
      <c r="V943" s="46"/>
      <c r="W943" s="46"/>
    </row>
    <row r="944">
      <c r="A944" s="55"/>
      <c r="B944" s="218"/>
      <c r="C944" s="55"/>
      <c r="D944" s="218"/>
      <c r="E944" s="126"/>
      <c r="F944" s="224"/>
      <c r="G944" s="126"/>
      <c r="H944" s="218"/>
      <c r="I944" s="223"/>
      <c r="J944" s="46"/>
      <c r="K944" s="46"/>
      <c r="L944" s="46"/>
      <c r="M944" s="46"/>
      <c r="N944" s="46"/>
      <c r="O944" s="46"/>
      <c r="P944" s="46"/>
      <c r="Q944" s="46"/>
      <c r="R944" s="46"/>
      <c r="S944" s="46"/>
      <c r="T944" s="46"/>
      <c r="U944" s="46"/>
      <c r="V944" s="46"/>
      <c r="W944" s="46"/>
    </row>
    <row r="945">
      <c r="A945" s="55"/>
      <c r="B945" s="218"/>
      <c r="C945" s="55"/>
      <c r="D945" s="218"/>
      <c r="E945" s="126"/>
      <c r="F945" s="224"/>
      <c r="G945" s="126"/>
      <c r="H945" s="218"/>
      <c r="I945" s="223"/>
      <c r="J945" s="46"/>
      <c r="K945" s="46"/>
      <c r="L945" s="46"/>
      <c r="M945" s="46"/>
      <c r="N945" s="46"/>
      <c r="O945" s="46"/>
      <c r="P945" s="46"/>
      <c r="Q945" s="46"/>
      <c r="R945" s="46"/>
      <c r="S945" s="46"/>
      <c r="T945" s="46"/>
      <c r="U945" s="46"/>
      <c r="V945" s="46"/>
      <c r="W945" s="46"/>
    </row>
    <row r="946">
      <c r="A946" s="55"/>
      <c r="B946" s="218"/>
      <c r="C946" s="55"/>
      <c r="D946" s="218"/>
      <c r="E946" s="126"/>
      <c r="F946" s="224"/>
      <c r="G946" s="126"/>
      <c r="H946" s="218"/>
      <c r="I946" s="223"/>
      <c r="J946" s="46"/>
      <c r="K946" s="46"/>
      <c r="L946" s="46"/>
      <c r="M946" s="46"/>
      <c r="N946" s="46"/>
      <c r="O946" s="46"/>
      <c r="P946" s="46"/>
      <c r="Q946" s="46"/>
      <c r="R946" s="46"/>
      <c r="S946" s="46"/>
      <c r="T946" s="46"/>
      <c r="U946" s="46"/>
      <c r="V946" s="46"/>
      <c r="W946" s="46"/>
    </row>
    <row r="947">
      <c r="A947" s="55"/>
      <c r="B947" s="218"/>
      <c r="C947" s="55"/>
      <c r="D947" s="218"/>
      <c r="E947" s="126"/>
      <c r="F947" s="224"/>
      <c r="G947" s="126"/>
      <c r="H947" s="218"/>
      <c r="I947" s="223"/>
      <c r="J947" s="46"/>
      <c r="K947" s="46"/>
      <c r="L947" s="46"/>
      <c r="M947" s="46"/>
      <c r="N947" s="46"/>
      <c r="O947" s="46"/>
      <c r="P947" s="46"/>
      <c r="Q947" s="46"/>
      <c r="R947" s="46"/>
      <c r="S947" s="46"/>
      <c r="T947" s="46"/>
      <c r="U947" s="46"/>
      <c r="V947" s="46"/>
      <c r="W947" s="46"/>
    </row>
    <row r="948">
      <c r="A948" s="55"/>
      <c r="B948" s="218"/>
      <c r="C948" s="55"/>
      <c r="D948" s="218"/>
      <c r="E948" s="126"/>
      <c r="F948" s="224"/>
      <c r="G948" s="126"/>
      <c r="H948" s="218"/>
      <c r="I948" s="223"/>
      <c r="J948" s="46"/>
      <c r="K948" s="46"/>
      <c r="L948" s="46"/>
      <c r="M948" s="46"/>
      <c r="N948" s="46"/>
      <c r="O948" s="46"/>
      <c r="P948" s="46"/>
      <c r="Q948" s="46"/>
      <c r="R948" s="46"/>
      <c r="S948" s="46"/>
      <c r="T948" s="46"/>
      <c r="U948" s="46"/>
      <c r="V948" s="46"/>
      <c r="W948" s="46"/>
    </row>
    <row r="949">
      <c r="A949" s="55"/>
      <c r="B949" s="218"/>
      <c r="C949" s="55"/>
      <c r="D949" s="218"/>
      <c r="E949" s="126"/>
      <c r="F949" s="224"/>
      <c r="G949" s="126"/>
      <c r="H949" s="218"/>
      <c r="I949" s="223"/>
      <c r="J949" s="46"/>
      <c r="K949" s="46"/>
      <c r="L949" s="46"/>
      <c r="M949" s="46"/>
      <c r="N949" s="46"/>
      <c r="O949" s="46"/>
      <c r="P949" s="46"/>
      <c r="Q949" s="46"/>
      <c r="R949" s="46"/>
      <c r="S949" s="46"/>
      <c r="T949" s="46"/>
      <c r="U949" s="46"/>
      <c r="V949" s="46"/>
      <c r="W949" s="46"/>
    </row>
    <row r="950">
      <c r="A950" s="55"/>
      <c r="B950" s="218"/>
      <c r="C950" s="55"/>
      <c r="D950" s="218"/>
      <c r="E950" s="126"/>
      <c r="F950" s="224"/>
      <c r="G950" s="126"/>
      <c r="H950" s="218"/>
      <c r="I950" s="223"/>
      <c r="J950" s="46"/>
      <c r="K950" s="46"/>
      <c r="L950" s="46"/>
      <c r="M950" s="46"/>
      <c r="N950" s="46"/>
      <c r="O950" s="46"/>
      <c r="P950" s="46"/>
      <c r="Q950" s="46"/>
      <c r="R950" s="46"/>
      <c r="S950" s="46"/>
      <c r="T950" s="46"/>
      <c r="U950" s="46"/>
      <c r="V950" s="46"/>
      <c r="W950" s="46"/>
    </row>
    <row r="951">
      <c r="A951" s="55"/>
      <c r="B951" s="218"/>
      <c r="C951" s="55"/>
      <c r="D951" s="218"/>
      <c r="E951" s="126"/>
      <c r="F951" s="224"/>
      <c r="G951" s="126"/>
      <c r="H951" s="218"/>
      <c r="I951" s="223"/>
      <c r="J951" s="46"/>
      <c r="K951" s="46"/>
      <c r="L951" s="46"/>
      <c r="M951" s="46"/>
      <c r="N951" s="46"/>
      <c r="O951" s="46"/>
      <c r="P951" s="46"/>
      <c r="Q951" s="46"/>
      <c r="R951" s="46"/>
      <c r="S951" s="46"/>
      <c r="T951" s="46"/>
      <c r="U951" s="46"/>
      <c r="V951" s="46"/>
      <c r="W951" s="46"/>
    </row>
    <row r="952">
      <c r="A952" s="55"/>
      <c r="B952" s="218"/>
      <c r="C952" s="55"/>
      <c r="D952" s="218"/>
      <c r="E952" s="126"/>
      <c r="F952" s="224"/>
      <c r="G952" s="126"/>
      <c r="H952" s="218"/>
      <c r="I952" s="223"/>
      <c r="J952" s="46"/>
      <c r="K952" s="46"/>
      <c r="L952" s="46"/>
      <c r="M952" s="46"/>
      <c r="N952" s="46"/>
      <c r="O952" s="46"/>
      <c r="P952" s="46"/>
      <c r="Q952" s="46"/>
      <c r="R952" s="46"/>
      <c r="S952" s="46"/>
      <c r="T952" s="46"/>
      <c r="U952" s="46"/>
      <c r="V952" s="46"/>
      <c r="W952" s="46"/>
    </row>
    <row r="953">
      <c r="A953" s="55"/>
      <c r="B953" s="218"/>
      <c r="C953" s="55"/>
      <c r="D953" s="218"/>
      <c r="E953" s="126"/>
      <c r="F953" s="224"/>
      <c r="G953" s="126"/>
      <c r="H953" s="218"/>
      <c r="I953" s="223"/>
      <c r="J953" s="46"/>
      <c r="K953" s="46"/>
      <c r="L953" s="46"/>
      <c r="M953" s="46"/>
      <c r="N953" s="46"/>
      <c r="O953" s="46"/>
      <c r="P953" s="46"/>
      <c r="Q953" s="46"/>
      <c r="R953" s="46"/>
      <c r="S953" s="46"/>
      <c r="T953" s="46"/>
      <c r="U953" s="46"/>
      <c r="V953" s="46"/>
      <c r="W953" s="46"/>
    </row>
    <row r="954">
      <c r="A954" s="55"/>
      <c r="B954" s="218"/>
      <c r="C954" s="55"/>
      <c r="D954" s="218"/>
      <c r="E954" s="126"/>
      <c r="F954" s="224"/>
      <c r="G954" s="126"/>
      <c r="H954" s="218"/>
      <c r="I954" s="223"/>
      <c r="J954" s="46"/>
      <c r="K954" s="46"/>
      <c r="L954" s="46"/>
      <c r="M954" s="46"/>
      <c r="N954" s="46"/>
      <c r="O954" s="46"/>
      <c r="P954" s="46"/>
      <c r="Q954" s="46"/>
      <c r="R954" s="46"/>
      <c r="S954" s="46"/>
      <c r="T954" s="46"/>
      <c r="U954" s="46"/>
      <c r="V954" s="46"/>
      <c r="W954" s="46"/>
    </row>
    <row r="955">
      <c r="A955" s="55"/>
      <c r="B955" s="218"/>
      <c r="C955" s="55"/>
      <c r="D955" s="218"/>
      <c r="E955" s="126"/>
      <c r="F955" s="224"/>
      <c r="G955" s="126"/>
      <c r="H955" s="218"/>
      <c r="I955" s="223"/>
      <c r="J955" s="46"/>
      <c r="K955" s="46"/>
      <c r="L955" s="46"/>
      <c r="M955" s="46"/>
      <c r="N955" s="46"/>
      <c r="O955" s="46"/>
      <c r="P955" s="46"/>
      <c r="Q955" s="46"/>
      <c r="R955" s="46"/>
      <c r="S955" s="46"/>
      <c r="T955" s="46"/>
      <c r="U955" s="46"/>
      <c r="V955" s="46"/>
      <c r="W955" s="46"/>
    </row>
    <row r="956">
      <c r="A956" s="55"/>
      <c r="B956" s="218"/>
      <c r="C956" s="55"/>
      <c r="D956" s="218"/>
      <c r="E956" s="126"/>
      <c r="F956" s="224"/>
      <c r="G956" s="126"/>
      <c r="H956" s="218"/>
      <c r="I956" s="223"/>
      <c r="J956" s="46"/>
      <c r="K956" s="46"/>
      <c r="L956" s="46"/>
      <c r="M956" s="46"/>
      <c r="N956" s="46"/>
      <c r="O956" s="46"/>
      <c r="P956" s="46"/>
      <c r="Q956" s="46"/>
      <c r="R956" s="46"/>
      <c r="S956" s="46"/>
      <c r="T956" s="46"/>
      <c r="U956" s="46"/>
      <c r="V956" s="46"/>
      <c r="W956" s="46"/>
    </row>
    <row r="957">
      <c r="A957" s="55"/>
      <c r="B957" s="218"/>
      <c r="C957" s="55"/>
      <c r="D957" s="218"/>
      <c r="E957" s="126"/>
      <c r="F957" s="224"/>
      <c r="G957" s="126"/>
      <c r="H957" s="218"/>
      <c r="I957" s="223"/>
      <c r="J957" s="46"/>
      <c r="K957" s="46"/>
      <c r="L957" s="46"/>
      <c r="M957" s="46"/>
      <c r="N957" s="46"/>
      <c r="O957" s="46"/>
      <c r="P957" s="46"/>
      <c r="Q957" s="46"/>
      <c r="R957" s="46"/>
      <c r="S957" s="46"/>
      <c r="T957" s="46"/>
      <c r="U957" s="46"/>
      <c r="V957" s="46"/>
      <c r="W957" s="46"/>
    </row>
    <row r="958">
      <c r="A958" s="55"/>
      <c r="B958" s="218"/>
      <c r="C958" s="55"/>
      <c r="D958" s="218"/>
      <c r="E958" s="126"/>
      <c r="F958" s="224"/>
      <c r="G958" s="126"/>
      <c r="H958" s="218"/>
      <c r="I958" s="223"/>
      <c r="J958" s="46"/>
      <c r="K958" s="46"/>
      <c r="L958" s="46"/>
      <c r="M958" s="46"/>
      <c r="N958" s="46"/>
      <c r="O958" s="46"/>
      <c r="P958" s="46"/>
      <c r="Q958" s="46"/>
      <c r="R958" s="46"/>
      <c r="S958" s="46"/>
      <c r="T958" s="46"/>
      <c r="U958" s="46"/>
      <c r="V958" s="46"/>
      <c r="W958" s="46"/>
    </row>
    <row r="959">
      <c r="A959" s="55"/>
      <c r="B959" s="218"/>
      <c r="C959" s="55"/>
      <c r="D959" s="218"/>
      <c r="E959" s="126"/>
      <c r="F959" s="224"/>
      <c r="G959" s="126"/>
      <c r="H959" s="218"/>
      <c r="I959" s="223"/>
      <c r="J959" s="46"/>
      <c r="K959" s="46"/>
      <c r="L959" s="46"/>
      <c r="M959" s="46"/>
      <c r="N959" s="46"/>
      <c r="O959" s="46"/>
      <c r="P959" s="46"/>
      <c r="Q959" s="46"/>
      <c r="R959" s="46"/>
      <c r="S959" s="46"/>
      <c r="T959" s="46"/>
      <c r="U959" s="46"/>
      <c r="V959" s="46"/>
      <c r="W959" s="46"/>
    </row>
    <row r="960">
      <c r="A960" s="55"/>
      <c r="B960" s="218"/>
      <c r="C960" s="55"/>
      <c r="D960" s="218"/>
      <c r="E960" s="126"/>
      <c r="F960" s="224"/>
      <c r="G960" s="126"/>
      <c r="H960" s="218"/>
      <c r="I960" s="223"/>
      <c r="J960" s="46"/>
      <c r="K960" s="46"/>
      <c r="L960" s="46"/>
      <c r="M960" s="46"/>
      <c r="N960" s="46"/>
      <c r="O960" s="46"/>
      <c r="P960" s="46"/>
      <c r="Q960" s="46"/>
      <c r="R960" s="46"/>
      <c r="S960" s="46"/>
      <c r="T960" s="46"/>
      <c r="U960" s="46"/>
      <c r="V960" s="46"/>
      <c r="W960" s="46"/>
    </row>
    <row r="961">
      <c r="A961" s="55"/>
      <c r="B961" s="218"/>
      <c r="C961" s="55"/>
      <c r="D961" s="218"/>
      <c r="E961" s="126"/>
      <c r="F961" s="224"/>
      <c r="G961" s="126"/>
      <c r="H961" s="218"/>
      <c r="I961" s="223"/>
      <c r="J961" s="46"/>
      <c r="K961" s="46"/>
      <c r="L961" s="46"/>
      <c r="M961" s="46"/>
      <c r="N961" s="46"/>
      <c r="O961" s="46"/>
      <c r="P961" s="46"/>
      <c r="Q961" s="46"/>
      <c r="R961" s="46"/>
      <c r="S961" s="46"/>
      <c r="T961" s="46"/>
      <c r="U961" s="46"/>
      <c r="V961" s="46"/>
      <c r="W961" s="46"/>
    </row>
    <row r="962">
      <c r="A962" s="55"/>
      <c r="B962" s="218"/>
      <c r="C962" s="55"/>
      <c r="D962" s="218"/>
      <c r="E962" s="126"/>
      <c r="F962" s="224"/>
      <c r="G962" s="126"/>
      <c r="H962" s="218"/>
      <c r="I962" s="223"/>
      <c r="J962" s="46"/>
      <c r="K962" s="46"/>
      <c r="L962" s="46"/>
      <c r="M962" s="46"/>
      <c r="N962" s="46"/>
      <c r="O962" s="46"/>
      <c r="P962" s="46"/>
      <c r="Q962" s="46"/>
      <c r="R962" s="46"/>
      <c r="S962" s="46"/>
      <c r="T962" s="46"/>
      <c r="U962" s="46"/>
      <c r="V962" s="46"/>
      <c r="W962" s="46"/>
    </row>
    <row r="963">
      <c r="A963" s="55"/>
      <c r="B963" s="218"/>
      <c r="C963" s="55"/>
      <c r="D963" s="218"/>
      <c r="E963" s="126"/>
      <c r="F963" s="224"/>
      <c r="G963" s="126"/>
      <c r="H963" s="218"/>
      <c r="I963" s="223"/>
      <c r="J963" s="46"/>
      <c r="K963" s="46"/>
      <c r="L963" s="46"/>
      <c r="M963" s="46"/>
      <c r="N963" s="46"/>
      <c r="O963" s="46"/>
      <c r="P963" s="46"/>
      <c r="Q963" s="46"/>
      <c r="R963" s="46"/>
      <c r="S963" s="46"/>
      <c r="T963" s="46"/>
      <c r="U963" s="46"/>
      <c r="V963" s="46"/>
      <c r="W963" s="46"/>
    </row>
    <row r="964">
      <c r="A964" s="55"/>
      <c r="B964" s="218"/>
      <c r="C964" s="55"/>
      <c r="D964" s="218"/>
      <c r="E964" s="126"/>
      <c r="F964" s="224"/>
      <c r="G964" s="126"/>
      <c r="H964" s="218"/>
      <c r="I964" s="223"/>
      <c r="J964" s="46"/>
      <c r="K964" s="46"/>
      <c r="L964" s="46"/>
      <c r="M964" s="46"/>
      <c r="N964" s="46"/>
      <c r="O964" s="46"/>
      <c r="P964" s="46"/>
      <c r="Q964" s="46"/>
      <c r="R964" s="46"/>
      <c r="S964" s="46"/>
      <c r="T964" s="46"/>
      <c r="U964" s="46"/>
      <c r="V964" s="46"/>
      <c r="W964" s="46"/>
    </row>
    <row r="965">
      <c r="A965" s="55"/>
      <c r="B965" s="218"/>
      <c r="C965" s="55"/>
      <c r="D965" s="218"/>
      <c r="E965" s="126"/>
      <c r="F965" s="224"/>
      <c r="G965" s="126"/>
      <c r="H965" s="218"/>
      <c r="I965" s="223"/>
      <c r="J965" s="46"/>
      <c r="K965" s="46"/>
      <c r="L965" s="46"/>
      <c r="M965" s="46"/>
      <c r="N965" s="46"/>
      <c r="O965" s="46"/>
      <c r="P965" s="46"/>
      <c r="Q965" s="46"/>
      <c r="R965" s="46"/>
      <c r="S965" s="46"/>
      <c r="T965" s="46"/>
      <c r="U965" s="46"/>
      <c r="V965" s="46"/>
      <c r="W965" s="46"/>
    </row>
    <row r="966">
      <c r="A966" s="55"/>
      <c r="B966" s="218"/>
      <c r="C966" s="55"/>
      <c r="D966" s="218"/>
      <c r="E966" s="126"/>
      <c r="F966" s="224"/>
      <c r="G966" s="126"/>
      <c r="H966" s="218"/>
      <c r="I966" s="223"/>
      <c r="J966" s="46"/>
      <c r="K966" s="46"/>
      <c r="L966" s="46"/>
      <c r="M966" s="46"/>
      <c r="N966" s="46"/>
      <c r="O966" s="46"/>
      <c r="P966" s="46"/>
      <c r="Q966" s="46"/>
      <c r="R966" s="46"/>
      <c r="S966" s="46"/>
      <c r="T966" s="46"/>
      <c r="U966" s="46"/>
      <c r="V966" s="46"/>
      <c r="W966" s="46"/>
    </row>
    <row r="967">
      <c r="A967" s="55"/>
      <c r="B967" s="218"/>
      <c r="C967" s="55"/>
      <c r="D967" s="218"/>
      <c r="E967" s="126"/>
      <c r="F967" s="224"/>
      <c r="G967" s="126"/>
      <c r="H967" s="218"/>
      <c r="I967" s="223"/>
      <c r="J967" s="46"/>
      <c r="K967" s="46"/>
      <c r="L967" s="46"/>
      <c r="M967" s="46"/>
      <c r="N967" s="46"/>
      <c r="O967" s="46"/>
      <c r="P967" s="46"/>
      <c r="Q967" s="46"/>
      <c r="R967" s="46"/>
      <c r="S967" s="46"/>
      <c r="T967" s="46"/>
      <c r="U967" s="46"/>
      <c r="V967" s="46"/>
      <c r="W967" s="46"/>
    </row>
    <row r="968">
      <c r="A968" s="55"/>
      <c r="B968" s="218"/>
      <c r="C968" s="55"/>
      <c r="D968" s="218"/>
      <c r="E968" s="126"/>
      <c r="F968" s="224"/>
      <c r="G968" s="126"/>
      <c r="H968" s="218"/>
      <c r="I968" s="223"/>
      <c r="J968" s="46"/>
      <c r="K968" s="46"/>
      <c r="L968" s="46"/>
      <c r="M968" s="46"/>
      <c r="N968" s="46"/>
      <c r="O968" s="46"/>
      <c r="P968" s="46"/>
      <c r="Q968" s="46"/>
      <c r="R968" s="46"/>
      <c r="S968" s="46"/>
      <c r="T968" s="46"/>
      <c r="U968" s="46"/>
      <c r="V968" s="46"/>
      <c r="W968" s="46"/>
    </row>
    <row r="969">
      <c r="A969" s="55"/>
      <c r="B969" s="218"/>
      <c r="C969" s="55"/>
      <c r="D969" s="218"/>
      <c r="E969" s="126"/>
      <c r="F969" s="224"/>
      <c r="G969" s="126"/>
      <c r="H969" s="218"/>
      <c r="I969" s="223"/>
      <c r="J969" s="46"/>
      <c r="K969" s="46"/>
      <c r="L969" s="46"/>
      <c r="M969" s="46"/>
      <c r="N969" s="46"/>
      <c r="O969" s="46"/>
      <c r="P969" s="46"/>
      <c r="Q969" s="46"/>
      <c r="R969" s="46"/>
      <c r="S969" s="46"/>
      <c r="T969" s="46"/>
      <c r="U969" s="46"/>
      <c r="V969" s="46"/>
      <c r="W969" s="46"/>
    </row>
    <row r="970">
      <c r="A970" s="55"/>
      <c r="B970" s="218"/>
      <c r="C970" s="55"/>
      <c r="D970" s="218"/>
      <c r="E970" s="126"/>
      <c r="F970" s="224"/>
      <c r="G970" s="126"/>
      <c r="H970" s="218"/>
      <c r="I970" s="223"/>
      <c r="J970" s="46"/>
      <c r="K970" s="46"/>
      <c r="L970" s="46"/>
      <c r="M970" s="46"/>
      <c r="N970" s="46"/>
      <c r="O970" s="46"/>
      <c r="P970" s="46"/>
      <c r="Q970" s="46"/>
      <c r="R970" s="46"/>
      <c r="S970" s="46"/>
      <c r="T970" s="46"/>
      <c r="U970" s="46"/>
      <c r="V970" s="46"/>
      <c r="W970" s="46"/>
    </row>
    <row r="971">
      <c r="A971" s="55"/>
      <c r="B971" s="218"/>
      <c r="C971" s="55"/>
      <c r="D971" s="218"/>
      <c r="E971" s="126"/>
      <c r="F971" s="224"/>
      <c r="G971" s="126"/>
      <c r="H971" s="218"/>
      <c r="I971" s="223"/>
      <c r="J971" s="46"/>
      <c r="K971" s="46"/>
      <c r="L971" s="46"/>
      <c r="M971" s="46"/>
      <c r="N971" s="46"/>
      <c r="O971" s="46"/>
      <c r="P971" s="46"/>
      <c r="Q971" s="46"/>
      <c r="R971" s="46"/>
      <c r="S971" s="46"/>
      <c r="T971" s="46"/>
      <c r="U971" s="46"/>
      <c r="V971" s="46"/>
      <c r="W971" s="46"/>
    </row>
    <row r="972">
      <c r="A972" s="55"/>
      <c r="B972" s="218"/>
      <c r="C972" s="55"/>
      <c r="D972" s="218"/>
      <c r="E972" s="126"/>
      <c r="F972" s="224"/>
      <c r="G972" s="126"/>
      <c r="H972" s="218"/>
      <c r="I972" s="223"/>
      <c r="J972" s="46"/>
      <c r="K972" s="46"/>
      <c r="L972" s="46"/>
      <c r="M972" s="46"/>
      <c r="N972" s="46"/>
      <c r="O972" s="46"/>
      <c r="P972" s="46"/>
      <c r="Q972" s="46"/>
      <c r="R972" s="46"/>
      <c r="S972" s="46"/>
      <c r="T972" s="46"/>
      <c r="U972" s="46"/>
      <c r="V972" s="46"/>
      <c r="W972" s="46"/>
    </row>
    <row r="973">
      <c r="A973" s="55"/>
      <c r="B973" s="218"/>
      <c r="C973" s="55"/>
      <c r="D973" s="218"/>
      <c r="E973" s="126"/>
      <c r="F973" s="224"/>
      <c r="G973" s="126"/>
      <c r="H973" s="218"/>
      <c r="I973" s="223"/>
      <c r="J973" s="46"/>
      <c r="K973" s="46"/>
      <c r="L973" s="46"/>
      <c r="M973" s="46"/>
      <c r="N973" s="46"/>
      <c r="O973" s="46"/>
      <c r="P973" s="46"/>
      <c r="Q973" s="46"/>
      <c r="R973" s="46"/>
      <c r="S973" s="46"/>
      <c r="T973" s="46"/>
      <c r="U973" s="46"/>
      <c r="V973" s="46"/>
      <c r="W973" s="46"/>
    </row>
    <row r="974">
      <c r="A974" s="55"/>
      <c r="B974" s="218"/>
      <c r="C974" s="55"/>
      <c r="D974" s="218"/>
      <c r="E974" s="126"/>
      <c r="F974" s="224"/>
      <c r="G974" s="126"/>
      <c r="H974" s="218"/>
      <c r="I974" s="223"/>
      <c r="J974" s="46"/>
      <c r="K974" s="46"/>
      <c r="L974" s="46"/>
      <c r="M974" s="46"/>
      <c r="N974" s="46"/>
      <c r="O974" s="46"/>
      <c r="P974" s="46"/>
      <c r="Q974" s="46"/>
      <c r="R974" s="46"/>
      <c r="S974" s="46"/>
      <c r="T974" s="46"/>
      <c r="U974" s="46"/>
      <c r="V974" s="46"/>
      <c r="W974" s="46"/>
    </row>
    <row r="975">
      <c r="A975" s="55"/>
      <c r="B975" s="218"/>
      <c r="C975" s="55"/>
      <c r="D975" s="218"/>
      <c r="E975" s="126"/>
      <c r="F975" s="224"/>
      <c r="G975" s="126"/>
      <c r="H975" s="218"/>
      <c r="I975" s="223"/>
      <c r="J975" s="46"/>
      <c r="K975" s="46"/>
      <c r="L975" s="46"/>
      <c r="M975" s="46"/>
      <c r="N975" s="46"/>
      <c r="O975" s="46"/>
      <c r="P975" s="46"/>
      <c r="Q975" s="46"/>
      <c r="R975" s="46"/>
      <c r="S975" s="46"/>
      <c r="T975" s="46"/>
      <c r="U975" s="46"/>
      <c r="V975" s="46"/>
      <c r="W975" s="46"/>
    </row>
    <row r="976">
      <c r="A976" s="55"/>
      <c r="B976" s="218"/>
      <c r="C976" s="55"/>
      <c r="D976" s="218"/>
      <c r="E976" s="126"/>
      <c r="F976" s="224"/>
      <c r="G976" s="126"/>
      <c r="H976" s="218"/>
      <c r="I976" s="223"/>
      <c r="J976" s="46"/>
      <c r="K976" s="46"/>
      <c r="L976" s="46"/>
      <c r="M976" s="46"/>
      <c r="N976" s="46"/>
      <c r="O976" s="46"/>
      <c r="P976" s="46"/>
      <c r="Q976" s="46"/>
      <c r="R976" s="46"/>
      <c r="S976" s="46"/>
      <c r="T976" s="46"/>
      <c r="U976" s="46"/>
      <c r="V976" s="46"/>
      <c r="W976" s="46"/>
    </row>
    <row r="977">
      <c r="A977" s="55"/>
      <c r="B977" s="218"/>
      <c r="C977" s="55"/>
      <c r="D977" s="218"/>
      <c r="E977" s="126"/>
      <c r="F977" s="224"/>
      <c r="G977" s="126"/>
      <c r="H977" s="218"/>
      <c r="I977" s="223"/>
      <c r="J977" s="46"/>
      <c r="K977" s="46"/>
      <c r="L977" s="46"/>
      <c r="M977" s="46"/>
      <c r="N977" s="46"/>
      <c r="O977" s="46"/>
      <c r="P977" s="46"/>
      <c r="Q977" s="46"/>
      <c r="R977" s="46"/>
      <c r="S977" s="46"/>
      <c r="T977" s="46"/>
      <c r="U977" s="46"/>
      <c r="V977" s="46"/>
      <c r="W977" s="46"/>
    </row>
    <row r="978">
      <c r="A978" s="55"/>
      <c r="B978" s="218"/>
      <c r="C978" s="55"/>
      <c r="D978" s="218"/>
      <c r="E978" s="126"/>
      <c r="F978" s="224"/>
      <c r="G978" s="126"/>
      <c r="H978" s="218"/>
      <c r="I978" s="223"/>
      <c r="J978" s="46"/>
      <c r="K978" s="46"/>
      <c r="L978" s="46"/>
      <c r="M978" s="46"/>
      <c r="N978" s="46"/>
      <c r="O978" s="46"/>
      <c r="P978" s="46"/>
      <c r="Q978" s="46"/>
      <c r="R978" s="46"/>
      <c r="S978" s="46"/>
      <c r="T978" s="46"/>
      <c r="U978" s="46"/>
      <c r="V978" s="46"/>
      <c r="W978" s="46"/>
    </row>
    <row r="979">
      <c r="A979" s="55"/>
      <c r="B979" s="218"/>
      <c r="C979" s="55"/>
      <c r="D979" s="218"/>
      <c r="E979" s="126"/>
      <c r="F979" s="224"/>
      <c r="G979" s="126"/>
      <c r="H979" s="218"/>
      <c r="I979" s="223"/>
      <c r="J979" s="46"/>
      <c r="K979" s="46"/>
      <c r="L979" s="46"/>
      <c r="M979" s="46"/>
      <c r="N979" s="46"/>
      <c r="O979" s="46"/>
      <c r="P979" s="46"/>
      <c r="Q979" s="46"/>
      <c r="R979" s="46"/>
      <c r="S979" s="46"/>
      <c r="T979" s="46"/>
      <c r="U979" s="46"/>
      <c r="V979" s="46"/>
      <c r="W979" s="46"/>
    </row>
    <row r="980">
      <c r="A980" s="55"/>
      <c r="B980" s="218"/>
      <c r="C980" s="55"/>
      <c r="D980" s="218"/>
      <c r="E980" s="126"/>
      <c r="F980" s="224"/>
      <c r="G980" s="126"/>
      <c r="H980" s="218"/>
      <c r="I980" s="223"/>
      <c r="J980" s="46"/>
      <c r="K980" s="46"/>
      <c r="L980" s="46"/>
      <c r="M980" s="46"/>
      <c r="N980" s="46"/>
      <c r="O980" s="46"/>
      <c r="P980" s="46"/>
      <c r="Q980" s="46"/>
      <c r="R980" s="46"/>
      <c r="S980" s="46"/>
      <c r="T980" s="46"/>
      <c r="U980" s="46"/>
      <c r="V980" s="46"/>
      <c r="W980" s="46"/>
    </row>
    <row r="981">
      <c r="A981" s="55"/>
      <c r="B981" s="218"/>
      <c r="C981" s="55"/>
      <c r="D981" s="218"/>
      <c r="E981" s="126"/>
      <c r="F981" s="224"/>
      <c r="G981" s="126"/>
      <c r="H981" s="218"/>
      <c r="I981" s="223"/>
      <c r="J981" s="46"/>
      <c r="K981" s="46"/>
      <c r="L981" s="46"/>
      <c r="M981" s="46"/>
      <c r="N981" s="46"/>
      <c r="O981" s="46"/>
      <c r="P981" s="46"/>
      <c r="Q981" s="46"/>
      <c r="R981" s="46"/>
      <c r="S981" s="46"/>
      <c r="T981" s="46"/>
      <c r="U981" s="46"/>
      <c r="V981" s="46"/>
      <c r="W981" s="46"/>
    </row>
    <row r="982">
      <c r="A982" s="55"/>
      <c r="B982" s="218"/>
      <c r="C982" s="55"/>
      <c r="D982" s="218"/>
      <c r="E982" s="126"/>
      <c r="F982" s="224"/>
      <c r="G982" s="126"/>
      <c r="H982" s="218"/>
      <c r="I982" s="223"/>
      <c r="J982" s="46"/>
      <c r="K982" s="46"/>
      <c r="L982" s="46"/>
      <c r="M982" s="46"/>
      <c r="N982" s="46"/>
      <c r="O982" s="46"/>
      <c r="P982" s="46"/>
      <c r="Q982" s="46"/>
      <c r="R982" s="46"/>
      <c r="S982" s="46"/>
      <c r="T982" s="46"/>
      <c r="U982" s="46"/>
      <c r="V982" s="46"/>
      <c r="W982" s="46"/>
    </row>
    <row r="983">
      <c r="A983" s="55"/>
      <c r="B983" s="218"/>
      <c r="C983" s="55"/>
      <c r="D983" s="218"/>
      <c r="E983" s="126"/>
      <c r="F983" s="224"/>
      <c r="G983" s="126"/>
      <c r="H983" s="218"/>
      <c r="I983" s="223"/>
      <c r="J983" s="46"/>
      <c r="K983" s="46"/>
      <c r="L983" s="46"/>
      <c r="M983" s="46"/>
      <c r="N983" s="46"/>
      <c r="O983" s="46"/>
      <c r="P983" s="46"/>
      <c r="Q983" s="46"/>
      <c r="R983" s="46"/>
      <c r="S983" s="46"/>
      <c r="T983" s="46"/>
      <c r="U983" s="46"/>
      <c r="V983" s="46"/>
      <c r="W983" s="46"/>
    </row>
    <row r="984">
      <c r="A984" s="55"/>
      <c r="B984" s="218"/>
      <c r="C984" s="55"/>
      <c r="D984" s="218"/>
      <c r="E984" s="126"/>
      <c r="F984" s="224"/>
      <c r="G984" s="126"/>
      <c r="H984" s="218"/>
      <c r="I984" s="223"/>
      <c r="J984" s="46"/>
      <c r="K984" s="46"/>
      <c r="L984" s="46"/>
      <c r="M984" s="46"/>
      <c r="N984" s="46"/>
      <c r="O984" s="46"/>
      <c r="P984" s="46"/>
      <c r="Q984" s="46"/>
      <c r="R984" s="46"/>
      <c r="S984" s="46"/>
      <c r="T984" s="46"/>
      <c r="U984" s="46"/>
      <c r="V984" s="46"/>
      <c r="W984" s="46"/>
    </row>
    <row r="985">
      <c r="A985" s="55"/>
      <c r="B985" s="218"/>
      <c r="C985" s="55"/>
      <c r="D985" s="218"/>
      <c r="E985" s="126"/>
      <c r="F985" s="224"/>
      <c r="G985" s="126"/>
      <c r="H985" s="218"/>
      <c r="I985" s="223"/>
      <c r="J985" s="46"/>
      <c r="K985" s="46"/>
      <c r="L985" s="46"/>
      <c r="M985" s="46"/>
      <c r="N985" s="46"/>
      <c r="O985" s="46"/>
      <c r="P985" s="46"/>
      <c r="Q985" s="46"/>
      <c r="R985" s="46"/>
      <c r="S985" s="46"/>
      <c r="T985" s="46"/>
      <c r="U985" s="46"/>
      <c r="V985" s="46"/>
      <c r="W985" s="46"/>
    </row>
    <row r="986">
      <c r="A986" s="55"/>
      <c r="B986" s="218"/>
      <c r="C986" s="55"/>
      <c r="D986" s="218"/>
      <c r="E986" s="126"/>
      <c r="F986" s="224"/>
      <c r="G986" s="126"/>
      <c r="H986" s="218"/>
      <c r="I986" s="223"/>
      <c r="J986" s="46"/>
      <c r="K986" s="46"/>
      <c r="L986" s="46"/>
      <c r="M986" s="46"/>
      <c r="N986" s="46"/>
      <c r="O986" s="46"/>
      <c r="P986" s="46"/>
      <c r="Q986" s="46"/>
      <c r="R986" s="46"/>
      <c r="S986" s="46"/>
      <c r="T986" s="46"/>
      <c r="U986" s="46"/>
      <c r="V986" s="46"/>
      <c r="W986" s="46"/>
    </row>
    <row r="987">
      <c r="A987" s="55"/>
      <c r="B987" s="218"/>
      <c r="C987" s="55"/>
      <c r="D987" s="218"/>
      <c r="E987" s="126"/>
      <c r="F987" s="224"/>
      <c r="G987" s="126"/>
      <c r="H987" s="218"/>
      <c r="I987" s="223"/>
      <c r="J987" s="46"/>
      <c r="K987" s="46"/>
      <c r="L987" s="46"/>
      <c r="M987" s="46"/>
      <c r="N987" s="46"/>
      <c r="O987" s="46"/>
      <c r="P987" s="46"/>
      <c r="Q987" s="46"/>
      <c r="R987" s="46"/>
      <c r="S987" s="46"/>
      <c r="T987" s="46"/>
      <c r="U987" s="46"/>
      <c r="V987" s="46"/>
      <c r="W987" s="46"/>
    </row>
    <row r="988">
      <c r="A988" s="55"/>
      <c r="B988" s="218"/>
      <c r="C988" s="55"/>
      <c r="D988" s="218"/>
      <c r="E988" s="126"/>
      <c r="F988" s="224"/>
      <c r="G988" s="126"/>
      <c r="H988" s="218"/>
      <c r="I988" s="223"/>
      <c r="J988" s="46"/>
      <c r="K988" s="46"/>
      <c r="L988" s="46"/>
      <c r="M988" s="46"/>
      <c r="N988" s="46"/>
      <c r="O988" s="46"/>
      <c r="P988" s="46"/>
      <c r="Q988" s="46"/>
      <c r="R988" s="46"/>
      <c r="S988" s="46"/>
      <c r="T988" s="46"/>
      <c r="U988" s="46"/>
      <c r="V988" s="46"/>
      <c r="W988" s="46"/>
    </row>
    <row r="989">
      <c r="A989" s="55"/>
      <c r="B989" s="218"/>
      <c r="C989" s="55"/>
      <c r="D989" s="218"/>
      <c r="E989" s="126"/>
      <c r="F989" s="224"/>
      <c r="G989" s="126"/>
      <c r="H989" s="218"/>
      <c r="I989" s="223"/>
      <c r="J989" s="46"/>
      <c r="K989" s="46"/>
      <c r="L989" s="46"/>
      <c r="M989" s="46"/>
      <c r="N989" s="46"/>
      <c r="O989" s="46"/>
      <c r="P989" s="46"/>
      <c r="Q989" s="46"/>
      <c r="R989" s="46"/>
      <c r="S989" s="46"/>
      <c r="T989" s="46"/>
      <c r="U989" s="46"/>
      <c r="V989" s="46"/>
      <c r="W989" s="46"/>
    </row>
    <row r="990">
      <c r="A990" s="55"/>
      <c r="B990" s="218"/>
      <c r="C990" s="55"/>
      <c r="D990" s="218"/>
      <c r="E990" s="126"/>
      <c r="F990" s="224"/>
      <c r="G990" s="126"/>
      <c r="H990" s="218"/>
      <c r="I990" s="223"/>
      <c r="J990" s="46"/>
      <c r="K990" s="46"/>
      <c r="L990" s="46"/>
      <c r="M990" s="46"/>
      <c r="N990" s="46"/>
      <c r="O990" s="46"/>
      <c r="P990" s="46"/>
      <c r="Q990" s="46"/>
      <c r="R990" s="46"/>
      <c r="S990" s="46"/>
      <c r="T990" s="46"/>
      <c r="U990" s="46"/>
      <c r="V990" s="46"/>
      <c r="W990" s="46"/>
    </row>
    <row r="991">
      <c r="A991" s="55"/>
      <c r="B991" s="218"/>
      <c r="C991" s="55"/>
      <c r="D991" s="218"/>
      <c r="E991" s="126"/>
      <c r="F991" s="224"/>
      <c r="G991" s="126"/>
      <c r="H991" s="218"/>
      <c r="I991" s="223"/>
      <c r="J991" s="46"/>
      <c r="K991" s="46"/>
      <c r="L991" s="46"/>
      <c r="M991" s="46"/>
      <c r="N991" s="46"/>
      <c r="O991" s="46"/>
      <c r="P991" s="46"/>
      <c r="Q991" s="46"/>
      <c r="R991" s="46"/>
      <c r="S991" s="46"/>
      <c r="T991" s="46"/>
      <c r="U991" s="46"/>
      <c r="V991" s="46"/>
      <c r="W991" s="46"/>
    </row>
    <row r="992">
      <c r="A992" s="55"/>
      <c r="B992" s="218"/>
      <c r="C992" s="55"/>
      <c r="D992" s="218"/>
      <c r="E992" s="126"/>
      <c r="F992" s="224"/>
      <c r="G992" s="126"/>
      <c r="H992" s="218"/>
      <c r="I992" s="223"/>
      <c r="J992" s="46"/>
      <c r="K992" s="46"/>
      <c r="L992" s="46"/>
      <c r="M992" s="46"/>
      <c r="N992" s="46"/>
      <c r="O992" s="46"/>
      <c r="P992" s="46"/>
      <c r="Q992" s="46"/>
      <c r="R992" s="46"/>
      <c r="S992" s="46"/>
      <c r="T992" s="46"/>
      <c r="U992" s="46"/>
      <c r="V992" s="46"/>
      <c r="W992" s="46"/>
    </row>
    <row r="993">
      <c r="A993" s="55"/>
      <c r="B993" s="218"/>
      <c r="C993" s="55"/>
      <c r="D993" s="218"/>
      <c r="E993" s="126"/>
      <c r="F993" s="224"/>
      <c r="G993" s="126"/>
      <c r="H993" s="218"/>
      <c r="I993" s="223"/>
      <c r="J993" s="46"/>
      <c r="K993" s="46"/>
      <c r="L993" s="46"/>
      <c r="M993" s="46"/>
      <c r="N993" s="46"/>
      <c r="O993" s="46"/>
      <c r="P993" s="46"/>
      <c r="Q993" s="46"/>
      <c r="R993" s="46"/>
      <c r="S993" s="46"/>
      <c r="T993" s="46"/>
      <c r="U993" s="46"/>
      <c r="V993" s="46"/>
      <c r="W993" s="46"/>
    </row>
    <row r="994">
      <c r="A994" s="55"/>
      <c r="B994" s="218"/>
      <c r="C994" s="55"/>
      <c r="D994" s="218"/>
      <c r="E994" s="126"/>
      <c r="F994" s="224"/>
      <c r="G994" s="126"/>
      <c r="H994" s="218"/>
      <c r="I994" s="223"/>
      <c r="J994" s="46"/>
      <c r="K994" s="46"/>
      <c r="L994" s="46"/>
      <c r="M994" s="46"/>
      <c r="N994" s="46"/>
      <c r="O994" s="46"/>
      <c r="P994" s="46"/>
      <c r="Q994" s="46"/>
      <c r="R994" s="46"/>
      <c r="S994" s="46"/>
      <c r="T994" s="46"/>
      <c r="U994" s="46"/>
      <c r="V994" s="46"/>
      <c r="W994" s="46"/>
    </row>
    <row r="995">
      <c r="A995" s="55"/>
      <c r="B995" s="218"/>
      <c r="C995" s="55"/>
      <c r="D995" s="218"/>
      <c r="E995" s="126"/>
      <c r="F995" s="224"/>
      <c r="G995" s="126"/>
      <c r="H995" s="218"/>
      <c r="I995" s="223"/>
      <c r="J995" s="46"/>
      <c r="K995" s="46"/>
      <c r="L995" s="46"/>
      <c r="M995" s="46"/>
      <c r="N995" s="46"/>
      <c r="O995" s="46"/>
      <c r="P995" s="46"/>
      <c r="Q995" s="46"/>
      <c r="R995" s="46"/>
      <c r="S995" s="46"/>
      <c r="T995" s="46"/>
      <c r="U995" s="46"/>
      <c r="V995" s="46"/>
      <c r="W995" s="46"/>
    </row>
    <row r="996">
      <c r="A996" s="55"/>
      <c r="B996" s="218"/>
      <c r="C996" s="55"/>
      <c r="D996" s="218"/>
      <c r="E996" s="126"/>
      <c r="F996" s="224"/>
      <c r="G996" s="126"/>
      <c r="H996" s="218"/>
      <c r="I996" s="223"/>
      <c r="J996" s="46"/>
      <c r="K996" s="46"/>
      <c r="L996" s="46"/>
      <c r="M996" s="46"/>
      <c r="N996" s="46"/>
      <c r="O996" s="46"/>
      <c r="P996" s="46"/>
      <c r="Q996" s="46"/>
      <c r="R996" s="46"/>
      <c r="S996" s="46"/>
      <c r="T996" s="46"/>
      <c r="U996" s="46"/>
      <c r="V996" s="46"/>
      <c r="W996" s="46"/>
    </row>
    <row r="997">
      <c r="A997" s="55"/>
      <c r="B997" s="218"/>
      <c r="C997" s="55"/>
      <c r="D997" s="218"/>
      <c r="E997" s="126"/>
      <c r="F997" s="224"/>
      <c r="G997" s="126"/>
      <c r="H997" s="218"/>
      <c r="I997" s="223"/>
      <c r="J997" s="46"/>
      <c r="K997" s="46"/>
      <c r="L997" s="46"/>
      <c r="M997" s="46"/>
      <c r="N997" s="46"/>
      <c r="O997" s="46"/>
      <c r="P997" s="46"/>
      <c r="Q997" s="46"/>
      <c r="R997" s="46"/>
      <c r="S997" s="46"/>
      <c r="T997" s="46"/>
      <c r="U997" s="46"/>
      <c r="V997" s="46"/>
      <c r="W997" s="46"/>
    </row>
    <row r="998">
      <c r="A998" s="55"/>
      <c r="B998" s="218"/>
      <c r="C998" s="55"/>
      <c r="D998" s="218"/>
      <c r="E998" s="126"/>
      <c r="F998" s="224"/>
      <c r="G998" s="126"/>
      <c r="H998" s="218"/>
      <c r="I998" s="223"/>
      <c r="J998" s="46"/>
      <c r="K998" s="46"/>
      <c r="L998" s="46"/>
      <c r="M998" s="46"/>
      <c r="N998" s="46"/>
      <c r="O998" s="46"/>
      <c r="P998" s="46"/>
      <c r="Q998" s="46"/>
      <c r="R998" s="46"/>
      <c r="S998" s="46"/>
      <c r="T998" s="46"/>
      <c r="U998" s="46"/>
      <c r="V998" s="46"/>
      <c r="W998" s="46"/>
    </row>
    <row r="999">
      <c r="A999" s="55"/>
      <c r="B999" s="218"/>
      <c r="C999" s="55"/>
      <c r="D999" s="218"/>
      <c r="E999" s="126"/>
      <c r="F999" s="224"/>
      <c r="G999" s="126"/>
      <c r="H999" s="218"/>
      <c r="I999" s="126"/>
      <c r="J999" s="46"/>
      <c r="K999" s="46"/>
      <c r="L999" s="46"/>
      <c r="M999" s="46"/>
      <c r="N999" s="46"/>
      <c r="O999" s="46"/>
      <c r="P999" s="46"/>
      <c r="Q999" s="46"/>
      <c r="R999" s="46"/>
      <c r="S999" s="46"/>
      <c r="T999" s="46"/>
      <c r="U999" s="46"/>
      <c r="V999" s="46"/>
      <c r="W999" s="46"/>
    </row>
    <row r="1000">
      <c r="A1000" s="55"/>
      <c r="B1000" s="218"/>
      <c r="C1000" s="55"/>
      <c r="D1000" s="218"/>
      <c r="E1000" s="126"/>
      <c r="F1000" s="224"/>
      <c r="G1000" s="126"/>
      <c r="H1000" s="218"/>
      <c r="I1000" s="126"/>
      <c r="J1000" s="46"/>
      <c r="K1000" s="46"/>
      <c r="L1000" s="46"/>
      <c r="M1000" s="46"/>
      <c r="N1000" s="46"/>
      <c r="O1000" s="46"/>
      <c r="P1000" s="46"/>
      <c r="Q1000" s="46"/>
      <c r="R1000" s="46"/>
      <c r="S1000" s="46"/>
      <c r="T1000" s="46"/>
      <c r="U1000" s="46"/>
      <c r="V1000" s="46"/>
      <c r="W1000" s="46"/>
    </row>
    <row r="1001">
      <c r="A1001" s="55"/>
      <c r="B1001" s="218"/>
      <c r="C1001" s="55"/>
      <c r="D1001" s="218"/>
      <c r="E1001" s="126"/>
      <c r="F1001" s="224"/>
      <c r="G1001" s="126"/>
      <c r="H1001" s="218"/>
      <c r="I1001" s="126"/>
      <c r="J1001" s="46"/>
      <c r="K1001" s="46"/>
      <c r="L1001" s="46"/>
      <c r="M1001" s="46"/>
      <c r="N1001" s="46"/>
      <c r="O1001" s="46"/>
      <c r="P1001" s="46"/>
      <c r="Q1001" s="46"/>
      <c r="R1001" s="46"/>
      <c r="S1001" s="46"/>
      <c r="T1001" s="46"/>
      <c r="U1001" s="46"/>
      <c r="V1001" s="46"/>
      <c r="W1001" s="46"/>
    </row>
    <row r="1002">
      <c r="A1002" s="55"/>
      <c r="B1002" s="218"/>
      <c r="C1002" s="55"/>
      <c r="D1002" s="218"/>
      <c r="E1002" s="126"/>
      <c r="F1002" s="224"/>
      <c r="G1002" s="126"/>
      <c r="H1002" s="218"/>
      <c r="I1002" s="126"/>
      <c r="J1002" s="46"/>
      <c r="K1002" s="46"/>
      <c r="L1002" s="46"/>
      <c r="M1002" s="46"/>
      <c r="N1002" s="46"/>
      <c r="O1002" s="46"/>
      <c r="P1002" s="46"/>
      <c r="Q1002" s="46"/>
      <c r="R1002" s="46"/>
      <c r="S1002" s="46"/>
      <c r="T1002" s="46"/>
      <c r="U1002" s="46"/>
      <c r="V1002" s="46"/>
      <c r="W1002" s="46"/>
    </row>
    <row r="1003">
      <c r="A1003" s="55"/>
      <c r="B1003" s="218"/>
      <c r="C1003" s="55"/>
      <c r="D1003" s="218"/>
      <c r="E1003" s="126"/>
      <c r="F1003" s="224"/>
      <c r="G1003" s="126"/>
      <c r="H1003" s="218"/>
      <c r="I1003" s="126"/>
      <c r="J1003" s="46"/>
      <c r="K1003" s="46"/>
      <c r="L1003" s="46"/>
      <c r="M1003" s="46"/>
      <c r="N1003" s="46"/>
      <c r="O1003" s="46"/>
      <c r="P1003" s="46"/>
      <c r="Q1003" s="46"/>
      <c r="R1003" s="46"/>
      <c r="S1003" s="46"/>
      <c r="T1003" s="46"/>
      <c r="U1003" s="46"/>
      <c r="V1003" s="46"/>
      <c r="W1003" s="46"/>
    </row>
    <row r="1004">
      <c r="A1004" s="55"/>
      <c r="B1004" s="218"/>
      <c r="C1004" s="55"/>
      <c r="D1004" s="218"/>
      <c r="E1004" s="126"/>
      <c r="F1004" s="224"/>
      <c r="G1004" s="126"/>
      <c r="H1004" s="218"/>
      <c r="I1004" s="126"/>
      <c r="J1004" s="46"/>
      <c r="K1004" s="46"/>
      <c r="L1004" s="46"/>
      <c r="M1004" s="46"/>
      <c r="N1004" s="46"/>
      <c r="O1004" s="46"/>
      <c r="P1004" s="46"/>
      <c r="Q1004" s="46"/>
      <c r="R1004" s="46"/>
      <c r="S1004" s="46"/>
      <c r="T1004" s="46"/>
      <c r="U1004" s="46"/>
      <c r="V1004" s="46"/>
      <c r="W1004" s="46"/>
    </row>
    <row r="1005">
      <c r="A1005" s="55"/>
      <c r="B1005" s="218"/>
      <c r="C1005" s="55"/>
      <c r="D1005" s="218"/>
      <c r="E1005" s="126"/>
      <c r="F1005" s="224"/>
      <c r="G1005" s="126"/>
      <c r="H1005" s="218"/>
      <c r="I1005" s="126"/>
      <c r="J1005" s="46"/>
      <c r="K1005" s="46"/>
      <c r="L1005" s="46"/>
      <c r="M1005" s="46"/>
      <c r="N1005" s="46"/>
      <c r="O1005" s="46"/>
      <c r="P1005" s="46"/>
      <c r="Q1005" s="46"/>
      <c r="R1005" s="46"/>
      <c r="S1005" s="46"/>
      <c r="T1005" s="46"/>
      <c r="U1005" s="46"/>
      <c r="V1005" s="46"/>
      <c r="W1005" s="46"/>
    </row>
    <row r="1006">
      <c r="A1006" s="55"/>
      <c r="B1006" s="218"/>
      <c r="C1006" s="55"/>
      <c r="D1006" s="218"/>
      <c r="E1006" s="126"/>
      <c r="F1006" s="224"/>
      <c r="G1006" s="126"/>
      <c r="H1006" s="218"/>
      <c r="I1006" s="126"/>
      <c r="J1006" s="46"/>
      <c r="K1006" s="46"/>
      <c r="L1006" s="46"/>
      <c r="M1006" s="46"/>
      <c r="N1006" s="46"/>
      <c r="O1006" s="46"/>
      <c r="P1006" s="46"/>
      <c r="Q1006" s="46"/>
      <c r="R1006" s="46"/>
      <c r="S1006" s="46"/>
      <c r="T1006" s="46"/>
      <c r="U1006" s="46"/>
      <c r="V1006" s="46"/>
      <c r="W1006" s="46"/>
    </row>
    <row r="1007">
      <c r="A1007" s="55"/>
      <c r="B1007" s="218"/>
      <c r="C1007" s="55"/>
      <c r="D1007" s="218"/>
      <c r="E1007" s="126"/>
      <c r="F1007" s="224"/>
      <c r="G1007" s="126"/>
      <c r="H1007" s="218"/>
      <c r="I1007" s="126"/>
      <c r="J1007" s="46"/>
      <c r="K1007" s="46"/>
      <c r="L1007" s="46"/>
      <c r="M1007" s="46"/>
      <c r="N1007" s="46"/>
      <c r="O1007" s="46"/>
      <c r="P1007" s="46"/>
      <c r="Q1007" s="46"/>
      <c r="R1007" s="46"/>
      <c r="S1007" s="46"/>
      <c r="T1007" s="46"/>
      <c r="U1007" s="46"/>
      <c r="V1007" s="46"/>
      <c r="W1007" s="46"/>
    </row>
    <row r="1008">
      <c r="A1008" s="55"/>
      <c r="B1008" s="218"/>
      <c r="C1008" s="55"/>
      <c r="D1008" s="218"/>
      <c r="E1008" s="126"/>
      <c r="F1008" s="224"/>
      <c r="G1008" s="126"/>
      <c r="H1008" s="218"/>
      <c r="I1008" s="126"/>
      <c r="J1008" s="46"/>
      <c r="K1008" s="46"/>
      <c r="L1008" s="46"/>
      <c r="M1008" s="46"/>
      <c r="N1008" s="46"/>
      <c r="O1008" s="46"/>
      <c r="P1008" s="46"/>
      <c r="Q1008" s="46"/>
      <c r="R1008" s="46"/>
      <c r="S1008" s="46"/>
      <c r="T1008" s="46"/>
      <c r="U1008" s="46"/>
      <c r="V1008" s="46"/>
      <c r="W1008" s="46"/>
    </row>
    <row r="1009">
      <c r="A1009" s="55"/>
      <c r="B1009" s="218"/>
      <c r="C1009" s="55"/>
      <c r="D1009" s="218"/>
      <c r="E1009" s="126"/>
      <c r="F1009" s="224"/>
      <c r="G1009" s="126"/>
      <c r="H1009" s="218"/>
      <c r="I1009" s="126"/>
      <c r="J1009" s="46"/>
      <c r="K1009" s="46"/>
      <c r="L1009" s="46"/>
      <c r="M1009" s="46"/>
      <c r="N1009" s="46"/>
      <c r="O1009" s="46"/>
      <c r="P1009" s="46"/>
      <c r="Q1009" s="46"/>
      <c r="R1009" s="46"/>
      <c r="S1009" s="46"/>
      <c r="T1009" s="46"/>
      <c r="U1009" s="46"/>
      <c r="V1009" s="46"/>
      <c r="W1009" s="46"/>
    </row>
    <row r="1010">
      <c r="A1010" s="55"/>
      <c r="B1010" s="218"/>
      <c r="C1010" s="55"/>
      <c r="D1010" s="218"/>
      <c r="E1010" s="126"/>
      <c r="F1010" s="224"/>
      <c r="G1010" s="126"/>
      <c r="H1010" s="218"/>
      <c r="I1010" s="126"/>
      <c r="J1010" s="46"/>
      <c r="K1010" s="46"/>
      <c r="L1010" s="46"/>
      <c r="M1010" s="46"/>
      <c r="N1010" s="46"/>
      <c r="O1010" s="46"/>
      <c r="P1010" s="46"/>
      <c r="Q1010" s="46"/>
      <c r="R1010" s="46"/>
      <c r="S1010" s="46"/>
      <c r="T1010" s="46"/>
      <c r="U1010" s="46"/>
      <c r="V1010" s="46"/>
      <c r="W1010" s="46"/>
    </row>
    <row r="1011">
      <c r="A1011" s="55"/>
      <c r="B1011" s="218"/>
      <c r="C1011" s="55"/>
      <c r="D1011" s="218"/>
      <c r="E1011" s="126"/>
      <c r="F1011" s="224"/>
      <c r="G1011" s="126"/>
      <c r="H1011" s="218"/>
      <c r="I1011" s="126"/>
      <c r="J1011" s="46"/>
      <c r="K1011" s="46"/>
      <c r="L1011" s="46"/>
      <c r="M1011" s="46"/>
      <c r="N1011" s="46"/>
      <c r="O1011" s="46"/>
      <c r="P1011" s="46"/>
      <c r="Q1011" s="46"/>
      <c r="R1011" s="46"/>
      <c r="S1011" s="46"/>
      <c r="T1011" s="46"/>
      <c r="U1011" s="46"/>
      <c r="V1011" s="46"/>
      <c r="W1011" s="46"/>
    </row>
    <row r="1012">
      <c r="A1012" s="55"/>
      <c r="B1012" s="218"/>
      <c r="C1012" s="55"/>
      <c r="D1012" s="218"/>
      <c r="E1012" s="126"/>
      <c r="F1012" s="224"/>
      <c r="G1012" s="126"/>
      <c r="H1012" s="218"/>
      <c r="I1012" s="126"/>
      <c r="J1012" s="46"/>
      <c r="K1012" s="46"/>
      <c r="L1012" s="46"/>
      <c r="M1012" s="46"/>
      <c r="N1012" s="46"/>
      <c r="O1012" s="46"/>
      <c r="P1012" s="46"/>
      <c r="Q1012" s="46"/>
      <c r="R1012" s="46"/>
      <c r="S1012" s="46"/>
      <c r="T1012" s="46"/>
      <c r="U1012" s="46"/>
      <c r="V1012" s="46"/>
      <c r="W1012" s="46"/>
    </row>
    <row r="1013">
      <c r="A1013" s="55"/>
      <c r="B1013" s="218"/>
      <c r="C1013" s="55"/>
      <c r="D1013" s="218"/>
      <c r="E1013" s="126"/>
      <c r="F1013" s="224"/>
      <c r="G1013" s="126"/>
      <c r="H1013" s="218"/>
      <c r="I1013" s="126"/>
      <c r="J1013" s="46"/>
      <c r="K1013" s="46"/>
      <c r="L1013" s="46"/>
      <c r="M1013" s="46"/>
      <c r="N1013" s="46"/>
      <c r="O1013" s="46"/>
      <c r="P1013" s="46"/>
      <c r="Q1013" s="46"/>
      <c r="R1013" s="46"/>
      <c r="S1013" s="46"/>
      <c r="T1013" s="46"/>
      <c r="U1013" s="46"/>
      <c r="V1013" s="46"/>
      <c r="W1013" s="46"/>
    </row>
    <row r="1014">
      <c r="A1014" s="55"/>
      <c r="B1014" s="218"/>
      <c r="C1014" s="55"/>
      <c r="D1014" s="218"/>
      <c r="E1014" s="126"/>
      <c r="F1014" s="224"/>
      <c r="G1014" s="126"/>
      <c r="H1014" s="218"/>
      <c r="I1014" s="126"/>
      <c r="J1014" s="46"/>
      <c r="K1014" s="46"/>
      <c r="L1014" s="46"/>
      <c r="M1014" s="46"/>
      <c r="N1014" s="46"/>
      <c r="O1014" s="46"/>
      <c r="P1014" s="46"/>
      <c r="Q1014" s="46"/>
      <c r="R1014" s="46"/>
      <c r="S1014" s="46"/>
      <c r="T1014" s="46"/>
      <c r="U1014" s="46"/>
      <c r="V1014" s="46"/>
      <c r="W1014" s="46"/>
    </row>
    <row r="1015">
      <c r="A1015" s="55"/>
      <c r="B1015" s="218"/>
      <c r="C1015" s="55"/>
      <c r="D1015" s="218"/>
      <c r="E1015" s="126"/>
      <c r="F1015" s="224"/>
      <c r="G1015" s="126"/>
      <c r="H1015" s="218"/>
      <c r="I1015" s="126"/>
      <c r="J1015" s="46"/>
      <c r="K1015" s="46"/>
      <c r="L1015" s="46"/>
      <c r="M1015" s="46"/>
      <c r="N1015" s="46"/>
      <c r="O1015" s="46"/>
      <c r="P1015" s="46"/>
      <c r="Q1015" s="46"/>
      <c r="R1015" s="46"/>
      <c r="S1015" s="46"/>
      <c r="T1015" s="46"/>
      <c r="U1015" s="46"/>
      <c r="V1015" s="46"/>
      <c r="W1015" s="46"/>
    </row>
    <row r="1016">
      <c r="A1016" s="55"/>
      <c r="B1016" s="218"/>
      <c r="C1016" s="55"/>
      <c r="D1016" s="218"/>
      <c r="E1016" s="126"/>
      <c r="F1016" s="224"/>
      <c r="G1016" s="126"/>
      <c r="H1016" s="218"/>
      <c r="I1016" s="126"/>
      <c r="J1016" s="46"/>
      <c r="K1016" s="46"/>
      <c r="L1016" s="46"/>
      <c r="M1016" s="46"/>
      <c r="N1016" s="46"/>
      <c r="O1016" s="46"/>
      <c r="P1016" s="46"/>
      <c r="Q1016" s="46"/>
      <c r="R1016" s="46"/>
      <c r="S1016" s="46"/>
      <c r="T1016" s="46"/>
      <c r="U1016" s="46"/>
      <c r="V1016" s="46"/>
      <c r="W1016" s="46"/>
    </row>
    <row r="1017">
      <c r="A1017" s="55"/>
      <c r="B1017" s="218"/>
      <c r="C1017" s="55"/>
      <c r="D1017" s="218"/>
      <c r="E1017" s="126"/>
      <c r="F1017" s="224"/>
      <c r="G1017" s="126"/>
      <c r="H1017" s="218"/>
      <c r="I1017" s="126"/>
      <c r="J1017" s="46"/>
      <c r="K1017" s="46"/>
      <c r="L1017" s="46"/>
      <c r="M1017" s="46"/>
      <c r="N1017" s="46"/>
      <c r="O1017" s="46"/>
      <c r="P1017" s="46"/>
      <c r="Q1017" s="46"/>
      <c r="R1017" s="46"/>
      <c r="S1017" s="46"/>
      <c r="T1017" s="46"/>
      <c r="U1017" s="46"/>
      <c r="V1017" s="46"/>
      <c r="W1017" s="46"/>
    </row>
    <row r="1018">
      <c r="A1018" s="55"/>
      <c r="B1018" s="218"/>
      <c r="C1018" s="55"/>
      <c r="D1018" s="218"/>
      <c r="E1018" s="126"/>
      <c r="F1018" s="224"/>
      <c r="G1018" s="126"/>
      <c r="H1018" s="218"/>
      <c r="I1018" s="126"/>
      <c r="J1018" s="46"/>
      <c r="K1018" s="46"/>
      <c r="L1018" s="46"/>
      <c r="M1018" s="46"/>
      <c r="N1018" s="46"/>
      <c r="O1018" s="46"/>
      <c r="P1018" s="46"/>
      <c r="Q1018" s="46"/>
      <c r="R1018" s="46"/>
      <c r="S1018" s="46"/>
      <c r="T1018" s="46"/>
      <c r="U1018" s="46"/>
      <c r="V1018" s="46"/>
      <c r="W1018" s="46"/>
    </row>
    <row r="1019">
      <c r="A1019" s="55"/>
      <c r="B1019" s="218"/>
      <c r="C1019" s="55"/>
      <c r="D1019" s="218"/>
      <c r="E1019" s="126"/>
      <c r="F1019" s="224"/>
      <c r="G1019" s="126"/>
      <c r="H1019" s="218"/>
      <c r="I1019" s="126"/>
      <c r="J1019" s="46"/>
      <c r="K1019" s="46"/>
      <c r="L1019" s="46"/>
      <c r="M1019" s="46"/>
      <c r="N1019" s="46"/>
      <c r="O1019" s="46"/>
      <c r="P1019" s="46"/>
      <c r="Q1019" s="46"/>
      <c r="R1019" s="46"/>
      <c r="S1019" s="46"/>
      <c r="T1019" s="46"/>
      <c r="U1019" s="46"/>
      <c r="V1019" s="46"/>
      <c r="W1019" s="46"/>
    </row>
    <row r="1020">
      <c r="A1020" s="55"/>
      <c r="B1020" s="218"/>
      <c r="C1020" s="55"/>
      <c r="D1020" s="218"/>
      <c r="E1020" s="126"/>
      <c r="F1020" s="224"/>
      <c r="G1020" s="126"/>
      <c r="H1020" s="218"/>
      <c r="I1020" s="126"/>
      <c r="J1020" s="46"/>
      <c r="K1020" s="46"/>
      <c r="L1020" s="46"/>
      <c r="M1020" s="46"/>
      <c r="N1020" s="46"/>
      <c r="O1020" s="46"/>
      <c r="P1020" s="46"/>
      <c r="Q1020" s="46"/>
      <c r="R1020" s="46"/>
      <c r="S1020" s="46"/>
      <c r="T1020" s="46"/>
      <c r="U1020" s="46"/>
      <c r="V1020" s="46"/>
      <c r="W1020" s="46"/>
    </row>
    <row r="1021">
      <c r="A1021" s="55"/>
      <c r="B1021" s="218"/>
      <c r="C1021" s="55"/>
      <c r="D1021" s="218"/>
      <c r="E1021" s="126"/>
      <c r="F1021" s="224"/>
      <c r="G1021" s="126"/>
      <c r="H1021" s="218"/>
      <c r="I1021" s="126"/>
      <c r="J1021" s="46"/>
      <c r="K1021" s="46"/>
      <c r="L1021" s="46"/>
      <c r="M1021" s="46"/>
      <c r="N1021" s="46"/>
      <c r="O1021" s="46"/>
      <c r="P1021" s="46"/>
      <c r="Q1021" s="46"/>
      <c r="R1021" s="46"/>
      <c r="S1021" s="46"/>
      <c r="T1021" s="46"/>
      <c r="U1021" s="46"/>
      <c r="V1021" s="46"/>
      <c r="W1021" s="46"/>
    </row>
    <row r="1022">
      <c r="A1022" s="55"/>
      <c r="B1022" s="218"/>
      <c r="C1022" s="55"/>
      <c r="D1022" s="218"/>
      <c r="E1022" s="126"/>
      <c r="F1022" s="224"/>
      <c r="G1022" s="126"/>
      <c r="H1022" s="218"/>
      <c r="I1022" s="126"/>
      <c r="J1022" s="46"/>
      <c r="K1022" s="46"/>
      <c r="L1022" s="46"/>
      <c r="M1022" s="46"/>
      <c r="N1022" s="46"/>
      <c r="O1022" s="46"/>
      <c r="P1022" s="46"/>
      <c r="Q1022" s="46"/>
      <c r="R1022" s="46"/>
      <c r="S1022" s="46"/>
      <c r="T1022" s="46"/>
      <c r="U1022" s="46"/>
      <c r="V1022" s="46"/>
      <c r="W1022" s="46"/>
    </row>
    <row r="1023">
      <c r="A1023" s="55"/>
      <c r="B1023" s="218"/>
      <c r="C1023" s="55"/>
      <c r="D1023" s="218"/>
      <c r="E1023" s="126"/>
      <c r="F1023" s="224"/>
      <c r="G1023" s="126"/>
      <c r="H1023" s="218"/>
      <c r="I1023" s="126"/>
      <c r="J1023" s="46"/>
      <c r="K1023" s="46"/>
      <c r="L1023" s="46"/>
      <c r="M1023" s="46"/>
      <c r="N1023" s="46"/>
      <c r="O1023" s="46"/>
      <c r="P1023" s="46"/>
      <c r="Q1023" s="46"/>
      <c r="R1023" s="46"/>
      <c r="S1023" s="46"/>
      <c r="T1023" s="46"/>
      <c r="U1023" s="46"/>
      <c r="V1023" s="46"/>
      <c r="W1023" s="46"/>
    </row>
    <row r="1024">
      <c r="A1024" s="55"/>
      <c r="B1024" s="218"/>
      <c r="C1024" s="55"/>
      <c r="D1024" s="218"/>
      <c r="E1024" s="126"/>
      <c r="F1024" s="224"/>
      <c r="G1024" s="126"/>
      <c r="H1024" s="218"/>
      <c r="I1024" s="126"/>
      <c r="J1024" s="46"/>
      <c r="K1024" s="46"/>
      <c r="L1024" s="46"/>
      <c r="M1024" s="46"/>
      <c r="N1024" s="46"/>
      <c r="O1024" s="46"/>
      <c r="P1024" s="46"/>
      <c r="Q1024" s="46"/>
      <c r="R1024" s="46"/>
      <c r="S1024" s="46"/>
      <c r="T1024" s="46"/>
      <c r="U1024" s="46"/>
      <c r="V1024" s="46"/>
      <c r="W1024" s="46"/>
    </row>
    <row r="1025">
      <c r="A1025" s="55"/>
      <c r="B1025" s="218"/>
      <c r="C1025" s="55"/>
      <c r="D1025" s="218"/>
      <c r="E1025" s="126"/>
      <c r="F1025" s="224"/>
      <c r="G1025" s="126"/>
      <c r="H1025" s="218"/>
      <c r="I1025" s="126"/>
      <c r="J1025" s="46"/>
      <c r="K1025" s="46"/>
      <c r="L1025" s="46"/>
      <c r="M1025" s="46"/>
      <c r="N1025" s="46"/>
      <c r="O1025" s="46"/>
      <c r="P1025" s="46"/>
      <c r="Q1025" s="46"/>
      <c r="R1025" s="46"/>
      <c r="S1025" s="46"/>
      <c r="T1025" s="46"/>
      <c r="U1025" s="46"/>
      <c r="V1025" s="46"/>
      <c r="W1025" s="46"/>
    </row>
    <row r="1026">
      <c r="A1026" s="55"/>
      <c r="B1026" s="218"/>
      <c r="C1026" s="55"/>
      <c r="D1026" s="218"/>
      <c r="E1026" s="126"/>
      <c r="F1026" s="224"/>
      <c r="G1026" s="126"/>
      <c r="H1026" s="218"/>
      <c r="I1026" s="126"/>
      <c r="J1026" s="46"/>
      <c r="K1026" s="46"/>
      <c r="L1026" s="46"/>
      <c r="M1026" s="46"/>
      <c r="N1026" s="46"/>
      <c r="O1026" s="46"/>
      <c r="P1026" s="46"/>
      <c r="Q1026" s="46"/>
      <c r="R1026" s="46"/>
      <c r="S1026" s="46"/>
      <c r="T1026" s="46"/>
      <c r="U1026" s="46"/>
      <c r="V1026" s="46"/>
      <c r="W1026" s="46"/>
    </row>
    <row r="1027">
      <c r="A1027" s="55"/>
      <c r="B1027" s="218"/>
      <c r="C1027" s="55"/>
      <c r="D1027" s="218"/>
      <c r="E1027" s="126"/>
      <c r="F1027" s="224"/>
      <c r="G1027" s="126"/>
      <c r="H1027" s="218"/>
      <c r="I1027" s="126"/>
      <c r="J1027" s="46"/>
      <c r="K1027" s="46"/>
      <c r="L1027" s="46"/>
      <c r="M1027" s="46"/>
      <c r="N1027" s="46"/>
      <c r="O1027" s="46"/>
      <c r="P1027" s="46"/>
      <c r="Q1027" s="46"/>
      <c r="R1027" s="46"/>
      <c r="S1027" s="46"/>
      <c r="T1027" s="46"/>
      <c r="U1027" s="46"/>
      <c r="V1027" s="46"/>
      <c r="W1027" s="46"/>
    </row>
    <row r="1028">
      <c r="A1028" s="55"/>
      <c r="B1028" s="218"/>
      <c r="C1028" s="55"/>
      <c r="D1028" s="218"/>
      <c r="E1028" s="126"/>
      <c r="F1028" s="224"/>
      <c r="G1028" s="126"/>
      <c r="H1028" s="218"/>
      <c r="I1028" s="126"/>
      <c r="J1028" s="46"/>
      <c r="K1028" s="46"/>
      <c r="L1028" s="46"/>
      <c r="M1028" s="46"/>
      <c r="N1028" s="46"/>
      <c r="O1028" s="46"/>
      <c r="P1028" s="46"/>
      <c r="Q1028" s="46"/>
      <c r="R1028" s="46"/>
      <c r="S1028" s="46"/>
      <c r="T1028" s="46"/>
      <c r="U1028" s="46"/>
      <c r="V1028" s="46"/>
      <c r="W1028" s="46"/>
    </row>
    <row r="1029">
      <c r="A1029" s="55"/>
      <c r="B1029" s="218"/>
      <c r="C1029" s="55"/>
      <c r="D1029" s="218"/>
      <c r="E1029" s="126"/>
      <c r="F1029" s="224"/>
      <c r="G1029" s="126"/>
      <c r="H1029" s="218"/>
      <c r="I1029" s="126"/>
      <c r="J1029" s="46"/>
      <c r="K1029" s="46"/>
      <c r="L1029" s="46"/>
      <c r="M1029" s="46"/>
      <c r="N1029" s="46"/>
      <c r="O1029" s="46"/>
      <c r="P1029" s="46"/>
      <c r="Q1029" s="46"/>
      <c r="R1029" s="46"/>
      <c r="S1029" s="46"/>
      <c r="T1029" s="46"/>
      <c r="U1029" s="46"/>
      <c r="V1029" s="46"/>
      <c r="W1029" s="46"/>
    </row>
    <row r="1030">
      <c r="A1030" s="55"/>
      <c r="B1030" s="218"/>
      <c r="C1030" s="55"/>
      <c r="D1030" s="218"/>
      <c r="E1030" s="126"/>
      <c r="F1030" s="224"/>
      <c r="G1030" s="126"/>
      <c r="H1030" s="218"/>
      <c r="I1030" s="126"/>
      <c r="J1030" s="46"/>
      <c r="K1030" s="46"/>
      <c r="L1030" s="46"/>
      <c r="M1030" s="46"/>
      <c r="N1030" s="46"/>
      <c r="O1030" s="46"/>
      <c r="P1030" s="46"/>
      <c r="Q1030" s="46"/>
      <c r="R1030" s="46"/>
      <c r="S1030" s="46"/>
      <c r="T1030" s="46"/>
      <c r="U1030" s="46"/>
      <c r="V1030" s="46"/>
      <c r="W1030" s="46"/>
    </row>
    <row r="1031">
      <c r="A1031" s="55"/>
      <c r="B1031" s="218"/>
      <c r="C1031" s="55"/>
      <c r="D1031" s="218"/>
      <c r="E1031" s="126"/>
      <c r="F1031" s="224"/>
      <c r="G1031" s="126"/>
      <c r="H1031" s="218"/>
      <c r="I1031" s="126"/>
      <c r="J1031" s="46"/>
      <c r="K1031" s="46"/>
      <c r="L1031" s="46"/>
      <c r="M1031" s="46"/>
      <c r="N1031" s="46"/>
      <c r="O1031" s="46"/>
      <c r="P1031" s="46"/>
      <c r="Q1031" s="46"/>
      <c r="R1031" s="46"/>
      <c r="S1031" s="46"/>
      <c r="T1031" s="46"/>
      <c r="U1031" s="46"/>
      <c r="V1031" s="46"/>
      <c r="W1031" s="46"/>
    </row>
    <row r="1032">
      <c r="A1032" s="55"/>
      <c r="B1032" s="218"/>
      <c r="C1032" s="55"/>
      <c r="D1032" s="218"/>
      <c r="E1032" s="126"/>
      <c r="F1032" s="224"/>
      <c r="G1032" s="126"/>
      <c r="H1032" s="218"/>
      <c r="I1032" s="126"/>
      <c r="J1032" s="46"/>
      <c r="K1032" s="46"/>
      <c r="L1032" s="46"/>
      <c r="M1032" s="46"/>
      <c r="N1032" s="46"/>
      <c r="O1032" s="46"/>
      <c r="P1032" s="46"/>
      <c r="Q1032" s="46"/>
      <c r="R1032" s="46"/>
      <c r="S1032" s="46"/>
      <c r="T1032" s="46"/>
      <c r="U1032" s="46"/>
      <c r="V1032" s="46"/>
      <c r="W1032" s="46"/>
    </row>
    <row r="1033">
      <c r="A1033" s="55"/>
      <c r="B1033" s="218"/>
      <c r="C1033" s="55"/>
      <c r="D1033" s="218"/>
      <c r="E1033" s="46"/>
      <c r="F1033" s="46"/>
      <c r="G1033" s="46"/>
      <c r="H1033" s="46"/>
      <c r="I1033" s="46"/>
      <c r="J1033" s="46"/>
      <c r="K1033" s="46"/>
      <c r="L1033" s="46"/>
      <c r="M1033" s="46"/>
      <c r="N1033" s="46"/>
      <c r="O1033" s="46"/>
      <c r="P1033" s="46"/>
      <c r="Q1033" s="46"/>
      <c r="R1033" s="46"/>
      <c r="S1033" s="46"/>
      <c r="T1033" s="46"/>
      <c r="U1033" s="46"/>
      <c r="V1033" s="46"/>
      <c r="W1033" s="46"/>
    </row>
    <row r="1034">
      <c r="A1034" s="55"/>
      <c r="B1034" s="218"/>
      <c r="C1034" s="55"/>
      <c r="D1034" s="218"/>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18"/>
      <c r="C1035" s="55"/>
      <c r="D1035" s="218"/>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18"/>
      <c r="C1036" s="55"/>
      <c r="D1036" s="218"/>
      <c r="E1036" s="46"/>
      <c r="F1036" s="46"/>
      <c r="G1036" s="46"/>
      <c r="H1036" s="46"/>
      <c r="I1036" s="46"/>
      <c r="J1036" s="46"/>
      <c r="K1036" s="46"/>
      <c r="L1036" s="46"/>
      <c r="M1036" s="46"/>
      <c r="N1036" s="46"/>
      <c r="O1036" s="46"/>
      <c r="P1036" s="46"/>
      <c r="Q1036" s="46"/>
      <c r="R1036" s="46"/>
      <c r="S1036" s="46"/>
      <c r="T1036" s="46"/>
      <c r="U1036" s="46"/>
      <c r="V1036" s="46"/>
      <c r="W1036"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25" t="s">
        <v>3703</v>
      </c>
      <c r="B1" s="226"/>
      <c r="C1" s="226"/>
      <c r="D1" s="226"/>
      <c r="E1" s="227"/>
      <c r="F1" s="225" t="str">
        <f>IFERROR(__xludf.DUMMYFUNCTION("GOOGLETRANSLATE(A1,""zh-tw"",""ja"")"),"このページは現在、他言語への翻訳ができません。公式設定のみに基づいており、定期的に更新されることはありません。ご不便をおかけして申し訳ございません。マップ作成者：Mio")</f>
        <v>このページは現在、他言語への翻訳ができません。公式設定のみに基づいており、定期的に更新されることはありません。ご不便をおかけして申し訳ございません。マップ作成者：Mio</v>
      </c>
      <c r="G1" s="226"/>
      <c r="H1" s="226"/>
      <c r="I1" s="227"/>
      <c r="J1" s="225" t="str">
        <f>IFERROR(__xludf.DUMMYFUNCTION("GOOGLETRANSLATE(A1,""zh-tw"",""en"")"),"This page currently does not have translations in other languages; it is based solely on the official settings and will not be updated regularly. We apologize for the inconvenience. Map creator: Mio")</f>
        <v>This page currently does not have translations in other languages; it is based solely on the official settings and will not be updated regularly. We apologize for the inconvenience. Map creator: Mio</v>
      </c>
      <c r="K1" s="226"/>
      <c r="L1" s="226"/>
      <c r="M1" s="227"/>
      <c r="N1" s="225" t="s">
        <v>3704</v>
      </c>
      <c r="O1" s="226"/>
      <c r="P1" s="226"/>
      <c r="Q1" s="226"/>
      <c r="R1" s="227"/>
      <c r="S1" s="228"/>
      <c r="T1" s="226"/>
      <c r="U1" s="226"/>
      <c r="V1" s="227"/>
      <c r="W1" s="229"/>
      <c r="X1" s="229"/>
      <c r="Y1" s="229"/>
      <c r="Z1" s="229"/>
      <c r="AA1" s="229"/>
      <c r="AB1" s="229"/>
    </row>
    <row r="2" ht="22.5" customHeight="1">
      <c r="A2" s="230"/>
      <c r="B2" s="231"/>
      <c r="C2" s="231"/>
      <c r="D2" s="231"/>
      <c r="E2" s="232"/>
      <c r="F2" s="230"/>
      <c r="G2" s="231"/>
      <c r="H2" s="231"/>
      <c r="I2" s="232"/>
      <c r="J2" s="230"/>
      <c r="K2" s="231"/>
      <c r="L2" s="231"/>
      <c r="M2" s="232"/>
      <c r="N2" s="230"/>
      <c r="O2" s="231"/>
      <c r="P2" s="231"/>
      <c r="Q2" s="231"/>
      <c r="R2" s="232"/>
      <c r="S2" s="230"/>
      <c r="T2" s="231"/>
      <c r="U2" s="231"/>
      <c r="V2" s="232"/>
      <c r="W2" s="229"/>
      <c r="X2" s="229"/>
      <c r="Y2" s="229"/>
      <c r="Z2" s="229"/>
      <c r="AA2" s="229"/>
      <c r="AB2" s="229"/>
    </row>
    <row r="3" ht="26.25" customHeight="1">
      <c r="A3" s="233" t="s">
        <v>42</v>
      </c>
      <c r="E3" s="234"/>
      <c r="F3" s="233" t="s">
        <v>3705</v>
      </c>
      <c r="I3" s="234"/>
      <c r="J3" s="233" t="s">
        <v>3706</v>
      </c>
      <c r="M3" s="234"/>
      <c r="N3" s="233" t="s">
        <v>3707</v>
      </c>
      <c r="R3" s="234"/>
      <c r="S3" s="235"/>
      <c r="T3" s="226"/>
      <c r="U3" s="226"/>
      <c r="V3" s="227"/>
      <c r="W3" s="14"/>
      <c r="X3" s="14"/>
      <c r="Y3" s="14"/>
      <c r="Z3" s="14"/>
      <c r="AA3" s="14"/>
      <c r="AB3" s="14"/>
    </row>
    <row r="4" ht="26.25" customHeight="1">
      <c r="A4" s="231"/>
      <c r="B4" s="231"/>
      <c r="C4" s="231"/>
      <c r="D4" s="231"/>
      <c r="E4" s="232"/>
      <c r="F4" s="231"/>
      <c r="G4" s="231"/>
      <c r="H4" s="231"/>
      <c r="I4" s="232"/>
      <c r="J4" s="231"/>
      <c r="K4" s="231"/>
      <c r="L4" s="231"/>
      <c r="M4" s="232"/>
      <c r="N4" s="231"/>
      <c r="O4" s="231"/>
      <c r="P4" s="231"/>
      <c r="Q4" s="231"/>
      <c r="R4" s="232"/>
      <c r="S4" s="230"/>
      <c r="T4" s="231"/>
      <c r="U4" s="231"/>
      <c r="V4" s="232"/>
      <c r="W4" s="14"/>
      <c r="X4" s="14"/>
      <c r="Y4" s="14"/>
      <c r="Z4" s="14"/>
      <c r="AA4" s="14"/>
      <c r="AB4" s="14"/>
    </row>
    <row r="5">
      <c r="A5" s="236" t="s">
        <v>3708</v>
      </c>
      <c r="B5" s="237"/>
      <c r="C5" s="237"/>
      <c r="D5" s="237"/>
      <c r="E5" s="238"/>
      <c r="F5" s="236" t="str">
        <f>IFERROR(__xludf.DUMMYFUNCTION("GOOGLETRANSLATE(A5,""zh-tw"",""ja"")"),"野生地域")</f>
        <v>野生地域</v>
      </c>
      <c r="G5" s="237"/>
      <c r="H5" s="237"/>
      <c r="I5" s="238"/>
      <c r="J5" s="236" t="s">
        <v>3709</v>
      </c>
      <c r="K5" s="237"/>
      <c r="L5" s="237"/>
      <c r="M5" s="238"/>
      <c r="N5" s="239" t="s">
        <v>3710</v>
      </c>
      <c r="O5" s="237"/>
      <c r="P5" s="237"/>
      <c r="Q5" s="237"/>
      <c r="R5" s="238"/>
      <c r="S5" s="240"/>
      <c r="T5" s="237"/>
      <c r="U5" s="237"/>
      <c r="V5" s="238"/>
      <c r="W5" s="241"/>
      <c r="X5" s="241"/>
      <c r="Y5" s="241"/>
      <c r="Z5" s="241"/>
      <c r="AA5" s="241"/>
      <c r="AB5" s="241"/>
    </row>
    <row r="6" ht="53.25" customHeight="1">
      <c r="A6" s="242" t="s">
        <v>724</v>
      </c>
      <c r="B6" s="242" t="s">
        <v>724</v>
      </c>
      <c r="C6" s="242" t="s">
        <v>724</v>
      </c>
      <c r="D6" s="242" t="s">
        <v>724</v>
      </c>
      <c r="E6" s="243" t="s">
        <v>3711</v>
      </c>
      <c r="F6" s="244" t="s">
        <v>724</v>
      </c>
      <c r="G6" s="245" t="s">
        <v>724</v>
      </c>
      <c r="H6" s="246" t="s">
        <v>3712</v>
      </c>
      <c r="I6" s="244" t="s">
        <v>724</v>
      </c>
      <c r="J6" s="247" t="s">
        <v>724</v>
      </c>
      <c r="K6" s="248" t="s">
        <v>724</v>
      </c>
      <c r="L6" s="247" t="s">
        <v>724</v>
      </c>
      <c r="M6" s="249" t="s">
        <v>3713</v>
      </c>
      <c r="N6" s="250" t="s">
        <v>724</v>
      </c>
      <c r="O6" s="250" t="s">
        <v>724</v>
      </c>
      <c r="P6" s="251" t="s">
        <v>724</v>
      </c>
      <c r="Q6" s="251" t="s">
        <v>724</v>
      </c>
      <c r="R6" s="252" t="s">
        <v>3714</v>
      </c>
      <c r="S6" s="253"/>
      <c r="T6" s="254"/>
      <c r="U6" s="254"/>
      <c r="V6" s="255"/>
      <c r="W6" s="256"/>
      <c r="X6" s="256"/>
      <c r="Y6" s="256"/>
      <c r="Z6" s="256"/>
      <c r="AA6" s="256"/>
    </row>
    <row r="7" ht="75.0" customHeight="1">
      <c r="A7" s="242" t="s">
        <v>724</v>
      </c>
      <c r="B7" s="242" t="s">
        <v>724</v>
      </c>
      <c r="C7" s="242" t="s">
        <v>3715</v>
      </c>
      <c r="D7" s="257" t="s">
        <v>3716</v>
      </c>
      <c r="E7" s="258" t="s">
        <v>3717</v>
      </c>
      <c r="F7" s="244" t="str">
        <f>IFERROR(__xludf.DUMMYFUNCTION("GOOGLETRANSLATE(B7,""zh-tw"",""ja"")"),"-")</f>
        <v>-</v>
      </c>
      <c r="G7" s="245" t="s">
        <v>3718</v>
      </c>
      <c r="H7" s="259" t="s">
        <v>3719</v>
      </c>
      <c r="I7" s="244" t="str">
        <f>IFERROR(__xludf.DUMMYFUNCTION("GOOGLETRANSLATE(#REF!,""zh-tw"",""ja"")"),"#REF!")</f>
        <v>#REF!</v>
      </c>
      <c r="J7" s="247" t="str">
        <f>IFERROR(__xludf.DUMMYFUNCTION("GOOGLETRANSLATE(B7,""zh-tw"",""en"")"),"-")</f>
        <v>-</v>
      </c>
      <c r="K7" s="248" t="s">
        <v>3720</v>
      </c>
      <c r="L7" s="247" t="str">
        <f>IFERROR(__xludf.DUMMYFUNCTION("GOOGLETRANSLATE(D7,""zh-tw"",""en"")"),"Development Zone (Mine Pit) -2")</f>
        <v>Development Zone (Mine Pit) -2</v>
      </c>
      <c r="M7" s="260" t="s">
        <v>3721</v>
      </c>
      <c r="N7" s="250" t="s">
        <v>724</v>
      </c>
      <c r="O7" s="250" t="str">
        <f>IFERROR(__xludf.DUMMYFUNCTION("GOOGLETRANSLATE(B7,""zh-tw"",""zh"")"),"-")</f>
        <v>-</v>
      </c>
      <c r="P7" s="251" t="s">
        <v>3722</v>
      </c>
      <c r="Q7" s="261" t="s">
        <v>724</v>
      </c>
      <c r="R7" s="262" t="s">
        <v>3723</v>
      </c>
      <c r="S7" s="253"/>
      <c r="T7" s="254"/>
      <c r="U7" s="254"/>
      <c r="V7" s="263"/>
      <c r="W7" s="256"/>
      <c r="X7" s="256"/>
      <c r="Y7" s="256"/>
      <c r="Z7" s="256"/>
      <c r="AA7" s="256"/>
    </row>
    <row r="8">
      <c r="A8" s="242" t="s">
        <v>724</v>
      </c>
      <c r="B8" s="243" t="s">
        <v>3724</v>
      </c>
      <c r="C8" s="243" t="s">
        <v>3725</v>
      </c>
      <c r="D8" s="243" t="s">
        <v>3726</v>
      </c>
      <c r="E8" s="242" t="s">
        <v>3727</v>
      </c>
      <c r="F8" s="246" t="s">
        <v>3728</v>
      </c>
      <c r="G8" s="246" t="s">
        <v>3729</v>
      </c>
      <c r="H8" s="244" t="s">
        <v>3730</v>
      </c>
      <c r="I8" s="244" t="str">
        <f>IFERROR(__xludf.DUMMYFUNCTION("GOOGLETRANSLATE(#REF!,""zh-tw"",""ja"")"),"#REF!")</f>
        <v>#REF!</v>
      </c>
      <c r="J8" s="249" t="s">
        <v>3731</v>
      </c>
      <c r="K8" s="249" t="s">
        <v>3732</v>
      </c>
      <c r="L8" s="247" t="s">
        <v>3733</v>
      </c>
      <c r="M8" s="247" t="s">
        <v>3733</v>
      </c>
      <c r="N8" s="250" t="s">
        <v>724</v>
      </c>
      <c r="O8" s="252" t="s">
        <v>3734</v>
      </c>
      <c r="P8" s="252" t="s">
        <v>3735</v>
      </c>
      <c r="Q8" s="252" t="s">
        <v>3736</v>
      </c>
      <c r="R8" s="250" t="s">
        <v>3737</v>
      </c>
      <c r="S8" s="264"/>
      <c r="T8" s="254"/>
      <c r="U8" s="254"/>
      <c r="V8" s="254"/>
      <c r="W8" s="256"/>
      <c r="X8" s="256"/>
      <c r="Y8" s="256"/>
      <c r="Z8" s="256"/>
      <c r="AA8" s="256"/>
    </row>
    <row r="9">
      <c r="A9" s="242" t="s">
        <v>724</v>
      </c>
      <c r="B9" s="243" t="s">
        <v>3738</v>
      </c>
      <c r="C9" s="243" t="s">
        <v>3739</v>
      </c>
      <c r="D9" s="257" t="s">
        <v>724</v>
      </c>
      <c r="E9" s="265" t="s">
        <v>3740</v>
      </c>
      <c r="F9" s="246" t="s">
        <v>3741</v>
      </c>
      <c r="G9" s="246" t="s">
        <v>3742</v>
      </c>
      <c r="H9" s="246" t="s">
        <v>3743</v>
      </c>
      <c r="I9" s="244" t="s">
        <v>724</v>
      </c>
      <c r="J9" s="249" t="s">
        <v>3744</v>
      </c>
      <c r="K9" s="249" t="s">
        <v>3745</v>
      </c>
      <c r="L9" s="248" t="s">
        <v>724</v>
      </c>
      <c r="M9" s="249" t="s">
        <v>3746</v>
      </c>
      <c r="N9" s="250" t="s">
        <v>724</v>
      </c>
      <c r="O9" s="252" t="s">
        <v>3747</v>
      </c>
      <c r="P9" s="252" t="s">
        <v>3748</v>
      </c>
      <c r="Q9" s="251" t="s">
        <v>724</v>
      </c>
      <c r="R9" s="252" t="s">
        <v>3749</v>
      </c>
      <c r="S9" s="253"/>
      <c r="T9" s="254"/>
      <c r="U9" s="254"/>
      <c r="V9" s="254"/>
      <c r="W9" s="256"/>
      <c r="X9" s="256"/>
      <c r="Y9" s="256"/>
      <c r="Z9" s="256"/>
      <c r="AA9" s="256"/>
    </row>
    <row r="10" ht="60.0" customHeight="1">
      <c r="A10" s="242" t="s">
        <v>724</v>
      </c>
      <c r="B10" s="243" t="s">
        <v>3750</v>
      </c>
      <c r="C10" s="266" t="s">
        <v>3751</v>
      </c>
      <c r="D10" s="243" t="s">
        <v>3752</v>
      </c>
      <c r="E10" s="243" t="s">
        <v>3753</v>
      </c>
      <c r="F10" s="246" t="s">
        <v>3754</v>
      </c>
      <c r="G10" s="267" t="s">
        <v>3755</v>
      </c>
      <c r="H10" s="246" t="s">
        <v>3756</v>
      </c>
      <c r="I10" s="245" t="s">
        <v>724</v>
      </c>
      <c r="J10" s="249" t="s">
        <v>3757</v>
      </c>
      <c r="K10" s="268" t="s">
        <v>3758</v>
      </c>
      <c r="L10" s="249" t="s">
        <v>3759</v>
      </c>
      <c r="M10" s="249" t="s">
        <v>3760</v>
      </c>
      <c r="N10" s="250" t="s">
        <v>724</v>
      </c>
      <c r="O10" s="269" t="s">
        <v>3761</v>
      </c>
      <c r="P10" s="270" t="s">
        <v>3762</v>
      </c>
      <c r="Q10" s="252" t="s">
        <v>3763</v>
      </c>
      <c r="R10" s="271" t="s">
        <v>3764</v>
      </c>
      <c r="S10" s="253"/>
      <c r="T10" s="272"/>
      <c r="U10" s="254"/>
      <c r="V10" s="254"/>
      <c r="W10" s="273"/>
      <c r="X10" s="273"/>
      <c r="Y10" s="273"/>
      <c r="Z10" s="273"/>
      <c r="AA10" s="273"/>
    </row>
    <row r="11" ht="65.25" customHeight="1">
      <c r="A11" s="242" t="s">
        <v>724</v>
      </c>
      <c r="B11" s="243" t="s">
        <v>3765</v>
      </c>
      <c r="C11" s="274"/>
      <c r="D11" s="258" t="s">
        <v>3766</v>
      </c>
      <c r="E11" s="258" t="s">
        <v>3767</v>
      </c>
      <c r="F11" s="246" t="s">
        <v>3768</v>
      </c>
      <c r="G11" s="274"/>
      <c r="H11" s="246" t="s">
        <v>3769</v>
      </c>
      <c r="I11" s="246" t="s">
        <v>3770</v>
      </c>
      <c r="J11" s="249" t="s">
        <v>3771</v>
      </c>
      <c r="K11" s="274"/>
      <c r="L11" s="249" t="s">
        <v>3772</v>
      </c>
      <c r="M11" s="249" t="s">
        <v>3773</v>
      </c>
      <c r="N11" s="250" t="s">
        <v>724</v>
      </c>
      <c r="O11" s="252" t="s">
        <v>3774</v>
      </c>
      <c r="P11" s="274"/>
      <c r="Q11" s="252" t="s">
        <v>3775</v>
      </c>
      <c r="R11" s="252" t="s">
        <v>3776</v>
      </c>
      <c r="S11" s="253"/>
      <c r="T11" s="232"/>
      <c r="U11" s="254"/>
      <c r="V11" s="254"/>
      <c r="W11" s="275"/>
      <c r="X11" s="275"/>
      <c r="Y11" s="275"/>
      <c r="Z11" s="275"/>
      <c r="AA11" s="275"/>
    </row>
    <row r="12">
      <c r="A12" s="242" t="s">
        <v>724</v>
      </c>
      <c r="B12" s="243" t="s">
        <v>3777</v>
      </c>
      <c r="C12" s="242" t="s">
        <v>3778</v>
      </c>
      <c r="D12" s="243" t="s">
        <v>3779</v>
      </c>
      <c r="E12" s="258" t="s">
        <v>3780</v>
      </c>
      <c r="F12" s="246" t="s">
        <v>3781</v>
      </c>
      <c r="G12" s="244" t="s">
        <v>3782</v>
      </c>
      <c r="H12" s="244" t="str">
        <f>IFERROR(__xludf.DUMMYFUNCTION("GOOGLETRANSLATE(D12,""zh-tw"",""ja"")"),"▲
ハンターズ・ロッジ
R69
▼")</f>
        <v>▲
ハンターズ・ロッジ
R69
▼</v>
      </c>
      <c r="I12" s="244" t="str">
        <f>IFERROR(__xludf.DUMMYFUNCTION("GOOGLETRANSLATE(#REF!,""zh-tw"",""ja"")"),"#REF!")</f>
        <v>#REF!</v>
      </c>
      <c r="J12" s="249" t="s">
        <v>3783</v>
      </c>
      <c r="K12" s="247" t="s">
        <v>3784</v>
      </c>
      <c r="L12" s="247" t="s">
        <v>3785</v>
      </c>
      <c r="M12" s="249" t="s">
        <v>3786</v>
      </c>
      <c r="N12" s="250" t="s">
        <v>724</v>
      </c>
      <c r="O12" s="252" t="s">
        <v>3787</v>
      </c>
      <c r="P12" s="250" t="str">
        <f>IFERROR(__xludf.DUMMYFUNCTION("GOOGLETRANSLATE(C12,""zh-tw"",""zh"")"),"提前回家
R1")</f>
        <v>提前回家
R1</v>
      </c>
      <c r="Q12" s="252" t="s">
        <v>3788</v>
      </c>
      <c r="R12" s="252" t="s">
        <v>3789</v>
      </c>
      <c r="S12" s="253"/>
      <c r="T12" s="254"/>
      <c r="U12" s="254"/>
      <c r="V12" s="254"/>
      <c r="W12" s="256"/>
      <c r="X12" s="256"/>
      <c r="Y12" s="256"/>
      <c r="Z12" s="256"/>
      <c r="AA12" s="256"/>
    </row>
    <row r="13">
      <c r="A13" s="242" t="s">
        <v>724</v>
      </c>
      <c r="B13" s="243" t="s">
        <v>3790</v>
      </c>
      <c r="C13" s="242" t="s">
        <v>3791</v>
      </c>
      <c r="D13" s="243" t="s">
        <v>3792</v>
      </c>
      <c r="E13" s="242" t="s">
        <v>724</v>
      </c>
      <c r="F13" s="245"/>
      <c r="G13" s="244"/>
      <c r="H13" s="244"/>
      <c r="I13" s="244"/>
      <c r="J13" s="249" t="s">
        <v>3793</v>
      </c>
      <c r="K13" s="247" t="s">
        <v>3794</v>
      </c>
      <c r="L13" s="247" t="s">
        <v>3795</v>
      </c>
      <c r="M13" s="247"/>
      <c r="N13" s="250" t="s">
        <v>724</v>
      </c>
      <c r="O13" s="252" t="s">
        <v>3796</v>
      </c>
      <c r="P13" s="250" t="s">
        <v>3797</v>
      </c>
      <c r="Q13" s="252" t="s">
        <v>3798</v>
      </c>
      <c r="R13" s="250" t="s">
        <v>724</v>
      </c>
      <c r="S13" s="253"/>
      <c r="T13" s="254"/>
      <c r="U13" s="254"/>
      <c r="V13" s="276"/>
      <c r="W13" s="256"/>
      <c r="X13" s="256"/>
      <c r="Y13" s="256"/>
      <c r="Z13" s="256"/>
      <c r="AA13" s="256"/>
    </row>
    <row r="14">
      <c r="A14" s="242" t="s">
        <v>724</v>
      </c>
      <c r="B14" s="243" t="s">
        <v>3799</v>
      </c>
      <c r="C14" s="242" t="s">
        <v>2737</v>
      </c>
      <c r="D14" s="242" t="s">
        <v>724</v>
      </c>
      <c r="E14" s="242" t="s">
        <v>724</v>
      </c>
      <c r="F14" s="245"/>
      <c r="G14" s="244"/>
      <c r="H14" s="244"/>
      <c r="I14" s="244"/>
      <c r="J14" s="249" t="s">
        <v>3800</v>
      </c>
      <c r="K14" s="247" t="s">
        <v>2743</v>
      </c>
      <c r="L14" s="247"/>
      <c r="M14" s="247"/>
      <c r="N14" s="250" t="s">
        <v>724</v>
      </c>
      <c r="O14" s="252" t="s">
        <v>3801</v>
      </c>
      <c r="P14" s="250" t="s">
        <v>3802</v>
      </c>
      <c r="Q14" s="250" t="s">
        <v>724</v>
      </c>
      <c r="R14" s="250" t="s">
        <v>724</v>
      </c>
      <c r="S14" s="277"/>
      <c r="T14" s="254"/>
      <c r="U14" s="276"/>
      <c r="V14" s="276"/>
      <c r="W14" s="256"/>
      <c r="X14" s="256"/>
      <c r="Y14" s="256"/>
      <c r="Z14" s="256"/>
      <c r="AA14" s="256"/>
    </row>
    <row r="15">
      <c r="A15" s="242" t="s">
        <v>3803</v>
      </c>
      <c r="B15" s="243" t="s">
        <v>3804</v>
      </c>
      <c r="C15" s="242" t="s">
        <v>3805</v>
      </c>
      <c r="D15" s="242" t="s">
        <v>724</v>
      </c>
      <c r="E15" s="242" t="s">
        <v>724</v>
      </c>
      <c r="F15" s="245"/>
      <c r="G15" s="244"/>
      <c r="H15" s="244"/>
      <c r="I15" s="244"/>
      <c r="J15" s="249" t="s">
        <v>3806</v>
      </c>
      <c r="K15" s="247" t="s">
        <v>3807</v>
      </c>
      <c r="L15" s="247"/>
      <c r="M15" s="247"/>
      <c r="N15" s="250" t="s">
        <v>3808</v>
      </c>
      <c r="O15" s="252" t="s">
        <v>3809</v>
      </c>
      <c r="P15" s="250" t="s">
        <v>3808</v>
      </c>
      <c r="Q15" s="250" t="s">
        <v>724</v>
      </c>
      <c r="R15" s="250" t="s">
        <v>724</v>
      </c>
      <c r="S15" s="253"/>
      <c r="T15" s="254"/>
      <c r="U15" s="276"/>
      <c r="V15" s="276"/>
      <c r="W15" s="256"/>
      <c r="X15" s="256"/>
      <c r="Y15" s="256"/>
      <c r="Z15" s="256"/>
      <c r="AA15" s="256"/>
    </row>
    <row r="16">
      <c r="A16" s="236" t="s">
        <v>3715</v>
      </c>
      <c r="B16" s="237"/>
      <c r="C16" s="237"/>
      <c r="D16" s="237"/>
      <c r="E16" s="238"/>
      <c r="F16" s="236" t="str">
        <f>IFERROR(__xludf.DUMMYFUNCTION("GOOGLETRANSLATE(A16,""zh-tw"",""ja"")"),"遺跡エリア")</f>
        <v>遺跡エリア</v>
      </c>
      <c r="G16" s="237"/>
      <c r="H16" s="237"/>
      <c r="I16" s="238"/>
      <c r="J16" s="236" t="s">
        <v>3810</v>
      </c>
      <c r="K16" s="237"/>
      <c r="L16" s="237"/>
      <c r="M16" s="238"/>
      <c r="N16" s="236" t="s">
        <v>3722</v>
      </c>
      <c r="O16" s="237"/>
      <c r="P16" s="237"/>
      <c r="Q16" s="237"/>
      <c r="R16" s="238"/>
      <c r="S16" s="278"/>
      <c r="T16" s="231"/>
      <c r="U16" s="231"/>
      <c r="V16" s="232"/>
      <c r="W16" s="279"/>
      <c r="X16" s="279"/>
      <c r="Y16" s="279"/>
      <c r="Z16" s="279"/>
      <c r="AA16" s="279"/>
      <c r="AB16" s="279"/>
    </row>
    <row r="17">
      <c r="A17" s="242" t="s">
        <v>724</v>
      </c>
      <c r="B17" s="242" t="s">
        <v>724</v>
      </c>
      <c r="C17" s="243" t="s">
        <v>3811</v>
      </c>
      <c r="D17" s="242" t="s">
        <v>724</v>
      </c>
      <c r="E17" s="242" t="s">
        <v>724</v>
      </c>
      <c r="F17" s="244"/>
      <c r="G17" s="280" t="s">
        <v>3812</v>
      </c>
      <c r="H17" s="281"/>
      <c r="I17" s="281"/>
      <c r="J17" s="282"/>
      <c r="K17" s="283" t="s">
        <v>3813</v>
      </c>
      <c r="L17" s="282"/>
      <c r="M17" s="282"/>
      <c r="N17" s="284" t="s">
        <v>724</v>
      </c>
      <c r="O17" s="284" t="s">
        <v>724</v>
      </c>
      <c r="P17" s="285" t="s">
        <v>3814</v>
      </c>
      <c r="Q17" s="284" t="s">
        <v>724</v>
      </c>
      <c r="R17" s="284" t="s">
        <v>724</v>
      </c>
      <c r="S17" s="286"/>
      <c r="T17" s="287"/>
      <c r="U17" s="276"/>
      <c r="V17" s="276"/>
      <c r="W17" s="288"/>
      <c r="X17" s="288"/>
      <c r="Y17" s="288"/>
      <c r="Z17" s="288"/>
      <c r="AA17" s="288"/>
      <c r="AB17" s="288"/>
    </row>
    <row r="18">
      <c r="A18" s="242" t="s">
        <v>724</v>
      </c>
      <c r="B18" s="243" t="s">
        <v>3815</v>
      </c>
      <c r="C18" s="243" t="s">
        <v>3816</v>
      </c>
      <c r="D18" s="242" t="s">
        <v>724</v>
      </c>
      <c r="E18" s="242" t="s">
        <v>724</v>
      </c>
      <c r="F18" s="246" t="s">
        <v>3817</v>
      </c>
      <c r="G18" s="246" t="s">
        <v>3818</v>
      </c>
      <c r="H18" s="281"/>
      <c r="I18" s="281"/>
      <c r="J18" s="289" t="s">
        <v>3819</v>
      </c>
      <c r="K18" s="290" t="s">
        <v>3820</v>
      </c>
      <c r="L18" s="282"/>
      <c r="M18" s="282"/>
      <c r="N18" s="284" t="s">
        <v>724</v>
      </c>
      <c r="O18" s="291" t="s">
        <v>3821</v>
      </c>
      <c r="P18" s="291" t="s">
        <v>3822</v>
      </c>
      <c r="Q18" s="284" t="s">
        <v>724</v>
      </c>
      <c r="R18" s="284" t="s">
        <v>724</v>
      </c>
      <c r="S18" s="264"/>
      <c r="T18" s="254"/>
      <c r="U18" s="276"/>
      <c r="V18" s="276"/>
      <c r="W18" s="288"/>
      <c r="X18" s="288"/>
      <c r="Y18" s="288"/>
      <c r="Z18" s="288"/>
      <c r="AA18" s="288"/>
      <c r="AB18" s="288"/>
    </row>
    <row r="19">
      <c r="A19" s="242" t="s">
        <v>724</v>
      </c>
      <c r="B19" s="242" t="s">
        <v>724</v>
      </c>
      <c r="C19" s="292" t="s">
        <v>3823</v>
      </c>
      <c r="D19" s="242" t="s">
        <v>3824</v>
      </c>
      <c r="E19" s="242" t="s">
        <v>724</v>
      </c>
      <c r="F19" s="244"/>
      <c r="G19" s="293" t="s">
        <v>3825</v>
      </c>
      <c r="H19" s="281"/>
      <c r="I19" s="281"/>
      <c r="J19" s="282"/>
      <c r="K19" s="294" t="s">
        <v>3826</v>
      </c>
      <c r="L19" s="282"/>
      <c r="M19" s="282"/>
      <c r="N19" s="284" t="s">
        <v>724</v>
      </c>
      <c r="O19" s="284" t="s">
        <v>724</v>
      </c>
      <c r="P19" s="295" t="s">
        <v>3827</v>
      </c>
      <c r="Q19" s="284" t="s">
        <v>3828</v>
      </c>
      <c r="R19" s="284" t="s">
        <v>724</v>
      </c>
      <c r="S19" s="286"/>
      <c r="T19" s="263"/>
      <c r="U19" s="276"/>
      <c r="V19" s="276"/>
      <c r="W19" s="288"/>
      <c r="X19" s="288"/>
      <c r="Y19" s="288"/>
      <c r="Z19" s="288"/>
      <c r="AA19" s="288"/>
      <c r="AB19" s="288"/>
    </row>
    <row r="20">
      <c r="A20" s="242" t="s">
        <v>724</v>
      </c>
      <c r="B20" s="242" t="s">
        <v>724</v>
      </c>
      <c r="C20" s="292" t="s">
        <v>3829</v>
      </c>
      <c r="D20" s="243" t="s">
        <v>3830</v>
      </c>
      <c r="E20" s="242" t="s">
        <v>724</v>
      </c>
      <c r="F20" s="244"/>
      <c r="G20" s="293" t="s">
        <v>3831</v>
      </c>
      <c r="H20" s="246" t="s">
        <v>3832</v>
      </c>
      <c r="I20" s="281"/>
      <c r="J20" s="282"/>
      <c r="K20" s="296" t="s">
        <v>3833</v>
      </c>
      <c r="L20" s="249" t="s">
        <v>3834</v>
      </c>
      <c r="M20" s="282"/>
      <c r="N20" s="284" t="s">
        <v>724</v>
      </c>
      <c r="O20" s="284" t="s">
        <v>724</v>
      </c>
      <c r="P20" s="297" t="s">
        <v>3835</v>
      </c>
      <c r="Q20" s="291" t="s">
        <v>3836</v>
      </c>
      <c r="R20" s="284" t="s">
        <v>724</v>
      </c>
      <c r="S20" s="286"/>
      <c r="T20" s="254"/>
      <c r="U20" s="255"/>
      <c r="V20" s="276"/>
      <c r="W20" s="288"/>
      <c r="X20" s="288"/>
      <c r="Y20" s="288"/>
      <c r="Z20" s="288"/>
      <c r="AA20" s="288"/>
      <c r="AB20" s="288"/>
    </row>
    <row r="21">
      <c r="A21" s="298" t="s">
        <v>724</v>
      </c>
      <c r="B21" s="298" t="s">
        <v>724</v>
      </c>
      <c r="C21" s="243" t="s">
        <v>3837</v>
      </c>
      <c r="D21" s="242" t="s">
        <v>724</v>
      </c>
      <c r="E21" s="242" t="s">
        <v>724</v>
      </c>
      <c r="F21" s="244"/>
      <c r="G21" s="246" t="s">
        <v>3838</v>
      </c>
      <c r="H21" s="281"/>
      <c r="I21" s="281"/>
      <c r="J21" s="282"/>
      <c r="K21" s="290" t="s">
        <v>3839</v>
      </c>
      <c r="L21" s="282"/>
      <c r="M21" s="282"/>
      <c r="N21" s="284" t="s">
        <v>724</v>
      </c>
      <c r="O21" s="284" t="s">
        <v>724</v>
      </c>
      <c r="P21" s="291" t="s">
        <v>3840</v>
      </c>
      <c r="Q21" s="284" t="s">
        <v>724</v>
      </c>
      <c r="R21" s="284" t="s">
        <v>724</v>
      </c>
      <c r="S21" s="286"/>
      <c r="T21" s="255"/>
      <c r="U21" s="276"/>
      <c r="V21" s="276"/>
      <c r="W21" s="288"/>
      <c r="X21" s="288"/>
      <c r="Y21" s="288"/>
      <c r="Z21" s="288"/>
      <c r="AA21" s="288"/>
      <c r="AB21" s="288"/>
    </row>
    <row r="22">
      <c r="A22" s="299"/>
      <c r="B22" s="299"/>
      <c r="C22" s="299"/>
      <c r="D22" s="299"/>
      <c r="E22" s="299"/>
      <c r="F22" s="299"/>
      <c r="G22" s="299"/>
      <c r="H22" s="17"/>
      <c r="I22" s="17"/>
      <c r="J22" s="17"/>
      <c r="K22" s="299"/>
      <c r="L22" s="299"/>
      <c r="M22" s="299"/>
      <c r="N22" s="17"/>
      <c r="O22" s="17"/>
      <c r="P22" s="299"/>
      <c r="Q22" s="299"/>
      <c r="R22" s="299"/>
      <c r="S22" s="300"/>
      <c r="T22" s="300"/>
      <c r="U22" s="300"/>
      <c r="V22" s="300"/>
      <c r="W22" s="299"/>
      <c r="X22" s="299"/>
      <c r="Y22" s="299"/>
      <c r="Z22" s="299"/>
      <c r="AA22" s="299"/>
      <c r="AB22" s="299"/>
    </row>
    <row r="23">
      <c r="A23" s="299"/>
      <c r="B23" s="299"/>
      <c r="C23" s="299"/>
      <c r="D23" s="301"/>
      <c r="E23" s="301"/>
      <c r="F23" s="299"/>
      <c r="G23" s="299"/>
      <c r="H23" s="17"/>
      <c r="I23" s="17"/>
      <c r="J23" s="17"/>
      <c r="K23" s="299"/>
      <c r="L23" s="299"/>
      <c r="M23" s="299"/>
      <c r="N23" s="17"/>
      <c r="O23" s="17"/>
      <c r="P23" s="299"/>
      <c r="Q23" s="299"/>
      <c r="R23" s="299"/>
      <c r="S23" s="300"/>
      <c r="T23" s="300"/>
      <c r="U23" s="300"/>
      <c r="V23" s="300"/>
      <c r="W23" s="299"/>
      <c r="X23" s="299"/>
      <c r="Y23" s="299"/>
      <c r="Z23" s="299"/>
      <c r="AA23" s="299"/>
      <c r="AB23" s="299"/>
    </row>
    <row r="24">
      <c r="A24" s="299"/>
      <c r="B24" s="299"/>
      <c r="C24" s="299"/>
      <c r="D24" s="299"/>
      <c r="E24" s="299"/>
      <c r="F24" s="299"/>
      <c r="G24" s="299"/>
      <c r="H24" s="17"/>
      <c r="I24" s="17"/>
      <c r="J24" s="17"/>
      <c r="K24" s="299"/>
      <c r="L24" s="299"/>
      <c r="M24" s="299"/>
      <c r="N24" s="17"/>
      <c r="O24" s="17"/>
      <c r="P24" s="299"/>
      <c r="Q24" s="299"/>
      <c r="R24" s="299"/>
      <c r="S24" s="300"/>
      <c r="T24" s="300"/>
      <c r="U24" s="300"/>
      <c r="V24" s="300"/>
      <c r="W24" s="299"/>
      <c r="X24" s="299"/>
      <c r="Y24" s="299"/>
      <c r="Z24" s="299"/>
      <c r="AA24" s="299"/>
      <c r="AB24" s="299"/>
    </row>
    <row r="25">
      <c r="A25" s="299"/>
      <c r="B25" s="299"/>
      <c r="C25" s="299"/>
      <c r="D25" s="17"/>
      <c r="E25" s="299"/>
      <c r="F25" s="299"/>
      <c r="G25" s="299"/>
      <c r="H25" s="17"/>
      <c r="I25" s="17"/>
      <c r="J25" s="17"/>
      <c r="K25" s="299"/>
      <c r="L25" s="299"/>
      <c r="M25" s="299"/>
      <c r="N25" s="17"/>
      <c r="O25" s="17"/>
      <c r="P25" s="299"/>
      <c r="Q25" s="299"/>
      <c r="R25" s="299"/>
      <c r="S25" s="300"/>
      <c r="T25" s="300"/>
      <c r="U25" s="300"/>
      <c r="V25" s="300"/>
      <c r="W25" s="299"/>
      <c r="X25" s="299"/>
      <c r="Y25" s="299"/>
      <c r="Z25" s="299"/>
      <c r="AA25" s="299"/>
      <c r="AB25" s="299"/>
    </row>
    <row r="26">
      <c r="A26" s="299"/>
      <c r="B26" s="299"/>
      <c r="C26" s="17"/>
      <c r="D26" s="17"/>
      <c r="E26" s="299"/>
      <c r="F26" s="299"/>
      <c r="G26" s="299"/>
      <c r="H26" s="17"/>
      <c r="I26" s="17"/>
      <c r="J26" s="17"/>
      <c r="K26" s="299"/>
      <c r="L26" s="299"/>
      <c r="M26" s="299"/>
      <c r="N26" s="17"/>
      <c r="O26" s="17"/>
      <c r="P26" s="299"/>
      <c r="Q26" s="299"/>
      <c r="R26" s="299"/>
      <c r="S26" s="300"/>
      <c r="T26" s="300"/>
      <c r="U26" s="300"/>
      <c r="V26" s="300"/>
      <c r="W26" s="299"/>
      <c r="X26" s="299"/>
      <c r="Y26" s="299"/>
      <c r="Z26" s="299"/>
      <c r="AA26" s="299"/>
      <c r="AB26" s="299"/>
    </row>
    <row r="27">
      <c r="A27" s="299"/>
      <c r="B27" s="299"/>
      <c r="C27" s="17"/>
      <c r="D27" s="17"/>
      <c r="E27" s="299"/>
      <c r="F27" s="299"/>
      <c r="G27" s="299"/>
      <c r="H27" s="17"/>
      <c r="I27" s="17"/>
      <c r="J27" s="17"/>
      <c r="K27" s="299"/>
      <c r="L27" s="299"/>
      <c r="M27" s="299"/>
      <c r="N27" s="17"/>
      <c r="O27" s="17"/>
      <c r="P27" s="299"/>
      <c r="Q27" s="299"/>
      <c r="R27" s="299"/>
      <c r="S27" s="300"/>
      <c r="T27" s="300"/>
      <c r="U27" s="300"/>
      <c r="V27" s="300"/>
      <c r="W27" s="299"/>
      <c r="X27" s="299"/>
      <c r="Y27" s="299"/>
      <c r="Z27" s="299"/>
      <c r="AA27" s="299"/>
      <c r="AB27" s="299"/>
    </row>
    <row r="28">
      <c r="A28" s="299"/>
      <c r="B28" s="299"/>
      <c r="C28" s="17"/>
      <c r="D28" s="17"/>
      <c r="E28" s="299"/>
      <c r="F28" s="299"/>
      <c r="G28" s="299"/>
      <c r="H28" s="17"/>
      <c r="I28" s="17"/>
      <c r="J28" s="17"/>
      <c r="K28" s="299"/>
      <c r="L28" s="299"/>
      <c r="M28" s="299"/>
      <c r="N28" s="17"/>
      <c r="O28" s="17"/>
      <c r="P28" s="299"/>
      <c r="Q28" s="299"/>
      <c r="R28" s="299"/>
      <c r="S28" s="300"/>
      <c r="T28" s="300"/>
      <c r="U28" s="300"/>
      <c r="V28" s="300"/>
      <c r="W28" s="299"/>
      <c r="X28" s="299"/>
      <c r="Y28" s="299"/>
      <c r="Z28" s="299"/>
      <c r="AA28" s="299"/>
      <c r="AB28" s="299"/>
    </row>
    <row r="29">
      <c r="A29" s="299"/>
      <c r="B29" s="299"/>
      <c r="C29" s="17"/>
      <c r="D29" s="17"/>
      <c r="E29" s="299"/>
      <c r="F29" s="299"/>
      <c r="G29" s="299"/>
      <c r="H29" s="17"/>
      <c r="I29" s="17"/>
      <c r="J29" s="17"/>
      <c r="K29" s="299"/>
      <c r="L29" s="299"/>
      <c r="M29" s="299"/>
      <c r="N29" s="17"/>
      <c r="O29" s="17"/>
      <c r="P29" s="299"/>
      <c r="Q29" s="299"/>
      <c r="R29" s="299"/>
      <c r="S29" s="300"/>
      <c r="T29" s="300"/>
      <c r="U29" s="300"/>
      <c r="V29" s="300"/>
      <c r="W29" s="299"/>
      <c r="X29" s="299"/>
      <c r="Y29" s="299"/>
      <c r="Z29" s="299"/>
      <c r="AA29" s="299"/>
      <c r="AB29" s="299"/>
    </row>
    <row r="30">
      <c r="A30" s="299"/>
      <c r="B30" s="299"/>
      <c r="C30" s="17"/>
      <c r="D30" s="17"/>
      <c r="E30" s="299"/>
      <c r="F30" s="299"/>
      <c r="G30" s="299"/>
      <c r="H30" s="17"/>
      <c r="I30" s="17"/>
      <c r="J30" s="17"/>
      <c r="K30" s="299"/>
      <c r="L30" s="299"/>
      <c r="M30" s="299"/>
      <c r="N30" s="17"/>
      <c r="O30" s="17"/>
      <c r="P30" s="299"/>
      <c r="Q30" s="299"/>
      <c r="R30" s="299"/>
      <c r="S30" s="300"/>
      <c r="T30" s="300"/>
      <c r="U30" s="300"/>
      <c r="V30" s="300"/>
      <c r="W30" s="299"/>
      <c r="X30" s="299"/>
      <c r="Y30" s="299"/>
      <c r="Z30" s="299"/>
      <c r="AA30" s="299"/>
      <c r="AB30" s="299"/>
    </row>
    <row r="31">
      <c r="A31" s="17"/>
      <c r="B31" s="17"/>
      <c r="C31" s="17"/>
      <c r="D31" s="17"/>
      <c r="E31" s="17"/>
      <c r="F31" s="301"/>
      <c r="G31" s="17"/>
      <c r="H31" s="17"/>
      <c r="I31" s="17"/>
      <c r="J31" s="17"/>
      <c r="K31" s="17"/>
      <c r="L31" s="17"/>
      <c r="M31" s="17"/>
      <c r="N31" s="17"/>
      <c r="O31" s="17"/>
      <c r="P31" s="17"/>
      <c r="Q31" s="17"/>
      <c r="R31" s="17"/>
      <c r="S31" s="205"/>
      <c r="T31" s="205"/>
      <c r="U31" s="205"/>
      <c r="V31" s="205"/>
      <c r="W31" s="17"/>
      <c r="X31" s="17"/>
      <c r="Y31" s="17"/>
      <c r="Z31" s="17"/>
      <c r="AA31" s="17"/>
      <c r="AB31" s="17"/>
    </row>
    <row r="32">
      <c r="A32" s="17"/>
      <c r="B32" s="17"/>
      <c r="C32" s="17"/>
      <c r="D32" s="17"/>
      <c r="E32" s="17"/>
      <c r="F32" s="301"/>
      <c r="G32" s="17"/>
      <c r="H32" s="17"/>
      <c r="I32" s="17"/>
      <c r="J32" s="17"/>
      <c r="K32" s="17"/>
      <c r="L32" s="17"/>
      <c r="M32" s="17"/>
      <c r="N32" s="17"/>
      <c r="O32" s="17"/>
      <c r="P32" s="17"/>
      <c r="Q32" s="17"/>
      <c r="R32" s="17"/>
      <c r="S32" s="205"/>
      <c r="T32" s="205"/>
      <c r="U32" s="205"/>
      <c r="V32" s="205"/>
      <c r="W32" s="17"/>
      <c r="X32" s="17"/>
      <c r="Y32" s="17"/>
      <c r="Z32" s="17"/>
      <c r="AA32" s="17"/>
      <c r="AB32" s="17"/>
    </row>
    <row r="33">
      <c r="A33" s="17"/>
      <c r="B33" s="17"/>
      <c r="C33" s="17"/>
      <c r="D33" s="17"/>
      <c r="E33" s="17"/>
      <c r="F33" s="301"/>
      <c r="G33" s="17"/>
      <c r="H33" s="17"/>
      <c r="I33" s="17"/>
      <c r="J33" s="17"/>
      <c r="K33" s="17"/>
      <c r="L33" s="17"/>
      <c r="M33" s="17"/>
      <c r="N33" s="17"/>
      <c r="O33" s="17"/>
      <c r="P33" s="17"/>
      <c r="Q33" s="17"/>
      <c r="R33" s="17"/>
      <c r="S33" s="205"/>
      <c r="T33" s="205"/>
      <c r="U33" s="205"/>
      <c r="V33" s="205"/>
      <c r="W33" s="17"/>
      <c r="X33" s="17"/>
      <c r="Y33" s="17"/>
      <c r="Z33" s="17"/>
      <c r="AA33" s="17"/>
      <c r="AB33" s="17"/>
    </row>
    <row r="34">
      <c r="A34" s="17"/>
      <c r="B34" s="17"/>
      <c r="C34" s="17"/>
      <c r="D34" s="17"/>
      <c r="E34" s="17"/>
      <c r="F34" s="301"/>
      <c r="G34" s="17"/>
      <c r="H34" s="17"/>
      <c r="I34" s="17"/>
      <c r="J34" s="17"/>
      <c r="K34" s="17"/>
      <c r="L34" s="17"/>
      <c r="M34" s="17"/>
      <c r="N34" s="17"/>
      <c r="O34" s="17"/>
      <c r="P34" s="17"/>
      <c r="Q34" s="17"/>
      <c r="R34" s="17"/>
      <c r="S34" s="205"/>
      <c r="T34" s="205"/>
      <c r="U34" s="205"/>
      <c r="V34" s="205"/>
      <c r="W34" s="17"/>
      <c r="X34" s="17"/>
      <c r="Y34" s="17"/>
      <c r="Z34" s="17"/>
      <c r="AA34" s="17"/>
      <c r="AB34" s="17"/>
    </row>
    <row r="35">
      <c r="A35" s="17"/>
      <c r="B35" s="17"/>
      <c r="C35" s="17"/>
      <c r="D35" s="17"/>
      <c r="E35" s="17"/>
      <c r="F35" s="301"/>
      <c r="G35" s="17"/>
      <c r="H35" s="17"/>
      <c r="I35" s="17"/>
      <c r="J35" s="17"/>
      <c r="K35" s="17"/>
      <c r="L35" s="17"/>
      <c r="M35" s="17"/>
      <c r="N35" s="17"/>
      <c r="O35" s="17"/>
      <c r="P35" s="17"/>
      <c r="Q35" s="17"/>
      <c r="R35" s="17"/>
      <c r="S35" s="205"/>
      <c r="T35" s="205"/>
      <c r="U35" s="205"/>
      <c r="V35" s="205"/>
      <c r="W35" s="17"/>
      <c r="X35" s="17"/>
      <c r="Y35" s="17"/>
      <c r="Z35" s="17"/>
      <c r="AA35" s="17"/>
      <c r="AB35" s="17"/>
    </row>
    <row r="36">
      <c r="A36" s="17"/>
      <c r="B36" s="17"/>
      <c r="C36" s="17"/>
      <c r="D36" s="17"/>
      <c r="E36" s="17"/>
      <c r="F36" s="301"/>
      <c r="G36" s="17"/>
      <c r="H36" s="17"/>
      <c r="I36" s="17"/>
      <c r="J36" s="17"/>
      <c r="K36" s="17"/>
      <c r="L36" s="17"/>
      <c r="M36" s="17"/>
      <c r="N36" s="17"/>
      <c r="O36" s="17"/>
      <c r="P36" s="17"/>
      <c r="Q36" s="17"/>
      <c r="R36" s="17"/>
      <c r="S36" s="205"/>
      <c r="T36" s="205"/>
      <c r="U36" s="205"/>
      <c r="V36" s="205"/>
      <c r="W36" s="17"/>
      <c r="X36" s="17"/>
      <c r="Y36" s="17"/>
      <c r="Z36" s="17"/>
      <c r="AA36" s="17"/>
      <c r="AB36" s="17"/>
    </row>
    <row r="37">
      <c r="A37" s="17"/>
      <c r="B37" s="17"/>
      <c r="C37" s="17"/>
      <c r="D37" s="17"/>
      <c r="E37" s="17"/>
      <c r="F37" s="301"/>
      <c r="G37" s="17"/>
      <c r="H37" s="17"/>
      <c r="I37" s="17"/>
      <c r="J37" s="17"/>
      <c r="K37" s="17"/>
      <c r="L37" s="17"/>
      <c r="M37" s="17"/>
      <c r="N37" s="17"/>
      <c r="O37" s="17"/>
      <c r="P37" s="17"/>
      <c r="Q37" s="17"/>
      <c r="R37" s="17"/>
      <c r="S37" s="205"/>
      <c r="T37" s="205"/>
      <c r="U37" s="205"/>
      <c r="V37" s="205"/>
      <c r="W37" s="17"/>
      <c r="X37" s="17"/>
      <c r="Y37" s="17"/>
      <c r="Z37" s="17"/>
      <c r="AA37" s="17"/>
      <c r="AB37" s="17"/>
    </row>
    <row r="38">
      <c r="A38" s="17"/>
      <c r="B38" s="17"/>
      <c r="C38" s="17"/>
      <c r="D38" s="17"/>
      <c r="E38" s="17"/>
      <c r="F38" s="301"/>
      <c r="G38" s="17"/>
      <c r="H38" s="17"/>
      <c r="I38" s="17"/>
      <c r="J38" s="17"/>
      <c r="K38" s="17"/>
      <c r="L38" s="17"/>
      <c r="M38" s="17"/>
      <c r="N38" s="17"/>
      <c r="O38" s="17"/>
      <c r="P38" s="17"/>
      <c r="Q38" s="17"/>
      <c r="R38" s="17"/>
      <c r="S38" s="205"/>
      <c r="T38" s="205"/>
      <c r="U38" s="205"/>
      <c r="V38" s="205"/>
      <c r="W38" s="17"/>
      <c r="X38" s="17"/>
      <c r="Y38" s="17"/>
      <c r="Z38" s="17"/>
      <c r="AA38" s="17"/>
      <c r="AB38" s="17"/>
    </row>
    <row r="39">
      <c r="A39" s="17"/>
      <c r="B39" s="17"/>
      <c r="C39" s="17"/>
      <c r="D39" s="17"/>
      <c r="E39" s="17"/>
      <c r="F39" s="301"/>
      <c r="G39" s="17"/>
      <c r="H39" s="17"/>
      <c r="I39" s="17"/>
      <c r="J39" s="17"/>
      <c r="K39" s="17"/>
      <c r="L39" s="17"/>
      <c r="M39" s="17"/>
      <c r="N39" s="17"/>
      <c r="O39" s="17"/>
      <c r="P39" s="17"/>
      <c r="Q39" s="17"/>
      <c r="R39" s="17"/>
      <c r="S39" s="205"/>
      <c r="T39" s="205"/>
      <c r="U39" s="205"/>
      <c r="V39" s="205"/>
      <c r="W39" s="17"/>
      <c r="X39" s="17"/>
      <c r="Y39" s="17"/>
      <c r="Z39" s="17"/>
      <c r="AA39" s="17"/>
      <c r="AB39" s="17"/>
    </row>
    <row r="40">
      <c r="A40" s="17"/>
      <c r="B40" s="17"/>
      <c r="C40" s="17"/>
      <c r="D40" s="17"/>
      <c r="E40" s="17"/>
      <c r="F40" s="301"/>
      <c r="G40" s="17"/>
      <c r="H40" s="17"/>
      <c r="I40" s="17"/>
      <c r="J40" s="17"/>
      <c r="K40" s="17"/>
      <c r="L40" s="17"/>
      <c r="M40" s="17"/>
      <c r="N40" s="17"/>
      <c r="O40" s="17"/>
      <c r="P40" s="17"/>
      <c r="Q40" s="17"/>
      <c r="R40" s="17"/>
      <c r="S40" s="205"/>
      <c r="T40" s="205"/>
      <c r="U40" s="205"/>
      <c r="V40" s="205"/>
      <c r="W40" s="17"/>
      <c r="X40" s="17"/>
      <c r="Y40" s="17"/>
      <c r="Z40" s="17"/>
      <c r="AA40" s="17"/>
      <c r="AB40" s="17"/>
    </row>
    <row r="41">
      <c r="A41" s="17"/>
      <c r="B41" s="17"/>
      <c r="C41" s="17"/>
      <c r="D41" s="17"/>
      <c r="E41" s="17"/>
      <c r="F41" s="301"/>
      <c r="G41" s="17"/>
      <c r="H41" s="17"/>
      <c r="I41" s="17"/>
      <c r="J41" s="17"/>
      <c r="K41" s="17"/>
      <c r="L41" s="17"/>
      <c r="M41" s="17"/>
      <c r="N41" s="17"/>
      <c r="O41" s="17"/>
      <c r="P41" s="17"/>
      <c r="Q41" s="17"/>
      <c r="R41" s="17"/>
      <c r="S41" s="205"/>
      <c r="T41" s="205"/>
      <c r="U41" s="205"/>
      <c r="V41" s="205"/>
      <c r="W41" s="17"/>
      <c r="X41" s="17"/>
      <c r="Y41" s="17"/>
      <c r="Z41" s="17"/>
      <c r="AA41" s="17"/>
      <c r="AB41" s="17"/>
    </row>
    <row r="42">
      <c r="A42" s="17"/>
      <c r="B42" s="17"/>
      <c r="C42" s="17"/>
      <c r="D42" s="17"/>
      <c r="E42" s="17"/>
      <c r="F42" s="301"/>
      <c r="G42" s="17"/>
      <c r="H42" s="17"/>
      <c r="I42" s="17"/>
      <c r="J42" s="17"/>
      <c r="K42" s="17"/>
      <c r="L42" s="17"/>
      <c r="M42" s="17"/>
      <c r="N42" s="17"/>
      <c r="O42" s="17"/>
      <c r="P42" s="17"/>
      <c r="Q42" s="17"/>
      <c r="R42" s="17"/>
      <c r="S42" s="205"/>
      <c r="T42" s="205"/>
      <c r="U42" s="205"/>
      <c r="V42" s="205"/>
      <c r="W42" s="17"/>
      <c r="X42" s="17"/>
      <c r="Y42" s="17"/>
      <c r="Z42" s="17"/>
      <c r="AA42" s="17"/>
      <c r="AB42" s="17"/>
    </row>
    <row r="43">
      <c r="A43" s="17"/>
      <c r="B43" s="17"/>
      <c r="C43" s="17"/>
      <c r="D43" s="17"/>
      <c r="E43" s="17"/>
      <c r="F43" s="301"/>
      <c r="G43" s="17"/>
      <c r="H43" s="17"/>
      <c r="I43" s="17"/>
      <c r="J43" s="17"/>
      <c r="K43" s="17"/>
      <c r="L43" s="17"/>
      <c r="M43" s="17"/>
      <c r="N43" s="17"/>
      <c r="O43" s="17"/>
      <c r="P43" s="17"/>
      <c r="Q43" s="17"/>
      <c r="R43" s="17"/>
      <c r="S43" s="205"/>
      <c r="T43" s="205"/>
      <c r="U43" s="205"/>
      <c r="V43" s="205"/>
      <c r="W43" s="17"/>
      <c r="X43" s="17"/>
      <c r="Y43" s="17"/>
      <c r="Z43" s="17"/>
      <c r="AA43" s="17"/>
      <c r="AB43" s="17"/>
    </row>
    <row r="44">
      <c r="A44" s="17"/>
      <c r="B44" s="17"/>
      <c r="C44" s="17"/>
      <c r="D44" s="17"/>
      <c r="E44" s="17"/>
      <c r="F44" s="301"/>
      <c r="G44" s="17"/>
      <c r="H44" s="17"/>
      <c r="I44" s="17"/>
      <c r="J44" s="17"/>
      <c r="K44" s="17"/>
      <c r="L44" s="17"/>
      <c r="M44" s="17"/>
      <c r="N44" s="17"/>
      <c r="O44" s="17"/>
      <c r="P44" s="17"/>
      <c r="Q44" s="17"/>
      <c r="R44" s="17"/>
      <c r="S44" s="205"/>
      <c r="T44" s="205"/>
      <c r="U44" s="205"/>
      <c r="V44" s="205"/>
      <c r="W44" s="17"/>
      <c r="X44" s="17"/>
      <c r="Y44" s="17"/>
      <c r="Z44" s="17"/>
      <c r="AA44" s="17"/>
      <c r="AB44" s="17"/>
    </row>
    <row r="45">
      <c r="A45" s="17"/>
      <c r="B45" s="17"/>
      <c r="C45" s="17"/>
      <c r="D45" s="17"/>
      <c r="E45" s="17"/>
      <c r="F45" s="301"/>
      <c r="G45" s="17"/>
      <c r="H45" s="17"/>
      <c r="I45" s="17"/>
      <c r="J45" s="17"/>
      <c r="K45" s="17"/>
      <c r="L45" s="17"/>
      <c r="M45" s="17"/>
      <c r="N45" s="17"/>
      <c r="O45" s="17"/>
      <c r="P45" s="17"/>
      <c r="Q45" s="17"/>
      <c r="R45" s="17"/>
      <c r="S45" s="205"/>
      <c r="T45" s="205"/>
      <c r="U45" s="205"/>
      <c r="V45" s="205"/>
      <c r="W45" s="17"/>
      <c r="X45" s="17"/>
      <c r="Y45" s="17"/>
      <c r="Z45" s="17"/>
      <c r="AA45" s="17"/>
      <c r="AB45" s="17"/>
    </row>
    <row r="46">
      <c r="A46" s="17"/>
      <c r="B46" s="17"/>
      <c r="C46" s="17"/>
      <c r="D46" s="17"/>
      <c r="E46" s="17"/>
      <c r="F46" s="301"/>
      <c r="G46" s="17"/>
      <c r="H46" s="17"/>
      <c r="I46" s="17"/>
      <c r="J46" s="17"/>
      <c r="K46" s="17"/>
      <c r="L46" s="17"/>
      <c r="M46" s="17"/>
      <c r="N46" s="17"/>
      <c r="O46" s="17"/>
      <c r="P46" s="17"/>
      <c r="Q46" s="17"/>
      <c r="R46" s="17"/>
      <c r="S46" s="205"/>
      <c r="T46" s="205"/>
      <c r="U46" s="205"/>
      <c r="V46" s="205"/>
      <c r="W46" s="17"/>
      <c r="X46" s="17"/>
      <c r="Y46" s="17"/>
      <c r="Z46" s="17"/>
      <c r="AA46" s="17"/>
      <c r="AB46" s="17"/>
    </row>
    <row r="47">
      <c r="A47" s="17"/>
      <c r="B47" s="17"/>
      <c r="C47" s="17"/>
      <c r="D47" s="17"/>
      <c r="E47" s="17"/>
      <c r="F47" s="301"/>
      <c r="G47" s="17"/>
      <c r="H47" s="17"/>
      <c r="I47" s="17"/>
      <c r="J47" s="17"/>
      <c r="K47" s="17"/>
      <c r="L47" s="17"/>
      <c r="M47" s="17"/>
      <c r="N47" s="17"/>
      <c r="O47" s="17"/>
      <c r="P47" s="17"/>
      <c r="Q47" s="17"/>
      <c r="R47" s="17"/>
      <c r="S47" s="205"/>
      <c r="T47" s="205"/>
      <c r="U47" s="205"/>
      <c r="V47" s="205"/>
      <c r="W47" s="17"/>
      <c r="X47" s="17"/>
      <c r="Y47" s="17"/>
      <c r="Z47" s="17"/>
      <c r="AA47" s="17"/>
      <c r="AB47" s="17"/>
    </row>
    <row r="48">
      <c r="A48" s="17"/>
      <c r="B48" s="17"/>
      <c r="C48" s="17"/>
      <c r="D48" s="17"/>
      <c r="E48" s="17"/>
      <c r="F48" s="301"/>
      <c r="G48" s="17"/>
      <c r="H48" s="17"/>
      <c r="I48" s="17"/>
      <c r="J48" s="17"/>
      <c r="K48" s="17"/>
      <c r="L48" s="17"/>
      <c r="M48" s="17"/>
      <c r="N48" s="17"/>
      <c r="O48" s="17"/>
      <c r="P48" s="17"/>
      <c r="Q48" s="17"/>
      <c r="R48" s="17"/>
      <c r="S48" s="205"/>
      <c r="T48" s="205"/>
      <c r="U48" s="205"/>
      <c r="V48" s="205"/>
      <c r="W48" s="17"/>
      <c r="X48" s="17"/>
      <c r="Y48" s="17"/>
      <c r="Z48" s="17"/>
      <c r="AA48" s="17"/>
      <c r="AB48" s="17"/>
    </row>
    <row r="49">
      <c r="A49" s="17"/>
      <c r="B49" s="17"/>
      <c r="C49" s="17"/>
      <c r="D49" s="17"/>
      <c r="E49" s="17"/>
      <c r="F49" s="301"/>
      <c r="G49" s="17"/>
      <c r="H49" s="17"/>
      <c r="I49" s="17"/>
      <c r="J49" s="17"/>
      <c r="K49" s="17"/>
      <c r="L49" s="17"/>
      <c r="M49" s="17"/>
      <c r="N49" s="17"/>
      <c r="O49" s="17"/>
      <c r="P49" s="17"/>
      <c r="Q49" s="17"/>
      <c r="R49" s="17"/>
      <c r="S49" s="205"/>
      <c r="T49" s="205"/>
      <c r="U49" s="205"/>
      <c r="V49" s="205"/>
      <c r="W49" s="17"/>
      <c r="X49" s="17"/>
      <c r="Y49" s="17"/>
      <c r="Z49" s="17"/>
      <c r="AA49" s="17"/>
      <c r="AB49" s="17"/>
    </row>
    <row r="50">
      <c r="A50" s="17"/>
      <c r="B50" s="17"/>
      <c r="C50" s="17"/>
      <c r="D50" s="17"/>
      <c r="E50" s="17"/>
      <c r="F50" s="301"/>
      <c r="G50" s="17"/>
      <c r="H50" s="17"/>
      <c r="I50" s="17"/>
      <c r="J50" s="17"/>
      <c r="K50" s="17"/>
      <c r="L50" s="17"/>
      <c r="M50" s="17"/>
      <c r="N50" s="17"/>
      <c r="O50" s="17"/>
      <c r="P50" s="17"/>
      <c r="Q50" s="17"/>
      <c r="R50" s="17"/>
      <c r="S50" s="205"/>
      <c r="T50" s="205"/>
      <c r="U50" s="205"/>
      <c r="V50" s="205"/>
      <c r="W50" s="17"/>
      <c r="X50" s="17"/>
      <c r="Y50" s="17"/>
      <c r="Z50" s="17"/>
      <c r="AA50" s="17"/>
      <c r="AB50" s="17"/>
    </row>
    <row r="51">
      <c r="A51" s="17"/>
      <c r="B51" s="17"/>
      <c r="C51" s="17"/>
      <c r="D51" s="17"/>
      <c r="E51" s="17"/>
      <c r="F51" s="301"/>
      <c r="G51" s="17"/>
      <c r="H51" s="17"/>
      <c r="I51" s="17"/>
      <c r="J51" s="17"/>
      <c r="K51" s="17"/>
      <c r="L51" s="17"/>
      <c r="M51" s="17"/>
      <c r="N51" s="17"/>
      <c r="O51" s="17"/>
      <c r="P51" s="17"/>
      <c r="Q51" s="17"/>
      <c r="R51" s="17"/>
      <c r="S51" s="205"/>
      <c r="T51" s="205"/>
      <c r="U51" s="205"/>
      <c r="V51" s="205"/>
      <c r="W51" s="17"/>
      <c r="X51" s="17"/>
      <c r="Y51" s="17"/>
      <c r="Z51" s="17"/>
      <c r="AA51" s="17"/>
      <c r="AB51" s="17"/>
    </row>
    <row r="52">
      <c r="A52" s="17"/>
      <c r="B52" s="17"/>
      <c r="C52" s="17"/>
      <c r="D52" s="17"/>
      <c r="E52" s="17"/>
      <c r="F52" s="301"/>
      <c r="G52" s="17"/>
      <c r="H52" s="17"/>
      <c r="I52" s="17"/>
      <c r="J52" s="17"/>
      <c r="K52" s="17"/>
      <c r="L52" s="17"/>
      <c r="M52" s="17"/>
      <c r="N52" s="17"/>
      <c r="O52" s="17"/>
      <c r="P52" s="17"/>
      <c r="Q52" s="17"/>
      <c r="R52" s="17"/>
      <c r="S52" s="205"/>
      <c r="T52" s="205"/>
      <c r="U52" s="205"/>
      <c r="V52" s="205"/>
      <c r="W52" s="17"/>
      <c r="X52" s="17"/>
      <c r="Y52" s="17"/>
      <c r="Z52" s="17"/>
      <c r="AA52" s="17"/>
      <c r="AB52" s="17"/>
    </row>
    <row r="53">
      <c r="A53" s="17"/>
      <c r="B53" s="17"/>
      <c r="C53" s="17"/>
      <c r="D53" s="17"/>
      <c r="E53" s="17"/>
      <c r="F53" s="301"/>
      <c r="G53" s="17"/>
      <c r="H53" s="17"/>
      <c r="I53" s="17"/>
      <c r="J53" s="17"/>
      <c r="K53" s="17"/>
      <c r="L53" s="17"/>
      <c r="M53" s="17"/>
      <c r="N53" s="17"/>
      <c r="O53" s="17"/>
      <c r="P53" s="17"/>
      <c r="Q53" s="17"/>
      <c r="R53" s="17"/>
      <c r="S53" s="205"/>
      <c r="T53" s="205"/>
      <c r="U53" s="205"/>
      <c r="V53" s="205"/>
      <c r="W53" s="17"/>
      <c r="X53" s="17"/>
      <c r="Y53" s="17"/>
      <c r="Z53" s="17"/>
      <c r="AA53" s="17"/>
      <c r="AB53" s="17"/>
    </row>
    <row r="54">
      <c r="A54" s="17"/>
      <c r="B54" s="17"/>
      <c r="C54" s="17"/>
      <c r="D54" s="17"/>
      <c r="E54" s="17"/>
      <c r="F54" s="301"/>
      <c r="G54" s="17"/>
      <c r="H54" s="17"/>
      <c r="I54" s="17"/>
      <c r="J54" s="17"/>
      <c r="K54" s="17"/>
      <c r="L54" s="17"/>
      <c r="M54" s="17"/>
      <c r="N54" s="17"/>
      <c r="O54" s="17"/>
      <c r="P54" s="17"/>
      <c r="Q54" s="17"/>
      <c r="R54" s="17"/>
      <c r="S54" s="205"/>
      <c r="T54" s="205"/>
      <c r="U54" s="205"/>
      <c r="V54" s="205"/>
      <c r="W54" s="17"/>
      <c r="X54" s="17"/>
      <c r="Y54" s="17"/>
      <c r="Z54" s="17"/>
      <c r="AA54" s="17"/>
      <c r="AB54" s="17"/>
    </row>
    <row r="55">
      <c r="A55" s="17"/>
      <c r="B55" s="17"/>
      <c r="C55" s="17"/>
      <c r="D55" s="17"/>
      <c r="E55" s="17"/>
      <c r="F55" s="301"/>
      <c r="G55" s="17"/>
      <c r="H55" s="17"/>
      <c r="I55" s="17"/>
      <c r="J55" s="17"/>
      <c r="K55" s="17"/>
      <c r="L55" s="17"/>
      <c r="M55" s="17"/>
      <c r="N55" s="17"/>
      <c r="O55" s="17"/>
      <c r="P55" s="17"/>
      <c r="Q55" s="17"/>
      <c r="R55" s="17"/>
      <c r="S55" s="205"/>
      <c r="T55" s="205"/>
      <c r="U55" s="205"/>
      <c r="V55" s="205"/>
      <c r="W55" s="17"/>
      <c r="X55" s="17"/>
      <c r="Y55" s="17"/>
      <c r="Z55" s="17"/>
      <c r="AA55" s="17"/>
      <c r="AB55" s="17"/>
    </row>
    <row r="56">
      <c r="A56" s="17"/>
      <c r="B56" s="17"/>
      <c r="C56" s="17"/>
      <c r="D56" s="17"/>
      <c r="E56" s="17"/>
      <c r="F56" s="301"/>
      <c r="G56" s="17"/>
      <c r="H56" s="17"/>
      <c r="I56" s="17"/>
      <c r="J56" s="17"/>
      <c r="K56" s="17"/>
      <c r="L56" s="17"/>
      <c r="M56" s="17"/>
      <c r="N56" s="17"/>
      <c r="O56" s="17"/>
      <c r="P56" s="17"/>
      <c r="Q56" s="17"/>
      <c r="R56" s="17"/>
      <c r="S56" s="205"/>
      <c r="T56" s="205"/>
      <c r="U56" s="205"/>
      <c r="V56" s="205"/>
      <c r="W56" s="17"/>
      <c r="X56" s="17"/>
      <c r="Y56" s="17"/>
      <c r="Z56" s="17"/>
      <c r="AA56" s="17"/>
      <c r="AB56" s="17"/>
    </row>
    <row r="57">
      <c r="A57" s="17"/>
      <c r="B57" s="17"/>
      <c r="C57" s="17"/>
      <c r="D57" s="17"/>
      <c r="E57" s="17"/>
      <c r="F57" s="301"/>
      <c r="G57" s="17"/>
      <c r="H57" s="17"/>
      <c r="I57" s="17"/>
      <c r="J57" s="17"/>
      <c r="K57" s="17"/>
      <c r="L57" s="17"/>
      <c r="M57" s="17"/>
      <c r="N57" s="17"/>
      <c r="O57" s="17"/>
      <c r="P57" s="17"/>
      <c r="Q57" s="17"/>
      <c r="R57" s="17"/>
      <c r="S57" s="205"/>
      <c r="T57" s="205"/>
      <c r="U57" s="205"/>
      <c r="V57" s="205"/>
      <c r="W57" s="17"/>
      <c r="X57" s="17"/>
      <c r="Y57" s="17"/>
      <c r="Z57" s="17"/>
      <c r="AA57" s="17"/>
      <c r="AB57" s="17"/>
    </row>
    <row r="58">
      <c r="A58" s="17"/>
      <c r="B58" s="17"/>
      <c r="C58" s="17"/>
      <c r="D58" s="17"/>
      <c r="E58" s="17"/>
      <c r="F58" s="301"/>
      <c r="G58" s="17"/>
      <c r="H58" s="17"/>
      <c r="I58" s="17"/>
      <c r="J58" s="17"/>
      <c r="K58" s="17"/>
      <c r="L58" s="17"/>
      <c r="M58" s="17"/>
      <c r="N58" s="17"/>
      <c r="O58" s="17"/>
      <c r="P58" s="17"/>
      <c r="Q58" s="17"/>
      <c r="R58" s="17"/>
      <c r="S58" s="205"/>
      <c r="T58" s="205"/>
      <c r="U58" s="205"/>
      <c r="V58" s="205"/>
      <c r="W58" s="17"/>
      <c r="X58" s="17"/>
      <c r="Y58" s="17"/>
      <c r="Z58" s="17"/>
      <c r="AA58" s="17"/>
      <c r="AB58" s="17"/>
    </row>
    <row r="59">
      <c r="A59" s="17"/>
      <c r="B59" s="17"/>
      <c r="C59" s="17"/>
      <c r="D59" s="17"/>
      <c r="E59" s="17"/>
      <c r="F59" s="301"/>
      <c r="G59" s="17"/>
      <c r="H59" s="17"/>
      <c r="I59" s="17"/>
      <c r="J59" s="17"/>
      <c r="K59" s="17"/>
      <c r="L59" s="17"/>
      <c r="M59" s="17"/>
      <c r="N59" s="17"/>
      <c r="O59" s="17"/>
      <c r="P59" s="17"/>
      <c r="Q59" s="17"/>
      <c r="R59" s="17"/>
      <c r="S59" s="205"/>
      <c r="T59" s="205"/>
      <c r="U59" s="205"/>
      <c r="V59" s="205"/>
      <c r="W59" s="17"/>
      <c r="X59" s="17"/>
      <c r="Y59" s="17"/>
      <c r="Z59" s="17"/>
      <c r="AA59" s="17"/>
      <c r="AB59" s="17"/>
    </row>
    <row r="60">
      <c r="A60" s="17"/>
      <c r="B60" s="17"/>
      <c r="C60" s="17"/>
      <c r="D60" s="17"/>
      <c r="E60" s="17"/>
      <c r="F60" s="301"/>
      <c r="G60" s="17"/>
      <c r="H60" s="17"/>
      <c r="I60" s="17"/>
      <c r="J60" s="17"/>
      <c r="K60" s="17"/>
      <c r="L60" s="17"/>
      <c r="M60" s="17"/>
      <c r="N60" s="17"/>
      <c r="O60" s="17"/>
      <c r="P60" s="17"/>
      <c r="Q60" s="17"/>
      <c r="R60" s="17"/>
      <c r="S60" s="205"/>
      <c r="T60" s="205"/>
      <c r="U60" s="205"/>
      <c r="V60" s="205"/>
      <c r="W60" s="17"/>
      <c r="X60" s="17"/>
      <c r="Y60" s="17"/>
      <c r="Z60" s="17"/>
      <c r="AA60" s="17"/>
      <c r="AB60" s="17"/>
    </row>
    <row r="61">
      <c r="A61" s="17"/>
      <c r="B61" s="17"/>
      <c r="C61" s="17"/>
      <c r="D61" s="17"/>
      <c r="E61" s="17"/>
      <c r="F61" s="301"/>
      <c r="G61" s="17"/>
      <c r="H61" s="17"/>
      <c r="I61" s="17"/>
      <c r="J61" s="17"/>
      <c r="K61" s="17"/>
      <c r="L61" s="17"/>
      <c r="M61" s="17"/>
      <c r="N61" s="17"/>
      <c r="O61" s="17"/>
      <c r="P61" s="17"/>
      <c r="Q61" s="17"/>
      <c r="R61" s="17"/>
      <c r="S61" s="205"/>
      <c r="T61" s="205"/>
      <c r="U61" s="205"/>
      <c r="V61" s="205"/>
      <c r="W61" s="17"/>
      <c r="X61" s="17"/>
      <c r="Y61" s="17"/>
      <c r="Z61" s="17"/>
      <c r="AA61" s="17"/>
      <c r="AB61" s="17"/>
    </row>
    <row r="62">
      <c r="A62" s="17"/>
      <c r="B62" s="17"/>
      <c r="C62" s="17"/>
      <c r="D62" s="17"/>
      <c r="E62" s="17"/>
      <c r="F62" s="301"/>
      <c r="G62" s="17"/>
      <c r="H62" s="17"/>
      <c r="I62" s="17"/>
      <c r="J62" s="17"/>
      <c r="K62" s="17"/>
      <c r="L62" s="17"/>
      <c r="M62" s="17"/>
      <c r="N62" s="17"/>
      <c r="O62" s="17"/>
      <c r="P62" s="17"/>
      <c r="Q62" s="17"/>
      <c r="R62" s="17"/>
      <c r="S62" s="205"/>
      <c r="T62" s="205"/>
      <c r="U62" s="205"/>
      <c r="V62" s="205"/>
      <c r="W62" s="17"/>
      <c r="X62" s="17"/>
      <c r="Y62" s="17"/>
      <c r="Z62" s="17"/>
      <c r="AA62" s="17"/>
      <c r="AB62" s="17"/>
    </row>
    <row r="63">
      <c r="A63" s="17"/>
      <c r="B63" s="17"/>
      <c r="C63" s="17"/>
      <c r="D63" s="17"/>
      <c r="E63" s="17"/>
      <c r="F63" s="301"/>
      <c r="G63" s="17"/>
      <c r="H63" s="17"/>
      <c r="I63" s="17"/>
      <c r="J63" s="17"/>
      <c r="K63" s="17"/>
      <c r="L63" s="17"/>
      <c r="M63" s="17"/>
      <c r="N63" s="17"/>
      <c r="O63" s="17"/>
      <c r="P63" s="17"/>
      <c r="Q63" s="17"/>
      <c r="R63" s="17"/>
      <c r="S63" s="205"/>
      <c r="T63" s="205"/>
      <c r="U63" s="205"/>
      <c r="V63" s="205"/>
      <c r="W63" s="17"/>
      <c r="X63" s="17"/>
      <c r="Y63" s="17"/>
      <c r="Z63" s="17"/>
      <c r="AA63" s="17"/>
      <c r="AB63" s="17"/>
    </row>
    <row r="64">
      <c r="A64" s="17"/>
      <c r="B64" s="17"/>
      <c r="C64" s="17"/>
      <c r="D64" s="17"/>
      <c r="E64" s="17"/>
      <c r="F64" s="301"/>
      <c r="G64" s="17"/>
      <c r="H64" s="17"/>
      <c r="I64" s="17"/>
      <c r="J64" s="17"/>
      <c r="K64" s="17"/>
      <c r="L64" s="17"/>
      <c r="M64" s="17"/>
      <c r="N64" s="17"/>
      <c r="O64" s="17"/>
      <c r="P64" s="17"/>
      <c r="Q64" s="17"/>
      <c r="R64" s="17"/>
      <c r="S64" s="205"/>
      <c r="T64" s="205"/>
      <c r="U64" s="205"/>
      <c r="V64" s="205"/>
      <c r="W64" s="17"/>
      <c r="X64" s="17"/>
      <c r="Y64" s="17"/>
      <c r="Z64" s="17"/>
      <c r="AA64" s="17"/>
      <c r="AB64" s="17"/>
    </row>
    <row r="65">
      <c r="A65" s="17"/>
      <c r="B65" s="17"/>
      <c r="C65" s="17"/>
      <c r="D65" s="17"/>
      <c r="E65" s="17"/>
      <c r="F65" s="301"/>
      <c r="G65" s="17"/>
      <c r="H65" s="17"/>
      <c r="I65" s="17"/>
      <c r="J65" s="17"/>
      <c r="K65" s="17"/>
      <c r="L65" s="17"/>
      <c r="M65" s="17"/>
      <c r="N65" s="17"/>
      <c r="O65" s="17"/>
      <c r="P65" s="17"/>
      <c r="Q65" s="17"/>
      <c r="R65" s="17"/>
      <c r="S65" s="205"/>
      <c r="T65" s="205"/>
      <c r="U65" s="205"/>
      <c r="V65" s="205"/>
      <c r="W65" s="17"/>
      <c r="X65" s="17"/>
      <c r="Y65" s="17"/>
      <c r="Z65" s="17"/>
      <c r="AA65" s="17"/>
      <c r="AB65" s="17"/>
    </row>
    <row r="66">
      <c r="A66" s="17"/>
      <c r="B66" s="17"/>
      <c r="C66" s="17"/>
      <c r="D66" s="17"/>
      <c r="E66" s="17"/>
      <c r="F66" s="301"/>
      <c r="G66" s="17"/>
      <c r="H66" s="17"/>
      <c r="I66" s="17"/>
      <c r="J66" s="17"/>
      <c r="K66" s="17"/>
      <c r="L66" s="17"/>
      <c r="M66" s="17"/>
      <c r="N66" s="17"/>
      <c r="O66" s="17"/>
      <c r="P66" s="17"/>
      <c r="Q66" s="17"/>
      <c r="R66" s="17"/>
      <c r="S66" s="205"/>
      <c r="T66" s="205"/>
      <c r="U66" s="205"/>
      <c r="V66" s="205"/>
      <c r="W66" s="17"/>
      <c r="X66" s="17"/>
      <c r="Y66" s="17"/>
      <c r="Z66" s="17"/>
      <c r="AA66" s="17"/>
      <c r="AB66" s="17"/>
    </row>
    <row r="67">
      <c r="A67" s="17"/>
      <c r="B67" s="17"/>
      <c r="C67" s="17"/>
      <c r="D67" s="17"/>
      <c r="E67" s="17"/>
      <c r="F67" s="301"/>
      <c r="G67" s="17"/>
      <c r="H67" s="17"/>
      <c r="I67" s="17"/>
      <c r="J67" s="17"/>
      <c r="K67" s="17"/>
      <c r="L67" s="17"/>
      <c r="M67" s="17"/>
      <c r="N67" s="17"/>
      <c r="O67" s="17"/>
      <c r="P67" s="17"/>
      <c r="Q67" s="17"/>
      <c r="R67" s="17"/>
      <c r="S67" s="205"/>
      <c r="T67" s="205"/>
      <c r="U67" s="205"/>
      <c r="V67" s="205"/>
      <c r="W67" s="17"/>
      <c r="X67" s="17"/>
      <c r="Y67" s="17"/>
      <c r="Z67" s="17"/>
      <c r="AA67" s="17"/>
      <c r="AB67" s="17"/>
    </row>
    <row r="68">
      <c r="A68" s="17"/>
      <c r="B68" s="17"/>
      <c r="C68" s="17"/>
      <c r="D68" s="17"/>
      <c r="E68" s="17"/>
      <c r="F68" s="301"/>
      <c r="G68" s="17"/>
      <c r="H68" s="17"/>
      <c r="I68" s="17"/>
      <c r="J68" s="17"/>
      <c r="K68" s="17"/>
      <c r="L68" s="17"/>
      <c r="M68" s="17"/>
      <c r="N68" s="17"/>
      <c r="O68" s="17"/>
      <c r="P68" s="17"/>
      <c r="Q68" s="17"/>
      <c r="R68" s="17"/>
      <c r="S68" s="205"/>
      <c r="T68" s="205"/>
      <c r="U68" s="205"/>
      <c r="V68" s="205"/>
      <c r="W68" s="17"/>
      <c r="X68" s="17"/>
      <c r="Y68" s="17"/>
      <c r="Z68" s="17"/>
      <c r="AA68" s="17"/>
      <c r="AB68" s="17"/>
    </row>
    <row r="69">
      <c r="A69" s="17"/>
      <c r="B69" s="17"/>
      <c r="C69" s="17"/>
      <c r="D69" s="17"/>
      <c r="E69" s="17"/>
      <c r="F69" s="301"/>
      <c r="G69" s="17"/>
      <c r="H69" s="17"/>
      <c r="I69" s="17"/>
      <c r="J69" s="17"/>
      <c r="K69" s="17"/>
      <c r="L69" s="17"/>
      <c r="M69" s="17"/>
      <c r="N69" s="17"/>
      <c r="O69" s="17"/>
      <c r="P69" s="17"/>
      <c r="Q69" s="17"/>
      <c r="R69" s="17"/>
      <c r="S69" s="205"/>
      <c r="T69" s="205"/>
      <c r="U69" s="205"/>
      <c r="V69" s="205"/>
      <c r="W69" s="17"/>
      <c r="X69" s="17"/>
      <c r="Y69" s="17"/>
      <c r="Z69" s="17"/>
      <c r="AA69" s="17"/>
      <c r="AB69" s="17"/>
    </row>
    <row r="70">
      <c r="A70" s="17"/>
      <c r="B70" s="17"/>
      <c r="C70" s="17"/>
      <c r="D70" s="17"/>
      <c r="E70" s="17"/>
      <c r="F70" s="301"/>
      <c r="G70" s="17"/>
      <c r="H70" s="17"/>
      <c r="I70" s="17"/>
      <c r="J70" s="17"/>
      <c r="K70" s="17"/>
      <c r="L70" s="17"/>
      <c r="M70" s="17"/>
      <c r="N70" s="17"/>
      <c r="O70" s="17"/>
      <c r="P70" s="17"/>
      <c r="Q70" s="17"/>
      <c r="R70" s="17"/>
      <c r="S70" s="205"/>
      <c r="T70" s="205"/>
      <c r="U70" s="205"/>
      <c r="V70" s="205"/>
      <c r="W70" s="17"/>
      <c r="X70" s="17"/>
      <c r="Y70" s="17"/>
      <c r="Z70" s="17"/>
      <c r="AA70" s="17"/>
      <c r="AB70" s="17"/>
    </row>
    <row r="71">
      <c r="A71" s="17"/>
      <c r="B71" s="17"/>
      <c r="C71" s="17"/>
      <c r="D71" s="17"/>
      <c r="E71" s="17"/>
      <c r="F71" s="301"/>
      <c r="G71" s="17"/>
      <c r="H71" s="17"/>
      <c r="I71" s="17"/>
      <c r="J71" s="17"/>
      <c r="K71" s="17"/>
      <c r="L71" s="17"/>
      <c r="M71" s="17"/>
      <c r="N71" s="17"/>
      <c r="O71" s="17"/>
      <c r="P71" s="17"/>
      <c r="Q71" s="17"/>
      <c r="R71" s="17"/>
      <c r="S71" s="205"/>
      <c r="T71" s="205"/>
      <c r="U71" s="205"/>
      <c r="V71" s="205"/>
      <c r="W71" s="17"/>
      <c r="X71" s="17"/>
      <c r="Y71" s="17"/>
      <c r="Z71" s="17"/>
      <c r="AA71" s="17"/>
      <c r="AB71" s="17"/>
    </row>
    <row r="72">
      <c r="A72" s="17"/>
      <c r="B72" s="17"/>
      <c r="C72" s="17"/>
      <c r="D72" s="17"/>
      <c r="E72" s="17"/>
      <c r="F72" s="301"/>
      <c r="G72" s="17"/>
      <c r="H72" s="17"/>
      <c r="I72" s="17"/>
      <c r="J72" s="17"/>
      <c r="K72" s="17"/>
      <c r="L72" s="17"/>
      <c r="M72" s="17"/>
      <c r="N72" s="17"/>
      <c r="O72" s="17"/>
      <c r="P72" s="17"/>
      <c r="Q72" s="17"/>
      <c r="R72" s="17"/>
      <c r="S72" s="205"/>
      <c r="T72" s="205"/>
      <c r="U72" s="205"/>
      <c r="V72" s="205"/>
      <c r="W72" s="17"/>
      <c r="X72" s="17"/>
      <c r="Y72" s="17"/>
      <c r="Z72" s="17"/>
      <c r="AA72" s="17"/>
      <c r="AB72" s="17"/>
    </row>
    <row r="73">
      <c r="A73" s="17"/>
      <c r="B73" s="17"/>
      <c r="C73" s="17"/>
      <c r="D73" s="17"/>
      <c r="E73" s="17"/>
      <c r="F73" s="301"/>
      <c r="G73" s="17"/>
      <c r="H73" s="17"/>
      <c r="I73" s="17"/>
      <c r="J73" s="17"/>
      <c r="K73" s="17"/>
      <c r="L73" s="17"/>
      <c r="M73" s="17"/>
      <c r="N73" s="17"/>
      <c r="O73" s="17"/>
      <c r="P73" s="17"/>
      <c r="Q73" s="17"/>
      <c r="R73" s="17"/>
      <c r="S73" s="205"/>
      <c r="T73" s="205"/>
      <c r="U73" s="205"/>
      <c r="V73" s="205"/>
      <c r="W73" s="17"/>
      <c r="X73" s="17"/>
      <c r="Y73" s="17"/>
      <c r="Z73" s="17"/>
      <c r="AA73" s="17"/>
      <c r="AB73" s="17"/>
    </row>
    <row r="74">
      <c r="A74" s="17"/>
      <c r="B74" s="17"/>
      <c r="C74" s="17"/>
      <c r="D74" s="17"/>
      <c r="E74" s="17"/>
      <c r="F74" s="301"/>
      <c r="G74" s="17"/>
      <c r="H74" s="17"/>
      <c r="I74" s="17"/>
      <c r="J74" s="17"/>
      <c r="K74" s="17"/>
      <c r="L74" s="17"/>
      <c r="M74" s="17"/>
      <c r="N74" s="17"/>
      <c r="O74" s="17"/>
      <c r="P74" s="17"/>
      <c r="Q74" s="17"/>
      <c r="R74" s="17"/>
      <c r="S74" s="205"/>
      <c r="T74" s="205"/>
      <c r="U74" s="205"/>
      <c r="V74" s="205"/>
      <c r="W74" s="17"/>
      <c r="X74" s="17"/>
      <c r="Y74" s="17"/>
      <c r="Z74" s="17"/>
      <c r="AA74" s="17"/>
      <c r="AB74" s="17"/>
    </row>
    <row r="75">
      <c r="A75" s="17"/>
      <c r="B75" s="17"/>
      <c r="C75" s="17"/>
      <c r="D75" s="17"/>
      <c r="E75" s="17"/>
      <c r="F75" s="301"/>
      <c r="G75" s="17"/>
      <c r="H75" s="17"/>
      <c r="I75" s="17"/>
      <c r="J75" s="17"/>
      <c r="K75" s="17"/>
      <c r="L75" s="17"/>
      <c r="M75" s="17"/>
      <c r="N75" s="17"/>
      <c r="O75" s="17"/>
      <c r="P75" s="17"/>
      <c r="Q75" s="17"/>
      <c r="R75" s="17"/>
      <c r="S75" s="205"/>
      <c r="T75" s="205"/>
      <c r="U75" s="205"/>
      <c r="V75" s="205"/>
      <c r="W75" s="17"/>
      <c r="X75" s="17"/>
      <c r="Y75" s="17"/>
      <c r="Z75" s="17"/>
      <c r="AA75" s="17"/>
      <c r="AB75" s="17"/>
    </row>
    <row r="76">
      <c r="A76" s="17"/>
      <c r="B76" s="17"/>
      <c r="C76" s="17"/>
      <c r="D76" s="17"/>
      <c r="E76" s="17"/>
      <c r="F76" s="301"/>
      <c r="G76" s="17"/>
      <c r="H76" s="17"/>
      <c r="I76" s="17"/>
      <c r="J76" s="17"/>
      <c r="K76" s="17"/>
      <c r="L76" s="17"/>
      <c r="M76" s="17"/>
      <c r="N76" s="17"/>
      <c r="O76" s="17"/>
      <c r="P76" s="17"/>
      <c r="Q76" s="17"/>
      <c r="R76" s="17"/>
      <c r="S76" s="205"/>
      <c r="T76" s="205"/>
      <c r="U76" s="205"/>
      <c r="V76" s="205"/>
      <c r="W76" s="17"/>
      <c r="X76" s="17"/>
      <c r="Y76" s="17"/>
      <c r="Z76" s="17"/>
      <c r="AA76" s="17"/>
      <c r="AB76" s="17"/>
    </row>
    <row r="77">
      <c r="A77" s="17"/>
      <c r="B77" s="17"/>
      <c r="C77" s="17"/>
      <c r="D77" s="17"/>
      <c r="E77" s="17"/>
      <c r="F77" s="301"/>
      <c r="G77" s="17"/>
      <c r="H77" s="17"/>
      <c r="I77" s="17"/>
      <c r="J77" s="17"/>
      <c r="K77" s="17"/>
      <c r="L77" s="17"/>
      <c r="M77" s="17"/>
      <c r="N77" s="17"/>
      <c r="O77" s="17"/>
      <c r="P77" s="17"/>
      <c r="Q77" s="17"/>
      <c r="R77" s="17"/>
      <c r="S77" s="205"/>
      <c r="T77" s="205"/>
      <c r="U77" s="205"/>
      <c r="V77" s="205"/>
      <c r="W77" s="17"/>
      <c r="X77" s="17"/>
      <c r="Y77" s="17"/>
      <c r="Z77" s="17"/>
      <c r="AA77" s="17"/>
      <c r="AB77" s="17"/>
    </row>
    <row r="78">
      <c r="A78" s="17"/>
      <c r="B78" s="17"/>
      <c r="C78" s="17"/>
      <c r="D78" s="17"/>
      <c r="E78" s="17"/>
      <c r="F78" s="301"/>
      <c r="G78" s="17"/>
      <c r="H78" s="17"/>
      <c r="I78" s="17"/>
      <c r="J78" s="17"/>
      <c r="K78" s="17"/>
      <c r="L78" s="17"/>
      <c r="M78" s="17"/>
      <c r="N78" s="17"/>
      <c r="O78" s="17"/>
      <c r="P78" s="17"/>
      <c r="Q78" s="17"/>
      <c r="R78" s="17"/>
      <c r="S78" s="205"/>
      <c r="T78" s="205"/>
      <c r="U78" s="205"/>
      <c r="V78" s="205"/>
      <c r="W78" s="17"/>
      <c r="X78" s="17"/>
      <c r="Y78" s="17"/>
      <c r="Z78" s="17"/>
      <c r="AA78" s="17"/>
      <c r="AB78" s="17"/>
    </row>
    <row r="79">
      <c r="A79" s="17"/>
      <c r="B79" s="17"/>
      <c r="C79" s="17"/>
      <c r="D79" s="17"/>
      <c r="E79" s="17"/>
      <c r="F79" s="301"/>
      <c r="G79" s="17"/>
      <c r="H79" s="17"/>
      <c r="I79" s="17"/>
      <c r="J79" s="17"/>
      <c r="K79" s="17"/>
      <c r="L79" s="17"/>
      <c r="M79" s="17"/>
      <c r="N79" s="17"/>
      <c r="O79" s="17"/>
      <c r="P79" s="17"/>
      <c r="Q79" s="17"/>
      <c r="R79" s="17"/>
      <c r="S79" s="205"/>
      <c r="T79" s="205"/>
      <c r="U79" s="205"/>
      <c r="V79" s="205"/>
      <c r="W79" s="17"/>
      <c r="X79" s="17"/>
      <c r="Y79" s="17"/>
      <c r="Z79" s="17"/>
      <c r="AA79" s="17"/>
      <c r="AB79" s="17"/>
    </row>
    <row r="80">
      <c r="A80" s="17"/>
      <c r="B80" s="17"/>
      <c r="C80" s="17"/>
      <c r="D80" s="17"/>
      <c r="E80" s="17"/>
      <c r="F80" s="301"/>
      <c r="G80" s="17"/>
      <c r="H80" s="17"/>
      <c r="I80" s="17"/>
      <c r="J80" s="17"/>
      <c r="K80" s="17"/>
      <c r="L80" s="17"/>
      <c r="M80" s="17"/>
      <c r="N80" s="17"/>
      <c r="O80" s="17"/>
      <c r="P80" s="17"/>
      <c r="Q80" s="17"/>
      <c r="R80" s="17"/>
      <c r="S80" s="205"/>
      <c r="T80" s="205"/>
      <c r="U80" s="205"/>
      <c r="V80" s="205"/>
      <c r="W80" s="17"/>
      <c r="X80" s="17"/>
      <c r="Y80" s="17"/>
      <c r="Z80" s="17"/>
      <c r="AA80" s="17"/>
      <c r="AB80" s="17"/>
    </row>
    <row r="81">
      <c r="A81" s="17"/>
      <c r="B81" s="17"/>
      <c r="C81" s="17"/>
      <c r="D81" s="17"/>
      <c r="E81" s="17"/>
      <c r="F81" s="301"/>
      <c r="G81" s="17"/>
      <c r="H81" s="17"/>
      <c r="I81" s="17"/>
      <c r="J81" s="17"/>
      <c r="K81" s="17"/>
      <c r="L81" s="17"/>
      <c r="M81" s="17"/>
      <c r="N81" s="17"/>
      <c r="O81" s="17"/>
      <c r="P81" s="17"/>
      <c r="Q81" s="17"/>
      <c r="R81" s="17"/>
      <c r="S81" s="205"/>
      <c r="T81" s="205"/>
      <c r="U81" s="205"/>
      <c r="V81" s="205"/>
      <c r="W81" s="17"/>
      <c r="X81" s="17"/>
      <c r="Y81" s="17"/>
      <c r="Z81" s="17"/>
      <c r="AA81" s="17"/>
      <c r="AB81" s="17"/>
    </row>
    <row r="82">
      <c r="A82" s="17"/>
      <c r="B82" s="17"/>
      <c r="C82" s="17"/>
      <c r="D82" s="17"/>
      <c r="E82" s="17"/>
      <c r="F82" s="301"/>
      <c r="G82" s="17"/>
      <c r="H82" s="17"/>
      <c r="I82" s="17"/>
      <c r="J82" s="17"/>
      <c r="K82" s="17"/>
      <c r="L82" s="17"/>
      <c r="M82" s="17"/>
      <c r="N82" s="17"/>
      <c r="O82" s="17"/>
      <c r="P82" s="17"/>
      <c r="Q82" s="17"/>
      <c r="R82" s="17"/>
      <c r="S82" s="205"/>
      <c r="T82" s="205"/>
      <c r="U82" s="205"/>
      <c r="V82" s="205"/>
      <c r="W82" s="17"/>
      <c r="X82" s="17"/>
      <c r="Y82" s="17"/>
      <c r="Z82" s="17"/>
      <c r="AA82" s="17"/>
      <c r="AB82" s="17"/>
    </row>
    <row r="83">
      <c r="A83" s="17"/>
      <c r="B83" s="17"/>
      <c r="C83" s="17"/>
      <c r="D83" s="17"/>
      <c r="E83" s="17"/>
      <c r="F83" s="301"/>
      <c r="G83" s="17"/>
      <c r="H83" s="17"/>
      <c r="I83" s="17"/>
      <c r="J83" s="17"/>
      <c r="K83" s="17"/>
      <c r="L83" s="17"/>
      <c r="M83" s="17"/>
      <c r="N83" s="17"/>
      <c r="O83" s="17"/>
      <c r="P83" s="17"/>
      <c r="Q83" s="17"/>
      <c r="R83" s="17"/>
      <c r="S83" s="205"/>
      <c r="T83" s="205"/>
      <c r="U83" s="205"/>
      <c r="V83" s="205"/>
      <c r="W83" s="17"/>
      <c r="X83" s="17"/>
      <c r="Y83" s="17"/>
      <c r="Z83" s="17"/>
      <c r="AA83" s="17"/>
      <c r="AB83" s="17"/>
    </row>
    <row r="84">
      <c r="A84" s="17"/>
      <c r="B84" s="17"/>
      <c r="C84" s="17"/>
      <c r="D84" s="17"/>
      <c r="E84" s="17"/>
      <c r="F84" s="301"/>
      <c r="G84" s="17"/>
      <c r="H84" s="17"/>
      <c r="I84" s="17"/>
      <c r="J84" s="17"/>
      <c r="K84" s="17"/>
      <c r="L84" s="17"/>
      <c r="M84" s="17"/>
      <c r="N84" s="17"/>
      <c r="O84" s="17"/>
      <c r="P84" s="17"/>
      <c r="Q84" s="17"/>
      <c r="R84" s="17"/>
      <c r="S84" s="205"/>
      <c r="T84" s="205"/>
      <c r="U84" s="205"/>
      <c r="V84" s="205"/>
      <c r="W84" s="17"/>
      <c r="X84" s="17"/>
      <c r="Y84" s="17"/>
      <c r="Z84" s="17"/>
      <c r="AA84" s="17"/>
      <c r="AB84" s="17"/>
    </row>
    <row r="85">
      <c r="A85" s="17"/>
      <c r="B85" s="17"/>
      <c r="C85" s="17"/>
      <c r="D85" s="17"/>
      <c r="E85" s="17"/>
      <c r="F85" s="301"/>
      <c r="G85" s="17"/>
      <c r="H85" s="17"/>
      <c r="I85" s="17"/>
      <c r="J85" s="17"/>
      <c r="K85" s="17"/>
      <c r="L85" s="17"/>
      <c r="M85" s="17"/>
      <c r="N85" s="17"/>
      <c r="O85" s="17"/>
      <c r="P85" s="17"/>
      <c r="Q85" s="17"/>
      <c r="R85" s="17"/>
      <c r="S85" s="205"/>
      <c r="T85" s="205"/>
      <c r="U85" s="205"/>
      <c r="V85" s="205"/>
      <c r="W85" s="17"/>
      <c r="X85" s="17"/>
      <c r="Y85" s="17"/>
      <c r="Z85" s="17"/>
      <c r="AA85" s="17"/>
      <c r="AB85" s="17"/>
    </row>
    <row r="86">
      <c r="A86" s="17"/>
      <c r="B86" s="17"/>
      <c r="C86" s="17"/>
      <c r="D86" s="17"/>
      <c r="E86" s="17"/>
      <c r="F86" s="301"/>
      <c r="G86" s="17"/>
      <c r="H86" s="17"/>
      <c r="I86" s="17"/>
      <c r="J86" s="17"/>
      <c r="K86" s="17"/>
      <c r="L86" s="17"/>
      <c r="M86" s="17"/>
      <c r="N86" s="17"/>
      <c r="O86" s="17"/>
      <c r="P86" s="17"/>
      <c r="Q86" s="17"/>
      <c r="R86" s="17"/>
      <c r="S86" s="205"/>
      <c r="T86" s="205"/>
      <c r="U86" s="205"/>
      <c r="V86" s="205"/>
      <c r="W86" s="17"/>
      <c r="X86" s="17"/>
      <c r="Y86" s="17"/>
      <c r="Z86" s="17"/>
      <c r="AA86" s="17"/>
      <c r="AB86" s="17"/>
    </row>
    <row r="87">
      <c r="A87" s="17"/>
      <c r="B87" s="17"/>
      <c r="C87" s="17"/>
      <c r="D87" s="17"/>
      <c r="E87" s="17"/>
      <c r="F87" s="301"/>
      <c r="G87" s="17"/>
      <c r="H87" s="17"/>
      <c r="I87" s="17"/>
      <c r="J87" s="17"/>
      <c r="K87" s="17"/>
      <c r="L87" s="17"/>
      <c r="M87" s="17"/>
      <c r="N87" s="17"/>
      <c r="O87" s="17"/>
      <c r="P87" s="17"/>
      <c r="Q87" s="17"/>
      <c r="R87" s="17"/>
      <c r="S87" s="205"/>
      <c r="T87" s="205"/>
      <c r="U87" s="205"/>
      <c r="V87" s="205"/>
      <c r="W87" s="17"/>
      <c r="X87" s="17"/>
      <c r="Y87" s="17"/>
      <c r="Z87" s="17"/>
      <c r="AA87" s="17"/>
      <c r="AB87" s="17"/>
    </row>
    <row r="88">
      <c r="A88" s="17"/>
      <c r="B88" s="17"/>
      <c r="C88" s="17"/>
      <c r="D88" s="17"/>
      <c r="E88" s="17"/>
      <c r="F88" s="301"/>
      <c r="G88" s="17"/>
      <c r="H88" s="17"/>
      <c r="I88" s="17"/>
      <c r="J88" s="17"/>
      <c r="K88" s="17"/>
      <c r="L88" s="17"/>
      <c r="M88" s="17"/>
      <c r="N88" s="17"/>
      <c r="O88" s="17"/>
      <c r="P88" s="17"/>
      <c r="Q88" s="17"/>
      <c r="R88" s="17"/>
      <c r="S88" s="205"/>
      <c r="T88" s="205"/>
      <c r="U88" s="205"/>
      <c r="V88" s="205"/>
      <c r="W88" s="17"/>
      <c r="X88" s="17"/>
      <c r="Y88" s="17"/>
      <c r="Z88" s="17"/>
      <c r="AA88" s="17"/>
      <c r="AB88" s="17"/>
    </row>
    <row r="89">
      <c r="A89" s="17"/>
      <c r="B89" s="17"/>
      <c r="C89" s="17"/>
      <c r="D89" s="17"/>
      <c r="E89" s="17"/>
      <c r="F89" s="301"/>
      <c r="G89" s="17"/>
      <c r="H89" s="17"/>
      <c r="I89" s="17"/>
      <c r="J89" s="17"/>
      <c r="K89" s="17"/>
      <c r="L89" s="17"/>
      <c r="M89" s="17"/>
      <c r="N89" s="17"/>
      <c r="O89" s="17"/>
      <c r="P89" s="17"/>
      <c r="Q89" s="17"/>
      <c r="R89" s="17"/>
      <c r="S89" s="205"/>
      <c r="T89" s="205"/>
      <c r="U89" s="205"/>
      <c r="V89" s="205"/>
      <c r="W89" s="17"/>
      <c r="X89" s="17"/>
      <c r="Y89" s="17"/>
      <c r="Z89" s="17"/>
      <c r="AA89" s="17"/>
      <c r="AB89" s="17"/>
    </row>
    <row r="90">
      <c r="A90" s="17"/>
      <c r="B90" s="17"/>
      <c r="C90" s="17"/>
      <c r="D90" s="17"/>
      <c r="E90" s="17"/>
      <c r="F90" s="301"/>
      <c r="G90" s="17"/>
      <c r="H90" s="17"/>
      <c r="I90" s="17"/>
      <c r="J90" s="17"/>
      <c r="K90" s="17"/>
      <c r="L90" s="17"/>
      <c r="M90" s="17"/>
      <c r="N90" s="17"/>
      <c r="O90" s="17"/>
      <c r="P90" s="17"/>
      <c r="Q90" s="17"/>
      <c r="R90" s="17"/>
      <c r="S90" s="205"/>
      <c r="T90" s="205"/>
      <c r="U90" s="205"/>
      <c r="V90" s="205"/>
      <c r="W90" s="17"/>
      <c r="X90" s="17"/>
      <c r="Y90" s="17"/>
      <c r="Z90" s="17"/>
      <c r="AA90" s="17"/>
      <c r="AB90" s="17"/>
    </row>
    <row r="91">
      <c r="A91" s="17"/>
      <c r="B91" s="17"/>
      <c r="C91" s="17"/>
      <c r="D91" s="17"/>
      <c r="E91" s="17"/>
      <c r="F91" s="301"/>
      <c r="G91" s="17"/>
      <c r="H91" s="17"/>
      <c r="I91" s="17"/>
      <c r="J91" s="17"/>
      <c r="K91" s="17"/>
      <c r="L91" s="17"/>
      <c r="M91" s="17"/>
      <c r="N91" s="17"/>
      <c r="O91" s="17"/>
      <c r="P91" s="17"/>
      <c r="Q91" s="17"/>
      <c r="R91" s="17"/>
      <c r="S91" s="205"/>
      <c r="T91" s="205"/>
      <c r="U91" s="205"/>
      <c r="V91" s="205"/>
      <c r="W91" s="17"/>
      <c r="X91" s="17"/>
      <c r="Y91" s="17"/>
      <c r="Z91" s="17"/>
      <c r="AA91" s="17"/>
      <c r="AB91" s="17"/>
    </row>
    <row r="92">
      <c r="A92" s="17"/>
      <c r="B92" s="17"/>
      <c r="C92" s="17"/>
      <c r="D92" s="17"/>
      <c r="E92" s="17"/>
      <c r="F92" s="301"/>
      <c r="G92" s="17"/>
      <c r="H92" s="17"/>
      <c r="I92" s="17"/>
      <c r="J92" s="17"/>
      <c r="K92" s="17"/>
      <c r="L92" s="17"/>
      <c r="M92" s="17"/>
      <c r="N92" s="17"/>
      <c r="O92" s="17"/>
      <c r="P92" s="17"/>
      <c r="Q92" s="17"/>
      <c r="R92" s="17"/>
      <c r="S92" s="205"/>
      <c r="T92" s="205"/>
      <c r="U92" s="205"/>
      <c r="V92" s="205"/>
      <c r="W92" s="17"/>
      <c r="X92" s="17"/>
      <c r="Y92" s="17"/>
      <c r="Z92" s="17"/>
      <c r="AA92" s="17"/>
      <c r="AB92" s="17"/>
    </row>
    <row r="93">
      <c r="A93" s="17"/>
      <c r="B93" s="17"/>
      <c r="C93" s="17"/>
      <c r="D93" s="17"/>
      <c r="E93" s="17"/>
      <c r="F93" s="301"/>
      <c r="G93" s="17"/>
      <c r="H93" s="17"/>
      <c r="I93" s="17"/>
      <c r="J93" s="17"/>
      <c r="K93" s="17"/>
      <c r="L93" s="17"/>
      <c r="M93" s="17"/>
      <c r="N93" s="17"/>
      <c r="O93" s="17"/>
      <c r="P93" s="17"/>
      <c r="Q93" s="17"/>
      <c r="R93" s="17"/>
      <c r="S93" s="205"/>
      <c r="T93" s="205"/>
      <c r="U93" s="205"/>
      <c r="V93" s="205"/>
      <c r="W93" s="17"/>
      <c r="X93" s="17"/>
      <c r="Y93" s="17"/>
      <c r="Z93" s="17"/>
      <c r="AA93" s="17"/>
      <c r="AB93" s="17"/>
    </row>
    <row r="94">
      <c r="A94" s="17"/>
      <c r="B94" s="17"/>
      <c r="C94" s="17"/>
      <c r="D94" s="17"/>
      <c r="E94" s="17"/>
      <c r="F94" s="301"/>
      <c r="G94" s="17"/>
      <c r="H94" s="17"/>
      <c r="I94" s="17"/>
      <c r="J94" s="17"/>
      <c r="K94" s="17"/>
      <c r="L94" s="17"/>
      <c r="M94" s="17"/>
      <c r="N94" s="17"/>
      <c r="O94" s="17"/>
      <c r="P94" s="17"/>
      <c r="Q94" s="17"/>
      <c r="R94" s="17"/>
      <c r="S94" s="205"/>
      <c r="T94" s="205"/>
      <c r="U94" s="205"/>
      <c r="V94" s="205"/>
      <c r="W94" s="17"/>
      <c r="X94" s="17"/>
      <c r="Y94" s="17"/>
      <c r="Z94" s="17"/>
      <c r="AA94" s="17"/>
      <c r="AB94" s="17"/>
    </row>
    <row r="95">
      <c r="A95" s="17"/>
      <c r="B95" s="17"/>
      <c r="C95" s="17"/>
      <c r="D95" s="17"/>
      <c r="E95" s="17"/>
      <c r="F95" s="301"/>
      <c r="G95" s="17"/>
      <c r="H95" s="17"/>
      <c r="I95" s="17"/>
      <c r="J95" s="17"/>
      <c r="K95" s="17"/>
      <c r="L95" s="17"/>
      <c r="M95" s="17"/>
      <c r="N95" s="17"/>
      <c r="O95" s="17"/>
      <c r="P95" s="17"/>
      <c r="Q95" s="17"/>
      <c r="R95" s="17"/>
      <c r="S95" s="205"/>
      <c r="T95" s="205"/>
      <c r="U95" s="205"/>
      <c r="V95" s="205"/>
      <c r="W95" s="17"/>
      <c r="X95" s="17"/>
      <c r="Y95" s="17"/>
      <c r="Z95" s="17"/>
      <c r="AA95" s="17"/>
      <c r="AB95" s="17"/>
    </row>
    <row r="96">
      <c r="A96" s="17"/>
      <c r="B96" s="17"/>
      <c r="C96" s="17"/>
      <c r="D96" s="17"/>
      <c r="E96" s="17"/>
      <c r="F96" s="301"/>
      <c r="G96" s="17"/>
      <c r="H96" s="17"/>
      <c r="I96" s="17"/>
      <c r="J96" s="17"/>
      <c r="K96" s="17"/>
      <c r="L96" s="17"/>
      <c r="M96" s="17"/>
      <c r="N96" s="17"/>
      <c r="O96" s="17"/>
      <c r="P96" s="17"/>
      <c r="Q96" s="17"/>
      <c r="R96" s="17"/>
      <c r="S96" s="205"/>
      <c r="T96" s="205"/>
      <c r="U96" s="205"/>
      <c r="V96" s="205"/>
      <c r="W96" s="17"/>
      <c r="X96" s="17"/>
      <c r="Y96" s="17"/>
      <c r="Z96" s="17"/>
      <c r="AA96" s="17"/>
      <c r="AB96" s="17"/>
    </row>
    <row r="97">
      <c r="A97" s="17"/>
      <c r="B97" s="17"/>
      <c r="C97" s="17"/>
      <c r="D97" s="17"/>
      <c r="E97" s="17"/>
      <c r="F97" s="301"/>
      <c r="G97" s="17"/>
      <c r="H97" s="17"/>
      <c r="I97" s="17"/>
      <c r="J97" s="17"/>
      <c r="K97" s="17"/>
      <c r="L97" s="17"/>
      <c r="M97" s="17"/>
      <c r="N97" s="17"/>
      <c r="O97" s="17"/>
      <c r="P97" s="17"/>
      <c r="Q97" s="17"/>
      <c r="R97" s="17"/>
      <c r="S97" s="205"/>
      <c r="T97" s="205"/>
      <c r="U97" s="205"/>
      <c r="V97" s="205"/>
      <c r="W97" s="17"/>
      <c r="X97" s="17"/>
      <c r="Y97" s="17"/>
      <c r="Z97" s="17"/>
      <c r="AA97" s="17"/>
      <c r="AB97" s="17"/>
    </row>
    <row r="98">
      <c r="A98" s="17"/>
      <c r="B98" s="17"/>
      <c r="C98" s="17"/>
      <c r="D98" s="17"/>
      <c r="E98" s="17"/>
      <c r="F98" s="301"/>
      <c r="G98" s="17"/>
      <c r="H98" s="17"/>
      <c r="I98" s="17"/>
      <c r="J98" s="17"/>
      <c r="K98" s="17"/>
      <c r="L98" s="17"/>
      <c r="M98" s="17"/>
      <c r="N98" s="17"/>
      <c r="O98" s="17"/>
      <c r="P98" s="17"/>
      <c r="Q98" s="17"/>
      <c r="R98" s="17"/>
      <c r="S98" s="205"/>
      <c r="T98" s="205"/>
      <c r="U98" s="205"/>
      <c r="V98" s="205"/>
      <c r="W98" s="17"/>
      <c r="X98" s="17"/>
      <c r="Y98" s="17"/>
      <c r="Z98" s="17"/>
      <c r="AA98" s="17"/>
      <c r="AB98" s="17"/>
    </row>
    <row r="99">
      <c r="A99" s="17"/>
      <c r="B99" s="17"/>
      <c r="C99" s="17"/>
      <c r="D99" s="17"/>
      <c r="E99" s="17"/>
      <c r="F99" s="301"/>
      <c r="G99" s="17"/>
      <c r="H99" s="17"/>
      <c r="I99" s="17"/>
      <c r="J99" s="17"/>
      <c r="K99" s="17"/>
      <c r="L99" s="17"/>
      <c r="M99" s="17"/>
      <c r="N99" s="17"/>
      <c r="O99" s="17"/>
      <c r="P99" s="17"/>
      <c r="Q99" s="17"/>
      <c r="R99" s="17"/>
      <c r="S99" s="205"/>
      <c r="T99" s="205"/>
      <c r="U99" s="205"/>
      <c r="V99" s="205"/>
      <c r="W99" s="17"/>
      <c r="X99" s="17"/>
      <c r="Y99" s="17"/>
      <c r="Z99" s="17"/>
      <c r="AA99" s="17"/>
      <c r="AB99" s="17"/>
    </row>
    <row r="100">
      <c r="A100" s="17"/>
      <c r="B100" s="17"/>
      <c r="C100" s="17"/>
      <c r="D100" s="17"/>
      <c r="E100" s="17"/>
      <c r="F100" s="301"/>
      <c r="G100" s="17"/>
      <c r="H100" s="17"/>
      <c r="I100" s="17"/>
      <c r="J100" s="17"/>
      <c r="K100" s="17"/>
      <c r="L100" s="17"/>
      <c r="M100" s="17"/>
      <c r="N100" s="17"/>
      <c r="O100" s="17"/>
      <c r="P100" s="17"/>
      <c r="Q100" s="17"/>
      <c r="R100" s="17"/>
      <c r="S100" s="205"/>
      <c r="T100" s="205"/>
      <c r="U100" s="205"/>
      <c r="V100" s="205"/>
      <c r="W100" s="17"/>
      <c r="X100" s="17"/>
      <c r="Y100" s="17"/>
      <c r="Z100" s="17"/>
      <c r="AA100" s="17"/>
      <c r="AB100" s="17"/>
    </row>
    <row r="101">
      <c r="A101" s="17"/>
      <c r="B101" s="17"/>
      <c r="C101" s="17"/>
      <c r="D101" s="17"/>
      <c r="E101" s="17"/>
      <c r="F101" s="301"/>
      <c r="G101" s="17"/>
      <c r="H101" s="17"/>
      <c r="I101" s="17"/>
      <c r="J101" s="17"/>
      <c r="K101" s="17"/>
      <c r="L101" s="17"/>
      <c r="M101" s="17"/>
      <c r="N101" s="17"/>
      <c r="O101" s="17"/>
      <c r="P101" s="17"/>
      <c r="Q101" s="17"/>
      <c r="R101" s="17"/>
      <c r="S101" s="205"/>
      <c r="T101" s="205"/>
      <c r="U101" s="205"/>
      <c r="V101" s="205"/>
      <c r="W101" s="17"/>
      <c r="X101" s="17"/>
      <c r="Y101" s="17"/>
      <c r="Z101" s="17"/>
      <c r="AA101" s="17"/>
      <c r="AB101" s="17"/>
    </row>
    <row r="102">
      <c r="A102" s="17"/>
      <c r="B102" s="17"/>
      <c r="C102" s="17"/>
      <c r="D102" s="17"/>
      <c r="E102" s="17"/>
      <c r="F102" s="301"/>
      <c r="G102" s="17"/>
      <c r="H102" s="17"/>
      <c r="I102" s="17"/>
      <c r="J102" s="17"/>
      <c r="K102" s="17"/>
      <c r="L102" s="17"/>
      <c r="M102" s="17"/>
      <c r="N102" s="17"/>
      <c r="O102" s="17"/>
      <c r="P102" s="17"/>
      <c r="Q102" s="17"/>
      <c r="R102" s="17"/>
      <c r="S102" s="205"/>
      <c r="T102" s="205"/>
      <c r="U102" s="205"/>
      <c r="V102" s="205"/>
      <c r="W102" s="17"/>
      <c r="X102" s="17"/>
      <c r="Y102" s="17"/>
      <c r="Z102" s="17"/>
      <c r="AA102" s="17"/>
      <c r="AB102" s="17"/>
    </row>
    <row r="103">
      <c r="A103" s="17"/>
      <c r="B103" s="17"/>
      <c r="C103" s="17"/>
      <c r="D103" s="17"/>
      <c r="E103" s="17"/>
      <c r="F103" s="301"/>
      <c r="G103" s="17"/>
      <c r="H103" s="17"/>
      <c r="I103" s="17"/>
      <c r="J103" s="17"/>
      <c r="K103" s="17"/>
      <c r="L103" s="17"/>
      <c r="M103" s="17"/>
      <c r="N103" s="17"/>
      <c r="O103" s="17"/>
      <c r="P103" s="17"/>
      <c r="Q103" s="17"/>
      <c r="R103" s="17"/>
      <c r="S103" s="205"/>
      <c r="T103" s="205"/>
      <c r="U103" s="205"/>
      <c r="V103" s="205"/>
      <c r="W103" s="17"/>
      <c r="X103" s="17"/>
      <c r="Y103" s="17"/>
      <c r="Z103" s="17"/>
      <c r="AA103" s="17"/>
      <c r="AB103" s="17"/>
    </row>
    <row r="104">
      <c r="A104" s="17"/>
      <c r="B104" s="17"/>
      <c r="C104" s="17"/>
      <c r="D104" s="17"/>
      <c r="E104" s="17"/>
      <c r="F104" s="301"/>
      <c r="G104" s="17"/>
      <c r="H104" s="17"/>
      <c r="I104" s="17"/>
      <c r="J104" s="17"/>
      <c r="K104" s="17"/>
      <c r="L104" s="17"/>
      <c r="M104" s="17"/>
      <c r="N104" s="17"/>
      <c r="O104" s="17"/>
      <c r="P104" s="17"/>
      <c r="Q104" s="17"/>
      <c r="R104" s="17"/>
      <c r="S104" s="205"/>
      <c r="T104" s="205"/>
      <c r="U104" s="205"/>
      <c r="V104" s="205"/>
      <c r="W104" s="17"/>
      <c r="X104" s="17"/>
      <c r="Y104" s="17"/>
      <c r="Z104" s="17"/>
      <c r="AA104" s="17"/>
      <c r="AB104" s="17"/>
    </row>
    <row r="105">
      <c r="A105" s="17"/>
      <c r="B105" s="17"/>
      <c r="C105" s="17"/>
      <c r="D105" s="17"/>
      <c r="E105" s="17"/>
      <c r="F105" s="301"/>
      <c r="G105" s="17"/>
      <c r="H105" s="17"/>
      <c r="I105" s="17"/>
      <c r="J105" s="17"/>
      <c r="K105" s="17"/>
      <c r="L105" s="17"/>
      <c r="M105" s="17"/>
      <c r="N105" s="17"/>
      <c r="O105" s="17"/>
      <c r="P105" s="17"/>
      <c r="Q105" s="17"/>
      <c r="R105" s="17"/>
      <c r="S105" s="205"/>
      <c r="T105" s="205"/>
      <c r="U105" s="205"/>
      <c r="V105" s="205"/>
      <c r="W105" s="17"/>
      <c r="X105" s="17"/>
      <c r="Y105" s="17"/>
      <c r="Z105" s="17"/>
      <c r="AA105" s="17"/>
      <c r="AB105" s="17"/>
    </row>
    <row r="106">
      <c r="A106" s="17"/>
      <c r="B106" s="17"/>
      <c r="C106" s="17"/>
      <c r="D106" s="17"/>
      <c r="E106" s="17"/>
      <c r="F106" s="301"/>
      <c r="G106" s="17"/>
      <c r="H106" s="17"/>
      <c r="I106" s="17"/>
      <c r="J106" s="17"/>
      <c r="K106" s="17"/>
      <c r="L106" s="17"/>
      <c r="M106" s="17"/>
      <c r="N106" s="17"/>
      <c r="O106" s="17"/>
      <c r="P106" s="17"/>
      <c r="Q106" s="17"/>
      <c r="R106" s="17"/>
      <c r="S106" s="205"/>
      <c r="T106" s="205"/>
      <c r="U106" s="205"/>
      <c r="V106" s="205"/>
      <c r="W106" s="17"/>
      <c r="X106" s="17"/>
      <c r="Y106" s="17"/>
      <c r="Z106" s="17"/>
      <c r="AA106" s="17"/>
      <c r="AB106" s="17"/>
    </row>
    <row r="107">
      <c r="A107" s="17"/>
      <c r="B107" s="17"/>
      <c r="C107" s="17"/>
      <c r="D107" s="17"/>
      <c r="E107" s="17"/>
      <c r="F107" s="301"/>
      <c r="G107" s="17"/>
      <c r="H107" s="17"/>
      <c r="I107" s="17"/>
      <c r="J107" s="17"/>
      <c r="K107" s="17"/>
      <c r="L107" s="17"/>
      <c r="M107" s="17"/>
      <c r="N107" s="17"/>
      <c r="O107" s="17"/>
      <c r="P107" s="17"/>
      <c r="Q107" s="17"/>
      <c r="R107" s="17"/>
      <c r="S107" s="205"/>
      <c r="T107" s="205"/>
      <c r="U107" s="205"/>
      <c r="V107" s="205"/>
      <c r="W107" s="17"/>
      <c r="X107" s="17"/>
      <c r="Y107" s="17"/>
      <c r="Z107" s="17"/>
      <c r="AA107" s="17"/>
      <c r="AB107" s="17"/>
    </row>
    <row r="108">
      <c r="A108" s="17"/>
      <c r="B108" s="17"/>
      <c r="C108" s="17"/>
      <c r="D108" s="17"/>
      <c r="E108" s="17"/>
      <c r="F108" s="301"/>
      <c r="G108" s="17"/>
      <c r="H108" s="17"/>
      <c r="I108" s="17"/>
      <c r="J108" s="17"/>
      <c r="K108" s="17"/>
      <c r="L108" s="17"/>
      <c r="M108" s="17"/>
      <c r="N108" s="17"/>
      <c r="O108" s="17"/>
      <c r="P108" s="17"/>
      <c r="Q108" s="17"/>
      <c r="R108" s="17"/>
      <c r="S108" s="205"/>
      <c r="T108" s="205"/>
      <c r="U108" s="205"/>
      <c r="V108" s="205"/>
      <c r="W108" s="17"/>
      <c r="X108" s="17"/>
      <c r="Y108" s="17"/>
      <c r="Z108" s="17"/>
      <c r="AA108" s="17"/>
      <c r="AB108" s="17"/>
    </row>
    <row r="109">
      <c r="A109" s="17"/>
      <c r="B109" s="17"/>
      <c r="C109" s="17"/>
      <c r="D109" s="17"/>
      <c r="E109" s="17"/>
      <c r="F109" s="301"/>
      <c r="G109" s="17"/>
      <c r="H109" s="17"/>
      <c r="I109" s="17"/>
      <c r="J109" s="17"/>
      <c r="K109" s="17"/>
      <c r="L109" s="17"/>
      <c r="M109" s="17"/>
      <c r="N109" s="17"/>
      <c r="O109" s="17"/>
      <c r="P109" s="17"/>
      <c r="Q109" s="17"/>
      <c r="R109" s="17"/>
      <c r="S109" s="205"/>
      <c r="T109" s="205"/>
      <c r="U109" s="205"/>
      <c r="V109" s="205"/>
      <c r="W109" s="17"/>
      <c r="X109" s="17"/>
      <c r="Y109" s="17"/>
      <c r="Z109" s="17"/>
      <c r="AA109" s="17"/>
      <c r="AB109" s="17"/>
    </row>
    <row r="110">
      <c r="A110" s="17"/>
      <c r="B110" s="17"/>
      <c r="C110" s="17"/>
      <c r="D110" s="17"/>
      <c r="E110" s="17"/>
      <c r="F110" s="301"/>
      <c r="G110" s="17"/>
      <c r="H110" s="17"/>
      <c r="I110" s="17"/>
      <c r="J110" s="17"/>
      <c r="K110" s="17"/>
      <c r="L110" s="17"/>
      <c r="M110" s="17"/>
      <c r="N110" s="17"/>
      <c r="O110" s="17"/>
      <c r="P110" s="17"/>
      <c r="Q110" s="17"/>
      <c r="R110" s="17"/>
      <c r="S110" s="205"/>
      <c r="T110" s="205"/>
      <c r="U110" s="205"/>
      <c r="V110" s="205"/>
      <c r="W110" s="17"/>
      <c r="X110" s="17"/>
      <c r="Y110" s="17"/>
      <c r="Z110" s="17"/>
      <c r="AA110" s="17"/>
      <c r="AB110" s="17"/>
    </row>
    <row r="111">
      <c r="A111" s="17"/>
      <c r="B111" s="17"/>
      <c r="C111" s="17"/>
      <c r="D111" s="17"/>
      <c r="E111" s="17"/>
      <c r="F111" s="301"/>
      <c r="G111" s="17"/>
      <c r="H111" s="17"/>
      <c r="I111" s="17"/>
      <c r="J111" s="17"/>
      <c r="K111" s="17"/>
      <c r="L111" s="17"/>
      <c r="M111" s="17"/>
      <c r="N111" s="17"/>
      <c r="O111" s="17"/>
      <c r="P111" s="17"/>
      <c r="Q111" s="17"/>
      <c r="R111" s="17"/>
      <c r="S111" s="205"/>
      <c r="T111" s="205"/>
      <c r="U111" s="205"/>
      <c r="V111" s="205"/>
      <c r="W111" s="17"/>
      <c r="X111" s="17"/>
      <c r="Y111" s="17"/>
      <c r="Z111" s="17"/>
      <c r="AA111" s="17"/>
      <c r="AB111" s="17"/>
    </row>
    <row r="112">
      <c r="A112" s="17"/>
      <c r="B112" s="17"/>
      <c r="C112" s="17"/>
      <c r="D112" s="17"/>
      <c r="E112" s="17"/>
      <c r="F112" s="301"/>
      <c r="G112" s="17"/>
      <c r="H112" s="17"/>
      <c r="I112" s="17"/>
      <c r="J112" s="17"/>
      <c r="K112" s="17"/>
      <c r="L112" s="17"/>
      <c r="M112" s="17"/>
      <c r="N112" s="17"/>
      <c r="O112" s="17"/>
      <c r="P112" s="17"/>
      <c r="Q112" s="17"/>
      <c r="R112" s="17"/>
      <c r="S112" s="205"/>
      <c r="T112" s="205"/>
      <c r="U112" s="205"/>
      <c r="V112" s="205"/>
      <c r="W112" s="17"/>
      <c r="X112" s="17"/>
      <c r="Y112" s="17"/>
      <c r="Z112" s="17"/>
      <c r="AA112" s="17"/>
      <c r="AB112" s="17"/>
    </row>
    <row r="113">
      <c r="A113" s="17"/>
      <c r="B113" s="17"/>
      <c r="C113" s="17"/>
      <c r="D113" s="17"/>
      <c r="E113" s="17"/>
      <c r="F113" s="301"/>
      <c r="G113" s="17"/>
      <c r="H113" s="17"/>
      <c r="I113" s="17"/>
      <c r="J113" s="17"/>
      <c r="K113" s="17"/>
      <c r="L113" s="17"/>
      <c r="M113" s="17"/>
      <c r="N113" s="17"/>
      <c r="O113" s="17"/>
      <c r="P113" s="17"/>
      <c r="Q113" s="17"/>
      <c r="R113" s="17"/>
      <c r="S113" s="205"/>
      <c r="T113" s="205"/>
      <c r="U113" s="205"/>
      <c r="V113" s="205"/>
      <c r="W113" s="17"/>
      <c r="X113" s="17"/>
      <c r="Y113" s="17"/>
      <c r="Z113" s="17"/>
      <c r="AA113" s="17"/>
      <c r="AB113" s="17"/>
    </row>
    <row r="114">
      <c r="A114" s="17"/>
      <c r="B114" s="17"/>
      <c r="C114" s="17"/>
      <c r="D114" s="17"/>
      <c r="E114" s="17"/>
      <c r="F114" s="301"/>
      <c r="G114" s="17"/>
      <c r="H114" s="17"/>
      <c r="I114" s="17"/>
      <c r="J114" s="17"/>
      <c r="K114" s="17"/>
      <c r="L114" s="17"/>
      <c r="M114" s="17"/>
      <c r="N114" s="17"/>
      <c r="O114" s="17"/>
      <c r="P114" s="17"/>
      <c r="Q114" s="17"/>
      <c r="R114" s="17"/>
      <c r="S114" s="205"/>
      <c r="T114" s="205"/>
      <c r="U114" s="205"/>
      <c r="V114" s="205"/>
      <c r="W114" s="17"/>
      <c r="X114" s="17"/>
      <c r="Y114" s="17"/>
      <c r="Z114" s="17"/>
      <c r="AA114" s="17"/>
      <c r="AB114" s="17"/>
    </row>
    <row r="115">
      <c r="A115" s="17"/>
      <c r="B115" s="17"/>
      <c r="C115" s="17"/>
      <c r="D115" s="17"/>
      <c r="E115" s="17"/>
      <c r="F115" s="301"/>
      <c r="G115" s="17"/>
      <c r="H115" s="17"/>
      <c r="I115" s="17"/>
      <c r="J115" s="17"/>
      <c r="K115" s="17"/>
      <c r="L115" s="17"/>
      <c r="M115" s="17"/>
      <c r="N115" s="17"/>
      <c r="O115" s="17"/>
      <c r="P115" s="17"/>
      <c r="Q115" s="17"/>
      <c r="R115" s="17"/>
      <c r="S115" s="205"/>
      <c r="T115" s="205"/>
      <c r="U115" s="205"/>
      <c r="V115" s="205"/>
      <c r="W115" s="17"/>
      <c r="X115" s="17"/>
      <c r="Y115" s="17"/>
      <c r="Z115" s="17"/>
      <c r="AA115" s="17"/>
      <c r="AB115" s="17"/>
    </row>
    <row r="116">
      <c r="A116" s="17"/>
      <c r="B116" s="17"/>
      <c r="C116" s="17"/>
      <c r="D116" s="17"/>
      <c r="E116" s="17"/>
      <c r="F116" s="301"/>
      <c r="G116" s="17"/>
      <c r="H116" s="17"/>
      <c r="I116" s="17"/>
      <c r="J116" s="17"/>
      <c r="K116" s="17"/>
      <c r="L116" s="17"/>
      <c r="M116" s="17"/>
      <c r="N116" s="17"/>
      <c r="O116" s="17"/>
      <c r="P116" s="17"/>
      <c r="Q116" s="17"/>
      <c r="R116" s="17"/>
      <c r="S116" s="205"/>
      <c r="T116" s="205"/>
      <c r="U116" s="205"/>
      <c r="V116" s="205"/>
      <c r="W116" s="17"/>
      <c r="X116" s="17"/>
      <c r="Y116" s="17"/>
      <c r="Z116" s="17"/>
      <c r="AA116" s="17"/>
      <c r="AB116" s="17"/>
    </row>
    <row r="117">
      <c r="A117" s="17"/>
      <c r="B117" s="17"/>
      <c r="C117" s="17"/>
      <c r="D117" s="17"/>
      <c r="E117" s="17"/>
      <c r="F117" s="301"/>
      <c r="G117" s="17"/>
      <c r="H117" s="17"/>
      <c r="I117" s="17"/>
      <c r="J117" s="17"/>
      <c r="K117" s="17"/>
      <c r="L117" s="17"/>
      <c r="M117" s="17"/>
      <c r="N117" s="17"/>
      <c r="O117" s="17"/>
      <c r="P117" s="17"/>
      <c r="Q117" s="17"/>
      <c r="R117" s="17"/>
      <c r="S117" s="205"/>
      <c r="T117" s="205"/>
      <c r="U117" s="205"/>
      <c r="V117" s="205"/>
      <c r="W117" s="17"/>
      <c r="X117" s="17"/>
      <c r="Y117" s="17"/>
      <c r="Z117" s="17"/>
      <c r="AA117" s="17"/>
      <c r="AB117" s="17"/>
    </row>
    <row r="118">
      <c r="A118" s="17"/>
      <c r="B118" s="17"/>
      <c r="C118" s="17"/>
      <c r="D118" s="17"/>
      <c r="E118" s="17"/>
      <c r="F118" s="301"/>
      <c r="G118" s="17"/>
      <c r="H118" s="17"/>
      <c r="I118" s="17"/>
      <c r="J118" s="17"/>
      <c r="K118" s="17"/>
      <c r="L118" s="17"/>
      <c r="M118" s="17"/>
      <c r="N118" s="17"/>
      <c r="O118" s="17"/>
      <c r="P118" s="17"/>
      <c r="Q118" s="17"/>
      <c r="R118" s="17"/>
      <c r="S118" s="205"/>
      <c r="T118" s="205"/>
      <c r="U118" s="205"/>
      <c r="V118" s="205"/>
      <c r="W118" s="17"/>
      <c r="X118" s="17"/>
      <c r="Y118" s="17"/>
      <c r="Z118" s="17"/>
      <c r="AA118" s="17"/>
      <c r="AB118" s="17"/>
    </row>
    <row r="119">
      <c r="A119" s="17"/>
      <c r="B119" s="17"/>
      <c r="C119" s="17"/>
      <c r="D119" s="17"/>
      <c r="E119" s="17"/>
      <c r="F119" s="301"/>
      <c r="G119" s="17"/>
      <c r="H119" s="17"/>
      <c r="I119" s="17"/>
      <c r="J119" s="17"/>
      <c r="K119" s="17"/>
      <c r="L119" s="17"/>
      <c r="M119" s="17"/>
      <c r="N119" s="17"/>
      <c r="O119" s="17"/>
      <c r="P119" s="17"/>
      <c r="Q119" s="17"/>
      <c r="R119" s="17"/>
      <c r="S119" s="205"/>
      <c r="T119" s="205"/>
      <c r="U119" s="205"/>
      <c r="V119" s="205"/>
      <c r="W119" s="17"/>
      <c r="X119" s="17"/>
      <c r="Y119" s="17"/>
      <c r="Z119" s="17"/>
      <c r="AA119" s="17"/>
      <c r="AB119" s="17"/>
    </row>
    <row r="120">
      <c r="A120" s="17"/>
      <c r="B120" s="17"/>
      <c r="C120" s="17"/>
      <c r="D120" s="17"/>
      <c r="E120" s="17"/>
      <c r="F120" s="301"/>
      <c r="G120" s="17"/>
      <c r="H120" s="17"/>
      <c r="I120" s="17"/>
      <c r="J120" s="17"/>
      <c r="K120" s="17"/>
      <c r="L120" s="17"/>
      <c r="M120" s="17"/>
      <c r="N120" s="17"/>
      <c r="O120" s="17"/>
      <c r="P120" s="17"/>
      <c r="Q120" s="17"/>
      <c r="R120" s="17"/>
      <c r="S120" s="205"/>
      <c r="T120" s="205"/>
      <c r="U120" s="205"/>
      <c r="V120" s="205"/>
      <c r="W120" s="17"/>
      <c r="X120" s="17"/>
      <c r="Y120" s="17"/>
      <c r="Z120" s="17"/>
      <c r="AA120" s="17"/>
      <c r="AB120" s="17"/>
    </row>
    <row r="121">
      <c r="A121" s="17"/>
      <c r="B121" s="17"/>
      <c r="C121" s="17"/>
      <c r="D121" s="17"/>
      <c r="E121" s="17"/>
      <c r="F121" s="301"/>
      <c r="G121" s="17"/>
      <c r="H121" s="17"/>
      <c r="I121" s="17"/>
      <c r="J121" s="17"/>
      <c r="K121" s="17"/>
      <c r="L121" s="17"/>
      <c r="M121" s="17"/>
      <c r="N121" s="17"/>
      <c r="O121" s="17"/>
      <c r="P121" s="17"/>
      <c r="Q121" s="17"/>
      <c r="R121" s="17"/>
      <c r="S121" s="205"/>
      <c r="T121" s="205"/>
      <c r="U121" s="205"/>
      <c r="V121" s="205"/>
      <c r="W121" s="17"/>
      <c r="X121" s="17"/>
      <c r="Y121" s="17"/>
      <c r="Z121" s="17"/>
      <c r="AA121" s="17"/>
      <c r="AB121" s="17"/>
    </row>
    <row r="122">
      <c r="A122" s="17"/>
      <c r="B122" s="17"/>
      <c r="C122" s="17"/>
      <c r="D122" s="17"/>
      <c r="E122" s="17"/>
      <c r="F122" s="301"/>
      <c r="G122" s="17"/>
      <c r="H122" s="17"/>
      <c r="I122" s="17"/>
      <c r="J122" s="17"/>
      <c r="K122" s="17"/>
      <c r="L122" s="17"/>
      <c r="M122" s="17"/>
      <c r="N122" s="17"/>
      <c r="O122" s="17"/>
      <c r="P122" s="17"/>
      <c r="Q122" s="17"/>
      <c r="R122" s="17"/>
      <c r="S122" s="205"/>
      <c r="T122" s="205"/>
      <c r="U122" s="205"/>
      <c r="V122" s="205"/>
      <c r="W122" s="17"/>
      <c r="X122" s="17"/>
      <c r="Y122" s="17"/>
      <c r="Z122" s="17"/>
      <c r="AA122" s="17"/>
      <c r="AB122" s="17"/>
    </row>
    <row r="123">
      <c r="A123" s="17"/>
      <c r="B123" s="17"/>
      <c r="C123" s="17"/>
      <c r="D123" s="17"/>
      <c r="E123" s="17"/>
      <c r="F123" s="301"/>
      <c r="G123" s="17"/>
      <c r="H123" s="17"/>
      <c r="I123" s="17"/>
      <c r="J123" s="17"/>
      <c r="K123" s="17"/>
      <c r="L123" s="17"/>
      <c r="M123" s="17"/>
      <c r="N123" s="17"/>
      <c r="O123" s="17"/>
      <c r="P123" s="17"/>
      <c r="Q123" s="17"/>
      <c r="R123" s="17"/>
      <c r="S123" s="205"/>
      <c r="T123" s="205"/>
      <c r="U123" s="205"/>
      <c r="V123" s="205"/>
      <c r="W123" s="17"/>
      <c r="X123" s="17"/>
      <c r="Y123" s="17"/>
      <c r="Z123" s="17"/>
      <c r="AA123" s="17"/>
      <c r="AB123" s="17"/>
    </row>
    <row r="124">
      <c r="A124" s="17"/>
      <c r="B124" s="17"/>
      <c r="C124" s="17"/>
      <c r="D124" s="17"/>
      <c r="E124" s="17"/>
      <c r="F124" s="301"/>
      <c r="G124" s="17"/>
      <c r="H124" s="17"/>
      <c r="I124" s="17"/>
      <c r="J124" s="17"/>
      <c r="K124" s="17"/>
      <c r="L124" s="17"/>
      <c r="M124" s="17"/>
      <c r="N124" s="17"/>
      <c r="O124" s="17"/>
      <c r="P124" s="17"/>
      <c r="Q124" s="17"/>
      <c r="R124" s="17"/>
      <c r="S124" s="205"/>
      <c r="T124" s="205"/>
      <c r="U124" s="205"/>
      <c r="V124" s="205"/>
      <c r="W124" s="17"/>
      <c r="X124" s="17"/>
      <c r="Y124" s="17"/>
      <c r="Z124" s="17"/>
      <c r="AA124" s="17"/>
      <c r="AB124" s="17"/>
    </row>
    <row r="125">
      <c r="A125" s="17"/>
      <c r="B125" s="17"/>
      <c r="C125" s="17"/>
      <c r="D125" s="17"/>
      <c r="E125" s="17"/>
      <c r="F125" s="301"/>
      <c r="G125" s="17"/>
      <c r="H125" s="17"/>
      <c r="I125" s="17"/>
      <c r="J125" s="17"/>
      <c r="K125" s="17"/>
      <c r="L125" s="17"/>
      <c r="M125" s="17"/>
      <c r="N125" s="17"/>
      <c r="O125" s="17"/>
      <c r="P125" s="17"/>
      <c r="Q125" s="17"/>
      <c r="R125" s="17"/>
      <c r="S125" s="205"/>
      <c r="T125" s="205"/>
      <c r="U125" s="205"/>
      <c r="V125" s="205"/>
      <c r="W125" s="17"/>
      <c r="X125" s="17"/>
      <c r="Y125" s="17"/>
      <c r="Z125" s="17"/>
      <c r="AA125" s="17"/>
      <c r="AB125" s="17"/>
    </row>
    <row r="126">
      <c r="A126" s="17"/>
      <c r="B126" s="17"/>
      <c r="C126" s="17"/>
      <c r="D126" s="17"/>
      <c r="E126" s="17"/>
      <c r="F126" s="301"/>
      <c r="G126" s="17"/>
      <c r="H126" s="17"/>
      <c r="I126" s="17"/>
      <c r="J126" s="17"/>
      <c r="K126" s="17"/>
      <c r="L126" s="17"/>
      <c r="M126" s="17"/>
      <c r="N126" s="17"/>
      <c r="O126" s="17"/>
      <c r="P126" s="17"/>
      <c r="Q126" s="17"/>
      <c r="R126" s="17"/>
      <c r="S126" s="205"/>
      <c r="T126" s="205"/>
      <c r="U126" s="205"/>
      <c r="V126" s="205"/>
      <c r="W126" s="17"/>
      <c r="X126" s="17"/>
      <c r="Y126" s="17"/>
      <c r="Z126" s="17"/>
      <c r="AA126" s="17"/>
      <c r="AB126" s="17"/>
    </row>
    <row r="127">
      <c r="A127" s="17"/>
      <c r="B127" s="17"/>
      <c r="C127" s="17"/>
      <c r="D127" s="17"/>
      <c r="E127" s="17"/>
      <c r="F127" s="301"/>
      <c r="G127" s="17"/>
      <c r="H127" s="17"/>
      <c r="I127" s="17"/>
      <c r="J127" s="17"/>
      <c r="K127" s="17"/>
      <c r="L127" s="17"/>
      <c r="M127" s="17"/>
      <c r="N127" s="17"/>
      <c r="O127" s="17"/>
      <c r="P127" s="17"/>
      <c r="Q127" s="17"/>
      <c r="R127" s="17"/>
      <c r="S127" s="205"/>
      <c r="T127" s="205"/>
      <c r="U127" s="205"/>
      <c r="V127" s="205"/>
      <c r="W127" s="17"/>
      <c r="X127" s="17"/>
      <c r="Y127" s="17"/>
      <c r="Z127" s="17"/>
      <c r="AA127" s="17"/>
      <c r="AB127" s="17"/>
    </row>
    <row r="128">
      <c r="A128" s="17"/>
      <c r="B128" s="17"/>
      <c r="C128" s="17"/>
      <c r="D128" s="17"/>
      <c r="E128" s="17"/>
      <c r="F128" s="301"/>
      <c r="G128" s="17"/>
      <c r="H128" s="17"/>
      <c r="I128" s="17"/>
      <c r="J128" s="17"/>
      <c r="K128" s="17"/>
      <c r="L128" s="17"/>
      <c r="M128" s="17"/>
      <c r="N128" s="17"/>
      <c r="O128" s="17"/>
      <c r="P128" s="17"/>
      <c r="Q128" s="17"/>
      <c r="R128" s="17"/>
      <c r="S128" s="205"/>
      <c r="T128" s="205"/>
      <c r="U128" s="205"/>
      <c r="V128" s="205"/>
      <c r="W128" s="17"/>
      <c r="X128" s="17"/>
      <c r="Y128" s="17"/>
      <c r="Z128" s="17"/>
      <c r="AA128" s="17"/>
      <c r="AB128" s="17"/>
    </row>
    <row r="129">
      <c r="A129" s="17"/>
      <c r="B129" s="17"/>
      <c r="C129" s="17"/>
      <c r="D129" s="17"/>
      <c r="E129" s="17"/>
      <c r="F129" s="301"/>
      <c r="G129" s="17"/>
      <c r="H129" s="17"/>
      <c r="I129" s="17"/>
      <c r="J129" s="17"/>
      <c r="K129" s="17"/>
      <c r="L129" s="17"/>
      <c r="M129" s="17"/>
      <c r="N129" s="17"/>
      <c r="O129" s="17"/>
      <c r="P129" s="17"/>
      <c r="Q129" s="17"/>
      <c r="R129" s="17"/>
      <c r="S129" s="205"/>
      <c r="T129" s="205"/>
      <c r="U129" s="205"/>
      <c r="V129" s="205"/>
      <c r="W129" s="17"/>
      <c r="X129" s="17"/>
      <c r="Y129" s="17"/>
      <c r="Z129" s="17"/>
      <c r="AA129" s="17"/>
      <c r="AB129" s="17"/>
    </row>
    <row r="130">
      <c r="A130" s="17"/>
      <c r="B130" s="17"/>
      <c r="C130" s="17"/>
      <c r="D130" s="17"/>
      <c r="E130" s="17"/>
      <c r="F130" s="301"/>
      <c r="G130" s="17"/>
      <c r="H130" s="17"/>
      <c r="I130" s="17"/>
      <c r="J130" s="17"/>
      <c r="K130" s="17"/>
      <c r="L130" s="17"/>
      <c r="M130" s="17"/>
      <c r="N130" s="17"/>
      <c r="O130" s="17"/>
      <c r="P130" s="17"/>
      <c r="Q130" s="17"/>
      <c r="R130" s="17"/>
      <c r="S130" s="205"/>
      <c r="T130" s="205"/>
      <c r="U130" s="205"/>
      <c r="V130" s="205"/>
      <c r="W130" s="17"/>
      <c r="X130" s="17"/>
      <c r="Y130" s="17"/>
      <c r="Z130" s="17"/>
      <c r="AA130" s="17"/>
      <c r="AB130" s="17"/>
    </row>
    <row r="131">
      <c r="A131" s="17"/>
      <c r="B131" s="17"/>
      <c r="C131" s="17"/>
      <c r="D131" s="17"/>
      <c r="E131" s="17"/>
      <c r="F131" s="301"/>
      <c r="G131" s="17"/>
      <c r="H131" s="17"/>
      <c r="I131" s="17"/>
      <c r="J131" s="17"/>
      <c r="K131" s="17"/>
      <c r="L131" s="17"/>
      <c r="M131" s="17"/>
      <c r="N131" s="17"/>
      <c r="O131" s="17"/>
      <c r="P131" s="17"/>
      <c r="Q131" s="17"/>
      <c r="R131" s="17"/>
      <c r="S131" s="205"/>
      <c r="T131" s="205"/>
      <c r="U131" s="205"/>
      <c r="V131" s="205"/>
      <c r="W131" s="17"/>
      <c r="X131" s="17"/>
      <c r="Y131" s="17"/>
      <c r="Z131" s="17"/>
      <c r="AA131" s="17"/>
      <c r="AB131" s="17"/>
    </row>
    <row r="132">
      <c r="A132" s="17"/>
      <c r="B132" s="17"/>
      <c r="C132" s="17"/>
      <c r="D132" s="17"/>
      <c r="E132" s="17"/>
      <c r="F132" s="301"/>
      <c r="G132" s="17"/>
      <c r="H132" s="17"/>
      <c r="I132" s="17"/>
      <c r="J132" s="17"/>
      <c r="K132" s="17"/>
      <c r="L132" s="17"/>
      <c r="M132" s="17"/>
      <c r="N132" s="17"/>
      <c r="O132" s="17"/>
      <c r="P132" s="17"/>
      <c r="Q132" s="17"/>
      <c r="R132" s="17"/>
      <c r="S132" s="205"/>
      <c r="T132" s="205"/>
      <c r="U132" s="205"/>
      <c r="V132" s="205"/>
      <c r="W132" s="17"/>
      <c r="X132" s="17"/>
      <c r="Y132" s="17"/>
      <c r="Z132" s="17"/>
      <c r="AA132" s="17"/>
      <c r="AB132" s="17"/>
    </row>
    <row r="133">
      <c r="A133" s="17"/>
      <c r="B133" s="17"/>
      <c r="C133" s="17"/>
      <c r="D133" s="17"/>
      <c r="E133" s="17"/>
      <c r="F133" s="301"/>
      <c r="G133" s="17"/>
      <c r="H133" s="17"/>
      <c r="I133" s="17"/>
      <c r="J133" s="17"/>
      <c r="K133" s="17"/>
      <c r="L133" s="17"/>
      <c r="M133" s="17"/>
      <c r="N133" s="17"/>
      <c r="O133" s="17"/>
      <c r="P133" s="17"/>
      <c r="Q133" s="17"/>
      <c r="R133" s="17"/>
      <c r="S133" s="205"/>
      <c r="T133" s="205"/>
      <c r="U133" s="205"/>
      <c r="V133" s="205"/>
      <c r="W133" s="17"/>
      <c r="X133" s="17"/>
      <c r="Y133" s="17"/>
      <c r="Z133" s="17"/>
      <c r="AA133" s="17"/>
      <c r="AB133" s="17"/>
    </row>
    <row r="134">
      <c r="A134" s="17"/>
      <c r="B134" s="17"/>
      <c r="C134" s="17"/>
      <c r="D134" s="17"/>
      <c r="E134" s="17"/>
      <c r="F134" s="301"/>
      <c r="G134" s="17"/>
      <c r="H134" s="17"/>
      <c r="I134" s="17"/>
      <c r="J134" s="17"/>
      <c r="K134" s="17"/>
      <c r="L134" s="17"/>
      <c r="M134" s="17"/>
      <c r="N134" s="17"/>
      <c r="O134" s="17"/>
      <c r="P134" s="17"/>
      <c r="Q134" s="17"/>
      <c r="R134" s="17"/>
      <c r="S134" s="205"/>
      <c r="T134" s="205"/>
      <c r="U134" s="205"/>
      <c r="V134" s="205"/>
      <c r="W134" s="17"/>
      <c r="X134" s="17"/>
      <c r="Y134" s="17"/>
      <c r="Z134" s="17"/>
      <c r="AA134" s="17"/>
      <c r="AB134" s="17"/>
    </row>
    <row r="135">
      <c r="A135" s="17"/>
      <c r="B135" s="17"/>
      <c r="C135" s="17"/>
      <c r="D135" s="17"/>
      <c r="E135" s="17"/>
      <c r="F135" s="301"/>
      <c r="G135" s="17"/>
      <c r="H135" s="17"/>
      <c r="I135" s="17"/>
      <c r="J135" s="17"/>
      <c r="K135" s="17"/>
      <c r="L135" s="17"/>
      <c r="M135" s="17"/>
      <c r="N135" s="17"/>
      <c r="O135" s="17"/>
      <c r="P135" s="17"/>
      <c r="Q135" s="17"/>
      <c r="R135" s="17"/>
      <c r="S135" s="205"/>
      <c r="T135" s="205"/>
      <c r="U135" s="205"/>
      <c r="V135" s="205"/>
      <c r="W135" s="17"/>
      <c r="X135" s="17"/>
      <c r="Y135" s="17"/>
      <c r="Z135" s="17"/>
      <c r="AA135" s="17"/>
      <c r="AB135" s="17"/>
    </row>
    <row r="136">
      <c r="A136" s="17"/>
      <c r="B136" s="17"/>
      <c r="C136" s="17"/>
      <c r="D136" s="17"/>
      <c r="E136" s="17"/>
      <c r="F136" s="301"/>
      <c r="G136" s="17"/>
      <c r="H136" s="17"/>
      <c r="I136" s="17"/>
      <c r="J136" s="17"/>
      <c r="K136" s="17"/>
      <c r="L136" s="17"/>
      <c r="M136" s="17"/>
      <c r="N136" s="17"/>
      <c r="O136" s="17"/>
      <c r="P136" s="17"/>
      <c r="Q136" s="17"/>
      <c r="R136" s="17"/>
      <c r="S136" s="205"/>
      <c r="T136" s="205"/>
      <c r="U136" s="205"/>
      <c r="V136" s="205"/>
      <c r="W136" s="17"/>
      <c r="X136" s="17"/>
      <c r="Y136" s="17"/>
      <c r="Z136" s="17"/>
      <c r="AA136" s="17"/>
      <c r="AB136" s="17"/>
    </row>
    <row r="137">
      <c r="A137" s="17"/>
      <c r="B137" s="17"/>
      <c r="C137" s="17"/>
      <c r="D137" s="17"/>
      <c r="E137" s="17"/>
      <c r="F137" s="301"/>
      <c r="G137" s="17"/>
      <c r="H137" s="17"/>
      <c r="I137" s="17"/>
      <c r="J137" s="17"/>
      <c r="K137" s="17"/>
      <c r="L137" s="17"/>
      <c r="M137" s="17"/>
      <c r="N137" s="17"/>
      <c r="O137" s="17"/>
      <c r="P137" s="17"/>
      <c r="Q137" s="17"/>
      <c r="R137" s="17"/>
      <c r="S137" s="205"/>
      <c r="T137" s="205"/>
      <c r="U137" s="205"/>
      <c r="V137" s="205"/>
      <c r="W137" s="17"/>
      <c r="X137" s="17"/>
      <c r="Y137" s="17"/>
      <c r="Z137" s="17"/>
      <c r="AA137" s="17"/>
      <c r="AB137" s="17"/>
    </row>
    <row r="138">
      <c r="A138" s="17"/>
      <c r="B138" s="17"/>
      <c r="C138" s="17"/>
      <c r="D138" s="17"/>
      <c r="E138" s="17"/>
      <c r="F138" s="301"/>
      <c r="G138" s="17"/>
      <c r="H138" s="17"/>
      <c r="I138" s="17"/>
      <c r="J138" s="17"/>
      <c r="K138" s="17"/>
      <c r="L138" s="17"/>
      <c r="M138" s="17"/>
      <c r="N138" s="17"/>
      <c r="O138" s="17"/>
      <c r="P138" s="17"/>
      <c r="Q138" s="17"/>
      <c r="R138" s="17"/>
      <c r="S138" s="205"/>
      <c r="T138" s="205"/>
      <c r="U138" s="205"/>
      <c r="V138" s="205"/>
      <c r="W138" s="17"/>
      <c r="X138" s="17"/>
      <c r="Y138" s="17"/>
      <c r="Z138" s="17"/>
      <c r="AA138" s="17"/>
      <c r="AB138" s="17"/>
    </row>
    <row r="139">
      <c r="A139" s="17"/>
      <c r="B139" s="17"/>
      <c r="C139" s="17"/>
      <c r="D139" s="17"/>
      <c r="E139" s="17"/>
      <c r="F139" s="301"/>
      <c r="G139" s="17"/>
      <c r="H139" s="17"/>
      <c r="I139" s="17"/>
      <c r="J139" s="17"/>
      <c r="K139" s="17"/>
      <c r="L139" s="17"/>
      <c r="M139" s="17"/>
      <c r="N139" s="17"/>
      <c r="O139" s="17"/>
      <c r="P139" s="17"/>
      <c r="Q139" s="17"/>
      <c r="R139" s="17"/>
      <c r="S139" s="205"/>
      <c r="T139" s="205"/>
      <c r="U139" s="205"/>
      <c r="V139" s="205"/>
      <c r="W139" s="17"/>
      <c r="X139" s="17"/>
      <c r="Y139" s="17"/>
      <c r="Z139" s="17"/>
      <c r="AA139" s="17"/>
      <c r="AB139" s="17"/>
    </row>
    <row r="140">
      <c r="A140" s="17"/>
      <c r="B140" s="17"/>
      <c r="C140" s="17"/>
      <c r="D140" s="17"/>
      <c r="E140" s="17"/>
      <c r="F140" s="301"/>
      <c r="G140" s="17"/>
      <c r="H140" s="17"/>
      <c r="I140" s="17"/>
      <c r="J140" s="17"/>
      <c r="K140" s="17"/>
      <c r="L140" s="17"/>
      <c r="M140" s="17"/>
      <c r="N140" s="17"/>
      <c r="O140" s="17"/>
      <c r="P140" s="17"/>
      <c r="Q140" s="17"/>
      <c r="R140" s="17"/>
      <c r="S140" s="205"/>
      <c r="T140" s="205"/>
      <c r="U140" s="205"/>
      <c r="V140" s="205"/>
      <c r="W140" s="17"/>
      <c r="X140" s="17"/>
      <c r="Y140" s="17"/>
      <c r="Z140" s="17"/>
      <c r="AA140" s="17"/>
      <c r="AB140" s="17"/>
    </row>
    <row r="141">
      <c r="A141" s="17"/>
      <c r="B141" s="17"/>
      <c r="C141" s="17"/>
      <c r="D141" s="17"/>
      <c r="E141" s="17"/>
      <c r="F141" s="301"/>
      <c r="G141" s="17"/>
      <c r="H141" s="17"/>
      <c r="I141" s="17"/>
      <c r="J141" s="17"/>
      <c r="K141" s="17"/>
      <c r="L141" s="17"/>
      <c r="M141" s="17"/>
      <c r="N141" s="17"/>
      <c r="O141" s="17"/>
      <c r="P141" s="17"/>
      <c r="Q141" s="17"/>
      <c r="R141" s="17"/>
      <c r="S141" s="205"/>
      <c r="T141" s="205"/>
      <c r="U141" s="205"/>
      <c r="V141" s="205"/>
      <c r="W141" s="17"/>
      <c r="X141" s="17"/>
      <c r="Y141" s="17"/>
      <c r="Z141" s="17"/>
      <c r="AA141" s="17"/>
      <c r="AB141" s="17"/>
    </row>
    <row r="142">
      <c r="A142" s="17"/>
      <c r="B142" s="17"/>
      <c r="C142" s="17"/>
      <c r="D142" s="17"/>
      <c r="E142" s="17"/>
      <c r="F142" s="301"/>
      <c r="G142" s="17"/>
      <c r="H142" s="17"/>
      <c r="I142" s="17"/>
      <c r="J142" s="17"/>
      <c r="K142" s="17"/>
      <c r="L142" s="17"/>
      <c r="M142" s="17"/>
      <c r="N142" s="17"/>
      <c r="O142" s="17"/>
      <c r="P142" s="17"/>
      <c r="Q142" s="17"/>
      <c r="R142" s="17"/>
      <c r="S142" s="205"/>
      <c r="T142" s="205"/>
      <c r="U142" s="205"/>
      <c r="V142" s="205"/>
      <c r="W142" s="17"/>
      <c r="X142" s="17"/>
      <c r="Y142" s="17"/>
      <c r="Z142" s="17"/>
      <c r="AA142" s="17"/>
      <c r="AB142" s="17"/>
    </row>
    <row r="143">
      <c r="A143" s="17"/>
      <c r="B143" s="17"/>
      <c r="C143" s="17"/>
      <c r="D143" s="17"/>
      <c r="E143" s="17"/>
      <c r="F143" s="301"/>
      <c r="G143" s="17"/>
      <c r="H143" s="17"/>
      <c r="I143" s="17"/>
      <c r="J143" s="17"/>
      <c r="K143" s="17"/>
      <c r="L143" s="17"/>
      <c r="M143" s="17"/>
      <c r="N143" s="17"/>
      <c r="O143" s="17"/>
      <c r="P143" s="17"/>
      <c r="Q143" s="17"/>
      <c r="R143" s="17"/>
      <c r="S143" s="205"/>
      <c r="T143" s="205"/>
      <c r="U143" s="205"/>
      <c r="V143" s="205"/>
      <c r="W143" s="17"/>
      <c r="X143" s="17"/>
      <c r="Y143" s="17"/>
      <c r="Z143" s="17"/>
      <c r="AA143" s="17"/>
      <c r="AB143" s="17"/>
    </row>
    <row r="144">
      <c r="A144" s="17"/>
      <c r="B144" s="17"/>
      <c r="C144" s="17"/>
      <c r="D144" s="17"/>
      <c r="E144" s="17"/>
      <c r="F144" s="301"/>
      <c r="G144" s="17"/>
      <c r="H144" s="17"/>
      <c r="I144" s="17"/>
      <c r="J144" s="17"/>
      <c r="K144" s="17"/>
      <c r="L144" s="17"/>
      <c r="M144" s="17"/>
      <c r="N144" s="17"/>
      <c r="O144" s="17"/>
      <c r="P144" s="17"/>
      <c r="Q144" s="17"/>
      <c r="R144" s="17"/>
      <c r="S144" s="205"/>
      <c r="T144" s="205"/>
      <c r="U144" s="205"/>
      <c r="V144" s="205"/>
      <c r="W144" s="17"/>
      <c r="X144" s="17"/>
      <c r="Y144" s="17"/>
      <c r="Z144" s="17"/>
      <c r="AA144" s="17"/>
      <c r="AB144" s="17"/>
    </row>
    <row r="145">
      <c r="A145" s="17"/>
      <c r="B145" s="17"/>
      <c r="C145" s="17"/>
      <c r="D145" s="17"/>
      <c r="E145" s="17"/>
      <c r="F145" s="301"/>
      <c r="G145" s="17"/>
      <c r="H145" s="17"/>
      <c r="I145" s="17"/>
      <c r="J145" s="17"/>
      <c r="K145" s="17"/>
      <c r="L145" s="17"/>
      <c r="M145" s="17"/>
      <c r="N145" s="17"/>
      <c r="O145" s="17"/>
      <c r="P145" s="17"/>
      <c r="Q145" s="17"/>
      <c r="R145" s="17"/>
      <c r="S145" s="205"/>
      <c r="T145" s="205"/>
      <c r="U145" s="205"/>
      <c r="V145" s="205"/>
      <c r="W145" s="17"/>
      <c r="X145" s="17"/>
      <c r="Y145" s="17"/>
      <c r="Z145" s="17"/>
      <c r="AA145" s="17"/>
      <c r="AB145" s="17"/>
    </row>
    <row r="146">
      <c r="A146" s="17"/>
      <c r="B146" s="17"/>
      <c r="C146" s="17"/>
      <c r="D146" s="17"/>
      <c r="E146" s="17"/>
      <c r="F146" s="301"/>
      <c r="G146" s="17"/>
      <c r="H146" s="17"/>
      <c r="I146" s="17"/>
      <c r="J146" s="17"/>
      <c r="K146" s="17"/>
      <c r="L146" s="17"/>
      <c r="M146" s="17"/>
      <c r="N146" s="17"/>
      <c r="O146" s="17"/>
      <c r="P146" s="17"/>
      <c r="Q146" s="17"/>
      <c r="R146" s="17"/>
      <c r="S146" s="205"/>
      <c r="T146" s="205"/>
      <c r="U146" s="205"/>
      <c r="V146" s="205"/>
      <c r="W146" s="17"/>
      <c r="X146" s="17"/>
      <c r="Y146" s="17"/>
      <c r="Z146" s="17"/>
      <c r="AA146" s="17"/>
      <c r="AB146" s="17"/>
    </row>
    <row r="147">
      <c r="A147" s="17"/>
      <c r="B147" s="17"/>
      <c r="C147" s="17"/>
      <c r="D147" s="17"/>
      <c r="E147" s="17"/>
      <c r="F147" s="301"/>
      <c r="G147" s="17"/>
      <c r="H147" s="17"/>
      <c r="I147" s="17"/>
      <c r="J147" s="17"/>
      <c r="K147" s="17"/>
      <c r="L147" s="17"/>
      <c r="M147" s="17"/>
      <c r="N147" s="17"/>
      <c r="O147" s="17"/>
      <c r="P147" s="17"/>
      <c r="Q147" s="17"/>
      <c r="R147" s="17"/>
      <c r="S147" s="205"/>
      <c r="T147" s="205"/>
      <c r="U147" s="205"/>
      <c r="V147" s="205"/>
      <c r="W147" s="17"/>
      <c r="X147" s="17"/>
      <c r="Y147" s="17"/>
      <c r="Z147" s="17"/>
      <c r="AA147" s="17"/>
      <c r="AB147" s="17"/>
    </row>
    <row r="148">
      <c r="A148" s="17"/>
      <c r="B148" s="17"/>
      <c r="C148" s="17"/>
      <c r="D148" s="17"/>
      <c r="E148" s="17"/>
      <c r="F148" s="301"/>
      <c r="G148" s="17"/>
      <c r="H148" s="17"/>
      <c r="I148" s="17"/>
      <c r="J148" s="17"/>
      <c r="K148" s="17"/>
      <c r="L148" s="17"/>
      <c r="M148" s="17"/>
      <c r="N148" s="17"/>
      <c r="O148" s="17"/>
      <c r="P148" s="17"/>
      <c r="Q148" s="17"/>
      <c r="R148" s="17"/>
      <c r="S148" s="205"/>
      <c r="T148" s="205"/>
      <c r="U148" s="205"/>
      <c r="V148" s="205"/>
      <c r="W148" s="17"/>
      <c r="X148" s="17"/>
      <c r="Y148" s="17"/>
      <c r="Z148" s="17"/>
      <c r="AA148" s="17"/>
      <c r="AB148" s="17"/>
    </row>
    <row r="149">
      <c r="A149" s="17"/>
      <c r="B149" s="17"/>
      <c r="C149" s="17"/>
      <c r="D149" s="17"/>
      <c r="E149" s="17"/>
      <c r="F149" s="301"/>
      <c r="G149" s="17"/>
      <c r="H149" s="17"/>
      <c r="I149" s="17"/>
      <c r="J149" s="17"/>
      <c r="K149" s="17"/>
      <c r="L149" s="17"/>
      <c r="M149" s="17"/>
      <c r="N149" s="17"/>
      <c r="O149" s="17"/>
      <c r="P149" s="17"/>
      <c r="Q149" s="17"/>
      <c r="R149" s="17"/>
      <c r="S149" s="205"/>
      <c r="T149" s="205"/>
      <c r="U149" s="205"/>
      <c r="V149" s="205"/>
      <c r="W149" s="17"/>
      <c r="X149" s="17"/>
      <c r="Y149" s="17"/>
      <c r="Z149" s="17"/>
      <c r="AA149" s="17"/>
      <c r="AB149" s="17"/>
    </row>
    <row r="150">
      <c r="A150" s="17"/>
      <c r="B150" s="17"/>
      <c r="C150" s="17"/>
      <c r="D150" s="17"/>
      <c r="E150" s="17"/>
      <c r="F150" s="301"/>
      <c r="G150" s="17"/>
      <c r="H150" s="17"/>
      <c r="I150" s="17"/>
      <c r="J150" s="17"/>
      <c r="K150" s="17"/>
      <c r="L150" s="17"/>
      <c r="M150" s="17"/>
      <c r="N150" s="17"/>
      <c r="O150" s="17"/>
      <c r="P150" s="17"/>
      <c r="Q150" s="17"/>
      <c r="R150" s="17"/>
      <c r="S150" s="205"/>
      <c r="T150" s="205"/>
      <c r="U150" s="205"/>
      <c r="V150" s="205"/>
      <c r="W150" s="17"/>
      <c r="X150" s="17"/>
      <c r="Y150" s="17"/>
      <c r="Z150" s="17"/>
      <c r="AA150" s="17"/>
      <c r="AB150" s="17"/>
    </row>
    <row r="151">
      <c r="A151" s="17"/>
      <c r="B151" s="17"/>
      <c r="C151" s="17"/>
      <c r="D151" s="17"/>
      <c r="E151" s="17"/>
      <c r="F151" s="301"/>
      <c r="G151" s="17"/>
      <c r="H151" s="17"/>
      <c r="I151" s="17"/>
      <c r="J151" s="17"/>
      <c r="K151" s="17"/>
      <c r="L151" s="17"/>
      <c r="M151" s="17"/>
      <c r="N151" s="17"/>
      <c r="O151" s="17"/>
      <c r="P151" s="17"/>
      <c r="Q151" s="17"/>
      <c r="R151" s="17"/>
      <c r="S151" s="205"/>
      <c r="T151" s="205"/>
      <c r="U151" s="205"/>
      <c r="V151" s="205"/>
      <c r="W151" s="17"/>
      <c r="X151" s="17"/>
      <c r="Y151" s="17"/>
      <c r="Z151" s="17"/>
      <c r="AA151" s="17"/>
      <c r="AB151" s="17"/>
    </row>
    <row r="152">
      <c r="A152" s="17"/>
      <c r="B152" s="17"/>
      <c r="C152" s="17"/>
      <c r="D152" s="17"/>
      <c r="E152" s="17"/>
      <c r="F152" s="301"/>
      <c r="G152" s="17"/>
      <c r="H152" s="17"/>
      <c r="I152" s="17"/>
      <c r="J152" s="17"/>
      <c r="K152" s="17"/>
      <c r="L152" s="17"/>
      <c r="M152" s="17"/>
      <c r="N152" s="17"/>
      <c r="O152" s="17"/>
      <c r="P152" s="17"/>
      <c r="Q152" s="17"/>
      <c r="R152" s="17"/>
      <c r="S152" s="205"/>
      <c r="T152" s="205"/>
      <c r="U152" s="205"/>
      <c r="V152" s="205"/>
      <c r="W152" s="17"/>
      <c r="X152" s="17"/>
      <c r="Y152" s="17"/>
      <c r="Z152" s="17"/>
      <c r="AA152" s="17"/>
      <c r="AB152" s="17"/>
    </row>
    <row r="153">
      <c r="A153" s="17"/>
      <c r="B153" s="17"/>
      <c r="C153" s="17"/>
      <c r="D153" s="17"/>
      <c r="E153" s="17"/>
      <c r="F153" s="301"/>
      <c r="G153" s="17"/>
      <c r="H153" s="17"/>
      <c r="I153" s="17"/>
      <c r="J153" s="17"/>
      <c r="K153" s="17"/>
      <c r="L153" s="17"/>
      <c r="M153" s="17"/>
      <c r="N153" s="17"/>
      <c r="O153" s="17"/>
      <c r="P153" s="17"/>
      <c r="Q153" s="17"/>
      <c r="R153" s="17"/>
      <c r="S153" s="205"/>
      <c r="T153" s="205"/>
      <c r="U153" s="205"/>
      <c r="V153" s="205"/>
      <c r="W153" s="17"/>
      <c r="X153" s="17"/>
      <c r="Y153" s="17"/>
      <c r="Z153" s="17"/>
      <c r="AA153" s="17"/>
      <c r="AB153" s="17"/>
    </row>
    <row r="154">
      <c r="A154" s="17"/>
      <c r="B154" s="17"/>
      <c r="C154" s="17"/>
      <c r="D154" s="17"/>
      <c r="E154" s="17"/>
      <c r="F154" s="301"/>
      <c r="G154" s="17"/>
      <c r="H154" s="17"/>
      <c r="I154" s="17"/>
      <c r="J154" s="17"/>
      <c r="K154" s="17"/>
      <c r="L154" s="17"/>
      <c r="M154" s="17"/>
      <c r="N154" s="17"/>
      <c r="O154" s="17"/>
      <c r="P154" s="17"/>
      <c r="Q154" s="17"/>
      <c r="R154" s="17"/>
      <c r="S154" s="205"/>
      <c r="T154" s="205"/>
      <c r="U154" s="205"/>
      <c r="V154" s="205"/>
      <c r="W154" s="17"/>
      <c r="X154" s="17"/>
      <c r="Y154" s="17"/>
      <c r="Z154" s="17"/>
      <c r="AA154" s="17"/>
      <c r="AB154" s="17"/>
    </row>
    <row r="155">
      <c r="A155" s="17"/>
      <c r="B155" s="17"/>
      <c r="C155" s="17"/>
      <c r="D155" s="17"/>
      <c r="E155" s="17"/>
      <c r="F155" s="301"/>
      <c r="G155" s="17"/>
      <c r="H155" s="17"/>
      <c r="I155" s="17"/>
      <c r="J155" s="17"/>
      <c r="K155" s="17"/>
      <c r="L155" s="17"/>
      <c r="M155" s="17"/>
      <c r="N155" s="17"/>
      <c r="O155" s="17"/>
      <c r="P155" s="17"/>
      <c r="Q155" s="17"/>
      <c r="R155" s="17"/>
      <c r="S155" s="205"/>
      <c r="T155" s="205"/>
      <c r="U155" s="205"/>
      <c r="V155" s="205"/>
      <c r="W155" s="17"/>
      <c r="X155" s="17"/>
      <c r="Y155" s="17"/>
      <c r="Z155" s="17"/>
      <c r="AA155" s="17"/>
      <c r="AB155" s="17"/>
    </row>
    <row r="156">
      <c r="A156" s="17"/>
      <c r="B156" s="17"/>
      <c r="C156" s="17"/>
      <c r="D156" s="17"/>
      <c r="E156" s="17"/>
      <c r="F156" s="301"/>
      <c r="G156" s="17"/>
      <c r="H156" s="17"/>
      <c r="I156" s="17"/>
      <c r="J156" s="17"/>
      <c r="K156" s="17"/>
      <c r="L156" s="17"/>
      <c r="M156" s="17"/>
      <c r="N156" s="17"/>
      <c r="O156" s="17"/>
      <c r="P156" s="17"/>
      <c r="Q156" s="17"/>
      <c r="R156" s="17"/>
      <c r="S156" s="205"/>
      <c r="T156" s="205"/>
      <c r="U156" s="205"/>
      <c r="V156" s="205"/>
      <c r="W156" s="17"/>
      <c r="X156" s="17"/>
      <c r="Y156" s="17"/>
      <c r="Z156" s="17"/>
      <c r="AA156" s="17"/>
      <c r="AB156" s="17"/>
    </row>
    <row r="157">
      <c r="A157" s="17"/>
      <c r="B157" s="17"/>
      <c r="C157" s="17"/>
      <c r="D157" s="17"/>
      <c r="E157" s="17"/>
      <c r="F157" s="301"/>
      <c r="G157" s="17"/>
      <c r="H157" s="17"/>
      <c r="I157" s="17"/>
      <c r="J157" s="17"/>
      <c r="K157" s="17"/>
      <c r="L157" s="17"/>
      <c r="M157" s="17"/>
      <c r="N157" s="17"/>
      <c r="O157" s="17"/>
      <c r="P157" s="17"/>
      <c r="Q157" s="17"/>
      <c r="R157" s="17"/>
      <c r="S157" s="205"/>
      <c r="T157" s="205"/>
      <c r="U157" s="205"/>
      <c r="V157" s="205"/>
      <c r="W157" s="17"/>
      <c r="X157" s="17"/>
      <c r="Y157" s="17"/>
      <c r="Z157" s="17"/>
      <c r="AA157" s="17"/>
      <c r="AB157" s="17"/>
    </row>
    <row r="158">
      <c r="A158" s="17"/>
      <c r="B158" s="17"/>
      <c r="C158" s="17"/>
      <c r="D158" s="17"/>
      <c r="E158" s="17"/>
      <c r="F158" s="301"/>
      <c r="G158" s="17"/>
      <c r="H158" s="17"/>
      <c r="I158" s="17"/>
      <c r="J158" s="17"/>
      <c r="K158" s="17"/>
      <c r="L158" s="17"/>
      <c r="M158" s="17"/>
      <c r="N158" s="17"/>
      <c r="O158" s="17"/>
      <c r="P158" s="17"/>
      <c r="Q158" s="17"/>
      <c r="R158" s="17"/>
      <c r="S158" s="205"/>
      <c r="T158" s="205"/>
      <c r="U158" s="205"/>
      <c r="V158" s="205"/>
      <c r="W158" s="17"/>
      <c r="X158" s="17"/>
      <c r="Y158" s="17"/>
      <c r="Z158" s="17"/>
      <c r="AA158" s="17"/>
      <c r="AB158" s="17"/>
    </row>
    <row r="159">
      <c r="A159" s="17"/>
      <c r="B159" s="17"/>
      <c r="C159" s="17"/>
      <c r="D159" s="17"/>
      <c r="E159" s="17"/>
      <c r="F159" s="301"/>
      <c r="G159" s="17"/>
      <c r="H159" s="17"/>
      <c r="I159" s="17"/>
      <c r="J159" s="17"/>
      <c r="K159" s="17"/>
      <c r="L159" s="17"/>
      <c r="M159" s="17"/>
      <c r="N159" s="17"/>
      <c r="O159" s="17"/>
      <c r="P159" s="17"/>
      <c r="Q159" s="17"/>
      <c r="R159" s="17"/>
      <c r="S159" s="205"/>
      <c r="T159" s="205"/>
      <c r="U159" s="205"/>
      <c r="V159" s="205"/>
      <c r="W159" s="17"/>
      <c r="X159" s="17"/>
      <c r="Y159" s="17"/>
      <c r="Z159" s="17"/>
      <c r="AA159" s="17"/>
      <c r="AB159" s="17"/>
    </row>
    <row r="160">
      <c r="A160" s="17"/>
      <c r="B160" s="17"/>
      <c r="C160" s="17"/>
      <c r="D160" s="17"/>
      <c r="E160" s="17"/>
      <c r="F160" s="301"/>
      <c r="G160" s="17"/>
      <c r="H160" s="17"/>
      <c r="I160" s="17"/>
      <c r="J160" s="17"/>
      <c r="K160" s="17"/>
      <c r="L160" s="17"/>
      <c r="M160" s="17"/>
      <c r="N160" s="17"/>
      <c r="O160" s="17"/>
      <c r="P160" s="17"/>
      <c r="Q160" s="17"/>
      <c r="R160" s="17"/>
      <c r="S160" s="205"/>
      <c r="T160" s="205"/>
      <c r="U160" s="205"/>
      <c r="V160" s="205"/>
      <c r="W160" s="17"/>
      <c r="X160" s="17"/>
      <c r="Y160" s="17"/>
      <c r="Z160" s="17"/>
      <c r="AA160" s="17"/>
      <c r="AB160" s="17"/>
    </row>
    <row r="161">
      <c r="A161" s="17"/>
      <c r="B161" s="17"/>
      <c r="C161" s="17"/>
      <c r="D161" s="17"/>
      <c r="E161" s="17"/>
      <c r="F161" s="301"/>
      <c r="G161" s="17"/>
      <c r="H161" s="17"/>
      <c r="I161" s="17"/>
      <c r="J161" s="17"/>
      <c r="K161" s="17"/>
      <c r="L161" s="17"/>
      <c r="M161" s="17"/>
      <c r="N161" s="17"/>
      <c r="O161" s="17"/>
      <c r="P161" s="17"/>
      <c r="Q161" s="17"/>
      <c r="R161" s="17"/>
      <c r="S161" s="205"/>
      <c r="T161" s="205"/>
      <c r="U161" s="205"/>
      <c r="V161" s="205"/>
      <c r="W161" s="17"/>
      <c r="X161" s="17"/>
      <c r="Y161" s="17"/>
      <c r="Z161" s="17"/>
      <c r="AA161" s="17"/>
      <c r="AB161" s="17"/>
    </row>
    <row r="162">
      <c r="A162" s="17"/>
      <c r="B162" s="17"/>
      <c r="C162" s="17"/>
      <c r="D162" s="17"/>
      <c r="E162" s="17"/>
      <c r="F162" s="301"/>
      <c r="G162" s="17"/>
      <c r="H162" s="17"/>
      <c r="I162" s="17"/>
      <c r="J162" s="17"/>
      <c r="K162" s="17"/>
      <c r="L162" s="17"/>
      <c r="M162" s="17"/>
      <c r="N162" s="17"/>
      <c r="O162" s="17"/>
      <c r="P162" s="17"/>
      <c r="Q162" s="17"/>
      <c r="R162" s="17"/>
      <c r="S162" s="205"/>
      <c r="T162" s="205"/>
      <c r="U162" s="205"/>
      <c r="V162" s="205"/>
      <c r="W162" s="17"/>
      <c r="X162" s="17"/>
      <c r="Y162" s="17"/>
      <c r="Z162" s="17"/>
      <c r="AA162" s="17"/>
      <c r="AB162" s="17"/>
    </row>
    <row r="163">
      <c r="A163" s="17"/>
      <c r="B163" s="17"/>
      <c r="C163" s="17"/>
      <c r="D163" s="17"/>
      <c r="E163" s="17"/>
      <c r="F163" s="301"/>
      <c r="G163" s="17"/>
      <c r="H163" s="17"/>
      <c r="I163" s="17"/>
      <c r="J163" s="17"/>
      <c r="K163" s="17"/>
      <c r="L163" s="17"/>
      <c r="M163" s="17"/>
      <c r="N163" s="17"/>
      <c r="O163" s="17"/>
      <c r="P163" s="17"/>
      <c r="Q163" s="17"/>
      <c r="R163" s="17"/>
      <c r="S163" s="205"/>
      <c r="T163" s="205"/>
      <c r="U163" s="205"/>
      <c r="V163" s="205"/>
      <c r="W163" s="17"/>
      <c r="X163" s="17"/>
      <c r="Y163" s="17"/>
      <c r="Z163" s="17"/>
      <c r="AA163" s="17"/>
      <c r="AB163" s="17"/>
    </row>
    <row r="164">
      <c r="A164" s="17"/>
      <c r="B164" s="17"/>
      <c r="C164" s="17"/>
      <c r="D164" s="17"/>
      <c r="E164" s="17"/>
      <c r="F164" s="301"/>
      <c r="G164" s="17"/>
      <c r="H164" s="17"/>
      <c r="I164" s="17"/>
      <c r="J164" s="17"/>
      <c r="K164" s="17"/>
      <c r="L164" s="17"/>
      <c r="M164" s="17"/>
      <c r="N164" s="17"/>
      <c r="O164" s="17"/>
      <c r="P164" s="17"/>
      <c r="Q164" s="17"/>
      <c r="R164" s="17"/>
      <c r="S164" s="205"/>
      <c r="T164" s="205"/>
      <c r="U164" s="205"/>
      <c r="V164" s="205"/>
      <c r="W164" s="17"/>
      <c r="X164" s="17"/>
      <c r="Y164" s="17"/>
      <c r="Z164" s="17"/>
      <c r="AA164" s="17"/>
      <c r="AB164" s="17"/>
    </row>
    <row r="165">
      <c r="A165" s="17"/>
      <c r="B165" s="17"/>
      <c r="C165" s="17"/>
      <c r="D165" s="17"/>
      <c r="E165" s="17"/>
      <c r="F165" s="301"/>
      <c r="G165" s="17"/>
      <c r="H165" s="17"/>
      <c r="I165" s="17"/>
      <c r="J165" s="17"/>
      <c r="K165" s="17"/>
      <c r="L165" s="17"/>
      <c r="M165" s="17"/>
      <c r="N165" s="17"/>
      <c r="O165" s="17"/>
      <c r="P165" s="17"/>
      <c r="Q165" s="17"/>
      <c r="R165" s="17"/>
      <c r="S165" s="205"/>
      <c r="T165" s="205"/>
      <c r="U165" s="205"/>
      <c r="V165" s="205"/>
      <c r="W165" s="17"/>
      <c r="X165" s="17"/>
      <c r="Y165" s="17"/>
      <c r="Z165" s="17"/>
      <c r="AA165" s="17"/>
      <c r="AB165" s="17"/>
    </row>
    <row r="166">
      <c r="A166" s="17"/>
      <c r="B166" s="17"/>
      <c r="C166" s="17"/>
      <c r="D166" s="17"/>
      <c r="E166" s="17"/>
      <c r="F166" s="301"/>
      <c r="G166" s="17"/>
      <c r="H166" s="17"/>
      <c r="I166" s="17"/>
      <c r="J166" s="17"/>
      <c r="K166" s="17"/>
      <c r="L166" s="17"/>
      <c r="M166" s="17"/>
      <c r="N166" s="17"/>
      <c r="O166" s="17"/>
      <c r="P166" s="17"/>
      <c r="Q166" s="17"/>
      <c r="R166" s="17"/>
      <c r="S166" s="205"/>
      <c r="T166" s="205"/>
      <c r="U166" s="205"/>
      <c r="V166" s="205"/>
      <c r="W166" s="17"/>
      <c r="X166" s="17"/>
      <c r="Y166" s="17"/>
      <c r="Z166" s="17"/>
      <c r="AA166" s="17"/>
      <c r="AB166" s="17"/>
    </row>
    <row r="167">
      <c r="A167" s="17"/>
      <c r="B167" s="17"/>
      <c r="C167" s="17"/>
      <c r="D167" s="17"/>
      <c r="E167" s="17"/>
      <c r="F167" s="301"/>
      <c r="G167" s="17"/>
      <c r="H167" s="17"/>
      <c r="I167" s="17"/>
      <c r="J167" s="17"/>
      <c r="K167" s="17"/>
      <c r="L167" s="17"/>
      <c r="M167" s="17"/>
      <c r="N167" s="17"/>
      <c r="O167" s="17"/>
      <c r="P167" s="17"/>
      <c r="Q167" s="17"/>
      <c r="R167" s="17"/>
      <c r="S167" s="205"/>
      <c r="T167" s="205"/>
      <c r="U167" s="205"/>
      <c r="V167" s="205"/>
      <c r="W167" s="17"/>
      <c r="X167" s="17"/>
      <c r="Y167" s="17"/>
      <c r="Z167" s="17"/>
      <c r="AA167" s="17"/>
      <c r="AB167" s="17"/>
    </row>
    <row r="168">
      <c r="A168" s="17"/>
      <c r="B168" s="17"/>
      <c r="C168" s="17"/>
      <c r="D168" s="17"/>
      <c r="E168" s="17"/>
      <c r="F168" s="301"/>
      <c r="G168" s="17"/>
      <c r="H168" s="17"/>
      <c r="I168" s="17"/>
      <c r="J168" s="17"/>
      <c r="K168" s="17"/>
      <c r="L168" s="17"/>
      <c r="M168" s="17"/>
      <c r="N168" s="17"/>
      <c r="O168" s="17"/>
      <c r="P168" s="17"/>
      <c r="Q168" s="17"/>
      <c r="R168" s="17"/>
      <c r="S168" s="205"/>
      <c r="T168" s="205"/>
      <c r="U168" s="205"/>
      <c r="V168" s="205"/>
      <c r="W168" s="17"/>
      <c r="X168" s="17"/>
      <c r="Y168" s="17"/>
      <c r="Z168" s="17"/>
      <c r="AA168" s="17"/>
      <c r="AB168" s="17"/>
    </row>
    <row r="169">
      <c r="A169" s="17"/>
      <c r="B169" s="17"/>
      <c r="C169" s="17"/>
      <c r="D169" s="17"/>
      <c r="E169" s="17"/>
      <c r="F169" s="301"/>
      <c r="G169" s="17"/>
      <c r="H169" s="17"/>
      <c r="I169" s="17"/>
      <c r="J169" s="17"/>
      <c r="K169" s="17"/>
      <c r="L169" s="17"/>
      <c r="M169" s="17"/>
      <c r="N169" s="17"/>
      <c r="O169" s="17"/>
      <c r="P169" s="17"/>
      <c r="Q169" s="17"/>
      <c r="R169" s="17"/>
      <c r="S169" s="205"/>
      <c r="T169" s="205"/>
      <c r="U169" s="205"/>
      <c r="V169" s="205"/>
      <c r="W169" s="17"/>
      <c r="X169" s="17"/>
      <c r="Y169" s="17"/>
      <c r="Z169" s="17"/>
      <c r="AA169" s="17"/>
      <c r="AB169" s="17"/>
    </row>
    <row r="170">
      <c r="A170" s="17"/>
      <c r="B170" s="17"/>
      <c r="C170" s="17"/>
      <c r="D170" s="17"/>
      <c r="E170" s="17"/>
      <c r="F170" s="301"/>
      <c r="G170" s="17"/>
      <c r="H170" s="17"/>
      <c r="I170" s="17"/>
      <c r="J170" s="17"/>
      <c r="K170" s="17"/>
      <c r="L170" s="17"/>
      <c r="M170" s="17"/>
      <c r="N170" s="17"/>
      <c r="O170" s="17"/>
      <c r="P170" s="17"/>
      <c r="Q170" s="17"/>
      <c r="R170" s="17"/>
      <c r="S170" s="205"/>
      <c r="T170" s="205"/>
      <c r="U170" s="205"/>
      <c r="V170" s="205"/>
      <c r="W170" s="17"/>
      <c r="X170" s="17"/>
      <c r="Y170" s="17"/>
      <c r="Z170" s="17"/>
      <c r="AA170" s="17"/>
      <c r="AB170" s="17"/>
    </row>
    <row r="171">
      <c r="A171" s="17"/>
      <c r="B171" s="17"/>
      <c r="C171" s="17"/>
      <c r="D171" s="17"/>
      <c r="E171" s="17"/>
      <c r="F171" s="301"/>
      <c r="G171" s="17"/>
      <c r="H171" s="17"/>
      <c r="I171" s="17"/>
      <c r="J171" s="17"/>
      <c r="K171" s="17"/>
      <c r="L171" s="17"/>
      <c r="M171" s="17"/>
      <c r="N171" s="17"/>
      <c r="O171" s="17"/>
      <c r="P171" s="17"/>
      <c r="Q171" s="17"/>
      <c r="R171" s="17"/>
      <c r="S171" s="205"/>
      <c r="T171" s="205"/>
      <c r="U171" s="205"/>
      <c r="V171" s="205"/>
      <c r="W171" s="17"/>
      <c r="X171" s="17"/>
      <c r="Y171" s="17"/>
      <c r="Z171" s="17"/>
      <c r="AA171" s="17"/>
      <c r="AB171" s="17"/>
    </row>
    <row r="172">
      <c r="A172" s="17"/>
      <c r="B172" s="17"/>
      <c r="C172" s="17"/>
      <c r="D172" s="17"/>
      <c r="E172" s="17"/>
      <c r="F172" s="301"/>
      <c r="G172" s="17"/>
      <c r="H172" s="17"/>
      <c r="I172" s="17"/>
      <c r="J172" s="17"/>
      <c r="K172" s="17"/>
      <c r="L172" s="17"/>
      <c r="M172" s="17"/>
      <c r="N172" s="17"/>
      <c r="O172" s="17"/>
      <c r="P172" s="17"/>
      <c r="Q172" s="17"/>
      <c r="R172" s="17"/>
      <c r="S172" s="205"/>
      <c r="T172" s="205"/>
      <c r="U172" s="205"/>
      <c r="V172" s="205"/>
      <c r="W172" s="17"/>
      <c r="X172" s="17"/>
      <c r="Y172" s="17"/>
      <c r="Z172" s="17"/>
      <c r="AA172" s="17"/>
      <c r="AB172" s="17"/>
    </row>
    <row r="173">
      <c r="A173" s="17"/>
      <c r="B173" s="17"/>
      <c r="C173" s="17"/>
      <c r="D173" s="17"/>
      <c r="E173" s="17"/>
      <c r="F173" s="301"/>
      <c r="G173" s="17"/>
      <c r="H173" s="17"/>
      <c r="I173" s="17"/>
      <c r="J173" s="17"/>
      <c r="K173" s="17"/>
      <c r="L173" s="17"/>
      <c r="M173" s="17"/>
      <c r="N173" s="17"/>
      <c r="O173" s="17"/>
      <c r="P173" s="17"/>
      <c r="Q173" s="17"/>
      <c r="R173" s="17"/>
      <c r="S173" s="205"/>
      <c r="T173" s="205"/>
      <c r="U173" s="205"/>
      <c r="V173" s="205"/>
      <c r="W173" s="17"/>
      <c r="X173" s="17"/>
      <c r="Y173" s="17"/>
      <c r="Z173" s="17"/>
      <c r="AA173" s="17"/>
      <c r="AB173" s="17"/>
    </row>
    <row r="174">
      <c r="A174" s="17"/>
      <c r="B174" s="17"/>
      <c r="C174" s="17"/>
      <c r="D174" s="17"/>
      <c r="E174" s="17"/>
      <c r="F174" s="301"/>
      <c r="G174" s="17"/>
      <c r="H174" s="17"/>
      <c r="I174" s="17"/>
      <c r="J174" s="17"/>
      <c r="K174" s="17"/>
      <c r="L174" s="17"/>
      <c r="M174" s="17"/>
      <c r="N174" s="17"/>
      <c r="O174" s="17"/>
      <c r="P174" s="17"/>
      <c r="Q174" s="17"/>
      <c r="R174" s="17"/>
      <c r="S174" s="205"/>
      <c r="T174" s="205"/>
      <c r="U174" s="205"/>
      <c r="V174" s="205"/>
      <c r="W174" s="17"/>
      <c r="X174" s="17"/>
      <c r="Y174" s="17"/>
      <c r="Z174" s="17"/>
      <c r="AA174" s="17"/>
      <c r="AB174" s="17"/>
    </row>
    <row r="175">
      <c r="A175" s="17"/>
      <c r="B175" s="17"/>
      <c r="C175" s="17"/>
      <c r="D175" s="17"/>
      <c r="E175" s="17"/>
      <c r="F175" s="301"/>
      <c r="G175" s="17"/>
      <c r="H175" s="17"/>
      <c r="I175" s="17"/>
      <c r="J175" s="17"/>
      <c r="K175" s="17"/>
      <c r="L175" s="17"/>
      <c r="M175" s="17"/>
      <c r="N175" s="17"/>
      <c r="O175" s="17"/>
      <c r="P175" s="17"/>
      <c r="Q175" s="17"/>
      <c r="R175" s="17"/>
      <c r="S175" s="205"/>
      <c r="T175" s="205"/>
      <c r="U175" s="205"/>
      <c r="V175" s="205"/>
      <c r="W175" s="17"/>
      <c r="X175" s="17"/>
      <c r="Y175" s="17"/>
      <c r="Z175" s="17"/>
      <c r="AA175" s="17"/>
      <c r="AB175" s="17"/>
    </row>
    <row r="176">
      <c r="A176" s="17"/>
      <c r="B176" s="17"/>
      <c r="C176" s="17"/>
      <c r="D176" s="17"/>
      <c r="E176" s="17"/>
      <c r="F176" s="301"/>
      <c r="G176" s="17"/>
      <c r="H176" s="17"/>
      <c r="I176" s="17"/>
      <c r="J176" s="17"/>
      <c r="K176" s="17"/>
      <c r="L176" s="17"/>
      <c r="M176" s="17"/>
      <c r="N176" s="17"/>
      <c r="O176" s="17"/>
      <c r="P176" s="17"/>
      <c r="Q176" s="17"/>
      <c r="R176" s="17"/>
      <c r="S176" s="205"/>
      <c r="T176" s="205"/>
      <c r="U176" s="205"/>
      <c r="V176" s="205"/>
      <c r="W176" s="17"/>
      <c r="X176" s="17"/>
      <c r="Y176" s="17"/>
      <c r="Z176" s="17"/>
      <c r="AA176" s="17"/>
      <c r="AB176" s="17"/>
    </row>
    <row r="177">
      <c r="A177" s="17"/>
      <c r="B177" s="17"/>
      <c r="C177" s="17"/>
      <c r="D177" s="17"/>
      <c r="E177" s="17"/>
      <c r="F177" s="301"/>
      <c r="G177" s="17"/>
      <c r="H177" s="17"/>
      <c r="I177" s="17"/>
      <c r="J177" s="17"/>
      <c r="K177" s="17"/>
      <c r="L177" s="17"/>
      <c r="M177" s="17"/>
      <c r="N177" s="17"/>
      <c r="O177" s="17"/>
      <c r="P177" s="17"/>
      <c r="Q177" s="17"/>
      <c r="R177" s="17"/>
      <c r="S177" s="205"/>
      <c r="T177" s="205"/>
      <c r="U177" s="205"/>
      <c r="V177" s="205"/>
      <c r="W177" s="17"/>
      <c r="X177" s="17"/>
      <c r="Y177" s="17"/>
      <c r="Z177" s="17"/>
      <c r="AA177" s="17"/>
      <c r="AB177" s="17"/>
    </row>
    <row r="178">
      <c r="A178" s="17"/>
      <c r="B178" s="17"/>
      <c r="C178" s="17"/>
      <c r="D178" s="17"/>
      <c r="E178" s="17"/>
      <c r="F178" s="301"/>
      <c r="G178" s="17"/>
      <c r="H178" s="17"/>
      <c r="I178" s="17"/>
      <c r="J178" s="17"/>
      <c r="K178" s="17"/>
      <c r="L178" s="17"/>
      <c r="M178" s="17"/>
      <c r="N178" s="17"/>
      <c r="O178" s="17"/>
      <c r="P178" s="17"/>
      <c r="Q178" s="17"/>
      <c r="R178" s="17"/>
      <c r="S178" s="205"/>
      <c r="T178" s="205"/>
      <c r="U178" s="205"/>
      <c r="V178" s="205"/>
      <c r="W178" s="17"/>
      <c r="X178" s="17"/>
      <c r="Y178" s="17"/>
      <c r="Z178" s="17"/>
      <c r="AA178" s="17"/>
      <c r="AB178" s="17"/>
    </row>
    <row r="179">
      <c r="A179" s="17"/>
      <c r="B179" s="17"/>
      <c r="C179" s="17"/>
      <c r="D179" s="17"/>
      <c r="E179" s="17"/>
      <c r="F179" s="301"/>
      <c r="G179" s="17"/>
      <c r="H179" s="17"/>
      <c r="I179" s="17"/>
      <c r="J179" s="17"/>
      <c r="K179" s="17"/>
      <c r="L179" s="17"/>
      <c r="M179" s="17"/>
      <c r="N179" s="17"/>
      <c r="O179" s="17"/>
      <c r="P179" s="17"/>
      <c r="Q179" s="17"/>
      <c r="R179" s="17"/>
      <c r="S179" s="205"/>
      <c r="T179" s="205"/>
      <c r="U179" s="205"/>
      <c r="V179" s="205"/>
      <c r="W179" s="17"/>
      <c r="X179" s="17"/>
      <c r="Y179" s="17"/>
      <c r="Z179" s="17"/>
      <c r="AA179" s="17"/>
      <c r="AB179" s="17"/>
    </row>
    <row r="180">
      <c r="A180" s="17"/>
      <c r="B180" s="17"/>
      <c r="C180" s="17"/>
      <c r="D180" s="17"/>
      <c r="E180" s="17"/>
      <c r="F180" s="301"/>
      <c r="G180" s="17"/>
      <c r="H180" s="17"/>
      <c r="I180" s="17"/>
      <c r="J180" s="17"/>
      <c r="K180" s="17"/>
      <c r="L180" s="17"/>
      <c r="M180" s="17"/>
      <c r="N180" s="17"/>
      <c r="O180" s="17"/>
      <c r="P180" s="17"/>
      <c r="Q180" s="17"/>
      <c r="R180" s="17"/>
      <c r="S180" s="205"/>
      <c r="T180" s="205"/>
      <c r="U180" s="205"/>
      <c r="V180" s="205"/>
      <c r="W180" s="17"/>
      <c r="X180" s="17"/>
      <c r="Y180" s="17"/>
      <c r="Z180" s="17"/>
      <c r="AA180" s="17"/>
      <c r="AB180" s="17"/>
    </row>
    <row r="181">
      <c r="A181" s="17"/>
      <c r="B181" s="17"/>
      <c r="C181" s="17"/>
      <c r="D181" s="17"/>
      <c r="E181" s="17"/>
      <c r="F181" s="301"/>
      <c r="G181" s="17"/>
      <c r="H181" s="17"/>
      <c r="I181" s="17"/>
      <c r="J181" s="17"/>
      <c r="K181" s="17"/>
      <c r="L181" s="17"/>
      <c r="M181" s="17"/>
      <c r="N181" s="17"/>
      <c r="O181" s="17"/>
      <c r="P181" s="17"/>
      <c r="Q181" s="17"/>
      <c r="R181" s="17"/>
      <c r="S181" s="205"/>
      <c r="T181" s="205"/>
      <c r="U181" s="205"/>
      <c r="V181" s="205"/>
      <c r="W181" s="17"/>
      <c r="X181" s="17"/>
      <c r="Y181" s="17"/>
      <c r="Z181" s="17"/>
      <c r="AA181" s="17"/>
      <c r="AB181" s="17"/>
    </row>
    <row r="182">
      <c r="A182" s="17"/>
      <c r="B182" s="17"/>
      <c r="C182" s="17"/>
      <c r="D182" s="17"/>
      <c r="E182" s="17"/>
      <c r="F182" s="301"/>
      <c r="G182" s="17"/>
      <c r="H182" s="17"/>
      <c r="I182" s="17"/>
      <c r="J182" s="17"/>
      <c r="K182" s="17"/>
      <c r="L182" s="17"/>
      <c r="M182" s="17"/>
      <c r="N182" s="17"/>
      <c r="O182" s="17"/>
      <c r="P182" s="17"/>
      <c r="Q182" s="17"/>
      <c r="R182" s="17"/>
      <c r="S182" s="205"/>
      <c r="T182" s="205"/>
      <c r="U182" s="205"/>
      <c r="V182" s="205"/>
      <c r="W182" s="17"/>
      <c r="X182" s="17"/>
      <c r="Y182" s="17"/>
      <c r="Z182" s="17"/>
      <c r="AA182" s="17"/>
      <c r="AB182" s="17"/>
    </row>
    <row r="183">
      <c r="A183" s="17"/>
      <c r="B183" s="17"/>
      <c r="C183" s="17"/>
      <c r="D183" s="17"/>
      <c r="E183" s="17"/>
      <c r="F183" s="301"/>
      <c r="G183" s="17"/>
      <c r="H183" s="17"/>
      <c r="I183" s="17"/>
      <c r="J183" s="17"/>
      <c r="K183" s="17"/>
      <c r="L183" s="17"/>
      <c r="M183" s="17"/>
      <c r="N183" s="17"/>
      <c r="O183" s="17"/>
      <c r="P183" s="17"/>
      <c r="Q183" s="17"/>
      <c r="R183" s="17"/>
      <c r="S183" s="205"/>
      <c r="T183" s="205"/>
      <c r="U183" s="205"/>
      <c r="V183" s="205"/>
      <c r="W183" s="17"/>
      <c r="X183" s="17"/>
      <c r="Y183" s="17"/>
      <c r="Z183" s="17"/>
      <c r="AA183" s="17"/>
      <c r="AB183" s="17"/>
    </row>
    <row r="184">
      <c r="A184" s="17"/>
      <c r="B184" s="17"/>
      <c r="C184" s="17"/>
      <c r="D184" s="17"/>
      <c r="E184" s="17"/>
      <c r="F184" s="301"/>
      <c r="G184" s="17"/>
      <c r="H184" s="17"/>
      <c r="I184" s="17"/>
      <c r="J184" s="17"/>
      <c r="K184" s="17"/>
      <c r="L184" s="17"/>
      <c r="M184" s="17"/>
      <c r="N184" s="17"/>
      <c r="O184" s="17"/>
      <c r="P184" s="17"/>
      <c r="Q184" s="17"/>
      <c r="R184" s="17"/>
      <c r="S184" s="205"/>
      <c r="T184" s="205"/>
      <c r="U184" s="205"/>
      <c r="V184" s="205"/>
      <c r="W184" s="17"/>
      <c r="X184" s="17"/>
      <c r="Y184" s="17"/>
      <c r="Z184" s="17"/>
      <c r="AA184" s="17"/>
      <c r="AB184" s="17"/>
    </row>
    <row r="185">
      <c r="A185" s="17"/>
      <c r="B185" s="17"/>
      <c r="C185" s="17"/>
      <c r="D185" s="17"/>
      <c r="E185" s="17"/>
      <c r="F185" s="301"/>
      <c r="G185" s="17"/>
      <c r="H185" s="17"/>
      <c r="I185" s="17"/>
      <c r="J185" s="17"/>
      <c r="K185" s="17"/>
      <c r="L185" s="17"/>
      <c r="M185" s="17"/>
      <c r="N185" s="17"/>
      <c r="O185" s="17"/>
      <c r="P185" s="17"/>
      <c r="Q185" s="17"/>
      <c r="R185" s="17"/>
      <c r="S185" s="205"/>
      <c r="T185" s="205"/>
      <c r="U185" s="205"/>
      <c r="V185" s="205"/>
      <c r="W185" s="17"/>
      <c r="X185" s="17"/>
      <c r="Y185" s="17"/>
      <c r="Z185" s="17"/>
      <c r="AA185" s="17"/>
      <c r="AB185" s="17"/>
    </row>
    <row r="186">
      <c r="A186" s="17"/>
      <c r="B186" s="17"/>
      <c r="C186" s="17"/>
      <c r="D186" s="17"/>
      <c r="E186" s="17"/>
      <c r="F186" s="301"/>
      <c r="G186" s="17"/>
      <c r="H186" s="17"/>
      <c r="I186" s="17"/>
      <c r="J186" s="17"/>
      <c r="K186" s="17"/>
      <c r="L186" s="17"/>
      <c r="M186" s="17"/>
      <c r="N186" s="17"/>
      <c r="O186" s="17"/>
      <c r="P186" s="17"/>
      <c r="Q186" s="17"/>
      <c r="R186" s="17"/>
      <c r="S186" s="205"/>
      <c r="T186" s="205"/>
      <c r="U186" s="205"/>
      <c r="V186" s="205"/>
      <c r="W186" s="17"/>
      <c r="X186" s="17"/>
      <c r="Y186" s="17"/>
      <c r="Z186" s="17"/>
      <c r="AA186" s="17"/>
      <c r="AB186" s="17"/>
    </row>
    <row r="187">
      <c r="A187" s="17"/>
      <c r="B187" s="17"/>
      <c r="C187" s="17"/>
      <c r="D187" s="17"/>
      <c r="E187" s="17"/>
      <c r="F187" s="301"/>
      <c r="G187" s="17"/>
      <c r="H187" s="17"/>
      <c r="I187" s="17"/>
      <c r="J187" s="17"/>
      <c r="K187" s="17"/>
      <c r="L187" s="17"/>
      <c r="M187" s="17"/>
      <c r="N187" s="17"/>
      <c r="O187" s="17"/>
      <c r="P187" s="17"/>
      <c r="Q187" s="17"/>
      <c r="R187" s="17"/>
      <c r="S187" s="205"/>
      <c r="T187" s="205"/>
      <c r="U187" s="205"/>
      <c r="V187" s="205"/>
      <c r="W187" s="17"/>
      <c r="X187" s="17"/>
      <c r="Y187" s="17"/>
      <c r="Z187" s="17"/>
      <c r="AA187" s="17"/>
      <c r="AB187" s="17"/>
    </row>
    <row r="188">
      <c r="A188" s="17"/>
      <c r="B188" s="17"/>
      <c r="C188" s="17"/>
      <c r="D188" s="17"/>
      <c r="E188" s="17"/>
      <c r="F188" s="301"/>
      <c r="G188" s="17"/>
      <c r="H188" s="17"/>
      <c r="I188" s="17"/>
      <c r="J188" s="17"/>
      <c r="K188" s="17"/>
      <c r="L188" s="17"/>
      <c r="M188" s="17"/>
      <c r="N188" s="17"/>
      <c r="O188" s="17"/>
      <c r="P188" s="17"/>
      <c r="Q188" s="17"/>
      <c r="R188" s="17"/>
      <c r="S188" s="205"/>
      <c r="T188" s="205"/>
      <c r="U188" s="205"/>
      <c r="V188" s="205"/>
      <c r="W188" s="17"/>
      <c r="X188" s="17"/>
      <c r="Y188" s="17"/>
      <c r="Z188" s="17"/>
      <c r="AA188" s="17"/>
      <c r="AB188" s="17"/>
    </row>
    <row r="189">
      <c r="A189" s="17"/>
      <c r="B189" s="17"/>
      <c r="C189" s="17"/>
      <c r="D189" s="17"/>
      <c r="E189" s="17"/>
      <c r="F189" s="301"/>
      <c r="G189" s="17"/>
      <c r="H189" s="17"/>
      <c r="I189" s="17"/>
      <c r="J189" s="17"/>
      <c r="K189" s="17"/>
      <c r="L189" s="17"/>
      <c r="M189" s="17"/>
      <c r="N189" s="17"/>
      <c r="O189" s="17"/>
      <c r="P189" s="17"/>
      <c r="Q189" s="17"/>
      <c r="R189" s="17"/>
      <c r="S189" s="205"/>
      <c r="T189" s="205"/>
      <c r="U189" s="205"/>
      <c r="V189" s="205"/>
      <c r="W189" s="17"/>
      <c r="X189" s="17"/>
      <c r="Y189" s="17"/>
      <c r="Z189" s="17"/>
      <c r="AA189" s="17"/>
      <c r="AB189" s="17"/>
    </row>
    <row r="190">
      <c r="A190" s="17"/>
      <c r="B190" s="17"/>
      <c r="C190" s="17"/>
      <c r="D190" s="17"/>
      <c r="E190" s="17"/>
      <c r="F190" s="301"/>
      <c r="G190" s="17"/>
      <c r="H190" s="17"/>
      <c r="I190" s="17"/>
      <c r="J190" s="17"/>
      <c r="K190" s="17"/>
      <c r="L190" s="17"/>
      <c r="M190" s="17"/>
      <c r="N190" s="17"/>
      <c r="O190" s="17"/>
      <c r="P190" s="17"/>
      <c r="Q190" s="17"/>
      <c r="R190" s="17"/>
      <c r="S190" s="205"/>
      <c r="T190" s="205"/>
      <c r="U190" s="205"/>
      <c r="V190" s="205"/>
      <c r="W190" s="17"/>
      <c r="X190" s="17"/>
      <c r="Y190" s="17"/>
      <c r="Z190" s="17"/>
      <c r="AA190" s="17"/>
      <c r="AB190" s="17"/>
    </row>
    <row r="191">
      <c r="A191" s="17"/>
      <c r="B191" s="17"/>
      <c r="C191" s="17"/>
      <c r="D191" s="17"/>
      <c r="E191" s="17"/>
      <c r="F191" s="301"/>
      <c r="G191" s="17"/>
      <c r="H191" s="17"/>
      <c r="I191" s="17"/>
      <c r="J191" s="17"/>
      <c r="K191" s="17"/>
      <c r="L191" s="17"/>
      <c r="M191" s="17"/>
      <c r="N191" s="17"/>
      <c r="O191" s="17"/>
      <c r="P191" s="17"/>
      <c r="Q191" s="17"/>
      <c r="R191" s="17"/>
      <c r="S191" s="205"/>
      <c r="T191" s="205"/>
      <c r="U191" s="205"/>
      <c r="V191" s="205"/>
      <c r="W191" s="17"/>
      <c r="X191" s="17"/>
      <c r="Y191" s="17"/>
      <c r="Z191" s="17"/>
      <c r="AA191" s="17"/>
      <c r="AB191" s="17"/>
    </row>
    <row r="192">
      <c r="A192" s="17"/>
      <c r="B192" s="17"/>
      <c r="C192" s="17"/>
      <c r="D192" s="17"/>
      <c r="E192" s="17"/>
      <c r="F192" s="301"/>
      <c r="G192" s="17"/>
      <c r="H192" s="17"/>
      <c r="I192" s="17"/>
      <c r="J192" s="17"/>
      <c r="K192" s="17"/>
      <c r="L192" s="17"/>
      <c r="M192" s="17"/>
      <c r="N192" s="17"/>
      <c r="O192" s="17"/>
      <c r="P192" s="17"/>
      <c r="Q192" s="17"/>
      <c r="R192" s="17"/>
      <c r="S192" s="205"/>
      <c r="T192" s="205"/>
      <c r="U192" s="205"/>
      <c r="V192" s="205"/>
      <c r="W192" s="17"/>
      <c r="X192" s="17"/>
      <c r="Y192" s="17"/>
      <c r="Z192" s="17"/>
      <c r="AA192" s="17"/>
      <c r="AB192" s="17"/>
    </row>
    <row r="193">
      <c r="A193" s="17"/>
      <c r="B193" s="17"/>
      <c r="C193" s="17"/>
      <c r="D193" s="17"/>
      <c r="E193" s="17"/>
      <c r="F193" s="301"/>
      <c r="G193" s="17"/>
      <c r="H193" s="17"/>
      <c r="I193" s="17"/>
      <c r="J193" s="17"/>
      <c r="K193" s="17"/>
      <c r="L193" s="17"/>
      <c r="M193" s="17"/>
      <c r="N193" s="17"/>
      <c r="O193" s="17"/>
      <c r="P193" s="17"/>
      <c r="Q193" s="17"/>
      <c r="R193" s="17"/>
      <c r="S193" s="205"/>
      <c r="T193" s="205"/>
      <c r="U193" s="205"/>
      <c r="V193" s="205"/>
      <c r="W193" s="17"/>
      <c r="X193" s="17"/>
      <c r="Y193" s="17"/>
      <c r="Z193" s="17"/>
      <c r="AA193" s="17"/>
      <c r="AB193" s="17"/>
    </row>
    <row r="194">
      <c r="A194" s="17"/>
      <c r="B194" s="17"/>
      <c r="C194" s="17"/>
      <c r="D194" s="17"/>
      <c r="E194" s="17"/>
      <c r="F194" s="301"/>
      <c r="G194" s="17"/>
      <c r="H194" s="17"/>
      <c r="I194" s="17"/>
      <c r="J194" s="17"/>
      <c r="K194" s="17"/>
      <c r="L194" s="17"/>
      <c r="M194" s="17"/>
      <c r="N194" s="17"/>
      <c r="O194" s="17"/>
      <c r="P194" s="17"/>
      <c r="Q194" s="17"/>
      <c r="R194" s="17"/>
      <c r="S194" s="205"/>
      <c r="T194" s="205"/>
      <c r="U194" s="205"/>
      <c r="V194" s="205"/>
      <c r="W194" s="17"/>
      <c r="X194" s="17"/>
      <c r="Y194" s="17"/>
      <c r="Z194" s="17"/>
      <c r="AA194" s="17"/>
      <c r="AB194" s="17"/>
    </row>
    <row r="195">
      <c r="A195" s="17"/>
      <c r="B195" s="17"/>
      <c r="C195" s="17"/>
      <c r="D195" s="17"/>
      <c r="E195" s="17"/>
      <c r="F195" s="301"/>
      <c r="G195" s="17"/>
      <c r="H195" s="17"/>
      <c r="I195" s="17"/>
      <c r="J195" s="17"/>
      <c r="K195" s="17"/>
      <c r="L195" s="17"/>
      <c r="M195" s="17"/>
      <c r="N195" s="17"/>
      <c r="O195" s="17"/>
      <c r="P195" s="17"/>
      <c r="Q195" s="17"/>
      <c r="R195" s="17"/>
      <c r="S195" s="205"/>
      <c r="T195" s="205"/>
      <c r="U195" s="205"/>
      <c r="V195" s="205"/>
      <c r="W195" s="17"/>
      <c r="X195" s="17"/>
      <c r="Y195" s="17"/>
      <c r="Z195" s="17"/>
      <c r="AA195" s="17"/>
      <c r="AB195" s="17"/>
    </row>
    <row r="196">
      <c r="A196" s="17"/>
      <c r="B196" s="17"/>
      <c r="C196" s="17"/>
      <c r="D196" s="17"/>
      <c r="E196" s="17"/>
      <c r="F196" s="301"/>
      <c r="G196" s="17"/>
      <c r="H196" s="17"/>
      <c r="I196" s="17"/>
      <c r="J196" s="17"/>
      <c r="K196" s="17"/>
      <c r="L196" s="17"/>
      <c r="M196" s="17"/>
      <c r="N196" s="17"/>
      <c r="O196" s="17"/>
      <c r="P196" s="17"/>
      <c r="Q196" s="17"/>
      <c r="R196" s="17"/>
      <c r="S196" s="205"/>
      <c r="T196" s="205"/>
      <c r="U196" s="205"/>
      <c r="V196" s="205"/>
      <c r="W196" s="17"/>
      <c r="X196" s="17"/>
      <c r="Y196" s="17"/>
      <c r="Z196" s="17"/>
      <c r="AA196" s="17"/>
      <c r="AB196" s="17"/>
    </row>
    <row r="197">
      <c r="A197" s="17"/>
      <c r="B197" s="17"/>
      <c r="C197" s="17"/>
      <c r="D197" s="17"/>
      <c r="E197" s="17"/>
      <c r="F197" s="301"/>
      <c r="G197" s="17"/>
      <c r="H197" s="17"/>
      <c r="I197" s="17"/>
      <c r="J197" s="17"/>
      <c r="K197" s="17"/>
      <c r="L197" s="17"/>
      <c r="M197" s="17"/>
      <c r="N197" s="17"/>
      <c r="O197" s="17"/>
      <c r="P197" s="17"/>
      <c r="Q197" s="17"/>
      <c r="R197" s="17"/>
      <c r="S197" s="205"/>
      <c r="T197" s="205"/>
      <c r="U197" s="205"/>
      <c r="V197" s="205"/>
      <c r="W197" s="17"/>
      <c r="X197" s="17"/>
      <c r="Y197" s="17"/>
      <c r="Z197" s="17"/>
      <c r="AA197" s="17"/>
      <c r="AB197" s="17"/>
    </row>
    <row r="198">
      <c r="A198" s="17"/>
      <c r="B198" s="17"/>
      <c r="C198" s="17"/>
      <c r="D198" s="17"/>
      <c r="E198" s="17"/>
      <c r="F198" s="301"/>
      <c r="G198" s="17"/>
      <c r="H198" s="17"/>
      <c r="I198" s="17"/>
      <c r="J198" s="17"/>
      <c r="K198" s="17"/>
      <c r="L198" s="17"/>
      <c r="M198" s="17"/>
      <c r="N198" s="17"/>
      <c r="O198" s="17"/>
      <c r="P198" s="17"/>
      <c r="Q198" s="17"/>
      <c r="R198" s="17"/>
      <c r="S198" s="205"/>
      <c r="T198" s="205"/>
      <c r="U198" s="205"/>
      <c r="V198" s="205"/>
      <c r="W198" s="17"/>
      <c r="X198" s="17"/>
      <c r="Y198" s="17"/>
      <c r="Z198" s="17"/>
      <c r="AA198" s="17"/>
      <c r="AB198" s="17"/>
    </row>
    <row r="199">
      <c r="A199" s="17"/>
      <c r="B199" s="17"/>
      <c r="C199" s="17"/>
      <c r="D199" s="17"/>
      <c r="E199" s="17"/>
      <c r="F199" s="301"/>
      <c r="G199" s="17"/>
      <c r="H199" s="17"/>
      <c r="I199" s="17"/>
      <c r="J199" s="17"/>
      <c r="K199" s="17"/>
      <c r="L199" s="17"/>
      <c r="M199" s="17"/>
      <c r="N199" s="17"/>
      <c r="O199" s="17"/>
      <c r="P199" s="17"/>
      <c r="Q199" s="17"/>
      <c r="R199" s="17"/>
      <c r="S199" s="205"/>
      <c r="T199" s="205"/>
      <c r="U199" s="205"/>
      <c r="V199" s="205"/>
      <c r="W199" s="17"/>
      <c r="X199" s="17"/>
      <c r="Y199" s="17"/>
      <c r="Z199" s="17"/>
      <c r="AA199" s="17"/>
      <c r="AB199" s="17"/>
    </row>
    <row r="200">
      <c r="A200" s="17"/>
      <c r="B200" s="17"/>
      <c r="C200" s="17"/>
      <c r="D200" s="17"/>
      <c r="E200" s="17"/>
      <c r="F200" s="301"/>
      <c r="G200" s="17"/>
      <c r="H200" s="17"/>
      <c r="I200" s="17"/>
      <c r="J200" s="17"/>
      <c r="K200" s="17"/>
      <c r="L200" s="17"/>
      <c r="M200" s="17"/>
      <c r="N200" s="17"/>
      <c r="O200" s="17"/>
      <c r="P200" s="17"/>
      <c r="Q200" s="17"/>
      <c r="R200" s="17"/>
      <c r="S200" s="205"/>
      <c r="T200" s="205"/>
      <c r="U200" s="205"/>
      <c r="V200" s="205"/>
      <c r="W200" s="17"/>
      <c r="X200" s="17"/>
      <c r="Y200" s="17"/>
      <c r="Z200" s="17"/>
      <c r="AA200" s="17"/>
      <c r="AB200" s="17"/>
    </row>
    <row r="201">
      <c r="A201" s="17"/>
      <c r="B201" s="17"/>
      <c r="C201" s="17"/>
      <c r="D201" s="17"/>
      <c r="E201" s="17"/>
      <c r="F201" s="301"/>
      <c r="G201" s="17"/>
      <c r="H201" s="17"/>
      <c r="I201" s="17"/>
      <c r="J201" s="17"/>
      <c r="K201" s="17"/>
      <c r="L201" s="17"/>
      <c r="M201" s="17"/>
      <c r="N201" s="17"/>
      <c r="O201" s="17"/>
      <c r="P201" s="17"/>
      <c r="Q201" s="17"/>
      <c r="R201" s="17"/>
      <c r="S201" s="205"/>
      <c r="T201" s="205"/>
      <c r="U201" s="205"/>
      <c r="V201" s="205"/>
      <c r="W201" s="17"/>
      <c r="X201" s="17"/>
      <c r="Y201" s="17"/>
      <c r="Z201" s="17"/>
      <c r="AA201" s="17"/>
      <c r="AB201" s="17"/>
    </row>
    <row r="202">
      <c r="A202" s="17"/>
      <c r="B202" s="17"/>
      <c r="C202" s="17"/>
      <c r="D202" s="17"/>
      <c r="E202" s="17"/>
      <c r="F202" s="301"/>
      <c r="G202" s="17"/>
      <c r="H202" s="17"/>
      <c r="I202" s="17"/>
      <c r="J202" s="17"/>
      <c r="K202" s="17"/>
      <c r="L202" s="17"/>
      <c r="M202" s="17"/>
      <c r="N202" s="17"/>
      <c r="O202" s="17"/>
      <c r="P202" s="17"/>
      <c r="Q202" s="17"/>
      <c r="R202" s="17"/>
      <c r="S202" s="205"/>
      <c r="T202" s="205"/>
      <c r="U202" s="205"/>
      <c r="V202" s="205"/>
      <c r="W202" s="17"/>
      <c r="X202" s="17"/>
      <c r="Y202" s="17"/>
      <c r="Z202" s="17"/>
      <c r="AA202" s="17"/>
      <c r="AB202" s="17"/>
    </row>
    <row r="203">
      <c r="A203" s="17"/>
      <c r="B203" s="17"/>
      <c r="C203" s="17"/>
      <c r="D203" s="17"/>
      <c r="E203" s="17"/>
      <c r="F203" s="301"/>
      <c r="G203" s="17"/>
      <c r="H203" s="17"/>
      <c r="I203" s="17"/>
      <c r="J203" s="17"/>
      <c r="K203" s="17"/>
      <c r="L203" s="17"/>
      <c r="M203" s="17"/>
      <c r="N203" s="17"/>
      <c r="O203" s="17"/>
      <c r="P203" s="17"/>
      <c r="Q203" s="17"/>
      <c r="R203" s="17"/>
      <c r="S203" s="205"/>
      <c r="T203" s="205"/>
      <c r="U203" s="205"/>
      <c r="V203" s="205"/>
      <c r="W203" s="17"/>
      <c r="X203" s="17"/>
      <c r="Y203" s="17"/>
      <c r="Z203" s="17"/>
      <c r="AA203" s="17"/>
      <c r="AB203" s="17"/>
    </row>
    <row r="204">
      <c r="A204" s="17"/>
      <c r="B204" s="17"/>
      <c r="C204" s="17"/>
      <c r="D204" s="17"/>
      <c r="E204" s="17"/>
      <c r="F204" s="301"/>
      <c r="G204" s="17"/>
      <c r="H204" s="17"/>
      <c r="I204" s="17"/>
      <c r="J204" s="17"/>
      <c r="K204" s="17"/>
      <c r="L204" s="17"/>
      <c r="M204" s="17"/>
      <c r="N204" s="17"/>
      <c r="O204" s="17"/>
      <c r="P204" s="17"/>
      <c r="Q204" s="17"/>
      <c r="R204" s="17"/>
      <c r="S204" s="205"/>
      <c r="T204" s="205"/>
      <c r="U204" s="205"/>
      <c r="V204" s="205"/>
      <c r="W204" s="17"/>
      <c r="X204" s="17"/>
      <c r="Y204" s="17"/>
      <c r="Z204" s="17"/>
      <c r="AA204" s="17"/>
      <c r="AB204" s="17"/>
    </row>
    <row r="205">
      <c r="A205" s="17"/>
      <c r="B205" s="17"/>
      <c r="C205" s="17"/>
      <c r="D205" s="17"/>
      <c r="E205" s="17"/>
      <c r="F205" s="301"/>
      <c r="G205" s="17"/>
      <c r="H205" s="17"/>
      <c r="I205" s="17"/>
      <c r="J205" s="17"/>
      <c r="K205" s="17"/>
      <c r="L205" s="17"/>
      <c r="M205" s="17"/>
      <c r="N205" s="17"/>
      <c r="O205" s="17"/>
      <c r="P205" s="17"/>
      <c r="Q205" s="17"/>
      <c r="R205" s="17"/>
      <c r="S205" s="205"/>
      <c r="T205" s="205"/>
      <c r="U205" s="205"/>
      <c r="V205" s="205"/>
      <c r="W205" s="17"/>
      <c r="X205" s="17"/>
      <c r="Y205" s="17"/>
      <c r="Z205" s="17"/>
      <c r="AA205" s="17"/>
      <c r="AB205" s="17"/>
    </row>
    <row r="206">
      <c r="A206" s="17"/>
      <c r="B206" s="17"/>
      <c r="C206" s="17"/>
      <c r="D206" s="17"/>
      <c r="E206" s="17"/>
      <c r="F206" s="301"/>
      <c r="G206" s="17"/>
      <c r="H206" s="17"/>
      <c r="I206" s="17"/>
      <c r="J206" s="17"/>
      <c r="K206" s="17"/>
      <c r="L206" s="17"/>
      <c r="M206" s="17"/>
      <c r="N206" s="17"/>
      <c r="O206" s="17"/>
      <c r="P206" s="17"/>
      <c r="Q206" s="17"/>
      <c r="R206" s="17"/>
      <c r="S206" s="205"/>
      <c r="T206" s="205"/>
      <c r="U206" s="205"/>
      <c r="V206" s="205"/>
      <c r="W206" s="17"/>
      <c r="X206" s="17"/>
      <c r="Y206" s="17"/>
      <c r="Z206" s="17"/>
      <c r="AA206" s="17"/>
      <c r="AB206" s="17"/>
    </row>
    <row r="207">
      <c r="A207" s="17"/>
      <c r="B207" s="17"/>
      <c r="C207" s="17"/>
      <c r="D207" s="17"/>
      <c r="E207" s="17"/>
      <c r="F207" s="301"/>
      <c r="G207" s="17"/>
      <c r="H207" s="17"/>
      <c r="I207" s="17"/>
      <c r="J207" s="17"/>
      <c r="K207" s="17"/>
      <c r="L207" s="17"/>
      <c r="M207" s="17"/>
      <c r="N207" s="17"/>
      <c r="O207" s="17"/>
      <c r="P207" s="17"/>
      <c r="Q207" s="17"/>
      <c r="R207" s="17"/>
      <c r="S207" s="205"/>
      <c r="T207" s="205"/>
      <c r="U207" s="205"/>
      <c r="V207" s="205"/>
      <c r="W207" s="17"/>
      <c r="X207" s="17"/>
      <c r="Y207" s="17"/>
      <c r="Z207" s="17"/>
      <c r="AA207" s="17"/>
      <c r="AB207" s="17"/>
    </row>
    <row r="208">
      <c r="A208" s="17"/>
      <c r="B208" s="17"/>
      <c r="C208" s="17"/>
      <c r="D208" s="17"/>
      <c r="E208" s="17"/>
      <c r="F208" s="301"/>
      <c r="G208" s="17"/>
      <c r="H208" s="17"/>
      <c r="I208" s="17"/>
      <c r="J208" s="17"/>
      <c r="K208" s="17"/>
      <c r="L208" s="17"/>
      <c r="M208" s="17"/>
      <c r="N208" s="17"/>
      <c r="O208" s="17"/>
      <c r="P208" s="17"/>
      <c r="Q208" s="17"/>
      <c r="R208" s="17"/>
      <c r="S208" s="205"/>
      <c r="T208" s="205"/>
      <c r="U208" s="205"/>
      <c r="V208" s="205"/>
      <c r="W208" s="17"/>
      <c r="X208" s="17"/>
      <c r="Y208" s="17"/>
      <c r="Z208" s="17"/>
      <c r="AA208" s="17"/>
      <c r="AB208" s="17"/>
    </row>
    <row r="209">
      <c r="A209" s="17"/>
      <c r="B209" s="17"/>
      <c r="C209" s="17"/>
      <c r="D209" s="17"/>
      <c r="E209" s="17"/>
      <c r="F209" s="301"/>
      <c r="G209" s="17"/>
      <c r="H209" s="17"/>
      <c r="I209" s="17"/>
      <c r="J209" s="17"/>
      <c r="K209" s="17"/>
      <c r="L209" s="17"/>
      <c r="M209" s="17"/>
      <c r="N209" s="17"/>
      <c r="O209" s="17"/>
      <c r="P209" s="17"/>
      <c r="Q209" s="17"/>
      <c r="R209" s="17"/>
      <c r="S209" s="205"/>
      <c r="T209" s="205"/>
      <c r="U209" s="205"/>
      <c r="V209" s="205"/>
      <c r="W209" s="17"/>
      <c r="X209" s="17"/>
      <c r="Y209" s="17"/>
      <c r="Z209" s="17"/>
      <c r="AA209" s="17"/>
      <c r="AB209" s="17"/>
    </row>
    <row r="210">
      <c r="A210" s="17"/>
      <c r="B210" s="17"/>
      <c r="C210" s="17"/>
      <c r="D210" s="17"/>
      <c r="E210" s="17"/>
      <c r="F210" s="301"/>
      <c r="G210" s="17"/>
      <c r="H210" s="17"/>
      <c r="I210" s="17"/>
      <c r="J210" s="17"/>
      <c r="K210" s="17"/>
      <c r="L210" s="17"/>
      <c r="M210" s="17"/>
      <c r="N210" s="17"/>
      <c r="O210" s="17"/>
      <c r="P210" s="17"/>
      <c r="Q210" s="17"/>
      <c r="R210" s="17"/>
      <c r="S210" s="205"/>
      <c r="T210" s="205"/>
      <c r="U210" s="205"/>
      <c r="V210" s="205"/>
      <c r="W210" s="17"/>
      <c r="X210" s="17"/>
      <c r="Y210" s="17"/>
      <c r="Z210" s="17"/>
      <c r="AA210" s="17"/>
      <c r="AB210" s="17"/>
    </row>
    <row r="211">
      <c r="A211" s="17"/>
      <c r="B211" s="17"/>
      <c r="C211" s="17"/>
      <c r="D211" s="17"/>
      <c r="E211" s="17"/>
      <c r="F211" s="301"/>
      <c r="G211" s="17"/>
      <c r="H211" s="17"/>
      <c r="I211" s="17"/>
      <c r="J211" s="17"/>
      <c r="K211" s="17"/>
      <c r="L211" s="17"/>
      <c r="M211" s="17"/>
      <c r="N211" s="17"/>
      <c r="O211" s="17"/>
      <c r="P211" s="17"/>
      <c r="Q211" s="17"/>
      <c r="R211" s="17"/>
      <c r="S211" s="205"/>
      <c r="T211" s="205"/>
      <c r="U211" s="205"/>
      <c r="V211" s="205"/>
      <c r="W211" s="17"/>
      <c r="X211" s="17"/>
      <c r="Y211" s="17"/>
      <c r="Z211" s="17"/>
      <c r="AA211" s="17"/>
      <c r="AB211" s="17"/>
    </row>
    <row r="212">
      <c r="A212" s="17"/>
      <c r="B212" s="17"/>
      <c r="C212" s="17"/>
      <c r="D212" s="17"/>
      <c r="E212" s="17"/>
      <c r="F212" s="301"/>
      <c r="G212" s="17"/>
      <c r="H212" s="17"/>
      <c r="I212" s="17"/>
      <c r="J212" s="17"/>
      <c r="K212" s="17"/>
      <c r="L212" s="17"/>
      <c r="M212" s="17"/>
      <c r="N212" s="17"/>
      <c r="O212" s="17"/>
      <c r="P212" s="17"/>
      <c r="Q212" s="17"/>
      <c r="R212" s="17"/>
      <c r="S212" s="205"/>
      <c r="T212" s="205"/>
      <c r="U212" s="205"/>
      <c r="V212" s="205"/>
      <c r="W212" s="17"/>
      <c r="X212" s="17"/>
      <c r="Y212" s="17"/>
      <c r="Z212" s="17"/>
      <c r="AA212" s="17"/>
      <c r="AB212" s="17"/>
    </row>
    <row r="213">
      <c r="A213" s="17"/>
      <c r="B213" s="17"/>
      <c r="C213" s="17"/>
      <c r="D213" s="17"/>
      <c r="E213" s="17"/>
      <c r="F213" s="301"/>
      <c r="G213" s="17"/>
      <c r="H213" s="17"/>
      <c r="I213" s="17"/>
      <c r="J213" s="17"/>
      <c r="K213" s="17"/>
      <c r="L213" s="17"/>
      <c r="M213" s="17"/>
      <c r="N213" s="17"/>
      <c r="O213" s="17"/>
      <c r="P213" s="17"/>
      <c r="Q213" s="17"/>
      <c r="R213" s="17"/>
      <c r="S213" s="205"/>
      <c r="T213" s="205"/>
      <c r="U213" s="205"/>
      <c r="V213" s="205"/>
      <c r="W213" s="17"/>
      <c r="X213" s="17"/>
      <c r="Y213" s="17"/>
      <c r="Z213" s="17"/>
      <c r="AA213" s="17"/>
      <c r="AB213" s="17"/>
    </row>
    <row r="214">
      <c r="A214" s="17"/>
      <c r="B214" s="17"/>
      <c r="C214" s="17"/>
      <c r="D214" s="17"/>
      <c r="E214" s="17"/>
      <c r="F214" s="301"/>
      <c r="G214" s="17"/>
      <c r="H214" s="17"/>
      <c r="I214" s="17"/>
      <c r="J214" s="17"/>
      <c r="K214" s="17"/>
      <c r="L214" s="17"/>
      <c r="M214" s="17"/>
      <c r="N214" s="17"/>
      <c r="O214" s="17"/>
      <c r="P214" s="17"/>
      <c r="Q214" s="17"/>
      <c r="R214" s="17"/>
      <c r="S214" s="205"/>
      <c r="T214" s="205"/>
      <c r="U214" s="205"/>
      <c r="V214" s="205"/>
      <c r="W214" s="17"/>
      <c r="X214" s="17"/>
      <c r="Y214" s="17"/>
      <c r="Z214" s="17"/>
      <c r="AA214" s="17"/>
      <c r="AB214" s="17"/>
    </row>
    <row r="215">
      <c r="A215" s="17"/>
      <c r="B215" s="17"/>
      <c r="C215" s="17"/>
      <c r="D215" s="17"/>
      <c r="E215" s="17"/>
      <c r="F215" s="301"/>
      <c r="G215" s="17"/>
      <c r="H215" s="17"/>
      <c r="I215" s="17"/>
      <c r="J215" s="17"/>
      <c r="K215" s="17"/>
      <c r="L215" s="17"/>
      <c r="M215" s="17"/>
      <c r="N215" s="17"/>
      <c r="O215" s="17"/>
      <c r="P215" s="17"/>
      <c r="Q215" s="17"/>
      <c r="R215" s="17"/>
      <c r="S215" s="205"/>
      <c r="T215" s="205"/>
      <c r="U215" s="205"/>
      <c r="V215" s="205"/>
      <c r="W215" s="17"/>
      <c r="X215" s="17"/>
      <c r="Y215" s="17"/>
      <c r="Z215" s="17"/>
      <c r="AA215" s="17"/>
      <c r="AB215" s="17"/>
    </row>
    <row r="216">
      <c r="A216" s="17"/>
      <c r="B216" s="17"/>
      <c r="C216" s="17"/>
      <c r="D216" s="17"/>
      <c r="E216" s="17"/>
      <c r="F216" s="301"/>
      <c r="G216" s="17"/>
      <c r="H216" s="17"/>
      <c r="I216" s="17"/>
      <c r="J216" s="17"/>
      <c r="K216" s="17"/>
      <c r="L216" s="17"/>
      <c r="M216" s="17"/>
      <c r="N216" s="17"/>
      <c r="O216" s="17"/>
      <c r="P216" s="17"/>
      <c r="Q216" s="17"/>
      <c r="R216" s="17"/>
      <c r="S216" s="205"/>
      <c r="T216" s="205"/>
      <c r="U216" s="205"/>
      <c r="V216" s="205"/>
      <c r="W216" s="17"/>
      <c r="X216" s="17"/>
      <c r="Y216" s="17"/>
      <c r="Z216" s="17"/>
      <c r="AA216" s="17"/>
      <c r="AB216" s="17"/>
    </row>
    <row r="217">
      <c r="A217" s="17"/>
      <c r="B217" s="17"/>
      <c r="C217" s="17"/>
      <c r="D217" s="17"/>
      <c r="E217" s="17"/>
      <c r="F217" s="301"/>
      <c r="G217" s="17"/>
      <c r="H217" s="17"/>
      <c r="I217" s="17"/>
      <c r="J217" s="17"/>
      <c r="K217" s="17"/>
      <c r="L217" s="17"/>
      <c r="M217" s="17"/>
      <c r="N217" s="17"/>
      <c r="O217" s="17"/>
      <c r="P217" s="17"/>
      <c r="Q217" s="17"/>
      <c r="R217" s="17"/>
      <c r="S217" s="205"/>
      <c r="T217" s="205"/>
      <c r="U217" s="205"/>
      <c r="V217" s="205"/>
      <c r="W217" s="17"/>
      <c r="X217" s="17"/>
      <c r="Y217" s="17"/>
      <c r="Z217" s="17"/>
      <c r="AA217" s="17"/>
      <c r="AB217" s="17"/>
    </row>
    <row r="218">
      <c r="A218" s="17"/>
      <c r="B218" s="17"/>
      <c r="C218" s="17"/>
      <c r="D218" s="17"/>
      <c r="E218" s="17"/>
      <c r="F218" s="301"/>
      <c r="G218" s="17"/>
      <c r="H218" s="17"/>
      <c r="I218" s="17"/>
      <c r="J218" s="17"/>
      <c r="K218" s="17"/>
      <c r="L218" s="17"/>
      <c r="M218" s="17"/>
      <c r="N218" s="17"/>
      <c r="O218" s="17"/>
      <c r="P218" s="17"/>
      <c r="Q218" s="17"/>
      <c r="R218" s="17"/>
      <c r="S218" s="205"/>
      <c r="T218" s="205"/>
      <c r="U218" s="205"/>
      <c r="V218" s="205"/>
      <c r="W218" s="17"/>
      <c r="X218" s="17"/>
      <c r="Y218" s="17"/>
      <c r="Z218" s="17"/>
      <c r="AA218" s="17"/>
      <c r="AB218" s="17"/>
    </row>
    <row r="219">
      <c r="A219" s="17"/>
      <c r="B219" s="17"/>
      <c r="C219" s="17"/>
      <c r="D219" s="17"/>
      <c r="E219" s="17"/>
      <c r="F219" s="301"/>
      <c r="G219" s="17"/>
      <c r="H219" s="17"/>
      <c r="I219" s="17"/>
      <c r="J219" s="17"/>
      <c r="K219" s="17"/>
      <c r="L219" s="17"/>
      <c r="M219" s="17"/>
      <c r="N219" s="17"/>
      <c r="O219" s="17"/>
      <c r="P219" s="17"/>
      <c r="Q219" s="17"/>
      <c r="R219" s="17"/>
      <c r="S219" s="205"/>
      <c r="T219" s="205"/>
      <c r="U219" s="205"/>
      <c r="V219" s="205"/>
      <c r="W219" s="17"/>
      <c r="X219" s="17"/>
      <c r="Y219" s="17"/>
      <c r="Z219" s="17"/>
      <c r="AA219" s="17"/>
      <c r="AB219" s="17"/>
    </row>
    <row r="220">
      <c r="A220" s="17"/>
      <c r="B220" s="17"/>
      <c r="C220" s="17"/>
      <c r="D220" s="17"/>
      <c r="E220" s="17"/>
      <c r="F220" s="301"/>
      <c r="G220" s="17"/>
      <c r="H220" s="17"/>
      <c r="I220" s="17"/>
      <c r="J220" s="17"/>
      <c r="K220" s="17"/>
      <c r="L220" s="17"/>
      <c r="M220" s="17"/>
      <c r="N220" s="17"/>
      <c r="O220" s="17"/>
      <c r="P220" s="17"/>
      <c r="Q220" s="17"/>
      <c r="R220" s="17"/>
      <c r="S220" s="205"/>
      <c r="T220" s="205"/>
      <c r="U220" s="205"/>
      <c r="V220" s="205"/>
      <c r="W220" s="17"/>
      <c r="X220" s="17"/>
      <c r="Y220" s="17"/>
      <c r="Z220" s="17"/>
      <c r="AA220" s="17"/>
      <c r="AB220" s="17"/>
    </row>
    <row r="221">
      <c r="A221" s="17"/>
      <c r="B221" s="17"/>
      <c r="C221" s="17"/>
      <c r="D221" s="17"/>
      <c r="E221" s="17"/>
      <c r="F221" s="301"/>
      <c r="G221" s="17"/>
      <c r="H221" s="17"/>
      <c r="I221" s="17"/>
      <c r="J221" s="17"/>
      <c r="K221" s="17"/>
      <c r="L221" s="17"/>
      <c r="M221" s="17"/>
      <c r="N221" s="17"/>
      <c r="O221" s="17"/>
      <c r="P221" s="17"/>
      <c r="Q221" s="17"/>
      <c r="R221" s="17"/>
      <c r="S221" s="205"/>
      <c r="T221" s="205"/>
      <c r="U221" s="205"/>
      <c r="V221" s="205"/>
      <c r="W221" s="17"/>
      <c r="X221" s="17"/>
      <c r="Y221" s="17"/>
      <c r="Z221" s="17"/>
      <c r="AA221" s="17"/>
      <c r="AB221" s="17"/>
    </row>
    <row r="222">
      <c r="A222" s="17"/>
      <c r="B222" s="17"/>
      <c r="C222" s="17"/>
      <c r="D222" s="17"/>
      <c r="E222" s="17"/>
      <c r="F222" s="301"/>
      <c r="G222" s="17"/>
      <c r="H222" s="17"/>
      <c r="I222" s="17"/>
      <c r="J222" s="17"/>
      <c r="K222" s="17"/>
      <c r="L222" s="17"/>
      <c r="M222" s="17"/>
      <c r="N222" s="17"/>
      <c r="O222" s="17"/>
      <c r="P222" s="17"/>
      <c r="Q222" s="17"/>
      <c r="R222" s="17"/>
      <c r="S222" s="205"/>
      <c r="T222" s="205"/>
      <c r="U222" s="205"/>
      <c r="V222" s="205"/>
      <c r="W222" s="17"/>
      <c r="X222" s="17"/>
      <c r="Y222" s="17"/>
      <c r="Z222" s="17"/>
      <c r="AA222" s="17"/>
      <c r="AB222" s="17"/>
    </row>
    <row r="223">
      <c r="A223" s="17"/>
      <c r="B223" s="17"/>
      <c r="C223" s="17"/>
      <c r="D223" s="17"/>
      <c r="E223" s="17"/>
      <c r="F223" s="301"/>
      <c r="G223" s="17"/>
      <c r="H223" s="17"/>
      <c r="I223" s="17"/>
      <c r="J223" s="17"/>
      <c r="K223" s="17"/>
      <c r="L223" s="17"/>
      <c r="M223" s="17"/>
      <c r="N223" s="17"/>
      <c r="O223" s="17"/>
      <c r="P223" s="17"/>
      <c r="Q223" s="17"/>
      <c r="R223" s="17"/>
      <c r="S223" s="205"/>
      <c r="T223" s="205"/>
      <c r="U223" s="205"/>
      <c r="V223" s="205"/>
      <c r="W223" s="17"/>
      <c r="X223" s="17"/>
      <c r="Y223" s="17"/>
      <c r="Z223" s="17"/>
      <c r="AA223" s="17"/>
      <c r="AB223" s="17"/>
    </row>
    <row r="224">
      <c r="A224" s="17"/>
      <c r="B224" s="17"/>
      <c r="C224" s="17"/>
      <c r="D224" s="17"/>
      <c r="E224" s="17"/>
      <c r="F224" s="301"/>
      <c r="G224" s="17"/>
      <c r="H224" s="17"/>
      <c r="I224" s="17"/>
      <c r="J224" s="17"/>
      <c r="K224" s="17"/>
      <c r="L224" s="17"/>
      <c r="M224" s="17"/>
      <c r="N224" s="17"/>
      <c r="O224" s="17"/>
      <c r="P224" s="17"/>
      <c r="Q224" s="17"/>
      <c r="R224" s="17"/>
      <c r="S224" s="205"/>
      <c r="T224" s="205"/>
      <c r="U224" s="205"/>
      <c r="V224" s="205"/>
      <c r="W224" s="17"/>
      <c r="X224" s="17"/>
      <c r="Y224" s="17"/>
      <c r="Z224" s="17"/>
      <c r="AA224" s="17"/>
      <c r="AB224" s="17"/>
    </row>
    <row r="225">
      <c r="A225" s="17"/>
      <c r="B225" s="17"/>
      <c r="C225" s="17"/>
      <c r="D225" s="17"/>
      <c r="E225" s="17"/>
      <c r="F225" s="301"/>
      <c r="G225" s="17"/>
      <c r="H225" s="17"/>
      <c r="I225" s="17"/>
      <c r="J225" s="17"/>
      <c r="K225" s="17"/>
      <c r="L225" s="17"/>
      <c r="M225" s="17"/>
      <c r="N225" s="17"/>
      <c r="O225" s="17"/>
      <c r="P225" s="17"/>
      <c r="Q225" s="17"/>
      <c r="R225" s="17"/>
      <c r="S225" s="205"/>
      <c r="T225" s="205"/>
      <c r="U225" s="205"/>
      <c r="V225" s="205"/>
      <c r="W225" s="17"/>
      <c r="X225" s="17"/>
      <c r="Y225" s="17"/>
      <c r="Z225" s="17"/>
      <c r="AA225" s="17"/>
      <c r="AB225" s="17"/>
    </row>
    <row r="226">
      <c r="A226" s="17"/>
      <c r="B226" s="17"/>
      <c r="C226" s="17"/>
      <c r="D226" s="17"/>
      <c r="E226" s="17"/>
      <c r="F226" s="301"/>
      <c r="G226" s="17"/>
      <c r="H226" s="17"/>
      <c r="I226" s="17"/>
      <c r="J226" s="17"/>
      <c r="K226" s="17"/>
      <c r="L226" s="17"/>
      <c r="M226" s="17"/>
      <c r="N226" s="17"/>
      <c r="O226" s="17"/>
      <c r="P226" s="17"/>
      <c r="Q226" s="17"/>
      <c r="R226" s="17"/>
      <c r="S226" s="205"/>
      <c r="T226" s="205"/>
      <c r="U226" s="205"/>
      <c r="V226" s="205"/>
      <c r="W226" s="17"/>
      <c r="X226" s="17"/>
      <c r="Y226" s="17"/>
      <c r="Z226" s="17"/>
      <c r="AA226" s="17"/>
      <c r="AB226" s="17"/>
    </row>
    <row r="227">
      <c r="A227" s="17"/>
      <c r="B227" s="17"/>
      <c r="C227" s="17"/>
      <c r="D227" s="17"/>
      <c r="E227" s="17"/>
      <c r="F227" s="301"/>
      <c r="G227" s="17"/>
      <c r="H227" s="17"/>
      <c r="I227" s="17"/>
      <c r="J227" s="17"/>
      <c r="K227" s="17"/>
      <c r="L227" s="17"/>
      <c r="M227" s="17"/>
      <c r="N227" s="17"/>
      <c r="O227" s="17"/>
      <c r="P227" s="17"/>
      <c r="Q227" s="17"/>
      <c r="R227" s="17"/>
      <c r="S227" s="205"/>
      <c r="T227" s="205"/>
      <c r="U227" s="205"/>
      <c r="V227" s="205"/>
      <c r="W227" s="17"/>
      <c r="X227" s="17"/>
      <c r="Y227" s="17"/>
      <c r="Z227" s="17"/>
      <c r="AA227" s="17"/>
      <c r="AB227" s="17"/>
    </row>
    <row r="228">
      <c r="A228" s="17"/>
      <c r="B228" s="17"/>
      <c r="C228" s="17"/>
      <c r="D228" s="17"/>
      <c r="E228" s="17"/>
      <c r="F228" s="301"/>
      <c r="G228" s="17"/>
      <c r="H228" s="17"/>
      <c r="I228" s="17"/>
      <c r="J228" s="17"/>
      <c r="K228" s="17"/>
      <c r="L228" s="17"/>
      <c r="M228" s="17"/>
      <c r="N228" s="17"/>
      <c r="O228" s="17"/>
      <c r="P228" s="17"/>
      <c r="Q228" s="17"/>
      <c r="R228" s="17"/>
      <c r="S228" s="205"/>
      <c r="T228" s="205"/>
      <c r="U228" s="205"/>
      <c r="V228" s="205"/>
      <c r="W228" s="17"/>
      <c r="X228" s="17"/>
      <c r="Y228" s="17"/>
      <c r="Z228" s="17"/>
      <c r="AA228" s="17"/>
      <c r="AB228" s="17"/>
    </row>
    <row r="229">
      <c r="A229" s="17"/>
      <c r="B229" s="17"/>
      <c r="C229" s="17"/>
      <c r="D229" s="17"/>
      <c r="E229" s="17"/>
      <c r="F229" s="301"/>
      <c r="G229" s="17"/>
      <c r="H229" s="17"/>
      <c r="I229" s="17"/>
      <c r="J229" s="17"/>
      <c r="K229" s="17"/>
      <c r="L229" s="17"/>
      <c r="M229" s="17"/>
      <c r="N229" s="17"/>
      <c r="O229" s="17"/>
      <c r="P229" s="17"/>
      <c r="Q229" s="17"/>
      <c r="R229" s="17"/>
      <c r="S229" s="205"/>
      <c r="T229" s="205"/>
      <c r="U229" s="205"/>
      <c r="V229" s="205"/>
      <c r="W229" s="17"/>
      <c r="X229" s="17"/>
      <c r="Y229" s="17"/>
      <c r="Z229" s="17"/>
      <c r="AA229" s="17"/>
      <c r="AB229" s="17"/>
    </row>
    <row r="230">
      <c r="A230" s="17"/>
      <c r="B230" s="17"/>
      <c r="C230" s="17"/>
      <c r="D230" s="17"/>
      <c r="E230" s="17"/>
      <c r="F230" s="301"/>
      <c r="G230" s="17"/>
      <c r="H230" s="17"/>
      <c r="I230" s="17"/>
      <c r="J230" s="17"/>
      <c r="K230" s="17"/>
      <c r="L230" s="17"/>
      <c r="M230" s="17"/>
      <c r="N230" s="17"/>
      <c r="O230" s="17"/>
      <c r="P230" s="17"/>
      <c r="Q230" s="17"/>
      <c r="R230" s="17"/>
      <c r="S230" s="205"/>
      <c r="T230" s="205"/>
      <c r="U230" s="205"/>
      <c r="V230" s="205"/>
      <c r="W230" s="17"/>
      <c r="X230" s="17"/>
      <c r="Y230" s="17"/>
      <c r="Z230" s="17"/>
      <c r="AA230" s="17"/>
      <c r="AB230" s="17"/>
    </row>
    <row r="231">
      <c r="A231" s="17"/>
      <c r="B231" s="17"/>
      <c r="C231" s="17"/>
      <c r="D231" s="17"/>
      <c r="E231" s="17"/>
      <c r="F231" s="301"/>
      <c r="G231" s="17"/>
      <c r="H231" s="17"/>
      <c r="I231" s="17"/>
      <c r="J231" s="17"/>
      <c r="K231" s="17"/>
      <c r="L231" s="17"/>
      <c r="M231" s="17"/>
      <c r="N231" s="17"/>
      <c r="O231" s="17"/>
      <c r="P231" s="17"/>
      <c r="Q231" s="17"/>
      <c r="R231" s="17"/>
      <c r="S231" s="205"/>
      <c r="T231" s="205"/>
      <c r="U231" s="205"/>
      <c r="V231" s="205"/>
      <c r="W231" s="17"/>
      <c r="X231" s="17"/>
      <c r="Y231" s="17"/>
      <c r="Z231" s="17"/>
      <c r="AA231" s="17"/>
      <c r="AB231" s="17"/>
    </row>
    <row r="232">
      <c r="A232" s="17"/>
      <c r="B232" s="17"/>
      <c r="C232" s="17"/>
      <c r="D232" s="17"/>
      <c r="E232" s="17"/>
      <c r="F232" s="301"/>
      <c r="G232" s="17"/>
      <c r="H232" s="17"/>
      <c r="I232" s="17"/>
      <c r="J232" s="17"/>
      <c r="K232" s="17"/>
      <c r="L232" s="17"/>
      <c r="M232" s="17"/>
      <c r="N232" s="17"/>
      <c r="O232" s="17"/>
      <c r="P232" s="17"/>
      <c r="Q232" s="17"/>
      <c r="R232" s="17"/>
      <c r="S232" s="205"/>
      <c r="T232" s="205"/>
      <c r="U232" s="205"/>
      <c r="V232" s="205"/>
      <c r="W232" s="17"/>
      <c r="X232" s="17"/>
      <c r="Y232" s="17"/>
      <c r="Z232" s="17"/>
      <c r="AA232" s="17"/>
      <c r="AB232" s="17"/>
    </row>
    <row r="233">
      <c r="A233" s="17"/>
      <c r="B233" s="17"/>
      <c r="C233" s="17"/>
      <c r="D233" s="17"/>
      <c r="E233" s="17"/>
      <c r="F233" s="301"/>
      <c r="G233" s="17"/>
      <c r="H233" s="17"/>
      <c r="I233" s="17"/>
      <c r="J233" s="17"/>
      <c r="K233" s="17"/>
      <c r="L233" s="17"/>
      <c r="M233" s="17"/>
      <c r="N233" s="17"/>
      <c r="O233" s="17"/>
      <c r="P233" s="17"/>
      <c r="Q233" s="17"/>
      <c r="R233" s="17"/>
      <c r="S233" s="205"/>
      <c r="T233" s="205"/>
      <c r="U233" s="205"/>
      <c r="V233" s="205"/>
      <c r="W233" s="17"/>
      <c r="X233" s="17"/>
      <c r="Y233" s="17"/>
      <c r="Z233" s="17"/>
      <c r="AA233" s="17"/>
      <c r="AB233" s="17"/>
    </row>
    <row r="234">
      <c r="A234" s="17"/>
      <c r="B234" s="17"/>
      <c r="C234" s="17"/>
      <c r="D234" s="17"/>
      <c r="E234" s="17"/>
      <c r="F234" s="301"/>
      <c r="G234" s="17"/>
      <c r="H234" s="17"/>
      <c r="I234" s="17"/>
      <c r="J234" s="17"/>
      <c r="K234" s="17"/>
      <c r="L234" s="17"/>
      <c r="M234" s="17"/>
      <c r="N234" s="17"/>
      <c r="O234" s="17"/>
      <c r="P234" s="17"/>
      <c r="Q234" s="17"/>
      <c r="R234" s="17"/>
      <c r="S234" s="205"/>
      <c r="T234" s="205"/>
      <c r="U234" s="205"/>
      <c r="V234" s="205"/>
      <c r="W234" s="17"/>
      <c r="X234" s="17"/>
      <c r="Y234" s="17"/>
      <c r="Z234" s="17"/>
      <c r="AA234" s="17"/>
      <c r="AB234" s="17"/>
    </row>
    <row r="235">
      <c r="A235" s="17"/>
      <c r="B235" s="17"/>
      <c r="C235" s="17"/>
      <c r="D235" s="17"/>
      <c r="E235" s="17"/>
      <c r="F235" s="301"/>
      <c r="G235" s="17"/>
      <c r="H235" s="17"/>
      <c r="I235" s="17"/>
      <c r="J235" s="17"/>
      <c r="K235" s="17"/>
      <c r="L235" s="17"/>
      <c r="M235" s="17"/>
      <c r="N235" s="17"/>
      <c r="O235" s="17"/>
      <c r="P235" s="17"/>
      <c r="Q235" s="17"/>
      <c r="R235" s="17"/>
      <c r="S235" s="205"/>
      <c r="T235" s="205"/>
      <c r="U235" s="205"/>
      <c r="V235" s="205"/>
      <c r="W235" s="17"/>
      <c r="X235" s="17"/>
      <c r="Y235" s="17"/>
      <c r="Z235" s="17"/>
      <c r="AA235" s="17"/>
      <c r="AB235" s="17"/>
    </row>
    <row r="236">
      <c r="A236" s="17"/>
      <c r="B236" s="17"/>
      <c r="C236" s="17"/>
      <c r="D236" s="17"/>
      <c r="E236" s="17"/>
      <c r="F236" s="301"/>
      <c r="G236" s="17"/>
      <c r="H236" s="17"/>
      <c r="I236" s="17"/>
      <c r="J236" s="17"/>
      <c r="K236" s="17"/>
      <c r="L236" s="17"/>
      <c r="M236" s="17"/>
      <c r="N236" s="17"/>
      <c r="O236" s="17"/>
      <c r="P236" s="17"/>
      <c r="Q236" s="17"/>
      <c r="R236" s="17"/>
      <c r="S236" s="205"/>
      <c r="T236" s="205"/>
      <c r="U236" s="205"/>
      <c r="V236" s="205"/>
      <c r="W236" s="17"/>
      <c r="X236" s="17"/>
      <c r="Y236" s="17"/>
      <c r="Z236" s="17"/>
      <c r="AA236" s="17"/>
      <c r="AB236" s="17"/>
    </row>
    <row r="237">
      <c r="A237" s="17"/>
      <c r="B237" s="17"/>
      <c r="C237" s="17"/>
      <c r="D237" s="17"/>
      <c r="E237" s="17"/>
      <c r="F237" s="301"/>
      <c r="G237" s="17"/>
      <c r="H237" s="17"/>
      <c r="I237" s="17"/>
      <c r="J237" s="17"/>
      <c r="K237" s="17"/>
      <c r="L237" s="17"/>
      <c r="M237" s="17"/>
      <c r="N237" s="17"/>
      <c r="O237" s="17"/>
      <c r="P237" s="17"/>
      <c r="Q237" s="17"/>
      <c r="R237" s="17"/>
      <c r="S237" s="205"/>
      <c r="T237" s="205"/>
      <c r="U237" s="205"/>
      <c r="V237" s="205"/>
      <c r="W237" s="17"/>
      <c r="X237" s="17"/>
      <c r="Y237" s="17"/>
      <c r="Z237" s="17"/>
      <c r="AA237" s="17"/>
      <c r="AB237" s="17"/>
    </row>
    <row r="238">
      <c r="A238" s="17"/>
      <c r="B238" s="17"/>
      <c r="C238" s="17"/>
      <c r="D238" s="17"/>
      <c r="E238" s="17"/>
      <c r="F238" s="301"/>
      <c r="G238" s="17"/>
      <c r="H238" s="17"/>
      <c r="I238" s="17"/>
      <c r="J238" s="17"/>
      <c r="K238" s="17"/>
      <c r="L238" s="17"/>
      <c r="M238" s="17"/>
      <c r="N238" s="17"/>
      <c r="O238" s="17"/>
      <c r="P238" s="17"/>
      <c r="Q238" s="17"/>
      <c r="R238" s="17"/>
      <c r="S238" s="205"/>
      <c r="T238" s="205"/>
      <c r="U238" s="205"/>
      <c r="V238" s="205"/>
      <c r="W238" s="17"/>
      <c r="X238" s="17"/>
      <c r="Y238" s="17"/>
      <c r="Z238" s="17"/>
      <c r="AA238" s="17"/>
      <c r="AB238" s="17"/>
    </row>
    <row r="239">
      <c r="A239" s="17"/>
      <c r="B239" s="17"/>
      <c r="C239" s="17"/>
      <c r="D239" s="17"/>
      <c r="E239" s="17"/>
      <c r="F239" s="301"/>
      <c r="G239" s="17"/>
      <c r="H239" s="17"/>
      <c r="I239" s="17"/>
      <c r="J239" s="17"/>
      <c r="K239" s="17"/>
      <c r="L239" s="17"/>
      <c r="M239" s="17"/>
      <c r="N239" s="17"/>
      <c r="O239" s="17"/>
      <c r="P239" s="17"/>
      <c r="Q239" s="17"/>
      <c r="R239" s="17"/>
      <c r="S239" s="205"/>
      <c r="T239" s="205"/>
      <c r="U239" s="205"/>
      <c r="V239" s="205"/>
      <c r="W239" s="17"/>
      <c r="X239" s="17"/>
      <c r="Y239" s="17"/>
      <c r="Z239" s="17"/>
      <c r="AA239" s="17"/>
      <c r="AB239" s="17"/>
    </row>
    <row r="240">
      <c r="A240" s="17"/>
      <c r="B240" s="17"/>
      <c r="C240" s="17"/>
      <c r="D240" s="17"/>
      <c r="E240" s="17"/>
      <c r="F240" s="301"/>
      <c r="G240" s="17"/>
      <c r="H240" s="17"/>
      <c r="I240" s="17"/>
      <c r="J240" s="17"/>
      <c r="K240" s="17"/>
      <c r="L240" s="17"/>
      <c r="M240" s="17"/>
      <c r="N240" s="17"/>
      <c r="O240" s="17"/>
      <c r="P240" s="17"/>
      <c r="Q240" s="17"/>
      <c r="R240" s="17"/>
      <c r="S240" s="205"/>
      <c r="T240" s="205"/>
      <c r="U240" s="205"/>
      <c r="V240" s="205"/>
      <c r="W240" s="17"/>
      <c r="X240" s="17"/>
      <c r="Y240" s="17"/>
      <c r="Z240" s="17"/>
      <c r="AA240" s="17"/>
      <c r="AB240" s="17"/>
    </row>
    <row r="241">
      <c r="A241" s="17"/>
      <c r="B241" s="17"/>
      <c r="C241" s="17"/>
      <c r="D241" s="17"/>
      <c r="E241" s="17"/>
      <c r="F241" s="301"/>
      <c r="G241" s="17"/>
      <c r="H241" s="17"/>
      <c r="I241" s="17"/>
      <c r="J241" s="17"/>
      <c r="K241" s="17"/>
      <c r="L241" s="17"/>
      <c r="M241" s="17"/>
      <c r="N241" s="17"/>
      <c r="O241" s="17"/>
      <c r="P241" s="17"/>
      <c r="Q241" s="17"/>
      <c r="R241" s="17"/>
      <c r="S241" s="205"/>
      <c r="T241" s="205"/>
      <c r="U241" s="205"/>
      <c r="V241" s="205"/>
      <c r="W241" s="17"/>
      <c r="X241" s="17"/>
      <c r="Y241" s="17"/>
      <c r="Z241" s="17"/>
      <c r="AA241" s="17"/>
      <c r="AB241" s="17"/>
    </row>
    <row r="242">
      <c r="A242" s="17"/>
      <c r="B242" s="17"/>
      <c r="C242" s="17"/>
      <c r="D242" s="17"/>
      <c r="E242" s="17"/>
      <c r="F242" s="301"/>
      <c r="G242" s="17"/>
      <c r="H242" s="17"/>
      <c r="I242" s="17"/>
      <c r="J242" s="17"/>
      <c r="K242" s="17"/>
      <c r="L242" s="17"/>
      <c r="M242" s="17"/>
      <c r="N242" s="17"/>
      <c r="O242" s="17"/>
      <c r="P242" s="17"/>
      <c r="Q242" s="17"/>
      <c r="R242" s="17"/>
      <c r="S242" s="205"/>
      <c r="T242" s="205"/>
      <c r="U242" s="205"/>
      <c r="V242" s="205"/>
      <c r="W242" s="17"/>
      <c r="X242" s="17"/>
      <c r="Y242" s="17"/>
      <c r="Z242" s="17"/>
      <c r="AA242" s="17"/>
      <c r="AB242" s="17"/>
    </row>
    <row r="243">
      <c r="A243" s="17"/>
      <c r="B243" s="17"/>
      <c r="C243" s="17"/>
      <c r="D243" s="17"/>
      <c r="E243" s="17"/>
      <c r="F243" s="301"/>
      <c r="G243" s="17"/>
      <c r="H243" s="17"/>
      <c r="I243" s="17"/>
      <c r="J243" s="17"/>
      <c r="K243" s="17"/>
      <c r="L243" s="17"/>
      <c r="M243" s="17"/>
      <c r="N243" s="17"/>
      <c r="O243" s="17"/>
      <c r="P243" s="17"/>
      <c r="Q243" s="17"/>
      <c r="R243" s="17"/>
      <c r="S243" s="205"/>
      <c r="T243" s="205"/>
      <c r="U243" s="205"/>
      <c r="V243" s="205"/>
      <c r="W243" s="17"/>
      <c r="X243" s="17"/>
      <c r="Y243" s="17"/>
      <c r="Z243" s="17"/>
      <c r="AA243" s="17"/>
      <c r="AB243" s="17"/>
    </row>
    <row r="244">
      <c r="A244" s="17"/>
      <c r="B244" s="17"/>
      <c r="C244" s="17"/>
      <c r="D244" s="17"/>
      <c r="E244" s="17"/>
      <c r="F244" s="301"/>
      <c r="G244" s="17"/>
      <c r="H244" s="17"/>
      <c r="I244" s="17"/>
      <c r="J244" s="17"/>
      <c r="K244" s="17"/>
      <c r="L244" s="17"/>
      <c r="M244" s="17"/>
      <c r="N244" s="17"/>
      <c r="O244" s="17"/>
      <c r="P244" s="17"/>
      <c r="Q244" s="17"/>
      <c r="R244" s="17"/>
      <c r="S244" s="205"/>
      <c r="T244" s="205"/>
      <c r="U244" s="205"/>
      <c r="V244" s="205"/>
      <c r="W244" s="17"/>
      <c r="X244" s="17"/>
      <c r="Y244" s="17"/>
      <c r="Z244" s="17"/>
      <c r="AA244" s="17"/>
      <c r="AB244" s="17"/>
    </row>
    <row r="245">
      <c r="A245" s="17"/>
      <c r="B245" s="17"/>
      <c r="C245" s="17"/>
      <c r="D245" s="17"/>
      <c r="E245" s="17"/>
      <c r="F245" s="301"/>
      <c r="G245" s="17"/>
      <c r="H245" s="17"/>
      <c r="I245" s="17"/>
      <c r="J245" s="17"/>
      <c r="K245" s="17"/>
      <c r="L245" s="17"/>
      <c r="M245" s="17"/>
      <c r="N245" s="17"/>
      <c r="O245" s="17"/>
      <c r="P245" s="17"/>
      <c r="Q245" s="17"/>
      <c r="R245" s="17"/>
      <c r="S245" s="205"/>
      <c r="T245" s="205"/>
      <c r="U245" s="205"/>
      <c r="V245" s="205"/>
      <c r="W245" s="17"/>
      <c r="X245" s="17"/>
      <c r="Y245" s="17"/>
      <c r="Z245" s="17"/>
      <c r="AA245" s="17"/>
      <c r="AB245" s="17"/>
    </row>
    <row r="246">
      <c r="A246" s="17"/>
      <c r="B246" s="17"/>
      <c r="C246" s="17"/>
      <c r="D246" s="17"/>
      <c r="E246" s="17"/>
      <c r="F246" s="301"/>
      <c r="G246" s="17"/>
      <c r="H246" s="17"/>
      <c r="I246" s="17"/>
      <c r="J246" s="17"/>
      <c r="K246" s="17"/>
      <c r="L246" s="17"/>
      <c r="M246" s="17"/>
      <c r="N246" s="17"/>
      <c r="O246" s="17"/>
      <c r="P246" s="17"/>
      <c r="Q246" s="17"/>
      <c r="R246" s="17"/>
      <c r="S246" s="205"/>
      <c r="T246" s="205"/>
      <c r="U246" s="205"/>
      <c r="V246" s="205"/>
      <c r="W246" s="17"/>
      <c r="X246" s="17"/>
      <c r="Y246" s="17"/>
      <c r="Z246" s="17"/>
      <c r="AA246" s="17"/>
      <c r="AB246" s="17"/>
    </row>
    <row r="247">
      <c r="A247" s="17"/>
      <c r="B247" s="17"/>
      <c r="C247" s="17"/>
      <c r="D247" s="17"/>
      <c r="E247" s="17"/>
      <c r="F247" s="301"/>
      <c r="G247" s="17"/>
      <c r="H247" s="17"/>
      <c r="I247" s="17"/>
      <c r="J247" s="17"/>
      <c r="K247" s="17"/>
      <c r="L247" s="17"/>
      <c r="M247" s="17"/>
      <c r="N247" s="17"/>
      <c r="O247" s="17"/>
      <c r="P247" s="17"/>
      <c r="Q247" s="17"/>
      <c r="R247" s="17"/>
      <c r="S247" s="205"/>
      <c r="T247" s="205"/>
      <c r="U247" s="205"/>
      <c r="V247" s="205"/>
      <c r="W247" s="17"/>
      <c r="X247" s="17"/>
      <c r="Y247" s="17"/>
      <c r="Z247" s="17"/>
      <c r="AA247" s="17"/>
      <c r="AB247" s="17"/>
    </row>
    <row r="248">
      <c r="A248" s="17"/>
      <c r="B248" s="17"/>
      <c r="C248" s="17"/>
      <c r="D248" s="17"/>
      <c r="E248" s="17"/>
      <c r="F248" s="301"/>
      <c r="G248" s="17"/>
      <c r="H248" s="17"/>
      <c r="I248" s="17"/>
      <c r="J248" s="17"/>
      <c r="K248" s="17"/>
      <c r="L248" s="17"/>
      <c r="M248" s="17"/>
      <c r="N248" s="17"/>
      <c r="O248" s="17"/>
      <c r="P248" s="17"/>
      <c r="Q248" s="17"/>
      <c r="R248" s="17"/>
      <c r="S248" s="205"/>
      <c r="T248" s="205"/>
      <c r="U248" s="205"/>
      <c r="V248" s="205"/>
      <c r="W248" s="17"/>
      <c r="X248" s="17"/>
      <c r="Y248" s="17"/>
      <c r="Z248" s="17"/>
      <c r="AA248" s="17"/>
      <c r="AB248" s="17"/>
    </row>
    <row r="249">
      <c r="A249" s="17"/>
      <c r="B249" s="17"/>
      <c r="C249" s="17"/>
      <c r="D249" s="17"/>
      <c r="E249" s="17"/>
      <c r="F249" s="301"/>
      <c r="G249" s="17"/>
      <c r="H249" s="17"/>
      <c r="I249" s="17"/>
      <c r="J249" s="17"/>
      <c r="K249" s="17"/>
      <c r="L249" s="17"/>
      <c r="M249" s="17"/>
      <c r="N249" s="17"/>
      <c r="O249" s="17"/>
      <c r="P249" s="17"/>
      <c r="Q249" s="17"/>
      <c r="R249" s="17"/>
      <c r="S249" s="205"/>
      <c r="T249" s="205"/>
      <c r="U249" s="205"/>
      <c r="V249" s="205"/>
      <c r="W249" s="17"/>
      <c r="X249" s="17"/>
      <c r="Y249" s="17"/>
      <c r="Z249" s="17"/>
      <c r="AA249" s="17"/>
      <c r="AB249" s="17"/>
    </row>
    <row r="250">
      <c r="A250" s="17"/>
      <c r="B250" s="17"/>
      <c r="C250" s="17"/>
      <c r="D250" s="17"/>
      <c r="E250" s="17"/>
      <c r="F250" s="301"/>
      <c r="G250" s="17"/>
      <c r="H250" s="17"/>
      <c r="I250" s="17"/>
      <c r="J250" s="17"/>
      <c r="K250" s="17"/>
      <c r="L250" s="17"/>
      <c r="M250" s="17"/>
      <c r="N250" s="17"/>
      <c r="O250" s="17"/>
      <c r="P250" s="17"/>
      <c r="Q250" s="17"/>
      <c r="R250" s="17"/>
      <c r="S250" s="205"/>
      <c r="T250" s="205"/>
      <c r="U250" s="205"/>
      <c r="V250" s="205"/>
      <c r="W250" s="17"/>
      <c r="X250" s="17"/>
      <c r="Y250" s="17"/>
      <c r="Z250" s="17"/>
      <c r="AA250" s="17"/>
      <c r="AB250" s="17"/>
    </row>
    <row r="251">
      <c r="A251" s="17"/>
      <c r="B251" s="17"/>
      <c r="C251" s="17"/>
      <c r="D251" s="17"/>
      <c r="E251" s="17"/>
      <c r="F251" s="301"/>
      <c r="G251" s="17"/>
      <c r="H251" s="17"/>
      <c r="I251" s="17"/>
      <c r="J251" s="17"/>
      <c r="K251" s="17"/>
      <c r="L251" s="17"/>
      <c r="M251" s="17"/>
      <c r="N251" s="17"/>
      <c r="O251" s="17"/>
      <c r="P251" s="17"/>
      <c r="Q251" s="17"/>
      <c r="R251" s="17"/>
      <c r="S251" s="205"/>
      <c r="T251" s="205"/>
      <c r="U251" s="205"/>
      <c r="V251" s="205"/>
      <c r="W251" s="17"/>
      <c r="X251" s="17"/>
      <c r="Y251" s="17"/>
      <c r="Z251" s="17"/>
      <c r="AA251" s="17"/>
      <c r="AB251" s="17"/>
    </row>
    <row r="252">
      <c r="A252" s="17"/>
      <c r="B252" s="17"/>
      <c r="C252" s="17"/>
      <c r="D252" s="17"/>
      <c r="E252" s="17"/>
      <c r="F252" s="301"/>
      <c r="G252" s="17"/>
      <c r="H252" s="17"/>
      <c r="I252" s="17"/>
      <c r="J252" s="17"/>
      <c r="K252" s="17"/>
      <c r="L252" s="17"/>
      <c r="M252" s="17"/>
      <c r="N252" s="17"/>
      <c r="O252" s="17"/>
      <c r="P252" s="17"/>
      <c r="Q252" s="17"/>
      <c r="R252" s="17"/>
      <c r="S252" s="205"/>
      <c r="T252" s="205"/>
      <c r="U252" s="205"/>
      <c r="V252" s="205"/>
      <c r="W252" s="17"/>
      <c r="X252" s="17"/>
      <c r="Y252" s="17"/>
      <c r="Z252" s="17"/>
      <c r="AA252" s="17"/>
      <c r="AB252" s="17"/>
    </row>
    <row r="253">
      <c r="A253" s="17"/>
      <c r="B253" s="17"/>
      <c r="C253" s="17"/>
      <c r="D253" s="17"/>
      <c r="E253" s="17"/>
      <c r="F253" s="301"/>
      <c r="G253" s="17"/>
      <c r="H253" s="17"/>
      <c r="I253" s="17"/>
      <c r="J253" s="17"/>
      <c r="K253" s="17"/>
      <c r="L253" s="17"/>
      <c r="M253" s="17"/>
      <c r="N253" s="17"/>
      <c r="O253" s="17"/>
      <c r="P253" s="17"/>
      <c r="Q253" s="17"/>
      <c r="R253" s="17"/>
      <c r="S253" s="205"/>
      <c r="T253" s="205"/>
      <c r="U253" s="205"/>
      <c r="V253" s="205"/>
      <c r="W253" s="17"/>
      <c r="X253" s="17"/>
      <c r="Y253" s="17"/>
      <c r="Z253" s="17"/>
      <c r="AA253" s="17"/>
      <c r="AB253" s="17"/>
    </row>
    <row r="254">
      <c r="A254" s="17"/>
      <c r="B254" s="17"/>
      <c r="C254" s="17"/>
      <c r="D254" s="17"/>
      <c r="E254" s="17"/>
      <c r="F254" s="301"/>
      <c r="G254" s="17"/>
      <c r="H254" s="17"/>
      <c r="I254" s="17"/>
      <c r="J254" s="17"/>
      <c r="K254" s="17"/>
      <c r="L254" s="17"/>
      <c r="M254" s="17"/>
      <c r="N254" s="17"/>
      <c r="O254" s="17"/>
      <c r="P254" s="17"/>
      <c r="Q254" s="17"/>
      <c r="R254" s="17"/>
      <c r="S254" s="205"/>
      <c r="T254" s="205"/>
      <c r="U254" s="205"/>
      <c r="V254" s="205"/>
      <c r="W254" s="17"/>
      <c r="X254" s="17"/>
      <c r="Y254" s="17"/>
      <c r="Z254" s="17"/>
      <c r="AA254" s="17"/>
      <c r="AB254" s="17"/>
    </row>
    <row r="255">
      <c r="A255" s="17"/>
      <c r="B255" s="17"/>
      <c r="C255" s="17"/>
      <c r="D255" s="17"/>
      <c r="E255" s="17"/>
      <c r="F255" s="301"/>
      <c r="G255" s="17"/>
      <c r="H255" s="17"/>
      <c r="I255" s="17"/>
      <c r="J255" s="17"/>
      <c r="K255" s="17"/>
      <c r="L255" s="17"/>
      <c r="M255" s="17"/>
      <c r="N255" s="17"/>
      <c r="O255" s="17"/>
      <c r="P255" s="17"/>
      <c r="Q255" s="17"/>
      <c r="R255" s="17"/>
      <c r="S255" s="205"/>
      <c r="T255" s="205"/>
      <c r="U255" s="205"/>
      <c r="V255" s="205"/>
      <c r="W255" s="17"/>
      <c r="X255" s="17"/>
      <c r="Y255" s="17"/>
      <c r="Z255" s="17"/>
      <c r="AA255" s="17"/>
      <c r="AB255" s="17"/>
    </row>
    <row r="256">
      <c r="A256" s="17"/>
      <c r="B256" s="17"/>
      <c r="C256" s="17"/>
      <c r="D256" s="17"/>
      <c r="E256" s="17"/>
      <c r="F256" s="301"/>
      <c r="G256" s="17"/>
      <c r="H256" s="17"/>
      <c r="I256" s="17"/>
      <c r="J256" s="17"/>
      <c r="K256" s="17"/>
      <c r="L256" s="17"/>
      <c r="M256" s="17"/>
      <c r="N256" s="17"/>
      <c r="O256" s="17"/>
      <c r="P256" s="17"/>
      <c r="Q256" s="17"/>
      <c r="R256" s="17"/>
      <c r="S256" s="205"/>
      <c r="T256" s="205"/>
      <c r="U256" s="205"/>
      <c r="V256" s="205"/>
      <c r="W256" s="17"/>
      <c r="X256" s="17"/>
      <c r="Y256" s="17"/>
      <c r="Z256" s="17"/>
      <c r="AA256" s="17"/>
      <c r="AB256" s="17"/>
    </row>
    <row r="257">
      <c r="A257" s="17"/>
      <c r="B257" s="17"/>
      <c r="C257" s="17"/>
      <c r="D257" s="17"/>
      <c r="E257" s="17"/>
      <c r="F257" s="301"/>
      <c r="G257" s="17"/>
      <c r="H257" s="17"/>
      <c r="I257" s="17"/>
      <c r="J257" s="17"/>
      <c r="K257" s="17"/>
      <c r="L257" s="17"/>
      <c r="M257" s="17"/>
      <c r="N257" s="17"/>
      <c r="O257" s="17"/>
      <c r="P257" s="17"/>
      <c r="Q257" s="17"/>
      <c r="R257" s="17"/>
      <c r="S257" s="205"/>
      <c r="T257" s="205"/>
      <c r="U257" s="205"/>
      <c r="V257" s="205"/>
      <c r="W257" s="17"/>
      <c r="X257" s="17"/>
      <c r="Y257" s="17"/>
      <c r="Z257" s="17"/>
      <c r="AA257" s="17"/>
      <c r="AB257" s="17"/>
    </row>
    <row r="258">
      <c r="A258" s="17"/>
      <c r="B258" s="17"/>
      <c r="C258" s="17"/>
      <c r="D258" s="17"/>
      <c r="E258" s="17"/>
      <c r="F258" s="301"/>
      <c r="G258" s="17"/>
      <c r="H258" s="17"/>
      <c r="I258" s="17"/>
      <c r="J258" s="17"/>
      <c r="K258" s="17"/>
      <c r="L258" s="17"/>
      <c r="M258" s="17"/>
      <c r="N258" s="17"/>
      <c r="O258" s="17"/>
      <c r="P258" s="17"/>
      <c r="Q258" s="17"/>
      <c r="R258" s="17"/>
      <c r="S258" s="205"/>
      <c r="T258" s="205"/>
      <c r="U258" s="205"/>
      <c r="V258" s="205"/>
      <c r="W258" s="17"/>
      <c r="X258" s="17"/>
      <c r="Y258" s="17"/>
      <c r="Z258" s="17"/>
      <c r="AA258" s="17"/>
      <c r="AB258" s="17"/>
    </row>
    <row r="259">
      <c r="A259" s="17"/>
      <c r="B259" s="17"/>
      <c r="C259" s="17"/>
      <c r="D259" s="17"/>
      <c r="E259" s="17"/>
      <c r="F259" s="301"/>
      <c r="G259" s="17"/>
      <c r="H259" s="17"/>
      <c r="I259" s="17"/>
      <c r="J259" s="17"/>
      <c r="K259" s="17"/>
      <c r="L259" s="17"/>
      <c r="M259" s="17"/>
      <c r="N259" s="17"/>
      <c r="O259" s="17"/>
      <c r="P259" s="17"/>
      <c r="Q259" s="17"/>
      <c r="R259" s="17"/>
      <c r="S259" s="205"/>
      <c r="T259" s="205"/>
      <c r="U259" s="205"/>
      <c r="V259" s="205"/>
      <c r="W259" s="17"/>
      <c r="X259" s="17"/>
      <c r="Y259" s="17"/>
      <c r="Z259" s="17"/>
      <c r="AA259" s="17"/>
      <c r="AB259" s="17"/>
    </row>
    <row r="260">
      <c r="A260" s="17"/>
      <c r="B260" s="17"/>
      <c r="C260" s="17"/>
      <c r="D260" s="17"/>
      <c r="E260" s="17"/>
      <c r="F260" s="301"/>
      <c r="G260" s="17"/>
      <c r="H260" s="17"/>
      <c r="I260" s="17"/>
      <c r="J260" s="17"/>
      <c r="K260" s="17"/>
      <c r="L260" s="17"/>
      <c r="M260" s="17"/>
      <c r="N260" s="17"/>
      <c r="O260" s="17"/>
      <c r="P260" s="17"/>
      <c r="Q260" s="17"/>
      <c r="R260" s="17"/>
      <c r="S260" s="205"/>
      <c r="T260" s="205"/>
      <c r="U260" s="205"/>
      <c r="V260" s="205"/>
      <c r="W260" s="17"/>
      <c r="X260" s="17"/>
      <c r="Y260" s="17"/>
      <c r="Z260" s="17"/>
      <c r="AA260" s="17"/>
      <c r="AB260" s="17"/>
    </row>
    <row r="261">
      <c r="A261" s="17"/>
      <c r="B261" s="17"/>
      <c r="C261" s="17"/>
      <c r="D261" s="17"/>
      <c r="E261" s="17"/>
      <c r="F261" s="301"/>
      <c r="G261" s="17"/>
      <c r="H261" s="17"/>
      <c r="I261" s="17"/>
      <c r="J261" s="17"/>
      <c r="K261" s="17"/>
      <c r="L261" s="17"/>
      <c r="M261" s="17"/>
      <c r="N261" s="17"/>
      <c r="O261" s="17"/>
      <c r="P261" s="17"/>
      <c r="Q261" s="17"/>
      <c r="R261" s="17"/>
      <c r="S261" s="205"/>
      <c r="T261" s="205"/>
      <c r="U261" s="205"/>
      <c r="V261" s="205"/>
      <c r="W261" s="17"/>
      <c r="X261" s="17"/>
      <c r="Y261" s="17"/>
      <c r="Z261" s="17"/>
      <c r="AA261" s="17"/>
      <c r="AB261" s="17"/>
    </row>
    <row r="262">
      <c r="A262" s="17"/>
      <c r="B262" s="17"/>
      <c r="C262" s="17"/>
      <c r="D262" s="17"/>
      <c r="E262" s="17"/>
      <c r="F262" s="301"/>
      <c r="G262" s="17"/>
      <c r="H262" s="17"/>
      <c r="I262" s="17"/>
      <c r="J262" s="17"/>
      <c r="K262" s="17"/>
      <c r="L262" s="17"/>
      <c r="M262" s="17"/>
      <c r="N262" s="17"/>
      <c r="O262" s="17"/>
      <c r="P262" s="17"/>
      <c r="Q262" s="17"/>
      <c r="R262" s="17"/>
      <c r="S262" s="205"/>
      <c r="T262" s="205"/>
      <c r="U262" s="205"/>
      <c r="V262" s="205"/>
      <c r="W262" s="17"/>
      <c r="X262" s="17"/>
      <c r="Y262" s="17"/>
      <c r="Z262" s="17"/>
      <c r="AA262" s="17"/>
      <c r="AB262" s="17"/>
    </row>
    <row r="263">
      <c r="A263" s="17"/>
      <c r="B263" s="17"/>
      <c r="C263" s="17"/>
      <c r="D263" s="17"/>
      <c r="E263" s="17"/>
      <c r="F263" s="301"/>
      <c r="G263" s="17"/>
      <c r="H263" s="17"/>
      <c r="I263" s="17"/>
      <c r="J263" s="17"/>
      <c r="K263" s="17"/>
      <c r="L263" s="17"/>
      <c r="M263" s="17"/>
      <c r="N263" s="17"/>
      <c r="O263" s="17"/>
      <c r="P263" s="17"/>
      <c r="Q263" s="17"/>
      <c r="R263" s="17"/>
      <c r="S263" s="205"/>
      <c r="T263" s="205"/>
      <c r="U263" s="205"/>
      <c r="V263" s="205"/>
      <c r="W263" s="17"/>
      <c r="X263" s="17"/>
      <c r="Y263" s="17"/>
      <c r="Z263" s="17"/>
      <c r="AA263" s="17"/>
      <c r="AB263" s="17"/>
    </row>
    <row r="264">
      <c r="A264" s="17"/>
      <c r="B264" s="17"/>
      <c r="C264" s="17"/>
      <c r="D264" s="17"/>
      <c r="E264" s="17"/>
      <c r="F264" s="301"/>
      <c r="G264" s="17"/>
      <c r="H264" s="17"/>
      <c r="I264" s="17"/>
      <c r="J264" s="17"/>
      <c r="K264" s="17"/>
      <c r="L264" s="17"/>
      <c r="M264" s="17"/>
      <c r="N264" s="17"/>
      <c r="O264" s="17"/>
      <c r="P264" s="17"/>
      <c r="Q264" s="17"/>
      <c r="R264" s="17"/>
      <c r="S264" s="205"/>
      <c r="T264" s="205"/>
      <c r="U264" s="205"/>
      <c r="V264" s="205"/>
      <c r="W264" s="17"/>
      <c r="X264" s="17"/>
      <c r="Y264" s="17"/>
      <c r="Z264" s="17"/>
      <c r="AA264" s="17"/>
      <c r="AB264" s="17"/>
    </row>
    <row r="265">
      <c r="A265" s="17"/>
      <c r="B265" s="17"/>
      <c r="C265" s="17"/>
      <c r="D265" s="17"/>
      <c r="E265" s="17"/>
      <c r="F265" s="301"/>
      <c r="G265" s="17"/>
      <c r="H265" s="17"/>
      <c r="I265" s="17"/>
      <c r="J265" s="17"/>
      <c r="K265" s="17"/>
      <c r="L265" s="17"/>
      <c r="M265" s="17"/>
      <c r="N265" s="17"/>
      <c r="O265" s="17"/>
      <c r="P265" s="17"/>
      <c r="Q265" s="17"/>
      <c r="R265" s="17"/>
      <c r="S265" s="205"/>
      <c r="T265" s="205"/>
      <c r="U265" s="205"/>
      <c r="V265" s="205"/>
      <c r="W265" s="17"/>
      <c r="X265" s="17"/>
      <c r="Y265" s="17"/>
      <c r="Z265" s="17"/>
      <c r="AA265" s="17"/>
      <c r="AB265" s="17"/>
    </row>
    <row r="266">
      <c r="A266" s="17"/>
      <c r="B266" s="17"/>
      <c r="C266" s="17"/>
      <c r="D266" s="17"/>
      <c r="E266" s="17"/>
      <c r="F266" s="301"/>
      <c r="G266" s="17"/>
      <c r="H266" s="17"/>
      <c r="I266" s="17"/>
      <c r="J266" s="17"/>
      <c r="K266" s="17"/>
      <c r="L266" s="17"/>
      <c r="M266" s="17"/>
      <c r="N266" s="17"/>
      <c r="O266" s="17"/>
      <c r="P266" s="17"/>
      <c r="Q266" s="17"/>
      <c r="R266" s="17"/>
      <c r="S266" s="205"/>
      <c r="T266" s="205"/>
      <c r="U266" s="205"/>
      <c r="V266" s="205"/>
      <c r="W266" s="17"/>
      <c r="X266" s="17"/>
      <c r="Y266" s="17"/>
      <c r="Z266" s="17"/>
      <c r="AA266" s="17"/>
      <c r="AB266" s="17"/>
    </row>
    <row r="267">
      <c r="A267" s="17"/>
      <c r="B267" s="17"/>
      <c r="C267" s="17"/>
      <c r="D267" s="17"/>
      <c r="E267" s="17"/>
      <c r="F267" s="301"/>
      <c r="G267" s="17"/>
      <c r="H267" s="17"/>
      <c r="I267" s="17"/>
      <c r="J267" s="17"/>
      <c r="K267" s="17"/>
      <c r="L267" s="17"/>
      <c r="M267" s="17"/>
      <c r="N267" s="17"/>
      <c r="O267" s="17"/>
      <c r="P267" s="17"/>
      <c r="Q267" s="17"/>
      <c r="R267" s="17"/>
      <c r="S267" s="205"/>
      <c r="T267" s="205"/>
      <c r="U267" s="205"/>
      <c r="V267" s="205"/>
      <c r="W267" s="17"/>
      <c r="X267" s="17"/>
      <c r="Y267" s="17"/>
      <c r="Z267" s="17"/>
      <c r="AA267" s="17"/>
      <c r="AB267" s="17"/>
    </row>
    <row r="268">
      <c r="A268" s="17"/>
      <c r="B268" s="17"/>
      <c r="C268" s="17"/>
      <c r="D268" s="17"/>
      <c r="E268" s="17"/>
      <c r="F268" s="301"/>
      <c r="G268" s="17"/>
      <c r="H268" s="17"/>
      <c r="I268" s="17"/>
      <c r="J268" s="17"/>
      <c r="K268" s="17"/>
      <c r="L268" s="17"/>
      <c r="M268" s="17"/>
      <c r="N268" s="17"/>
      <c r="O268" s="17"/>
      <c r="P268" s="17"/>
      <c r="Q268" s="17"/>
      <c r="R268" s="17"/>
      <c r="S268" s="205"/>
      <c r="T268" s="205"/>
      <c r="U268" s="205"/>
      <c r="V268" s="205"/>
      <c r="W268" s="17"/>
      <c r="X268" s="17"/>
      <c r="Y268" s="17"/>
      <c r="Z268" s="17"/>
      <c r="AA268" s="17"/>
      <c r="AB268" s="17"/>
    </row>
    <row r="269">
      <c r="A269" s="17"/>
      <c r="B269" s="17"/>
      <c r="C269" s="17"/>
      <c r="D269" s="17"/>
      <c r="E269" s="17"/>
      <c r="F269" s="301"/>
      <c r="G269" s="17"/>
      <c r="H269" s="17"/>
      <c r="I269" s="17"/>
      <c r="J269" s="17"/>
      <c r="K269" s="17"/>
      <c r="L269" s="17"/>
      <c r="M269" s="17"/>
      <c r="N269" s="17"/>
      <c r="O269" s="17"/>
      <c r="P269" s="17"/>
      <c r="Q269" s="17"/>
      <c r="R269" s="17"/>
      <c r="S269" s="205"/>
      <c r="T269" s="205"/>
      <c r="U269" s="205"/>
      <c r="V269" s="205"/>
      <c r="W269" s="17"/>
      <c r="X269" s="17"/>
      <c r="Y269" s="17"/>
      <c r="Z269" s="17"/>
      <c r="AA269" s="17"/>
      <c r="AB269" s="17"/>
    </row>
    <row r="270">
      <c r="A270" s="17"/>
      <c r="B270" s="17"/>
      <c r="C270" s="17"/>
      <c r="D270" s="17"/>
      <c r="E270" s="17"/>
      <c r="F270" s="301"/>
      <c r="G270" s="17"/>
      <c r="H270" s="17"/>
      <c r="I270" s="17"/>
      <c r="J270" s="17"/>
      <c r="K270" s="17"/>
      <c r="L270" s="17"/>
      <c r="M270" s="17"/>
      <c r="N270" s="17"/>
      <c r="O270" s="17"/>
      <c r="P270" s="17"/>
      <c r="Q270" s="17"/>
      <c r="R270" s="17"/>
      <c r="S270" s="205"/>
      <c r="T270" s="205"/>
      <c r="U270" s="205"/>
      <c r="V270" s="205"/>
      <c r="W270" s="17"/>
      <c r="X270" s="17"/>
      <c r="Y270" s="17"/>
      <c r="Z270" s="17"/>
      <c r="AA270" s="17"/>
      <c r="AB270" s="17"/>
    </row>
    <row r="271">
      <c r="A271" s="17"/>
      <c r="B271" s="17"/>
      <c r="C271" s="17"/>
      <c r="D271" s="17"/>
      <c r="E271" s="17"/>
      <c r="F271" s="301"/>
      <c r="G271" s="17"/>
      <c r="H271" s="17"/>
      <c r="I271" s="17"/>
      <c r="J271" s="17"/>
      <c r="K271" s="17"/>
      <c r="L271" s="17"/>
      <c r="M271" s="17"/>
      <c r="N271" s="17"/>
      <c r="O271" s="17"/>
      <c r="P271" s="17"/>
      <c r="Q271" s="17"/>
      <c r="R271" s="17"/>
      <c r="S271" s="205"/>
      <c r="T271" s="205"/>
      <c r="U271" s="205"/>
      <c r="V271" s="205"/>
      <c r="W271" s="17"/>
      <c r="X271" s="17"/>
      <c r="Y271" s="17"/>
      <c r="Z271" s="17"/>
      <c r="AA271" s="17"/>
      <c r="AB271" s="17"/>
    </row>
    <row r="272">
      <c r="A272" s="17"/>
      <c r="B272" s="17"/>
      <c r="C272" s="17"/>
      <c r="D272" s="17"/>
      <c r="E272" s="17"/>
      <c r="F272" s="301"/>
      <c r="G272" s="17"/>
      <c r="H272" s="17"/>
      <c r="I272" s="17"/>
      <c r="J272" s="17"/>
      <c r="K272" s="17"/>
      <c r="L272" s="17"/>
      <c r="M272" s="17"/>
      <c r="N272" s="17"/>
      <c r="O272" s="17"/>
      <c r="P272" s="17"/>
      <c r="Q272" s="17"/>
      <c r="R272" s="17"/>
      <c r="S272" s="205"/>
      <c r="T272" s="205"/>
      <c r="U272" s="205"/>
      <c r="V272" s="205"/>
      <c r="W272" s="17"/>
      <c r="X272" s="17"/>
      <c r="Y272" s="17"/>
      <c r="Z272" s="17"/>
      <c r="AA272" s="17"/>
      <c r="AB272" s="17"/>
    </row>
    <row r="273">
      <c r="A273" s="17"/>
      <c r="B273" s="17"/>
      <c r="C273" s="17"/>
      <c r="D273" s="17"/>
      <c r="E273" s="17"/>
      <c r="F273" s="301"/>
      <c r="G273" s="17"/>
      <c r="H273" s="17"/>
      <c r="I273" s="17"/>
      <c r="J273" s="17"/>
      <c r="K273" s="17"/>
      <c r="L273" s="17"/>
      <c r="M273" s="17"/>
      <c r="N273" s="17"/>
      <c r="O273" s="17"/>
      <c r="P273" s="17"/>
      <c r="Q273" s="17"/>
      <c r="R273" s="17"/>
      <c r="S273" s="205"/>
      <c r="T273" s="205"/>
      <c r="U273" s="205"/>
      <c r="V273" s="205"/>
      <c r="W273" s="17"/>
      <c r="X273" s="17"/>
      <c r="Y273" s="17"/>
      <c r="Z273" s="17"/>
      <c r="AA273" s="17"/>
      <c r="AB273" s="17"/>
    </row>
    <row r="274">
      <c r="A274" s="17"/>
      <c r="B274" s="17"/>
      <c r="C274" s="17"/>
      <c r="D274" s="17"/>
      <c r="E274" s="17"/>
      <c r="F274" s="301"/>
      <c r="G274" s="17"/>
      <c r="H274" s="17"/>
      <c r="I274" s="17"/>
      <c r="J274" s="17"/>
      <c r="K274" s="17"/>
      <c r="L274" s="17"/>
      <c r="M274" s="17"/>
      <c r="N274" s="17"/>
      <c r="O274" s="17"/>
      <c r="P274" s="17"/>
      <c r="Q274" s="17"/>
      <c r="R274" s="17"/>
      <c r="S274" s="205"/>
      <c r="T274" s="205"/>
      <c r="U274" s="205"/>
      <c r="V274" s="205"/>
      <c r="W274" s="17"/>
      <c r="X274" s="17"/>
      <c r="Y274" s="17"/>
      <c r="Z274" s="17"/>
      <c r="AA274" s="17"/>
      <c r="AB274" s="17"/>
    </row>
    <row r="275">
      <c r="A275" s="17"/>
      <c r="B275" s="17"/>
      <c r="C275" s="17"/>
      <c r="D275" s="17"/>
      <c r="E275" s="17"/>
      <c r="F275" s="301"/>
      <c r="G275" s="17"/>
      <c r="H275" s="17"/>
      <c r="I275" s="17"/>
      <c r="J275" s="17"/>
      <c r="K275" s="17"/>
      <c r="L275" s="17"/>
      <c r="M275" s="17"/>
      <c r="N275" s="17"/>
      <c r="O275" s="17"/>
      <c r="P275" s="17"/>
      <c r="Q275" s="17"/>
      <c r="R275" s="17"/>
      <c r="S275" s="205"/>
      <c r="T275" s="205"/>
      <c r="U275" s="205"/>
      <c r="V275" s="205"/>
      <c r="W275" s="17"/>
      <c r="X275" s="17"/>
      <c r="Y275" s="17"/>
      <c r="Z275" s="17"/>
      <c r="AA275" s="17"/>
      <c r="AB275" s="17"/>
    </row>
    <row r="276">
      <c r="A276" s="17"/>
      <c r="B276" s="17"/>
      <c r="C276" s="17"/>
      <c r="D276" s="17"/>
      <c r="E276" s="17"/>
      <c r="F276" s="301"/>
      <c r="G276" s="17"/>
      <c r="H276" s="17"/>
      <c r="I276" s="17"/>
      <c r="J276" s="17"/>
      <c r="K276" s="17"/>
      <c r="L276" s="17"/>
      <c r="M276" s="17"/>
      <c r="N276" s="17"/>
      <c r="O276" s="17"/>
      <c r="P276" s="17"/>
      <c r="Q276" s="17"/>
      <c r="R276" s="17"/>
      <c r="S276" s="205"/>
      <c r="T276" s="205"/>
      <c r="U276" s="205"/>
      <c r="V276" s="205"/>
      <c r="W276" s="17"/>
      <c r="X276" s="17"/>
      <c r="Y276" s="17"/>
      <c r="Z276" s="17"/>
      <c r="AA276" s="17"/>
      <c r="AB276" s="17"/>
    </row>
    <row r="277">
      <c r="A277" s="17"/>
      <c r="B277" s="17"/>
      <c r="C277" s="17"/>
      <c r="D277" s="17"/>
      <c r="E277" s="17"/>
      <c r="F277" s="301"/>
      <c r="G277" s="17"/>
      <c r="H277" s="17"/>
      <c r="I277" s="17"/>
      <c r="J277" s="17"/>
      <c r="K277" s="17"/>
      <c r="L277" s="17"/>
      <c r="M277" s="17"/>
      <c r="N277" s="17"/>
      <c r="O277" s="17"/>
      <c r="P277" s="17"/>
      <c r="Q277" s="17"/>
      <c r="R277" s="17"/>
      <c r="S277" s="205"/>
      <c r="T277" s="205"/>
      <c r="U277" s="205"/>
      <c r="V277" s="205"/>
      <c r="W277" s="17"/>
      <c r="X277" s="17"/>
      <c r="Y277" s="17"/>
      <c r="Z277" s="17"/>
      <c r="AA277" s="17"/>
      <c r="AB277" s="17"/>
    </row>
    <row r="278">
      <c r="A278" s="17"/>
      <c r="B278" s="17"/>
      <c r="C278" s="17"/>
      <c r="D278" s="17"/>
      <c r="E278" s="17"/>
      <c r="F278" s="301"/>
      <c r="G278" s="17"/>
      <c r="H278" s="17"/>
      <c r="I278" s="17"/>
      <c r="J278" s="17"/>
      <c r="K278" s="17"/>
      <c r="L278" s="17"/>
      <c r="M278" s="17"/>
      <c r="N278" s="17"/>
      <c r="O278" s="17"/>
      <c r="P278" s="17"/>
      <c r="Q278" s="17"/>
      <c r="R278" s="17"/>
      <c r="S278" s="205"/>
      <c r="T278" s="205"/>
      <c r="U278" s="205"/>
      <c r="V278" s="205"/>
      <c r="W278" s="17"/>
      <c r="X278" s="17"/>
      <c r="Y278" s="17"/>
      <c r="Z278" s="17"/>
      <c r="AA278" s="17"/>
      <c r="AB278" s="17"/>
    </row>
    <row r="279">
      <c r="A279" s="17"/>
      <c r="B279" s="17"/>
      <c r="C279" s="17"/>
      <c r="D279" s="17"/>
      <c r="E279" s="17"/>
      <c r="F279" s="301"/>
      <c r="G279" s="17"/>
      <c r="H279" s="17"/>
      <c r="I279" s="17"/>
      <c r="J279" s="17"/>
      <c r="K279" s="17"/>
      <c r="L279" s="17"/>
      <c r="M279" s="17"/>
      <c r="N279" s="17"/>
      <c r="O279" s="17"/>
      <c r="P279" s="17"/>
      <c r="Q279" s="17"/>
      <c r="R279" s="17"/>
      <c r="S279" s="205"/>
      <c r="T279" s="205"/>
      <c r="U279" s="205"/>
      <c r="V279" s="205"/>
      <c r="W279" s="17"/>
      <c r="X279" s="17"/>
      <c r="Y279" s="17"/>
      <c r="Z279" s="17"/>
      <c r="AA279" s="17"/>
      <c r="AB279" s="17"/>
    </row>
    <row r="280">
      <c r="A280" s="17"/>
      <c r="B280" s="17"/>
      <c r="C280" s="17"/>
      <c r="D280" s="17"/>
      <c r="E280" s="17"/>
      <c r="F280" s="301"/>
      <c r="G280" s="17"/>
      <c r="H280" s="17"/>
      <c r="I280" s="17"/>
      <c r="J280" s="17"/>
      <c r="K280" s="17"/>
      <c r="L280" s="17"/>
      <c r="M280" s="17"/>
      <c r="N280" s="17"/>
      <c r="O280" s="17"/>
      <c r="P280" s="17"/>
      <c r="Q280" s="17"/>
      <c r="R280" s="17"/>
      <c r="S280" s="205"/>
      <c r="T280" s="205"/>
      <c r="U280" s="205"/>
      <c r="V280" s="205"/>
      <c r="W280" s="17"/>
      <c r="X280" s="17"/>
      <c r="Y280" s="17"/>
      <c r="Z280" s="17"/>
      <c r="AA280" s="17"/>
      <c r="AB280" s="17"/>
    </row>
    <row r="281">
      <c r="A281" s="17"/>
      <c r="B281" s="17"/>
      <c r="C281" s="17"/>
      <c r="D281" s="17"/>
      <c r="E281" s="17"/>
      <c r="F281" s="301"/>
      <c r="G281" s="17"/>
      <c r="H281" s="17"/>
      <c r="I281" s="17"/>
      <c r="J281" s="17"/>
      <c r="K281" s="17"/>
      <c r="L281" s="17"/>
      <c r="M281" s="17"/>
      <c r="N281" s="17"/>
      <c r="O281" s="17"/>
      <c r="P281" s="17"/>
      <c r="Q281" s="17"/>
      <c r="R281" s="17"/>
      <c r="S281" s="205"/>
      <c r="T281" s="205"/>
      <c r="U281" s="205"/>
      <c r="V281" s="205"/>
      <c r="W281" s="17"/>
      <c r="X281" s="17"/>
      <c r="Y281" s="17"/>
      <c r="Z281" s="17"/>
      <c r="AA281" s="17"/>
      <c r="AB281" s="17"/>
    </row>
    <row r="282">
      <c r="A282" s="17"/>
      <c r="B282" s="17"/>
      <c r="C282" s="17"/>
      <c r="D282" s="17"/>
      <c r="E282" s="17"/>
      <c r="F282" s="301"/>
      <c r="G282" s="17"/>
      <c r="H282" s="17"/>
      <c r="I282" s="17"/>
      <c r="J282" s="17"/>
      <c r="K282" s="17"/>
      <c r="L282" s="17"/>
      <c r="M282" s="17"/>
      <c r="N282" s="17"/>
      <c r="O282" s="17"/>
      <c r="P282" s="17"/>
      <c r="Q282" s="17"/>
      <c r="R282" s="17"/>
      <c r="S282" s="205"/>
      <c r="T282" s="205"/>
      <c r="U282" s="205"/>
      <c r="V282" s="205"/>
      <c r="W282" s="17"/>
      <c r="X282" s="17"/>
      <c r="Y282" s="17"/>
      <c r="Z282" s="17"/>
      <c r="AA282" s="17"/>
      <c r="AB282" s="17"/>
    </row>
    <row r="283">
      <c r="A283" s="17"/>
      <c r="B283" s="17"/>
      <c r="C283" s="17"/>
      <c r="D283" s="17"/>
      <c r="E283" s="17"/>
      <c r="F283" s="301"/>
      <c r="G283" s="17"/>
      <c r="H283" s="17"/>
      <c r="I283" s="17"/>
      <c r="J283" s="17"/>
      <c r="K283" s="17"/>
      <c r="L283" s="17"/>
      <c r="M283" s="17"/>
      <c r="N283" s="17"/>
      <c r="O283" s="17"/>
      <c r="P283" s="17"/>
      <c r="Q283" s="17"/>
      <c r="R283" s="17"/>
      <c r="S283" s="205"/>
      <c r="T283" s="205"/>
      <c r="U283" s="205"/>
      <c r="V283" s="205"/>
      <c r="W283" s="17"/>
      <c r="X283" s="17"/>
      <c r="Y283" s="17"/>
      <c r="Z283" s="17"/>
      <c r="AA283" s="17"/>
      <c r="AB283" s="17"/>
    </row>
    <row r="284">
      <c r="A284" s="17"/>
      <c r="B284" s="17"/>
      <c r="C284" s="17"/>
      <c r="D284" s="17"/>
      <c r="E284" s="17"/>
      <c r="F284" s="301"/>
      <c r="G284" s="17"/>
      <c r="H284" s="17"/>
      <c r="I284" s="17"/>
      <c r="J284" s="17"/>
      <c r="K284" s="17"/>
      <c r="L284" s="17"/>
      <c r="M284" s="17"/>
      <c r="N284" s="17"/>
      <c r="O284" s="17"/>
      <c r="P284" s="17"/>
      <c r="Q284" s="17"/>
      <c r="R284" s="17"/>
      <c r="S284" s="205"/>
      <c r="T284" s="205"/>
      <c r="U284" s="205"/>
      <c r="V284" s="205"/>
      <c r="W284" s="17"/>
      <c r="X284" s="17"/>
      <c r="Y284" s="17"/>
      <c r="Z284" s="17"/>
      <c r="AA284" s="17"/>
      <c r="AB284" s="17"/>
    </row>
    <row r="285">
      <c r="A285" s="17"/>
      <c r="B285" s="17"/>
      <c r="C285" s="17"/>
      <c r="D285" s="17"/>
      <c r="E285" s="17"/>
      <c r="F285" s="301"/>
      <c r="G285" s="17"/>
      <c r="H285" s="17"/>
      <c r="I285" s="17"/>
      <c r="J285" s="17"/>
      <c r="K285" s="17"/>
      <c r="L285" s="17"/>
      <c r="M285" s="17"/>
      <c r="N285" s="17"/>
      <c r="O285" s="17"/>
      <c r="P285" s="17"/>
      <c r="Q285" s="17"/>
      <c r="R285" s="17"/>
      <c r="S285" s="205"/>
      <c r="T285" s="205"/>
      <c r="U285" s="205"/>
      <c r="V285" s="205"/>
      <c r="W285" s="17"/>
      <c r="X285" s="17"/>
      <c r="Y285" s="17"/>
      <c r="Z285" s="17"/>
      <c r="AA285" s="17"/>
      <c r="AB285" s="17"/>
    </row>
    <row r="286">
      <c r="A286" s="17"/>
      <c r="B286" s="17"/>
      <c r="C286" s="17"/>
      <c r="D286" s="17"/>
      <c r="E286" s="17"/>
      <c r="F286" s="301"/>
      <c r="G286" s="17"/>
      <c r="H286" s="17"/>
      <c r="I286" s="17"/>
      <c r="J286" s="17"/>
      <c r="K286" s="17"/>
      <c r="L286" s="17"/>
      <c r="M286" s="17"/>
      <c r="N286" s="17"/>
      <c r="O286" s="17"/>
      <c r="P286" s="17"/>
      <c r="Q286" s="17"/>
      <c r="R286" s="17"/>
      <c r="S286" s="205"/>
      <c r="T286" s="205"/>
      <c r="U286" s="205"/>
      <c r="V286" s="205"/>
      <c r="W286" s="17"/>
      <c r="X286" s="17"/>
      <c r="Y286" s="17"/>
      <c r="Z286" s="17"/>
      <c r="AA286" s="17"/>
      <c r="AB286" s="17"/>
    </row>
    <row r="287">
      <c r="A287" s="17"/>
      <c r="B287" s="17"/>
      <c r="C287" s="17"/>
      <c r="D287" s="17"/>
      <c r="E287" s="17"/>
      <c r="F287" s="301"/>
      <c r="G287" s="17"/>
      <c r="H287" s="17"/>
      <c r="I287" s="17"/>
      <c r="J287" s="17"/>
      <c r="K287" s="17"/>
      <c r="L287" s="17"/>
      <c r="M287" s="17"/>
      <c r="N287" s="17"/>
      <c r="O287" s="17"/>
      <c r="P287" s="17"/>
      <c r="Q287" s="17"/>
      <c r="R287" s="17"/>
      <c r="S287" s="205"/>
      <c r="T287" s="205"/>
      <c r="U287" s="205"/>
      <c r="V287" s="205"/>
      <c r="W287" s="17"/>
      <c r="X287" s="17"/>
      <c r="Y287" s="17"/>
      <c r="Z287" s="17"/>
      <c r="AA287" s="17"/>
      <c r="AB287" s="17"/>
    </row>
    <row r="288">
      <c r="A288" s="17"/>
      <c r="B288" s="17"/>
      <c r="C288" s="17"/>
      <c r="D288" s="17"/>
      <c r="E288" s="17"/>
      <c r="F288" s="301"/>
      <c r="G288" s="17"/>
      <c r="H288" s="17"/>
      <c r="I288" s="17"/>
      <c r="J288" s="17"/>
      <c r="K288" s="17"/>
      <c r="L288" s="17"/>
      <c r="M288" s="17"/>
      <c r="N288" s="17"/>
      <c r="O288" s="17"/>
      <c r="P288" s="17"/>
      <c r="Q288" s="17"/>
      <c r="R288" s="17"/>
      <c r="S288" s="205"/>
      <c r="T288" s="205"/>
      <c r="U288" s="205"/>
      <c r="V288" s="205"/>
      <c r="W288" s="17"/>
      <c r="X288" s="17"/>
      <c r="Y288" s="17"/>
      <c r="Z288" s="17"/>
      <c r="AA288" s="17"/>
      <c r="AB288" s="17"/>
    </row>
    <row r="289">
      <c r="A289" s="17"/>
      <c r="B289" s="17"/>
      <c r="C289" s="17"/>
      <c r="D289" s="17"/>
      <c r="E289" s="17"/>
      <c r="F289" s="301"/>
      <c r="G289" s="17"/>
      <c r="H289" s="17"/>
      <c r="I289" s="17"/>
      <c r="J289" s="17"/>
      <c r="K289" s="17"/>
      <c r="L289" s="17"/>
      <c r="M289" s="17"/>
      <c r="N289" s="17"/>
      <c r="O289" s="17"/>
      <c r="P289" s="17"/>
      <c r="Q289" s="17"/>
      <c r="R289" s="17"/>
      <c r="S289" s="205"/>
      <c r="T289" s="205"/>
      <c r="U289" s="205"/>
      <c r="V289" s="205"/>
      <c r="W289" s="17"/>
      <c r="X289" s="17"/>
      <c r="Y289" s="17"/>
      <c r="Z289" s="17"/>
      <c r="AA289" s="17"/>
      <c r="AB289" s="17"/>
    </row>
    <row r="290">
      <c r="A290" s="17"/>
      <c r="B290" s="17"/>
      <c r="C290" s="17"/>
      <c r="D290" s="17"/>
      <c r="E290" s="17"/>
      <c r="F290" s="301"/>
      <c r="G290" s="17"/>
      <c r="H290" s="17"/>
      <c r="I290" s="17"/>
      <c r="J290" s="17"/>
      <c r="K290" s="17"/>
      <c r="L290" s="17"/>
      <c r="M290" s="17"/>
      <c r="N290" s="17"/>
      <c r="O290" s="17"/>
      <c r="P290" s="17"/>
      <c r="Q290" s="17"/>
      <c r="R290" s="17"/>
      <c r="S290" s="205"/>
      <c r="T290" s="205"/>
      <c r="U290" s="205"/>
      <c r="V290" s="205"/>
      <c r="W290" s="17"/>
      <c r="X290" s="17"/>
      <c r="Y290" s="17"/>
      <c r="Z290" s="17"/>
      <c r="AA290" s="17"/>
      <c r="AB290" s="17"/>
    </row>
    <row r="291">
      <c r="A291" s="17"/>
      <c r="B291" s="17"/>
      <c r="C291" s="17"/>
      <c r="D291" s="17"/>
      <c r="E291" s="17"/>
      <c r="F291" s="301"/>
      <c r="G291" s="17"/>
      <c r="H291" s="17"/>
      <c r="I291" s="17"/>
      <c r="J291" s="17"/>
      <c r="K291" s="17"/>
      <c r="L291" s="17"/>
      <c r="M291" s="17"/>
      <c r="N291" s="17"/>
      <c r="O291" s="17"/>
      <c r="P291" s="17"/>
      <c r="Q291" s="17"/>
      <c r="R291" s="17"/>
      <c r="S291" s="205"/>
      <c r="T291" s="205"/>
      <c r="U291" s="205"/>
      <c r="V291" s="205"/>
      <c r="W291" s="17"/>
      <c r="X291" s="17"/>
      <c r="Y291" s="17"/>
      <c r="Z291" s="17"/>
      <c r="AA291" s="17"/>
      <c r="AB291" s="17"/>
    </row>
    <row r="292">
      <c r="A292" s="17"/>
      <c r="B292" s="17"/>
      <c r="C292" s="17"/>
      <c r="D292" s="17"/>
      <c r="E292" s="17"/>
      <c r="F292" s="301"/>
      <c r="G292" s="17"/>
      <c r="H292" s="17"/>
      <c r="I292" s="17"/>
      <c r="J292" s="17"/>
      <c r="K292" s="17"/>
      <c r="L292" s="17"/>
      <c r="M292" s="17"/>
      <c r="N292" s="17"/>
      <c r="O292" s="17"/>
      <c r="P292" s="17"/>
      <c r="Q292" s="17"/>
      <c r="R292" s="17"/>
      <c r="S292" s="205"/>
      <c r="T292" s="205"/>
      <c r="U292" s="205"/>
      <c r="V292" s="205"/>
      <c r="W292" s="17"/>
      <c r="X292" s="17"/>
      <c r="Y292" s="17"/>
      <c r="Z292" s="17"/>
      <c r="AA292" s="17"/>
      <c r="AB292" s="17"/>
    </row>
    <row r="293">
      <c r="A293" s="17"/>
      <c r="B293" s="17"/>
      <c r="C293" s="17"/>
      <c r="D293" s="17"/>
      <c r="E293" s="17"/>
      <c r="F293" s="301"/>
      <c r="G293" s="17"/>
      <c r="H293" s="17"/>
      <c r="I293" s="17"/>
      <c r="J293" s="17"/>
      <c r="K293" s="17"/>
      <c r="L293" s="17"/>
      <c r="M293" s="17"/>
      <c r="N293" s="17"/>
      <c r="O293" s="17"/>
      <c r="P293" s="17"/>
      <c r="Q293" s="17"/>
      <c r="R293" s="17"/>
      <c r="S293" s="205"/>
      <c r="T293" s="205"/>
      <c r="U293" s="205"/>
      <c r="V293" s="205"/>
      <c r="W293" s="17"/>
      <c r="X293" s="17"/>
      <c r="Y293" s="17"/>
      <c r="Z293" s="17"/>
      <c r="AA293" s="17"/>
      <c r="AB293" s="17"/>
    </row>
    <row r="294">
      <c r="A294" s="17"/>
      <c r="B294" s="17"/>
      <c r="C294" s="17"/>
      <c r="D294" s="17"/>
      <c r="E294" s="17"/>
      <c r="F294" s="301"/>
      <c r="G294" s="17"/>
      <c r="H294" s="17"/>
      <c r="I294" s="17"/>
      <c r="J294" s="17"/>
      <c r="K294" s="17"/>
      <c r="L294" s="17"/>
      <c r="M294" s="17"/>
      <c r="N294" s="17"/>
      <c r="O294" s="17"/>
      <c r="P294" s="17"/>
      <c r="Q294" s="17"/>
      <c r="R294" s="17"/>
      <c r="S294" s="205"/>
      <c r="T294" s="205"/>
      <c r="U294" s="205"/>
      <c r="V294" s="205"/>
      <c r="W294" s="17"/>
      <c r="X294" s="17"/>
      <c r="Y294" s="17"/>
      <c r="Z294" s="17"/>
      <c r="AA294" s="17"/>
      <c r="AB294" s="17"/>
    </row>
    <row r="295">
      <c r="A295" s="17"/>
      <c r="B295" s="17"/>
      <c r="C295" s="17"/>
      <c r="D295" s="17"/>
      <c r="E295" s="17"/>
      <c r="F295" s="301"/>
      <c r="G295" s="17"/>
      <c r="H295" s="17"/>
      <c r="I295" s="17"/>
      <c r="J295" s="17"/>
      <c r="K295" s="17"/>
      <c r="L295" s="17"/>
      <c r="M295" s="17"/>
      <c r="N295" s="17"/>
      <c r="O295" s="17"/>
      <c r="P295" s="17"/>
      <c r="Q295" s="17"/>
      <c r="R295" s="17"/>
      <c r="S295" s="205"/>
      <c r="T295" s="205"/>
      <c r="U295" s="205"/>
      <c r="V295" s="205"/>
      <c r="W295" s="17"/>
      <c r="X295" s="17"/>
      <c r="Y295" s="17"/>
      <c r="Z295" s="17"/>
      <c r="AA295" s="17"/>
      <c r="AB295" s="17"/>
    </row>
    <row r="296">
      <c r="A296" s="17"/>
      <c r="B296" s="17"/>
      <c r="C296" s="17"/>
      <c r="D296" s="17"/>
      <c r="E296" s="17"/>
      <c r="F296" s="301"/>
      <c r="G296" s="17"/>
      <c r="H296" s="17"/>
      <c r="I296" s="17"/>
      <c r="J296" s="17"/>
      <c r="K296" s="17"/>
      <c r="L296" s="17"/>
      <c r="M296" s="17"/>
      <c r="N296" s="17"/>
      <c r="O296" s="17"/>
      <c r="P296" s="17"/>
      <c r="Q296" s="17"/>
      <c r="R296" s="17"/>
      <c r="S296" s="205"/>
      <c r="T296" s="205"/>
      <c r="U296" s="205"/>
      <c r="V296" s="205"/>
      <c r="W296" s="17"/>
      <c r="X296" s="17"/>
      <c r="Y296" s="17"/>
      <c r="Z296" s="17"/>
      <c r="AA296" s="17"/>
      <c r="AB296" s="17"/>
    </row>
    <row r="297">
      <c r="A297" s="17"/>
      <c r="B297" s="17"/>
      <c r="C297" s="17"/>
      <c r="D297" s="17"/>
      <c r="E297" s="17"/>
      <c r="F297" s="301"/>
      <c r="G297" s="17"/>
      <c r="H297" s="17"/>
      <c r="I297" s="17"/>
      <c r="J297" s="17"/>
      <c r="K297" s="17"/>
      <c r="L297" s="17"/>
      <c r="M297" s="17"/>
      <c r="N297" s="17"/>
      <c r="O297" s="17"/>
      <c r="P297" s="17"/>
      <c r="Q297" s="17"/>
      <c r="R297" s="17"/>
      <c r="S297" s="205"/>
      <c r="T297" s="205"/>
      <c r="U297" s="205"/>
      <c r="V297" s="205"/>
      <c r="W297" s="17"/>
      <c r="X297" s="17"/>
      <c r="Y297" s="17"/>
      <c r="Z297" s="17"/>
      <c r="AA297" s="17"/>
      <c r="AB297" s="17"/>
    </row>
    <row r="298">
      <c r="A298" s="17"/>
      <c r="B298" s="17"/>
      <c r="C298" s="17"/>
      <c r="D298" s="17"/>
      <c r="E298" s="17"/>
      <c r="F298" s="301"/>
      <c r="G298" s="17"/>
      <c r="H298" s="17"/>
      <c r="I298" s="17"/>
      <c r="J298" s="17"/>
      <c r="K298" s="17"/>
      <c r="L298" s="17"/>
      <c r="M298" s="17"/>
      <c r="N298" s="17"/>
      <c r="O298" s="17"/>
      <c r="P298" s="17"/>
      <c r="Q298" s="17"/>
      <c r="R298" s="17"/>
      <c r="S298" s="205"/>
      <c r="T298" s="205"/>
      <c r="U298" s="205"/>
      <c r="V298" s="205"/>
      <c r="W298" s="17"/>
      <c r="X298" s="17"/>
      <c r="Y298" s="17"/>
      <c r="Z298" s="17"/>
      <c r="AA298" s="17"/>
      <c r="AB298" s="17"/>
    </row>
    <row r="299">
      <c r="A299" s="17"/>
      <c r="B299" s="17"/>
      <c r="C299" s="17"/>
      <c r="D299" s="17"/>
      <c r="E299" s="17"/>
      <c r="F299" s="301"/>
      <c r="G299" s="17"/>
      <c r="H299" s="17"/>
      <c r="I299" s="17"/>
      <c r="J299" s="17"/>
      <c r="K299" s="17"/>
      <c r="L299" s="17"/>
      <c r="M299" s="17"/>
      <c r="N299" s="17"/>
      <c r="O299" s="17"/>
      <c r="P299" s="17"/>
      <c r="Q299" s="17"/>
      <c r="R299" s="17"/>
      <c r="S299" s="205"/>
      <c r="T299" s="205"/>
      <c r="U299" s="205"/>
      <c r="V299" s="205"/>
      <c r="W299" s="17"/>
      <c r="X299" s="17"/>
      <c r="Y299" s="17"/>
      <c r="Z299" s="17"/>
      <c r="AA299" s="17"/>
      <c r="AB299" s="17"/>
    </row>
    <row r="300">
      <c r="A300" s="17"/>
      <c r="B300" s="17"/>
      <c r="C300" s="17"/>
      <c r="D300" s="17"/>
      <c r="E300" s="17"/>
      <c r="F300" s="301"/>
      <c r="G300" s="17"/>
      <c r="H300" s="17"/>
      <c r="I300" s="17"/>
      <c r="J300" s="17"/>
      <c r="K300" s="17"/>
      <c r="L300" s="17"/>
      <c r="M300" s="17"/>
      <c r="N300" s="17"/>
      <c r="O300" s="17"/>
      <c r="P300" s="17"/>
      <c r="Q300" s="17"/>
      <c r="R300" s="17"/>
      <c r="S300" s="205"/>
      <c r="T300" s="205"/>
      <c r="U300" s="205"/>
      <c r="V300" s="205"/>
      <c r="W300" s="17"/>
      <c r="X300" s="17"/>
      <c r="Y300" s="17"/>
      <c r="Z300" s="17"/>
      <c r="AA300" s="17"/>
      <c r="AB300" s="17"/>
    </row>
    <row r="301">
      <c r="A301" s="17"/>
      <c r="B301" s="17"/>
      <c r="C301" s="17"/>
      <c r="D301" s="17"/>
      <c r="E301" s="17"/>
      <c r="F301" s="301"/>
      <c r="G301" s="17"/>
      <c r="H301" s="17"/>
      <c r="I301" s="17"/>
      <c r="J301" s="17"/>
      <c r="K301" s="17"/>
      <c r="L301" s="17"/>
      <c r="M301" s="17"/>
      <c r="N301" s="17"/>
      <c r="O301" s="17"/>
      <c r="P301" s="17"/>
      <c r="Q301" s="17"/>
      <c r="R301" s="17"/>
      <c r="S301" s="205"/>
      <c r="T301" s="205"/>
      <c r="U301" s="205"/>
      <c r="V301" s="205"/>
      <c r="W301" s="17"/>
      <c r="X301" s="17"/>
      <c r="Y301" s="17"/>
      <c r="Z301" s="17"/>
      <c r="AA301" s="17"/>
      <c r="AB301" s="17"/>
    </row>
    <row r="302">
      <c r="A302" s="17"/>
      <c r="B302" s="17"/>
      <c r="C302" s="17"/>
      <c r="D302" s="17"/>
      <c r="E302" s="17"/>
      <c r="F302" s="301"/>
      <c r="G302" s="17"/>
      <c r="H302" s="17"/>
      <c r="I302" s="17"/>
      <c r="J302" s="17"/>
      <c r="K302" s="17"/>
      <c r="L302" s="17"/>
      <c r="M302" s="17"/>
      <c r="N302" s="17"/>
      <c r="O302" s="17"/>
      <c r="P302" s="17"/>
      <c r="Q302" s="17"/>
      <c r="R302" s="17"/>
      <c r="S302" s="205"/>
      <c r="T302" s="205"/>
      <c r="U302" s="205"/>
      <c r="V302" s="205"/>
      <c r="W302" s="17"/>
      <c r="X302" s="17"/>
      <c r="Y302" s="17"/>
      <c r="Z302" s="17"/>
      <c r="AA302" s="17"/>
      <c r="AB302" s="17"/>
    </row>
    <row r="303">
      <c r="A303" s="17"/>
      <c r="B303" s="17"/>
      <c r="C303" s="17"/>
      <c r="D303" s="17"/>
      <c r="E303" s="17"/>
      <c r="F303" s="301"/>
      <c r="G303" s="17"/>
      <c r="H303" s="17"/>
      <c r="I303" s="17"/>
      <c r="J303" s="17"/>
      <c r="K303" s="17"/>
      <c r="L303" s="17"/>
      <c r="M303" s="17"/>
      <c r="N303" s="17"/>
      <c r="O303" s="17"/>
      <c r="P303" s="17"/>
      <c r="Q303" s="17"/>
      <c r="R303" s="17"/>
      <c r="S303" s="205"/>
      <c r="T303" s="205"/>
      <c r="U303" s="205"/>
      <c r="V303" s="205"/>
      <c r="W303" s="17"/>
      <c r="X303" s="17"/>
      <c r="Y303" s="17"/>
      <c r="Z303" s="17"/>
      <c r="AA303" s="17"/>
      <c r="AB303" s="17"/>
    </row>
    <row r="304">
      <c r="A304" s="17"/>
      <c r="B304" s="17"/>
      <c r="C304" s="17"/>
      <c r="D304" s="17"/>
      <c r="E304" s="17"/>
      <c r="F304" s="301"/>
      <c r="G304" s="17"/>
      <c r="H304" s="17"/>
      <c r="I304" s="17"/>
      <c r="J304" s="17"/>
      <c r="K304" s="17"/>
      <c r="L304" s="17"/>
      <c r="M304" s="17"/>
      <c r="N304" s="17"/>
      <c r="O304" s="17"/>
      <c r="P304" s="17"/>
      <c r="Q304" s="17"/>
      <c r="R304" s="17"/>
      <c r="S304" s="205"/>
      <c r="T304" s="205"/>
      <c r="U304" s="205"/>
      <c r="V304" s="205"/>
      <c r="W304" s="17"/>
      <c r="X304" s="17"/>
      <c r="Y304" s="17"/>
      <c r="Z304" s="17"/>
      <c r="AA304" s="17"/>
      <c r="AB304" s="17"/>
    </row>
    <row r="305">
      <c r="A305" s="17"/>
      <c r="B305" s="17"/>
      <c r="C305" s="17"/>
      <c r="D305" s="17"/>
      <c r="E305" s="17"/>
      <c r="F305" s="301"/>
      <c r="G305" s="17"/>
      <c r="H305" s="17"/>
      <c r="I305" s="17"/>
      <c r="J305" s="17"/>
      <c r="K305" s="17"/>
      <c r="L305" s="17"/>
      <c r="M305" s="17"/>
      <c r="N305" s="17"/>
      <c r="O305" s="17"/>
      <c r="P305" s="17"/>
      <c r="Q305" s="17"/>
      <c r="R305" s="17"/>
      <c r="S305" s="205"/>
      <c r="T305" s="205"/>
      <c r="U305" s="205"/>
      <c r="V305" s="205"/>
      <c r="W305" s="17"/>
      <c r="X305" s="17"/>
      <c r="Y305" s="17"/>
      <c r="Z305" s="17"/>
      <c r="AA305" s="17"/>
      <c r="AB305" s="17"/>
    </row>
    <row r="306">
      <c r="A306" s="17"/>
      <c r="B306" s="17"/>
      <c r="C306" s="17"/>
      <c r="D306" s="17"/>
      <c r="E306" s="17"/>
      <c r="F306" s="301"/>
      <c r="G306" s="17"/>
      <c r="H306" s="17"/>
      <c r="I306" s="17"/>
      <c r="J306" s="17"/>
      <c r="K306" s="17"/>
      <c r="L306" s="17"/>
      <c r="M306" s="17"/>
      <c r="N306" s="17"/>
      <c r="O306" s="17"/>
      <c r="P306" s="17"/>
      <c r="Q306" s="17"/>
      <c r="R306" s="17"/>
      <c r="S306" s="205"/>
      <c r="T306" s="205"/>
      <c r="U306" s="205"/>
      <c r="V306" s="205"/>
      <c r="W306" s="17"/>
      <c r="X306" s="17"/>
      <c r="Y306" s="17"/>
      <c r="Z306" s="17"/>
      <c r="AA306" s="17"/>
      <c r="AB306" s="17"/>
    </row>
    <row r="307">
      <c r="A307" s="17"/>
      <c r="B307" s="17"/>
      <c r="C307" s="17"/>
      <c r="D307" s="17"/>
      <c r="E307" s="17"/>
      <c r="F307" s="301"/>
      <c r="G307" s="17"/>
      <c r="H307" s="17"/>
      <c r="I307" s="17"/>
      <c r="J307" s="17"/>
      <c r="K307" s="17"/>
      <c r="L307" s="17"/>
      <c r="M307" s="17"/>
      <c r="N307" s="17"/>
      <c r="O307" s="17"/>
      <c r="P307" s="17"/>
      <c r="Q307" s="17"/>
      <c r="R307" s="17"/>
      <c r="S307" s="205"/>
      <c r="T307" s="205"/>
      <c r="U307" s="205"/>
      <c r="V307" s="205"/>
      <c r="W307" s="17"/>
      <c r="X307" s="17"/>
      <c r="Y307" s="17"/>
      <c r="Z307" s="17"/>
      <c r="AA307" s="17"/>
      <c r="AB307" s="17"/>
    </row>
    <row r="308">
      <c r="A308" s="17"/>
      <c r="B308" s="17"/>
      <c r="C308" s="17"/>
      <c r="D308" s="17"/>
      <c r="E308" s="17"/>
      <c r="F308" s="301"/>
      <c r="G308" s="17"/>
      <c r="H308" s="17"/>
      <c r="I308" s="17"/>
      <c r="J308" s="17"/>
      <c r="K308" s="17"/>
      <c r="L308" s="17"/>
      <c r="M308" s="17"/>
      <c r="N308" s="17"/>
      <c r="O308" s="17"/>
      <c r="P308" s="17"/>
      <c r="Q308" s="17"/>
      <c r="R308" s="17"/>
      <c r="S308" s="205"/>
      <c r="T308" s="205"/>
      <c r="U308" s="205"/>
      <c r="V308" s="205"/>
      <c r="W308" s="17"/>
      <c r="X308" s="17"/>
      <c r="Y308" s="17"/>
      <c r="Z308" s="17"/>
      <c r="AA308" s="17"/>
      <c r="AB308" s="17"/>
    </row>
    <row r="309">
      <c r="A309" s="17"/>
      <c r="B309" s="17"/>
      <c r="C309" s="17"/>
      <c r="D309" s="17"/>
      <c r="E309" s="17"/>
      <c r="F309" s="301"/>
      <c r="G309" s="17"/>
      <c r="H309" s="17"/>
      <c r="I309" s="17"/>
      <c r="J309" s="17"/>
      <c r="K309" s="17"/>
      <c r="L309" s="17"/>
      <c r="M309" s="17"/>
      <c r="N309" s="17"/>
      <c r="O309" s="17"/>
      <c r="P309" s="17"/>
      <c r="Q309" s="17"/>
      <c r="R309" s="17"/>
      <c r="S309" s="205"/>
      <c r="T309" s="205"/>
      <c r="U309" s="205"/>
      <c r="V309" s="205"/>
      <c r="W309" s="17"/>
      <c r="X309" s="17"/>
      <c r="Y309" s="17"/>
      <c r="Z309" s="17"/>
      <c r="AA309" s="17"/>
      <c r="AB309" s="17"/>
    </row>
    <row r="310">
      <c r="A310" s="17"/>
      <c r="B310" s="17"/>
      <c r="C310" s="17"/>
      <c r="D310" s="17"/>
      <c r="E310" s="17"/>
      <c r="F310" s="301"/>
      <c r="G310" s="17"/>
      <c r="H310" s="17"/>
      <c r="I310" s="17"/>
      <c r="J310" s="17"/>
      <c r="K310" s="17"/>
      <c r="L310" s="17"/>
      <c r="M310" s="17"/>
      <c r="N310" s="17"/>
      <c r="O310" s="17"/>
      <c r="P310" s="17"/>
      <c r="Q310" s="17"/>
      <c r="R310" s="17"/>
      <c r="S310" s="205"/>
      <c r="T310" s="205"/>
      <c r="U310" s="205"/>
      <c r="V310" s="205"/>
      <c r="W310" s="17"/>
      <c r="X310" s="17"/>
      <c r="Y310" s="17"/>
      <c r="Z310" s="17"/>
      <c r="AA310" s="17"/>
      <c r="AB310" s="17"/>
    </row>
    <row r="311">
      <c r="A311" s="17"/>
      <c r="B311" s="17"/>
      <c r="C311" s="17"/>
      <c r="D311" s="17"/>
      <c r="E311" s="17"/>
      <c r="F311" s="301"/>
      <c r="G311" s="17"/>
      <c r="H311" s="17"/>
      <c r="I311" s="17"/>
      <c r="J311" s="17"/>
      <c r="K311" s="17"/>
      <c r="L311" s="17"/>
      <c r="M311" s="17"/>
      <c r="N311" s="17"/>
      <c r="O311" s="17"/>
      <c r="P311" s="17"/>
      <c r="Q311" s="17"/>
      <c r="R311" s="17"/>
      <c r="S311" s="205"/>
      <c r="T311" s="205"/>
      <c r="U311" s="205"/>
      <c r="V311" s="205"/>
      <c r="W311" s="17"/>
      <c r="X311" s="17"/>
      <c r="Y311" s="17"/>
      <c r="Z311" s="17"/>
      <c r="AA311" s="17"/>
      <c r="AB311" s="17"/>
    </row>
    <row r="312">
      <c r="A312" s="17"/>
      <c r="B312" s="17"/>
      <c r="C312" s="17"/>
      <c r="D312" s="17"/>
      <c r="E312" s="17"/>
      <c r="F312" s="301"/>
      <c r="G312" s="17"/>
      <c r="H312" s="17"/>
      <c r="I312" s="17"/>
      <c r="J312" s="17"/>
      <c r="K312" s="17"/>
      <c r="L312" s="17"/>
      <c r="M312" s="17"/>
      <c r="N312" s="17"/>
      <c r="O312" s="17"/>
      <c r="P312" s="17"/>
      <c r="Q312" s="17"/>
      <c r="R312" s="17"/>
      <c r="S312" s="205"/>
      <c r="T312" s="205"/>
      <c r="U312" s="205"/>
      <c r="V312" s="205"/>
      <c r="W312" s="17"/>
      <c r="X312" s="17"/>
      <c r="Y312" s="17"/>
      <c r="Z312" s="17"/>
      <c r="AA312" s="17"/>
      <c r="AB312" s="17"/>
    </row>
    <row r="313">
      <c r="A313" s="17"/>
      <c r="B313" s="17"/>
      <c r="C313" s="17"/>
      <c r="D313" s="17"/>
      <c r="E313" s="17"/>
      <c r="F313" s="301"/>
      <c r="G313" s="17"/>
      <c r="H313" s="17"/>
      <c r="I313" s="17"/>
      <c r="J313" s="17"/>
      <c r="K313" s="17"/>
      <c r="L313" s="17"/>
      <c r="M313" s="17"/>
      <c r="N313" s="17"/>
      <c r="O313" s="17"/>
      <c r="P313" s="17"/>
      <c r="Q313" s="17"/>
      <c r="R313" s="17"/>
      <c r="S313" s="205"/>
      <c r="T313" s="205"/>
      <c r="U313" s="205"/>
      <c r="V313" s="205"/>
      <c r="W313" s="17"/>
      <c r="X313" s="17"/>
      <c r="Y313" s="17"/>
      <c r="Z313" s="17"/>
      <c r="AA313" s="17"/>
      <c r="AB313" s="17"/>
    </row>
    <row r="314">
      <c r="A314" s="17"/>
      <c r="B314" s="17"/>
      <c r="C314" s="17"/>
      <c r="D314" s="17"/>
      <c r="E314" s="17"/>
      <c r="F314" s="301"/>
      <c r="G314" s="17"/>
      <c r="H314" s="17"/>
      <c r="I314" s="17"/>
      <c r="J314" s="17"/>
      <c r="K314" s="17"/>
      <c r="L314" s="17"/>
      <c r="M314" s="17"/>
      <c r="N314" s="17"/>
      <c r="O314" s="17"/>
      <c r="P314" s="17"/>
      <c r="Q314" s="17"/>
      <c r="R314" s="17"/>
      <c r="S314" s="205"/>
      <c r="T314" s="205"/>
      <c r="U314" s="205"/>
      <c r="V314" s="205"/>
      <c r="W314" s="17"/>
      <c r="X314" s="17"/>
      <c r="Y314" s="17"/>
      <c r="Z314" s="17"/>
      <c r="AA314" s="17"/>
      <c r="AB314" s="17"/>
    </row>
    <row r="315">
      <c r="A315" s="17"/>
      <c r="B315" s="17"/>
      <c r="C315" s="17"/>
      <c r="D315" s="17"/>
      <c r="E315" s="17"/>
      <c r="F315" s="301"/>
      <c r="G315" s="17"/>
      <c r="H315" s="17"/>
      <c r="I315" s="17"/>
      <c r="J315" s="17"/>
      <c r="K315" s="17"/>
      <c r="L315" s="17"/>
      <c r="M315" s="17"/>
      <c r="N315" s="17"/>
      <c r="O315" s="17"/>
      <c r="P315" s="17"/>
      <c r="Q315" s="17"/>
      <c r="R315" s="17"/>
      <c r="S315" s="205"/>
      <c r="T315" s="205"/>
      <c r="U315" s="205"/>
      <c r="V315" s="205"/>
      <c r="W315" s="17"/>
      <c r="X315" s="17"/>
      <c r="Y315" s="17"/>
      <c r="Z315" s="17"/>
      <c r="AA315" s="17"/>
      <c r="AB315" s="17"/>
    </row>
    <row r="316">
      <c r="A316" s="17"/>
      <c r="B316" s="17"/>
      <c r="C316" s="17"/>
      <c r="D316" s="17"/>
      <c r="E316" s="17"/>
      <c r="F316" s="301"/>
      <c r="G316" s="17"/>
      <c r="H316" s="17"/>
      <c r="I316" s="17"/>
      <c r="J316" s="17"/>
      <c r="K316" s="17"/>
      <c r="L316" s="17"/>
      <c r="M316" s="17"/>
      <c r="N316" s="17"/>
      <c r="O316" s="17"/>
      <c r="P316" s="17"/>
      <c r="Q316" s="17"/>
      <c r="R316" s="17"/>
      <c r="S316" s="205"/>
      <c r="T316" s="205"/>
      <c r="U316" s="205"/>
      <c r="V316" s="205"/>
      <c r="W316" s="17"/>
      <c r="X316" s="17"/>
      <c r="Y316" s="17"/>
      <c r="Z316" s="17"/>
      <c r="AA316" s="17"/>
      <c r="AB316" s="17"/>
    </row>
    <row r="317">
      <c r="A317" s="17"/>
      <c r="B317" s="17"/>
      <c r="C317" s="17"/>
      <c r="D317" s="17"/>
      <c r="E317" s="17"/>
      <c r="F317" s="301"/>
      <c r="G317" s="17"/>
      <c r="H317" s="17"/>
      <c r="I317" s="17"/>
      <c r="J317" s="17"/>
      <c r="K317" s="17"/>
      <c r="L317" s="17"/>
      <c r="M317" s="17"/>
      <c r="N317" s="17"/>
      <c r="O317" s="17"/>
      <c r="P317" s="17"/>
      <c r="Q317" s="17"/>
      <c r="R317" s="17"/>
      <c r="S317" s="205"/>
      <c r="T317" s="205"/>
      <c r="U317" s="205"/>
      <c r="V317" s="205"/>
      <c r="W317" s="17"/>
      <c r="X317" s="17"/>
      <c r="Y317" s="17"/>
      <c r="Z317" s="17"/>
      <c r="AA317" s="17"/>
      <c r="AB317" s="17"/>
    </row>
    <row r="318">
      <c r="A318" s="17"/>
      <c r="B318" s="17"/>
      <c r="C318" s="17"/>
      <c r="D318" s="17"/>
      <c r="E318" s="17"/>
      <c r="F318" s="301"/>
      <c r="G318" s="17"/>
      <c r="H318" s="17"/>
      <c r="I318" s="17"/>
      <c r="J318" s="17"/>
      <c r="K318" s="17"/>
      <c r="L318" s="17"/>
      <c r="M318" s="17"/>
      <c r="N318" s="17"/>
      <c r="O318" s="17"/>
      <c r="P318" s="17"/>
      <c r="Q318" s="17"/>
      <c r="R318" s="17"/>
      <c r="S318" s="205"/>
      <c r="T318" s="205"/>
      <c r="U318" s="205"/>
      <c r="V318" s="205"/>
      <c r="W318" s="17"/>
      <c r="X318" s="17"/>
      <c r="Y318" s="17"/>
      <c r="Z318" s="17"/>
      <c r="AA318" s="17"/>
      <c r="AB318" s="17"/>
    </row>
    <row r="319">
      <c r="A319" s="17"/>
      <c r="B319" s="17"/>
      <c r="C319" s="17"/>
      <c r="D319" s="17"/>
      <c r="E319" s="17"/>
      <c r="F319" s="301"/>
      <c r="G319" s="17"/>
      <c r="H319" s="17"/>
      <c r="I319" s="17"/>
      <c r="J319" s="17"/>
      <c r="K319" s="17"/>
      <c r="L319" s="17"/>
      <c r="M319" s="17"/>
      <c r="N319" s="17"/>
      <c r="O319" s="17"/>
      <c r="P319" s="17"/>
      <c r="Q319" s="17"/>
      <c r="R319" s="17"/>
      <c r="S319" s="205"/>
      <c r="T319" s="205"/>
      <c r="U319" s="205"/>
      <c r="V319" s="205"/>
      <c r="W319" s="17"/>
      <c r="X319" s="17"/>
      <c r="Y319" s="17"/>
      <c r="Z319" s="17"/>
      <c r="AA319" s="17"/>
      <c r="AB319" s="17"/>
    </row>
    <row r="320">
      <c r="A320" s="17"/>
      <c r="B320" s="17"/>
      <c r="C320" s="17"/>
      <c r="D320" s="17"/>
      <c r="E320" s="17"/>
      <c r="F320" s="301"/>
      <c r="G320" s="17"/>
      <c r="H320" s="17"/>
      <c r="I320" s="17"/>
      <c r="J320" s="17"/>
      <c r="K320" s="17"/>
      <c r="L320" s="17"/>
      <c r="M320" s="17"/>
      <c r="N320" s="17"/>
      <c r="O320" s="17"/>
      <c r="P320" s="17"/>
      <c r="Q320" s="17"/>
      <c r="R320" s="17"/>
      <c r="S320" s="205"/>
      <c r="T320" s="205"/>
      <c r="U320" s="205"/>
      <c r="V320" s="205"/>
      <c r="W320" s="17"/>
      <c r="X320" s="17"/>
      <c r="Y320" s="17"/>
      <c r="Z320" s="17"/>
      <c r="AA320" s="17"/>
      <c r="AB320" s="17"/>
    </row>
    <row r="321">
      <c r="A321" s="17"/>
      <c r="B321" s="17"/>
      <c r="C321" s="17"/>
      <c r="D321" s="17"/>
      <c r="E321" s="17"/>
      <c r="F321" s="301"/>
      <c r="G321" s="17"/>
      <c r="H321" s="17"/>
      <c r="I321" s="17"/>
      <c r="J321" s="17"/>
      <c r="K321" s="17"/>
      <c r="L321" s="17"/>
      <c r="M321" s="17"/>
      <c r="N321" s="17"/>
      <c r="O321" s="17"/>
      <c r="P321" s="17"/>
      <c r="Q321" s="17"/>
      <c r="R321" s="17"/>
      <c r="S321" s="205"/>
      <c r="T321" s="205"/>
      <c r="U321" s="205"/>
      <c r="V321" s="205"/>
      <c r="W321" s="17"/>
      <c r="X321" s="17"/>
      <c r="Y321" s="17"/>
      <c r="Z321" s="17"/>
      <c r="AA321" s="17"/>
      <c r="AB321" s="17"/>
    </row>
    <row r="322">
      <c r="A322" s="17"/>
      <c r="B322" s="17"/>
      <c r="C322" s="17"/>
      <c r="D322" s="17"/>
      <c r="E322" s="17"/>
      <c r="F322" s="301"/>
      <c r="G322" s="17"/>
      <c r="H322" s="17"/>
      <c r="I322" s="17"/>
      <c r="J322" s="17"/>
      <c r="K322" s="17"/>
      <c r="L322" s="17"/>
      <c r="M322" s="17"/>
      <c r="N322" s="17"/>
      <c r="O322" s="17"/>
      <c r="P322" s="17"/>
      <c r="Q322" s="17"/>
      <c r="R322" s="17"/>
      <c r="S322" s="205"/>
      <c r="T322" s="205"/>
      <c r="U322" s="205"/>
      <c r="V322" s="205"/>
      <c r="W322" s="17"/>
      <c r="X322" s="17"/>
      <c r="Y322" s="17"/>
      <c r="Z322" s="17"/>
      <c r="AA322" s="17"/>
      <c r="AB322" s="17"/>
    </row>
    <row r="323">
      <c r="A323" s="17"/>
      <c r="B323" s="17"/>
      <c r="C323" s="17"/>
      <c r="D323" s="17"/>
      <c r="E323" s="17"/>
      <c r="F323" s="301"/>
      <c r="G323" s="17"/>
      <c r="H323" s="17"/>
      <c r="I323" s="17"/>
      <c r="J323" s="17"/>
      <c r="K323" s="17"/>
      <c r="L323" s="17"/>
      <c r="M323" s="17"/>
      <c r="N323" s="17"/>
      <c r="O323" s="17"/>
      <c r="P323" s="17"/>
      <c r="Q323" s="17"/>
      <c r="R323" s="17"/>
      <c r="S323" s="205"/>
      <c r="T323" s="205"/>
      <c r="U323" s="205"/>
      <c r="V323" s="205"/>
      <c r="W323" s="17"/>
      <c r="X323" s="17"/>
      <c r="Y323" s="17"/>
      <c r="Z323" s="17"/>
      <c r="AA323" s="17"/>
      <c r="AB323" s="17"/>
    </row>
    <row r="324">
      <c r="A324" s="17"/>
      <c r="B324" s="17"/>
      <c r="C324" s="17"/>
      <c r="D324" s="17"/>
      <c r="E324" s="17"/>
      <c r="F324" s="301"/>
      <c r="G324" s="17"/>
      <c r="H324" s="17"/>
      <c r="I324" s="17"/>
      <c r="J324" s="17"/>
      <c r="K324" s="17"/>
      <c r="L324" s="17"/>
      <c r="M324" s="17"/>
      <c r="N324" s="17"/>
      <c r="O324" s="17"/>
      <c r="P324" s="17"/>
      <c r="Q324" s="17"/>
      <c r="R324" s="17"/>
      <c r="S324" s="205"/>
      <c r="T324" s="205"/>
      <c r="U324" s="205"/>
      <c r="V324" s="205"/>
      <c r="W324" s="17"/>
      <c r="X324" s="17"/>
      <c r="Y324" s="17"/>
      <c r="Z324" s="17"/>
      <c r="AA324" s="17"/>
      <c r="AB324" s="17"/>
    </row>
    <row r="325">
      <c r="A325" s="17"/>
      <c r="B325" s="17"/>
      <c r="C325" s="17"/>
      <c r="D325" s="17"/>
      <c r="E325" s="17"/>
      <c r="F325" s="301"/>
      <c r="G325" s="17"/>
      <c r="H325" s="17"/>
      <c r="I325" s="17"/>
      <c r="J325" s="17"/>
      <c r="K325" s="17"/>
      <c r="L325" s="17"/>
      <c r="M325" s="17"/>
      <c r="N325" s="17"/>
      <c r="O325" s="17"/>
      <c r="P325" s="17"/>
      <c r="Q325" s="17"/>
      <c r="R325" s="17"/>
      <c r="S325" s="205"/>
      <c r="T325" s="205"/>
      <c r="U325" s="205"/>
      <c r="V325" s="205"/>
      <c r="W325" s="17"/>
      <c r="X325" s="17"/>
      <c r="Y325" s="17"/>
      <c r="Z325" s="17"/>
      <c r="AA325" s="17"/>
      <c r="AB325" s="17"/>
    </row>
    <row r="326">
      <c r="A326" s="17"/>
      <c r="B326" s="17"/>
      <c r="C326" s="17"/>
      <c r="D326" s="17"/>
      <c r="E326" s="17"/>
      <c r="F326" s="301"/>
      <c r="G326" s="17"/>
      <c r="H326" s="17"/>
      <c r="I326" s="17"/>
      <c r="J326" s="17"/>
      <c r="K326" s="17"/>
      <c r="L326" s="17"/>
      <c r="M326" s="17"/>
      <c r="N326" s="17"/>
      <c r="O326" s="17"/>
      <c r="P326" s="17"/>
      <c r="Q326" s="17"/>
      <c r="R326" s="17"/>
      <c r="S326" s="205"/>
      <c r="T326" s="205"/>
      <c r="U326" s="205"/>
      <c r="V326" s="205"/>
      <c r="W326" s="17"/>
      <c r="X326" s="17"/>
      <c r="Y326" s="17"/>
      <c r="Z326" s="17"/>
      <c r="AA326" s="17"/>
      <c r="AB326" s="17"/>
    </row>
    <row r="327">
      <c r="A327" s="17"/>
      <c r="B327" s="17"/>
      <c r="C327" s="17"/>
      <c r="D327" s="17"/>
      <c r="E327" s="17"/>
      <c r="F327" s="301"/>
      <c r="G327" s="17"/>
      <c r="H327" s="17"/>
      <c r="I327" s="17"/>
      <c r="J327" s="17"/>
      <c r="K327" s="17"/>
      <c r="L327" s="17"/>
      <c r="M327" s="17"/>
      <c r="N327" s="17"/>
      <c r="O327" s="17"/>
      <c r="P327" s="17"/>
      <c r="Q327" s="17"/>
      <c r="R327" s="17"/>
      <c r="S327" s="205"/>
      <c r="T327" s="205"/>
      <c r="U327" s="205"/>
      <c r="V327" s="205"/>
      <c r="W327" s="17"/>
      <c r="X327" s="17"/>
      <c r="Y327" s="17"/>
      <c r="Z327" s="17"/>
      <c r="AA327" s="17"/>
      <c r="AB327" s="17"/>
    </row>
    <row r="328">
      <c r="A328" s="17"/>
      <c r="B328" s="17"/>
      <c r="C328" s="17"/>
      <c r="D328" s="17"/>
      <c r="E328" s="17"/>
      <c r="F328" s="301"/>
      <c r="G328" s="17"/>
      <c r="H328" s="17"/>
      <c r="I328" s="17"/>
      <c r="J328" s="17"/>
      <c r="K328" s="17"/>
      <c r="L328" s="17"/>
      <c r="M328" s="17"/>
      <c r="N328" s="17"/>
      <c r="O328" s="17"/>
      <c r="P328" s="17"/>
      <c r="Q328" s="17"/>
      <c r="R328" s="17"/>
      <c r="S328" s="205"/>
      <c r="T328" s="205"/>
      <c r="U328" s="205"/>
      <c r="V328" s="205"/>
      <c r="W328" s="17"/>
      <c r="X328" s="17"/>
      <c r="Y328" s="17"/>
      <c r="Z328" s="17"/>
      <c r="AA328" s="17"/>
      <c r="AB328" s="17"/>
    </row>
    <row r="329">
      <c r="A329" s="17"/>
      <c r="B329" s="17"/>
      <c r="C329" s="17"/>
      <c r="D329" s="17"/>
      <c r="E329" s="17"/>
      <c r="F329" s="301"/>
      <c r="G329" s="17"/>
      <c r="H329" s="17"/>
      <c r="I329" s="17"/>
      <c r="J329" s="17"/>
      <c r="K329" s="17"/>
      <c r="L329" s="17"/>
      <c r="M329" s="17"/>
      <c r="N329" s="17"/>
      <c r="O329" s="17"/>
      <c r="P329" s="17"/>
      <c r="Q329" s="17"/>
      <c r="R329" s="17"/>
      <c r="S329" s="205"/>
      <c r="T329" s="205"/>
      <c r="U329" s="205"/>
      <c r="V329" s="205"/>
      <c r="W329" s="17"/>
      <c r="X329" s="17"/>
      <c r="Y329" s="17"/>
      <c r="Z329" s="17"/>
      <c r="AA329" s="17"/>
      <c r="AB329" s="17"/>
    </row>
    <row r="330">
      <c r="A330" s="17"/>
      <c r="B330" s="17"/>
      <c r="C330" s="17"/>
      <c r="D330" s="17"/>
      <c r="E330" s="17"/>
      <c r="F330" s="301"/>
      <c r="G330" s="17"/>
      <c r="H330" s="17"/>
      <c r="I330" s="17"/>
      <c r="J330" s="17"/>
      <c r="K330" s="17"/>
      <c r="L330" s="17"/>
      <c r="M330" s="17"/>
      <c r="N330" s="17"/>
      <c r="O330" s="17"/>
      <c r="P330" s="17"/>
      <c r="Q330" s="17"/>
      <c r="R330" s="17"/>
      <c r="S330" s="205"/>
      <c r="T330" s="205"/>
      <c r="U330" s="205"/>
      <c r="V330" s="205"/>
      <c r="W330" s="17"/>
      <c r="X330" s="17"/>
      <c r="Y330" s="17"/>
      <c r="Z330" s="17"/>
      <c r="AA330" s="17"/>
      <c r="AB330" s="17"/>
    </row>
    <row r="331">
      <c r="A331" s="17"/>
      <c r="B331" s="17"/>
      <c r="C331" s="17"/>
      <c r="D331" s="17"/>
      <c r="E331" s="17"/>
      <c r="F331" s="301"/>
      <c r="G331" s="17"/>
      <c r="H331" s="17"/>
      <c r="I331" s="17"/>
      <c r="J331" s="17"/>
      <c r="K331" s="17"/>
      <c r="L331" s="17"/>
      <c r="M331" s="17"/>
      <c r="N331" s="17"/>
      <c r="O331" s="17"/>
      <c r="P331" s="17"/>
      <c r="Q331" s="17"/>
      <c r="R331" s="17"/>
      <c r="S331" s="205"/>
      <c r="T331" s="205"/>
      <c r="U331" s="205"/>
      <c r="V331" s="205"/>
      <c r="W331" s="17"/>
      <c r="X331" s="17"/>
      <c r="Y331" s="17"/>
      <c r="Z331" s="17"/>
      <c r="AA331" s="17"/>
      <c r="AB331" s="17"/>
    </row>
    <row r="332">
      <c r="A332" s="17"/>
      <c r="B332" s="17"/>
      <c r="C332" s="17"/>
      <c r="D332" s="17"/>
      <c r="E332" s="17"/>
      <c r="F332" s="301"/>
      <c r="G332" s="17"/>
      <c r="H332" s="17"/>
      <c r="I332" s="17"/>
      <c r="J332" s="17"/>
      <c r="K332" s="17"/>
      <c r="L332" s="17"/>
      <c r="M332" s="17"/>
      <c r="N332" s="17"/>
      <c r="O332" s="17"/>
      <c r="P332" s="17"/>
      <c r="Q332" s="17"/>
      <c r="R332" s="17"/>
      <c r="S332" s="205"/>
      <c r="T332" s="205"/>
      <c r="U332" s="205"/>
      <c r="V332" s="205"/>
      <c r="W332" s="17"/>
      <c r="X332" s="17"/>
      <c r="Y332" s="17"/>
      <c r="Z332" s="17"/>
      <c r="AA332" s="17"/>
      <c r="AB332" s="17"/>
    </row>
    <row r="333">
      <c r="A333" s="17"/>
      <c r="B333" s="17"/>
      <c r="C333" s="17"/>
      <c r="D333" s="17"/>
      <c r="E333" s="17"/>
      <c r="F333" s="301"/>
      <c r="G333" s="17"/>
      <c r="H333" s="17"/>
      <c r="I333" s="17"/>
      <c r="J333" s="17"/>
      <c r="K333" s="17"/>
      <c r="L333" s="17"/>
      <c r="M333" s="17"/>
      <c r="N333" s="17"/>
      <c r="O333" s="17"/>
      <c r="P333" s="17"/>
      <c r="Q333" s="17"/>
      <c r="R333" s="17"/>
      <c r="S333" s="205"/>
      <c r="T333" s="205"/>
      <c r="U333" s="205"/>
      <c r="V333" s="205"/>
      <c r="W333" s="17"/>
      <c r="X333" s="17"/>
      <c r="Y333" s="17"/>
      <c r="Z333" s="17"/>
      <c r="AA333" s="17"/>
      <c r="AB333" s="17"/>
    </row>
    <row r="334">
      <c r="A334" s="17"/>
      <c r="B334" s="17"/>
      <c r="C334" s="17"/>
      <c r="D334" s="17"/>
      <c r="E334" s="17"/>
      <c r="F334" s="301"/>
      <c r="G334" s="17"/>
      <c r="H334" s="17"/>
      <c r="I334" s="17"/>
      <c r="J334" s="17"/>
      <c r="K334" s="17"/>
      <c r="L334" s="17"/>
      <c r="M334" s="17"/>
      <c r="N334" s="17"/>
      <c r="O334" s="17"/>
      <c r="P334" s="17"/>
      <c r="Q334" s="17"/>
      <c r="R334" s="17"/>
      <c r="S334" s="205"/>
      <c r="T334" s="205"/>
      <c r="U334" s="205"/>
      <c r="V334" s="205"/>
      <c r="W334" s="17"/>
      <c r="X334" s="17"/>
      <c r="Y334" s="17"/>
      <c r="Z334" s="17"/>
      <c r="AA334" s="17"/>
      <c r="AB334" s="17"/>
    </row>
    <row r="335">
      <c r="A335" s="17"/>
      <c r="B335" s="17"/>
      <c r="C335" s="17"/>
      <c r="D335" s="17"/>
      <c r="E335" s="17"/>
      <c r="F335" s="301"/>
      <c r="G335" s="17"/>
      <c r="H335" s="17"/>
      <c r="I335" s="17"/>
      <c r="J335" s="17"/>
      <c r="K335" s="17"/>
      <c r="L335" s="17"/>
      <c r="M335" s="17"/>
      <c r="N335" s="17"/>
      <c r="O335" s="17"/>
      <c r="P335" s="17"/>
      <c r="Q335" s="17"/>
      <c r="R335" s="17"/>
      <c r="S335" s="205"/>
      <c r="T335" s="205"/>
      <c r="U335" s="205"/>
      <c r="V335" s="205"/>
      <c r="W335" s="17"/>
      <c r="X335" s="17"/>
      <c r="Y335" s="17"/>
      <c r="Z335" s="17"/>
      <c r="AA335" s="17"/>
      <c r="AB335" s="17"/>
    </row>
    <row r="336">
      <c r="A336" s="17"/>
      <c r="B336" s="17"/>
      <c r="C336" s="17"/>
      <c r="D336" s="17"/>
      <c r="E336" s="17"/>
      <c r="F336" s="301"/>
      <c r="G336" s="17"/>
      <c r="H336" s="17"/>
      <c r="I336" s="17"/>
      <c r="J336" s="17"/>
      <c r="K336" s="17"/>
      <c r="L336" s="17"/>
      <c r="M336" s="17"/>
      <c r="N336" s="17"/>
      <c r="O336" s="17"/>
      <c r="P336" s="17"/>
      <c r="Q336" s="17"/>
      <c r="R336" s="17"/>
      <c r="S336" s="205"/>
      <c r="T336" s="205"/>
      <c r="U336" s="205"/>
      <c r="V336" s="205"/>
      <c r="W336" s="17"/>
      <c r="X336" s="17"/>
      <c r="Y336" s="17"/>
      <c r="Z336" s="17"/>
      <c r="AA336" s="17"/>
      <c r="AB336" s="17"/>
    </row>
    <row r="337">
      <c r="A337" s="17"/>
      <c r="B337" s="17"/>
      <c r="C337" s="17"/>
      <c r="D337" s="17"/>
      <c r="E337" s="17"/>
      <c r="F337" s="301"/>
      <c r="G337" s="17"/>
      <c r="H337" s="17"/>
      <c r="I337" s="17"/>
      <c r="J337" s="17"/>
      <c r="K337" s="17"/>
      <c r="L337" s="17"/>
      <c r="M337" s="17"/>
      <c r="N337" s="17"/>
      <c r="O337" s="17"/>
      <c r="P337" s="17"/>
      <c r="Q337" s="17"/>
      <c r="R337" s="17"/>
      <c r="S337" s="205"/>
      <c r="T337" s="205"/>
      <c r="U337" s="205"/>
      <c r="V337" s="205"/>
      <c r="W337" s="17"/>
      <c r="X337" s="17"/>
      <c r="Y337" s="17"/>
      <c r="Z337" s="17"/>
      <c r="AA337" s="17"/>
      <c r="AB337" s="17"/>
    </row>
    <row r="338">
      <c r="A338" s="17"/>
      <c r="B338" s="17"/>
      <c r="C338" s="17"/>
      <c r="D338" s="17"/>
      <c r="E338" s="17"/>
      <c r="F338" s="301"/>
      <c r="G338" s="17"/>
      <c r="H338" s="17"/>
      <c r="I338" s="17"/>
      <c r="J338" s="17"/>
      <c r="K338" s="17"/>
      <c r="L338" s="17"/>
      <c r="M338" s="17"/>
      <c r="N338" s="17"/>
      <c r="O338" s="17"/>
      <c r="P338" s="17"/>
      <c r="Q338" s="17"/>
      <c r="R338" s="17"/>
      <c r="S338" s="205"/>
      <c r="T338" s="205"/>
      <c r="U338" s="205"/>
      <c r="V338" s="205"/>
      <c r="W338" s="17"/>
      <c r="X338" s="17"/>
      <c r="Y338" s="17"/>
      <c r="Z338" s="17"/>
      <c r="AA338" s="17"/>
      <c r="AB338" s="17"/>
    </row>
    <row r="339">
      <c r="A339" s="17"/>
      <c r="B339" s="17"/>
      <c r="C339" s="17"/>
      <c r="D339" s="17"/>
      <c r="E339" s="17"/>
      <c r="F339" s="301"/>
      <c r="G339" s="17"/>
      <c r="H339" s="17"/>
      <c r="I339" s="17"/>
      <c r="J339" s="17"/>
      <c r="K339" s="17"/>
      <c r="L339" s="17"/>
      <c r="M339" s="17"/>
      <c r="N339" s="17"/>
      <c r="O339" s="17"/>
      <c r="P339" s="17"/>
      <c r="Q339" s="17"/>
      <c r="R339" s="17"/>
      <c r="S339" s="205"/>
      <c r="T339" s="205"/>
      <c r="U339" s="205"/>
      <c r="V339" s="205"/>
      <c r="W339" s="17"/>
      <c r="X339" s="17"/>
      <c r="Y339" s="17"/>
      <c r="Z339" s="17"/>
      <c r="AA339" s="17"/>
      <c r="AB339" s="17"/>
    </row>
    <row r="340">
      <c r="A340" s="17"/>
      <c r="B340" s="17"/>
      <c r="C340" s="17"/>
      <c r="D340" s="17"/>
      <c r="E340" s="17"/>
      <c r="F340" s="301"/>
      <c r="G340" s="17"/>
      <c r="H340" s="17"/>
      <c r="I340" s="17"/>
      <c r="J340" s="17"/>
      <c r="K340" s="17"/>
      <c r="L340" s="17"/>
      <c r="M340" s="17"/>
      <c r="N340" s="17"/>
      <c r="O340" s="17"/>
      <c r="P340" s="17"/>
      <c r="Q340" s="17"/>
      <c r="R340" s="17"/>
      <c r="S340" s="205"/>
      <c r="T340" s="205"/>
      <c r="U340" s="205"/>
      <c r="V340" s="205"/>
      <c r="W340" s="17"/>
      <c r="X340" s="17"/>
      <c r="Y340" s="17"/>
      <c r="Z340" s="17"/>
      <c r="AA340" s="17"/>
      <c r="AB340" s="17"/>
    </row>
    <row r="341">
      <c r="A341" s="17"/>
      <c r="B341" s="17"/>
      <c r="C341" s="17"/>
      <c r="D341" s="17"/>
      <c r="E341" s="17"/>
      <c r="F341" s="301"/>
      <c r="G341" s="17"/>
      <c r="H341" s="17"/>
      <c r="I341" s="17"/>
      <c r="J341" s="17"/>
      <c r="K341" s="17"/>
      <c r="L341" s="17"/>
      <c r="M341" s="17"/>
      <c r="N341" s="17"/>
      <c r="O341" s="17"/>
      <c r="P341" s="17"/>
      <c r="Q341" s="17"/>
      <c r="R341" s="17"/>
      <c r="S341" s="205"/>
      <c r="T341" s="205"/>
      <c r="U341" s="205"/>
      <c r="V341" s="205"/>
      <c r="W341" s="17"/>
      <c r="X341" s="17"/>
      <c r="Y341" s="17"/>
      <c r="Z341" s="17"/>
      <c r="AA341" s="17"/>
      <c r="AB341" s="17"/>
    </row>
    <row r="342">
      <c r="A342" s="17"/>
      <c r="B342" s="17"/>
      <c r="C342" s="17"/>
      <c r="D342" s="17"/>
      <c r="E342" s="17"/>
      <c r="F342" s="301"/>
      <c r="G342" s="17"/>
      <c r="H342" s="17"/>
      <c r="I342" s="17"/>
      <c r="J342" s="17"/>
      <c r="K342" s="17"/>
      <c r="L342" s="17"/>
      <c r="M342" s="17"/>
      <c r="N342" s="17"/>
      <c r="O342" s="17"/>
      <c r="P342" s="17"/>
      <c r="Q342" s="17"/>
      <c r="R342" s="17"/>
      <c r="S342" s="205"/>
      <c r="T342" s="205"/>
      <c r="U342" s="205"/>
      <c r="V342" s="205"/>
      <c r="W342" s="17"/>
      <c r="X342" s="17"/>
      <c r="Y342" s="17"/>
      <c r="Z342" s="17"/>
      <c r="AA342" s="17"/>
      <c r="AB342" s="17"/>
    </row>
    <row r="343">
      <c r="A343" s="17"/>
      <c r="B343" s="17"/>
      <c r="C343" s="17"/>
      <c r="D343" s="17"/>
      <c r="E343" s="17"/>
      <c r="F343" s="301"/>
      <c r="G343" s="17"/>
      <c r="H343" s="17"/>
      <c r="I343" s="17"/>
      <c r="J343" s="17"/>
      <c r="K343" s="17"/>
      <c r="L343" s="17"/>
      <c r="M343" s="17"/>
      <c r="N343" s="17"/>
      <c r="O343" s="17"/>
      <c r="P343" s="17"/>
      <c r="Q343" s="17"/>
      <c r="R343" s="17"/>
      <c r="S343" s="205"/>
      <c r="T343" s="205"/>
      <c r="U343" s="205"/>
      <c r="V343" s="205"/>
      <c r="W343" s="17"/>
      <c r="X343" s="17"/>
      <c r="Y343" s="17"/>
      <c r="Z343" s="17"/>
      <c r="AA343" s="17"/>
      <c r="AB343" s="17"/>
    </row>
    <row r="344">
      <c r="A344" s="17"/>
      <c r="B344" s="17"/>
      <c r="C344" s="17"/>
      <c r="D344" s="17"/>
      <c r="E344" s="17"/>
      <c r="F344" s="301"/>
      <c r="G344" s="17"/>
      <c r="H344" s="17"/>
      <c r="I344" s="17"/>
      <c r="J344" s="17"/>
      <c r="K344" s="17"/>
      <c r="L344" s="17"/>
      <c r="M344" s="17"/>
      <c r="N344" s="17"/>
      <c r="O344" s="17"/>
      <c r="P344" s="17"/>
      <c r="Q344" s="17"/>
      <c r="R344" s="17"/>
      <c r="S344" s="205"/>
      <c r="T344" s="205"/>
      <c r="U344" s="205"/>
      <c r="V344" s="205"/>
      <c r="W344" s="17"/>
      <c r="X344" s="17"/>
      <c r="Y344" s="17"/>
      <c r="Z344" s="17"/>
      <c r="AA344" s="17"/>
      <c r="AB344" s="17"/>
    </row>
    <row r="345">
      <c r="A345" s="17"/>
      <c r="B345" s="17"/>
      <c r="C345" s="17"/>
      <c r="D345" s="17"/>
      <c r="E345" s="17"/>
      <c r="F345" s="301"/>
      <c r="G345" s="17"/>
      <c r="H345" s="17"/>
      <c r="I345" s="17"/>
      <c r="J345" s="17"/>
      <c r="K345" s="17"/>
      <c r="L345" s="17"/>
      <c r="M345" s="17"/>
      <c r="N345" s="17"/>
      <c r="O345" s="17"/>
      <c r="P345" s="17"/>
      <c r="Q345" s="17"/>
      <c r="R345" s="17"/>
      <c r="S345" s="205"/>
      <c r="T345" s="205"/>
      <c r="U345" s="205"/>
      <c r="V345" s="205"/>
      <c r="W345" s="17"/>
      <c r="X345" s="17"/>
      <c r="Y345" s="17"/>
      <c r="Z345" s="17"/>
      <c r="AA345" s="17"/>
      <c r="AB345" s="17"/>
    </row>
    <row r="346">
      <c r="A346" s="17"/>
      <c r="B346" s="17"/>
      <c r="C346" s="17"/>
      <c r="D346" s="17"/>
      <c r="E346" s="17"/>
      <c r="F346" s="301"/>
      <c r="G346" s="17"/>
      <c r="H346" s="17"/>
      <c r="I346" s="17"/>
      <c r="J346" s="17"/>
      <c r="K346" s="17"/>
      <c r="L346" s="17"/>
      <c r="M346" s="17"/>
      <c r="N346" s="17"/>
      <c r="O346" s="17"/>
      <c r="P346" s="17"/>
      <c r="Q346" s="17"/>
      <c r="R346" s="17"/>
      <c r="S346" s="205"/>
      <c r="T346" s="205"/>
      <c r="U346" s="205"/>
      <c r="V346" s="205"/>
      <c r="W346" s="17"/>
      <c r="X346" s="17"/>
      <c r="Y346" s="17"/>
      <c r="Z346" s="17"/>
      <c r="AA346" s="17"/>
      <c r="AB346" s="17"/>
    </row>
    <row r="347">
      <c r="A347" s="17"/>
      <c r="B347" s="17"/>
      <c r="C347" s="17"/>
      <c r="D347" s="17"/>
      <c r="E347" s="17"/>
      <c r="F347" s="301"/>
      <c r="G347" s="17"/>
      <c r="H347" s="17"/>
      <c r="I347" s="17"/>
      <c r="J347" s="17"/>
      <c r="K347" s="17"/>
      <c r="L347" s="17"/>
      <c r="M347" s="17"/>
      <c r="N347" s="17"/>
      <c r="O347" s="17"/>
      <c r="P347" s="17"/>
      <c r="Q347" s="17"/>
      <c r="R347" s="17"/>
      <c r="S347" s="205"/>
      <c r="T347" s="205"/>
      <c r="U347" s="205"/>
      <c r="V347" s="205"/>
      <c r="W347" s="17"/>
      <c r="X347" s="17"/>
      <c r="Y347" s="17"/>
      <c r="Z347" s="17"/>
      <c r="AA347" s="17"/>
      <c r="AB347" s="17"/>
    </row>
    <row r="348">
      <c r="A348" s="17"/>
      <c r="B348" s="17"/>
      <c r="C348" s="17"/>
      <c r="D348" s="17"/>
      <c r="E348" s="17"/>
      <c r="F348" s="301"/>
      <c r="G348" s="17"/>
      <c r="H348" s="17"/>
      <c r="I348" s="17"/>
      <c r="J348" s="17"/>
      <c r="K348" s="17"/>
      <c r="L348" s="17"/>
      <c r="M348" s="17"/>
      <c r="N348" s="17"/>
      <c r="O348" s="17"/>
      <c r="P348" s="17"/>
      <c r="Q348" s="17"/>
      <c r="R348" s="17"/>
      <c r="S348" s="205"/>
      <c r="T348" s="205"/>
      <c r="U348" s="205"/>
      <c r="V348" s="205"/>
      <c r="W348" s="17"/>
      <c r="X348" s="17"/>
      <c r="Y348" s="17"/>
      <c r="Z348" s="17"/>
      <c r="AA348" s="17"/>
      <c r="AB348" s="17"/>
    </row>
    <row r="349">
      <c r="A349" s="17"/>
      <c r="B349" s="17"/>
      <c r="C349" s="17"/>
      <c r="D349" s="17"/>
      <c r="E349" s="17"/>
      <c r="F349" s="301"/>
      <c r="G349" s="17"/>
      <c r="H349" s="17"/>
      <c r="I349" s="17"/>
      <c r="J349" s="17"/>
      <c r="K349" s="17"/>
      <c r="L349" s="17"/>
      <c r="M349" s="17"/>
      <c r="N349" s="17"/>
      <c r="O349" s="17"/>
      <c r="P349" s="17"/>
      <c r="Q349" s="17"/>
      <c r="R349" s="17"/>
      <c r="S349" s="205"/>
      <c r="T349" s="205"/>
      <c r="U349" s="205"/>
      <c r="V349" s="205"/>
      <c r="W349" s="17"/>
      <c r="X349" s="17"/>
      <c r="Y349" s="17"/>
      <c r="Z349" s="17"/>
      <c r="AA349" s="17"/>
      <c r="AB349" s="17"/>
    </row>
    <row r="350">
      <c r="A350" s="17"/>
      <c r="B350" s="17"/>
      <c r="C350" s="17"/>
      <c r="D350" s="17"/>
      <c r="E350" s="17"/>
      <c r="F350" s="301"/>
      <c r="G350" s="17"/>
      <c r="H350" s="17"/>
      <c r="I350" s="17"/>
      <c r="J350" s="17"/>
      <c r="K350" s="17"/>
      <c r="L350" s="17"/>
      <c r="M350" s="17"/>
      <c r="N350" s="17"/>
      <c r="O350" s="17"/>
      <c r="P350" s="17"/>
      <c r="Q350" s="17"/>
      <c r="R350" s="17"/>
      <c r="S350" s="205"/>
      <c r="T350" s="205"/>
      <c r="U350" s="205"/>
      <c r="V350" s="205"/>
      <c r="W350" s="17"/>
      <c r="X350" s="17"/>
      <c r="Y350" s="17"/>
      <c r="Z350" s="17"/>
      <c r="AA350" s="17"/>
      <c r="AB350" s="17"/>
    </row>
    <row r="351">
      <c r="A351" s="17"/>
      <c r="B351" s="17"/>
      <c r="C351" s="17"/>
      <c r="D351" s="17"/>
      <c r="E351" s="17"/>
      <c r="F351" s="301"/>
      <c r="G351" s="17"/>
      <c r="H351" s="17"/>
      <c r="I351" s="17"/>
      <c r="J351" s="17"/>
      <c r="K351" s="17"/>
      <c r="L351" s="17"/>
      <c r="M351" s="17"/>
      <c r="N351" s="17"/>
      <c r="O351" s="17"/>
      <c r="P351" s="17"/>
      <c r="Q351" s="17"/>
      <c r="R351" s="17"/>
      <c r="S351" s="205"/>
      <c r="T351" s="205"/>
      <c r="U351" s="205"/>
      <c r="V351" s="205"/>
      <c r="W351" s="17"/>
      <c r="X351" s="17"/>
      <c r="Y351" s="17"/>
      <c r="Z351" s="17"/>
      <c r="AA351" s="17"/>
      <c r="AB351" s="17"/>
    </row>
    <row r="352">
      <c r="A352" s="17"/>
      <c r="B352" s="17"/>
      <c r="C352" s="17"/>
      <c r="D352" s="17"/>
      <c r="E352" s="17"/>
      <c r="F352" s="301"/>
      <c r="G352" s="17"/>
      <c r="H352" s="17"/>
      <c r="I352" s="17"/>
      <c r="J352" s="17"/>
      <c r="K352" s="17"/>
      <c r="L352" s="17"/>
      <c r="M352" s="17"/>
      <c r="N352" s="17"/>
      <c r="O352" s="17"/>
      <c r="P352" s="17"/>
      <c r="Q352" s="17"/>
      <c r="R352" s="17"/>
      <c r="S352" s="205"/>
      <c r="T352" s="205"/>
      <c r="U352" s="205"/>
      <c r="V352" s="205"/>
      <c r="W352" s="17"/>
      <c r="X352" s="17"/>
      <c r="Y352" s="17"/>
      <c r="Z352" s="17"/>
      <c r="AA352" s="17"/>
      <c r="AB352" s="17"/>
    </row>
    <row r="353">
      <c r="A353" s="17"/>
      <c r="B353" s="17"/>
      <c r="C353" s="17"/>
      <c r="D353" s="17"/>
      <c r="E353" s="17"/>
      <c r="F353" s="301"/>
      <c r="G353" s="17"/>
      <c r="H353" s="17"/>
      <c r="I353" s="17"/>
      <c r="J353" s="17"/>
      <c r="K353" s="17"/>
      <c r="L353" s="17"/>
      <c r="M353" s="17"/>
      <c r="N353" s="17"/>
      <c r="O353" s="17"/>
      <c r="P353" s="17"/>
      <c r="Q353" s="17"/>
      <c r="R353" s="17"/>
      <c r="S353" s="205"/>
      <c r="T353" s="205"/>
      <c r="U353" s="205"/>
      <c r="V353" s="205"/>
      <c r="W353" s="17"/>
      <c r="X353" s="17"/>
      <c r="Y353" s="17"/>
      <c r="Z353" s="17"/>
      <c r="AA353" s="17"/>
      <c r="AB353" s="17"/>
    </row>
    <row r="354">
      <c r="A354" s="17"/>
      <c r="B354" s="17"/>
      <c r="C354" s="17"/>
      <c r="D354" s="17"/>
      <c r="E354" s="17"/>
      <c r="F354" s="301"/>
      <c r="G354" s="17"/>
      <c r="H354" s="17"/>
      <c r="I354" s="17"/>
      <c r="J354" s="17"/>
      <c r="K354" s="17"/>
      <c r="L354" s="17"/>
      <c r="M354" s="17"/>
      <c r="N354" s="17"/>
      <c r="O354" s="17"/>
      <c r="P354" s="17"/>
      <c r="Q354" s="17"/>
      <c r="R354" s="17"/>
      <c r="S354" s="205"/>
      <c r="T354" s="205"/>
      <c r="U354" s="205"/>
      <c r="V354" s="205"/>
      <c r="W354" s="17"/>
      <c r="X354" s="17"/>
      <c r="Y354" s="17"/>
      <c r="Z354" s="17"/>
      <c r="AA354" s="17"/>
      <c r="AB354" s="17"/>
    </row>
    <row r="355">
      <c r="A355" s="17"/>
      <c r="B355" s="17"/>
      <c r="C355" s="17"/>
      <c r="D355" s="17"/>
      <c r="E355" s="17"/>
      <c r="F355" s="301"/>
      <c r="G355" s="17"/>
      <c r="H355" s="17"/>
      <c r="I355" s="17"/>
      <c r="J355" s="17"/>
      <c r="K355" s="17"/>
      <c r="L355" s="17"/>
      <c r="M355" s="17"/>
      <c r="N355" s="17"/>
      <c r="O355" s="17"/>
      <c r="P355" s="17"/>
      <c r="Q355" s="17"/>
      <c r="R355" s="17"/>
      <c r="S355" s="205"/>
      <c r="T355" s="205"/>
      <c r="U355" s="205"/>
      <c r="V355" s="205"/>
      <c r="W355" s="17"/>
      <c r="X355" s="17"/>
      <c r="Y355" s="17"/>
      <c r="Z355" s="17"/>
      <c r="AA355" s="17"/>
      <c r="AB355" s="17"/>
    </row>
    <row r="356">
      <c r="A356" s="17"/>
      <c r="B356" s="17"/>
      <c r="C356" s="17"/>
      <c r="D356" s="17"/>
      <c r="E356" s="17"/>
      <c r="F356" s="301"/>
      <c r="G356" s="17"/>
      <c r="H356" s="17"/>
      <c r="I356" s="17"/>
      <c r="J356" s="17"/>
      <c r="K356" s="17"/>
      <c r="L356" s="17"/>
      <c r="M356" s="17"/>
      <c r="N356" s="17"/>
      <c r="O356" s="17"/>
      <c r="P356" s="17"/>
      <c r="Q356" s="17"/>
      <c r="R356" s="17"/>
      <c r="S356" s="205"/>
      <c r="T356" s="205"/>
      <c r="U356" s="205"/>
      <c r="V356" s="205"/>
      <c r="W356" s="17"/>
      <c r="X356" s="17"/>
      <c r="Y356" s="17"/>
      <c r="Z356" s="17"/>
      <c r="AA356" s="17"/>
      <c r="AB356" s="17"/>
    </row>
    <row r="357">
      <c r="A357" s="17"/>
      <c r="B357" s="17"/>
      <c r="C357" s="17"/>
      <c r="D357" s="17"/>
      <c r="E357" s="17"/>
      <c r="F357" s="301"/>
      <c r="G357" s="17"/>
      <c r="H357" s="17"/>
      <c r="I357" s="17"/>
      <c r="J357" s="17"/>
      <c r="K357" s="17"/>
      <c r="L357" s="17"/>
      <c r="M357" s="17"/>
      <c r="N357" s="17"/>
      <c r="O357" s="17"/>
      <c r="P357" s="17"/>
      <c r="Q357" s="17"/>
      <c r="R357" s="17"/>
      <c r="S357" s="205"/>
      <c r="T357" s="205"/>
      <c r="U357" s="205"/>
      <c r="V357" s="205"/>
      <c r="W357" s="17"/>
      <c r="X357" s="17"/>
      <c r="Y357" s="17"/>
      <c r="Z357" s="17"/>
      <c r="AA357" s="17"/>
      <c r="AB357" s="17"/>
    </row>
    <row r="358">
      <c r="A358" s="17"/>
      <c r="B358" s="17"/>
      <c r="C358" s="17"/>
      <c r="D358" s="17"/>
      <c r="E358" s="17"/>
      <c r="F358" s="301"/>
      <c r="G358" s="17"/>
      <c r="H358" s="17"/>
      <c r="I358" s="17"/>
      <c r="J358" s="17"/>
      <c r="K358" s="17"/>
      <c r="L358" s="17"/>
      <c r="M358" s="17"/>
      <c r="N358" s="17"/>
      <c r="O358" s="17"/>
      <c r="P358" s="17"/>
      <c r="Q358" s="17"/>
      <c r="R358" s="17"/>
      <c r="S358" s="205"/>
      <c r="T358" s="205"/>
      <c r="U358" s="205"/>
      <c r="V358" s="205"/>
      <c r="W358" s="17"/>
      <c r="X358" s="17"/>
      <c r="Y358" s="17"/>
      <c r="Z358" s="17"/>
      <c r="AA358" s="17"/>
      <c r="AB358" s="17"/>
    </row>
    <row r="359">
      <c r="A359" s="17"/>
      <c r="B359" s="17"/>
      <c r="C359" s="17"/>
      <c r="D359" s="17"/>
      <c r="E359" s="17"/>
      <c r="F359" s="301"/>
      <c r="G359" s="17"/>
      <c r="H359" s="17"/>
      <c r="I359" s="17"/>
      <c r="J359" s="17"/>
      <c r="K359" s="17"/>
      <c r="L359" s="17"/>
      <c r="M359" s="17"/>
      <c r="N359" s="17"/>
      <c r="O359" s="17"/>
      <c r="P359" s="17"/>
      <c r="Q359" s="17"/>
      <c r="R359" s="17"/>
      <c r="S359" s="205"/>
      <c r="T359" s="205"/>
      <c r="U359" s="205"/>
      <c r="V359" s="205"/>
      <c r="W359" s="17"/>
      <c r="X359" s="17"/>
      <c r="Y359" s="17"/>
      <c r="Z359" s="17"/>
      <c r="AA359" s="17"/>
      <c r="AB359" s="17"/>
    </row>
    <row r="360">
      <c r="A360" s="17"/>
      <c r="B360" s="17"/>
      <c r="C360" s="17"/>
      <c r="D360" s="17"/>
      <c r="E360" s="17"/>
      <c r="F360" s="301"/>
      <c r="G360" s="17"/>
      <c r="H360" s="17"/>
      <c r="I360" s="17"/>
      <c r="J360" s="17"/>
      <c r="K360" s="17"/>
      <c r="L360" s="17"/>
      <c r="M360" s="17"/>
      <c r="N360" s="17"/>
      <c r="O360" s="17"/>
      <c r="P360" s="17"/>
      <c r="Q360" s="17"/>
      <c r="R360" s="17"/>
      <c r="S360" s="205"/>
      <c r="T360" s="205"/>
      <c r="U360" s="205"/>
      <c r="V360" s="205"/>
      <c r="W360" s="17"/>
      <c r="X360" s="17"/>
      <c r="Y360" s="17"/>
      <c r="Z360" s="17"/>
      <c r="AA360" s="17"/>
      <c r="AB360" s="17"/>
    </row>
    <row r="361">
      <c r="A361" s="17"/>
      <c r="B361" s="17"/>
      <c r="C361" s="17"/>
      <c r="D361" s="17"/>
      <c r="E361" s="17"/>
      <c r="F361" s="301"/>
      <c r="G361" s="17"/>
      <c r="H361" s="17"/>
      <c r="I361" s="17"/>
      <c r="J361" s="17"/>
      <c r="K361" s="17"/>
      <c r="L361" s="17"/>
      <c r="M361" s="17"/>
      <c r="N361" s="17"/>
      <c r="O361" s="17"/>
      <c r="P361" s="17"/>
      <c r="Q361" s="17"/>
      <c r="R361" s="17"/>
      <c r="S361" s="205"/>
      <c r="T361" s="205"/>
      <c r="U361" s="205"/>
      <c r="V361" s="205"/>
      <c r="W361" s="17"/>
      <c r="X361" s="17"/>
      <c r="Y361" s="17"/>
      <c r="Z361" s="17"/>
      <c r="AA361" s="17"/>
      <c r="AB361" s="17"/>
    </row>
    <row r="362">
      <c r="A362" s="17"/>
      <c r="B362" s="17"/>
      <c r="C362" s="17"/>
      <c r="D362" s="17"/>
      <c r="E362" s="17"/>
      <c r="F362" s="301"/>
      <c r="G362" s="17"/>
      <c r="H362" s="17"/>
      <c r="I362" s="17"/>
      <c r="J362" s="17"/>
      <c r="K362" s="17"/>
      <c r="L362" s="17"/>
      <c r="M362" s="17"/>
      <c r="N362" s="17"/>
      <c r="O362" s="17"/>
      <c r="P362" s="17"/>
      <c r="Q362" s="17"/>
      <c r="R362" s="17"/>
      <c r="S362" s="205"/>
      <c r="T362" s="205"/>
      <c r="U362" s="205"/>
      <c r="V362" s="205"/>
      <c r="W362" s="17"/>
      <c r="X362" s="17"/>
      <c r="Y362" s="17"/>
      <c r="Z362" s="17"/>
      <c r="AA362" s="17"/>
      <c r="AB362" s="17"/>
    </row>
    <row r="363">
      <c r="A363" s="17"/>
      <c r="B363" s="17"/>
      <c r="C363" s="17"/>
      <c r="D363" s="17"/>
      <c r="E363" s="17"/>
      <c r="F363" s="301"/>
      <c r="G363" s="17"/>
      <c r="H363" s="17"/>
      <c r="I363" s="17"/>
      <c r="J363" s="17"/>
      <c r="K363" s="17"/>
      <c r="L363" s="17"/>
      <c r="M363" s="17"/>
      <c r="N363" s="17"/>
      <c r="O363" s="17"/>
      <c r="P363" s="17"/>
      <c r="Q363" s="17"/>
      <c r="R363" s="17"/>
      <c r="S363" s="205"/>
      <c r="T363" s="205"/>
      <c r="U363" s="205"/>
      <c r="V363" s="205"/>
      <c r="W363" s="17"/>
      <c r="X363" s="17"/>
      <c r="Y363" s="17"/>
      <c r="Z363" s="17"/>
      <c r="AA363" s="17"/>
      <c r="AB363" s="17"/>
    </row>
    <row r="364">
      <c r="A364" s="17"/>
      <c r="B364" s="17"/>
      <c r="C364" s="17"/>
      <c r="D364" s="17"/>
      <c r="E364" s="17"/>
      <c r="F364" s="301"/>
      <c r="G364" s="17"/>
      <c r="H364" s="17"/>
      <c r="I364" s="17"/>
      <c r="J364" s="17"/>
      <c r="K364" s="17"/>
      <c r="L364" s="17"/>
      <c r="M364" s="17"/>
      <c r="N364" s="17"/>
      <c r="O364" s="17"/>
      <c r="P364" s="17"/>
      <c r="Q364" s="17"/>
      <c r="R364" s="17"/>
      <c r="S364" s="205"/>
      <c r="T364" s="205"/>
      <c r="U364" s="205"/>
      <c r="V364" s="205"/>
      <c r="W364" s="17"/>
      <c r="X364" s="17"/>
      <c r="Y364" s="17"/>
      <c r="Z364" s="17"/>
      <c r="AA364" s="17"/>
      <c r="AB364" s="17"/>
    </row>
    <row r="365">
      <c r="A365" s="17"/>
      <c r="B365" s="17"/>
      <c r="C365" s="17"/>
      <c r="D365" s="17"/>
      <c r="E365" s="17"/>
      <c r="F365" s="301"/>
      <c r="G365" s="17"/>
      <c r="H365" s="17"/>
      <c r="I365" s="17"/>
      <c r="J365" s="17"/>
      <c r="K365" s="17"/>
      <c r="L365" s="17"/>
      <c r="M365" s="17"/>
      <c r="N365" s="17"/>
      <c r="O365" s="17"/>
      <c r="P365" s="17"/>
      <c r="Q365" s="17"/>
      <c r="R365" s="17"/>
      <c r="S365" s="205"/>
      <c r="T365" s="205"/>
      <c r="U365" s="205"/>
      <c r="V365" s="205"/>
      <c r="W365" s="17"/>
      <c r="X365" s="17"/>
      <c r="Y365" s="17"/>
      <c r="Z365" s="17"/>
      <c r="AA365" s="17"/>
      <c r="AB365" s="17"/>
    </row>
    <row r="366">
      <c r="A366" s="17"/>
      <c r="B366" s="17"/>
      <c r="C366" s="17"/>
      <c r="D366" s="17"/>
      <c r="E366" s="17"/>
      <c r="F366" s="301"/>
      <c r="G366" s="17"/>
      <c r="H366" s="17"/>
      <c r="I366" s="17"/>
      <c r="J366" s="17"/>
      <c r="K366" s="17"/>
      <c r="L366" s="17"/>
      <c r="M366" s="17"/>
      <c r="N366" s="17"/>
      <c r="O366" s="17"/>
      <c r="P366" s="17"/>
      <c r="Q366" s="17"/>
      <c r="R366" s="17"/>
      <c r="S366" s="205"/>
      <c r="T366" s="205"/>
      <c r="U366" s="205"/>
      <c r="V366" s="205"/>
      <c r="W366" s="17"/>
      <c r="X366" s="17"/>
      <c r="Y366" s="17"/>
      <c r="Z366" s="17"/>
      <c r="AA366" s="17"/>
      <c r="AB366" s="17"/>
    </row>
    <row r="367">
      <c r="A367" s="17"/>
      <c r="B367" s="17"/>
      <c r="C367" s="17"/>
      <c r="D367" s="17"/>
      <c r="E367" s="17"/>
      <c r="F367" s="301"/>
      <c r="G367" s="17"/>
      <c r="H367" s="17"/>
      <c r="I367" s="17"/>
      <c r="J367" s="17"/>
      <c r="K367" s="17"/>
      <c r="L367" s="17"/>
      <c r="M367" s="17"/>
      <c r="N367" s="17"/>
      <c r="O367" s="17"/>
      <c r="P367" s="17"/>
      <c r="Q367" s="17"/>
      <c r="R367" s="17"/>
      <c r="S367" s="205"/>
      <c r="T367" s="205"/>
      <c r="U367" s="205"/>
      <c r="V367" s="205"/>
      <c r="W367" s="17"/>
      <c r="X367" s="17"/>
      <c r="Y367" s="17"/>
      <c r="Z367" s="17"/>
      <c r="AA367" s="17"/>
      <c r="AB367" s="17"/>
    </row>
    <row r="368">
      <c r="A368" s="17"/>
      <c r="B368" s="17"/>
      <c r="C368" s="17"/>
      <c r="D368" s="17"/>
      <c r="E368" s="17"/>
      <c r="F368" s="301"/>
      <c r="G368" s="17"/>
      <c r="H368" s="17"/>
      <c r="I368" s="17"/>
      <c r="J368" s="17"/>
      <c r="K368" s="17"/>
      <c r="L368" s="17"/>
      <c r="M368" s="17"/>
      <c r="N368" s="17"/>
      <c r="O368" s="17"/>
      <c r="P368" s="17"/>
      <c r="Q368" s="17"/>
      <c r="R368" s="17"/>
      <c r="S368" s="205"/>
      <c r="T368" s="205"/>
      <c r="U368" s="205"/>
      <c r="V368" s="205"/>
      <c r="W368" s="17"/>
      <c r="X368" s="17"/>
      <c r="Y368" s="17"/>
      <c r="Z368" s="17"/>
      <c r="AA368" s="17"/>
      <c r="AB368" s="17"/>
    </row>
    <row r="369">
      <c r="A369" s="17"/>
      <c r="B369" s="17"/>
      <c r="C369" s="17"/>
      <c r="D369" s="17"/>
      <c r="E369" s="17"/>
      <c r="F369" s="301"/>
      <c r="G369" s="17"/>
      <c r="H369" s="17"/>
      <c r="I369" s="17"/>
      <c r="J369" s="17"/>
      <c r="K369" s="17"/>
      <c r="L369" s="17"/>
      <c r="M369" s="17"/>
      <c r="N369" s="17"/>
      <c r="O369" s="17"/>
      <c r="P369" s="17"/>
      <c r="Q369" s="17"/>
      <c r="R369" s="17"/>
      <c r="S369" s="205"/>
      <c r="T369" s="205"/>
      <c r="U369" s="205"/>
      <c r="V369" s="205"/>
      <c r="W369" s="17"/>
      <c r="X369" s="17"/>
      <c r="Y369" s="17"/>
      <c r="Z369" s="17"/>
      <c r="AA369" s="17"/>
      <c r="AB369" s="17"/>
    </row>
    <row r="370">
      <c r="A370" s="17"/>
      <c r="B370" s="17"/>
      <c r="C370" s="17"/>
      <c r="D370" s="17"/>
      <c r="E370" s="17"/>
      <c r="F370" s="301"/>
      <c r="G370" s="17"/>
      <c r="H370" s="17"/>
      <c r="I370" s="17"/>
      <c r="J370" s="17"/>
      <c r="K370" s="17"/>
      <c r="L370" s="17"/>
      <c r="M370" s="17"/>
      <c r="N370" s="17"/>
      <c r="O370" s="17"/>
      <c r="P370" s="17"/>
      <c r="Q370" s="17"/>
      <c r="R370" s="17"/>
      <c r="S370" s="205"/>
      <c r="T370" s="205"/>
      <c r="U370" s="205"/>
      <c r="V370" s="205"/>
      <c r="W370" s="17"/>
      <c r="X370" s="17"/>
      <c r="Y370" s="17"/>
      <c r="Z370" s="17"/>
      <c r="AA370" s="17"/>
      <c r="AB370" s="17"/>
    </row>
    <row r="371">
      <c r="A371" s="17"/>
      <c r="B371" s="17"/>
      <c r="C371" s="17"/>
      <c r="D371" s="17"/>
      <c r="E371" s="17"/>
      <c r="F371" s="301"/>
      <c r="G371" s="17"/>
      <c r="H371" s="17"/>
      <c r="I371" s="17"/>
      <c r="J371" s="17"/>
      <c r="K371" s="17"/>
      <c r="L371" s="17"/>
      <c r="M371" s="17"/>
      <c r="N371" s="17"/>
      <c r="O371" s="17"/>
      <c r="P371" s="17"/>
      <c r="Q371" s="17"/>
      <c r="R371" s="17"/>
      <c r="S371" s="205"/>
      <c r="T371" s="205"/>
      <c r="U371" s="205"/>
      <c r="V371" s="205"/>
      <c r="W371" s="17"/>
      <c r="X371" s="17"/>
      <c r="Y371" s="17"/>
      <c r="Z371" s="17"/>
      <c r="AA371" s="17"/>
      <c r="AB371" s="17"/>
    </row>
    <row r="372">
      <c r="A372" s="17"/>
      <c r="B372" s="17"/>
      <c r="C372" s="17"/>
      <c r="D372" s="17"/>
      <c r="E372" s="17"/>
      <c r="F372" s="301"/>
      <c r="G372" s="17"/>
      <c r="H372" s="17"/>
      <c r="I372" s="17"/>
      <c r="J372" s="17"/>
      <c r="K372" s="17"/>
      <c r="L372" s="17"/>
      <c r="M372" s="17"/>
      <c r="N372" s="17"/>
      <c r="O372" s="17"/>
      <c r="P372" s="17"/>
      <c r="Q372" s="17"/>
      <c r="R372" s="17"/>
      <c r="S372" s="205"/>
      <c r="T372" s="205"/>
      <c r="U372" s="205"/>
      <c r="V372" s="205"/>
      <c r="W372" s="17"/>
      <c r="X372" s="17"/>
      <c r="Y372" s="17"/>
      <c r="Z372" s="17"/>
      <c r="AA372" s="17"/>
      <c r="AB372" s="17"/>
    </row>
    <row r="373">
      <c r="A373" s="17"/>
      <c r="B373" s="17"/>
      <c r="C373" s="17"/>
      <c r="D373" s="17"/>
      <c r="E373" s="17"/>
      <c r="F373" s="301"/>
      <c r="G373" s="17"/>
      <c r="H373" s="17"/>
      <c r="I373" s="17"/>
      <c r="J373" s="17"/>
      <c r="K373" s="17"/>
      <c r="L373" s="17"/>
      <c r="M373" s="17"/>
      <c r="N373" s="17"/>
      <c r="O373" s="17"/>
      <c r="P373" s="17"/>
      <c r="Q373" s="17"/>
      <c r="R373" s="17"/>
      <c r="S373" s="205"/>
      <c r="T373" s="205"/>
      <c r="U373" s="205"/>
      <c r="V373" s="205"/>
      <c r="W373" s="17"/>
      <c r="X373" s="17"/>
      <c r="Y373" s="17"/>
      <c r="Z373" s="17"/>
      <c r="AA373" s="17"/>
      <c r="AB373" s="17"/>
    </row>
    <row r="374">
      <c r="A374" s="17"/>
      <c r="B374" s="17"/>
      <c r="C374" s="17"/>
      <c r="D374" s="17"/>
      <c r="E374" s="17"/>
      <c r="F374" s="301"/>
      <c r="G374" s="17"/>
      <c r="H374" s="17"/>
      <c r="I374" s="17"/>
      <c r="J374" s="17"/>
      <c r="K374" s="17"/>
      <c r="L374" s="17"/>
      <c r="M374" s="17"/>
      <c r="N374" s="17"/>
      <c r="O374" s="17"/>
      <c r="P374" s="17"/>
      <c r="Q374" s="17"/>
      <c r="R374" s="17"/>
      <c r="S374" s="205"/>
      <c r="T374" s="205"/>
      <c r="U374" s="205"/>
      <c r="V374" s="205"/>
      <c r="W374" s="17"/>
      <c r="X374" s="17"/>
      <c r="Y374" s="17"/>
      <c r="Z374" s="17"/>
      <c r="AA374" s="17"/>
      <c r="AB374" s="17"/>
    </row>
    <row r="375">
      <c r="A375" s="17"/>
      <c r="B375" s="17"/>
      <c r="C375" s="17"/>
      <c r="D375" s="17"/>
      <c r="E375" s="17"/>
      <c r="F375" s="301"/>
      <c r="G375" s="17"/>
      <c r="H375" s="17"/>
      <c r="I375" s="17"/>
      <c r="J375" s="17"/>
      <c r="K375" s="17"/>
      <c r="L375" s="17"/>
      <c r="M375" s="17"/>
      <c r="N375" s="17"/>
      <c r="O375" s="17"/>
      <c r="P375" s="17"/>
      <c r="Q375" s="17"/>
      <c r="R375" s="17"/>
      <c r="S375" s="205"/>
      <c r="T375" s="205"/>
      <c r="U375" s="205"/>
      <c r="V375" s="205"/>
      <c r="W375" s="17"/>
      <c r="X375" s="17"/>
      <c r="Y375" s="17"/>
      <c r="Z375" s="17"/>
      <c r="AA375" s="17"/>
      <c r="AB375" s="17"/>
    </row>
    <row r="376">
      <c r="A376" s="17"/>
      <c r="B376" s="17"/>
      <c r="C376" s="17"/>
      <c r="D376" s="17"/>
      <c r="E376" s="17"/>
      <c r="F376" s="301"/>
      <c r="G376" s="17"/>
      <c r="H376" s="17"/>
      <c r="I376" s="17"/>
      <c r="J376" s="17"/>
      <c r="K376" s="17"/>
      <c r="L376" s="17"/>
      <c r="M376" s="17"/>
      <c r="N376" s="17"/>
      <c r="O376" s="17"/>
      <c r="P376" s="17"/>
      <c r="Q376" s="17"/>
      <c r="R376" s="17"/>
      <c r="S376" s="205"/>
      <c r="T376" s="205"/>
      <c r="U376" s="205"/>
      <c r="V376" s="205"/>
      <c r="W376" s="17"/>
      <c r="X376" s="17"/>
      <c r="Y376" s="17"/>
      <c r="Z376" s="17"/>
      <c r="AA376" s="17"/>
      <c r="AB376" s="17"/>
    </row>
    <row r="377">
      <c r="A377" s="17"/>
      <c r="B377" s="17"/>
      <c r="C377" s="17"/>
      <c r="D377" s="17"/>
      <c r="E377" s="17"/>
      <c r="F377" s="301"/>
      <c r="G377" s="17"/>
      <c r="H377" s="17"/>
      <c r="I377" s="17"/>
      <c r="J377" s="17"/>
      <c r="K377" s="17"/>
      <c r="L377" s="17"/>
      <c r="M377" s="17"/>
      <c r="N377" s="17"/>
      <c r="O377" s="17"/>
      <c r="P377" s="17"/>
      <c r="Q377" s="17"/>
      <c r="R377" s="17"/>
      <c r="S377" s="205"/>
      <c r="T377" s="205"/>
      <c r="U377" s="205"/>
      <c r="V377" s="205"/>
      <c r="W377" s="17"/>
      <c r="X377" s="17"/>
      <c r="Y377" s="17"/>
      <c r="Z377" s="17"/>
      <c r="AA377" s="17"/>
      <c r="AB377" s="17"/>
    </row>
    <row r="378">
      <c r="A378" s="17"/>
      <c r="B378" s="17"/>
      <c r="C378" s="17"/>
      <c r="D378" s="17"/>
      <c r="E378" s="17"/>
      <c r="F378" s="301"/>
      <c r="G378" s="17"/>
      <c r="H378" s="17"/>
      <c r="I378" s="17"/>
      <c r="J378" s="17"/>
      <c r="K378" s="17"/>
      <c r="L378" s="17"/>
      <c r="M378" s="17"/>
      <c r="N378" s="17"/>
      <c r="O378" s="17"/>
      <c r="P378" s="17"/>
      <c r="Q378" s="17"/>
      <c r="R378" s="17"/>
      <c r="S378" s="205"/>
      <c r="T378" s="205"/>
      <c r="U378" s="205"/>
      <c r="V378" s="205"/>
      <c r="W378" s="17"/>
      <c r="X378" s="17"/>
      <c r="Y378" s="17"/>
      <c r="Z378" s="17"/>
      <c r="AA378" s="17"/>
      <c r="AB378" s="17"/>
    </row>
    <row r="379">
      <c r="A379" s="17"/>
      <c r="B379" s="17"/>
      <c r="C379" s="17"/>
      <c r="D379" s="17"/>
      <c r="E379" s="17"/>
      <c r="F379" s="301"/>
      <c r="G379" s="17"/>
      <c r="H379" s="17"/>
      <c r="I379" s="17"/>
      <c r="J379" s="17"/>
      <c r="K379" s="17"/>
      <c r="L379" s="17"/>
      <c r="M379" s="17"/>
      <c r="N379" s="17"/>
      <c r="O379" s="17"/>
      <c r="P379" s="17"/>
      <c r="Q379" s="17"/>
      <c r="R379" s="17"/>
      <c r="S379" s="205"/>
      <c r="T379" s="205"/>
      <c r="U379" s="205"/>
      <c r="V379" s="205"/>
      <c r="W379" s="17"/>
      <c r="X379" s="17"/>
      <c r="Y379" s="17"/>
      <c r="Z379" s="17"/>
      <c r="AA379" s="17"/>
      <c r="AB379" s="17"/>
    </row>
    <row r="380">
      <c r="A380" s="17"/>
      <c r="B380" s="17"/>
      <c r="C380" s="17"/>
      <c r="D380" s="17"/>
      <c r="E380" s="17"/>
      <c r="F380" s="301"/>
      <c r="G380" s="17"/>
      <c r="H380" s="17"/>
      <c r="I380" s="17"/>
      <c r="J380" s="17"/>
      <c r="K380" s="17"/>
      <c r="L380" s="17"/>
      <c r="M380" s="17"/>
      <c r="N380" s="17"/>
      <c r="O380" s="17"/>
      <c r="P380" s="17"/>
      <c r="Q380" s="17"/>
      <c r="R380" s="17"/>
      <c r="S380" s="205"/>
      <c r="T380" s="205"/>
      <c r="U380" s="205"/>
      <c r="V380" s="205"/>
      <c r="W380" s="17"/>
      <c r="X380" s="17"/>
      <c r="Y380" s="17"/>
      <c r="Z380" s="17"/>
      <c r="AA380" s="17"/>
      <c r="AB380" s="17"/>
    </row>
    <row r="381">
      <c r="A381" s="17"/>
      <c r="B381" s="17"/>
      <c r="C381" s="17"/>
      <c r="D381" s="17"/>
      <c r="E381" s="17"/>
      <c r="F381" s="301"/>
      <c r="G381" s="17"/>
      <c r="H381" s="17"/>
      <c r="I381" s="17"/>
      <c r="J381" s="17"/>
      <c r="K381" s="17"/>
      <c r="L381" s="17"/>
      <c r="M381" s="17"/>
      <c r="N381" s="17"/>
      <c r="O381" s="17"/>
      <c r="P381" s="17"/>
      <c r="Q381" s="17"/>
      <c r="R381" s="17"/>
      <c r="S381" s="205"/>
      <c r="T381" s="205"/>
      <c r="U381" s="205"/>
      <c r="V381" s="205"/>
      <c r="W381" s="17"/>
      <c r="X381" s="17"/>
      <c r="Y381" s="17"/>
      <c r="Z381" s="17"/>
      <c r="AA381" s="17"/>
      <c r="AB381" s="17"/>
    </row>
    <row r="382">
      <c r="A382" s="17"/>
      <c r="B382" s="17"/>
      <c r="C382" s="17"/>
      <c r="D382" s="17"/>
      <c r="E382" s="17"/>
      <c r="F382" s="301"/>
      <c r="G382" s="17"/>
      <c r="H382" s="17"/>
      <c r="I382" s="17"/>
      <c r="J382" s="17"/>
      <c r="K382" s="17"/>
      <c r="L382" s="17"/>
      <c r="M382" s="17"/>
      <c r="N382" s="17"/>
      <c r="O382" s="17"/>
      <c r="P382" s="17"/>
      <c r="Q382" s="17"/>
      <c r="R382" s="17"/>
      <c r="S382" s="205"/>
      <c r="T382" s="205"/>
      <c r="U382" s="205"/>
      <c r="V382" s="205"/>
      <c r="W382" s="17"/>
      <c r="X382" s="17"/>
      <c r="Y382" s="17"/>
      <c r="Z382" s="17"/>
      <c r="AA382" s="17"/>
      <c r="AB382" s="17"/>
    </row>
    <row r="383">
      <c r="A383" s="17"/>
      <c r="B383" s="17"/>
      <c r="C383" s="17"/>
      <c r="D383" s="17"/>
      <c r="E383" s="17"/>
      <c r="F383" s="301"/>
      <c r="G383" s="17"/>
      <c r="H383" s="17"/>
      <c r="I383" s="17"/>
      <c r="J383" s="17"/>
      <c r="K383" s="17"/>
      <c r="L383" s="17"/>
      <c r="M383" s="17"/>
      <c r="N383" s="17"/>
      <c r="O383" s="17"/>
      <c r="P383" s="17"/>
      <c r="Q383" s="17"/>
      <c r="R383" s="17"/>
      <c r="S383" s="205"/>
      <c r="T383" s="205"/>
      <c r="U383" s="205"/>
      <c r="V383" s="205"/>
      <c r="W383" s="17"/>
      <c r="X383" s="17"/>
      <c r="Y383" s="17"/>
      <c r="Z383" s="17"/>
      <c r="AA383" s="17"/>
      <c r="AB383" s="17"/>
    </row>
    <row r="384">
      <c r="A384" s="17"/>
      <c r="B384" s="17"/>
      <c r="C384" s="17"/>
      <c r="D384" s="17"/>
      <c r="E384" s="17"/>
      <c r="F384" s="301"/>
      <c r="G384" s="17"/>
      <c r="H384" s="17"/>
      <c r="I384" s="17"/>
      <c r="J384" s="17"/>
      <c r="K384" s="17"/>
      <c r="L384" s="17"/>
      <c r="M384" s="17"/>
      <c r="N384" s="17"/>
      <c r="O384" s="17"/>
      <c r="P384" s="17"/>
      <c r="Q384" s="17"/>
      <c r="R384" s="17"/>
      <c r="S384" s="205"/>
      <c r="T384" s="205"/>
      <c r="U384" s="205"/>
      <c r="V384" s="205"/>
      <c r="W384" s="17"/>
      <c r="X384" s="17"/>
      <c r="Y384" s="17"/>
      <c r="Z384" s="17"/>
      <c r="AA384" s="17"/>
      <c r="AB384" s="17"/>
    </row>
    <row r="385">
      <c r="A385" s="17"/>
      <c r="B385" s="17"/>
      <c r="C385" s="17"/>
      <c r="D385" s="17"/>
      <c r="E385" s="17"/>
      <c r="F385" s="301"/>
      <c r="G385" s="17"/>
      <c r="H385" s="17"/>
      <c r="I385" s="17"/>
      <c r="J385" s="17"/>
      <c r="K385" s="17"/>
      <c r="L385" s="17"/>
      <c r="M385" s="17"/>
      <c r="N385" s="17"/>
      <c r="O385" s="17"/>
      <c r="P385" s="17"/>
      <c r="Q385" s="17"/>
      <c r="R385" s="17"/>
      <c r="S385" s="205"/>
      <c r="T385" s="205"/>
      <c r="U385" s="205"/>
      <c r="V385" s="205"/>
      <c r="W385" s="17"/>
      <c r="X385" s="17"/>
      <c r="Y385" s="17"/>
      <c r="Z385" s="17"/>
      <c r="AA385" s="17"/>
      <c r="AB385" s="17"/>
    </row>
    <row r="386">
      <c r="A386" s="17"/>
      <c r="B386" s="17"/>
      <c r="C386" s="17"/>
      <c r="D386" s="17"/>
      <c r="E386" s="17"/>
      <c r="F386" s="301"/>
      <c r="G386" s="17"/>
      <c r="H386" s="17"/>
      <c r="I386" s="17"/>
      <c r="J386" s="17"/>
      <c r="K386" s="17"/>
      <c r="L386" s="17"/>
      <c r="M386" s="17"/>
      <c r="N386" s="17"/>
      <c r="O386" s="17"/>
      <c r="P386" s="17"/>
      <c r="Q386" s="17"/>
      <c r="R386" s="17"/>
      <c r="S386" s="205"/>
      <c r="T386" s="205"/>
      <c r="U386" s="205"/>
      <c r="V386" s="205"/>
      <c r="W386" s="17"/>
      <c r="X386" s="17"/>
      <c r="Y386" s="17"/>
      <c r="Z386" s="17"/>
      <c r="AA386" s="17"/>
      <c r="AB386" s="17"/>
    </row>
    <row r="387">
      <c r="A387" s="17"/>
      <c r="B387" s="17"/>
      <c r="C387" s="17"/>
      <c r="D387" s="17"/>
      <c r="E387" s="17"/>
      <c r="F387" s="301"/>
      <c r="G387" s="17"/>
      <c r="H387" s="17"/>
      <c r="I387" s="17"/>
      <c r="J387" s="17"/>
      <c r="K387" s="17"/>
      <c r="L387" s="17"/>
      <c r="M387" s="17"/>
      <c r="N387" s="17"/>
      <c r="O387" s="17"/>
      <c r="P387" s="17"/>
      <c r="Q387" s="17"/>
      <c r="R387" s="17"/>
      <c r="S387" s="205"/>
      <c r="T387" s="205"/>
      <c r="U387" s="205"/>
      <c r="V387" s="205"/>
      <c r="W387" s="17"/>
      <c r="X387" s="17"/>
      <c r="Y387" s="17"/>
      <c r="Z387" s="17"/>
      <c r="AA387" s="17"/>
      <c r="AB387" s="17"/>
    </row>
    <row r="388">
      <c r="A388" s="17"/>
      <c r="B388" s="17"/>
      <c r="C388" s="17"/>
      <c r="D388" s="17"/>
      <c r="E388" s="17"/>
      <c r="F388" s="301"/>
      <c r="G388" s="17"/>
      <c r="H388" s="17"/>
      <c r="I388" s="17"/>
      <c r="J388" s="17"/>
      <c r="K388" s="17"/>
      <c r="L388" s="17"/>
      <c r="M388" s="17"/>
      <c r="N388" s="17"/>
      <c r="O388" s="17"/>
      <c r="P388" s="17"/>
      <c r="Q388" s="17"/>
      <c r="R388" s="17"/>
      <c r="S388" s="205"/>
      <c r="T388" s="205"/>
      <c r="U388" s="205"/>
      <c r="V388" s="205"/>
      <c r="W388" s="17"/>
      <c r="X388" s="17"/>
      <c r="Y388" s="17"/>
      <c r="Z388" s="17"/>
      <c r="AA388" s="17"/>
      <c r="AB388" s="17"/>
    </row>
    <row r="389">
      <c r="A389" s="17"/>
      <c r="B389" s="17"/>
      <c r="C389" s="17"/>
      <c r="D389" s="17"/>
      <c r="E389" s="17"/>
      <c r="F389" s="301"/>
      <c r="G389" s="17"/>
      <c r="H389" s="17"/>
      <c r="I389" s="17"/>
      <c r="J389" s="17"/>
      <c r="K389" s="17"/>
      <c r="L389" s="17"/>
      <c r="M389" s="17"/>
      <c r="N389" s="17"/>
      <c r="O389" s="17"/>
      <c r="P389" s="17"/>
      <c r="Q389" s="17"/>
      <c r="R389" s="17"/>
      <c r="S389" s="205"/>
      <c r="T389" s="205"/>
      <c r="U389" s="205"/>
      <c r="V389" s="205"/>
      <c r="W389" s="17"/>
      <c r="X389" s="17"/>
      <c r="Y389" s="17"/>
      <c r="Z389" s="17"/>
      <c r="AA389" s="17"/>
      <c r="AB389" s="17"/>
    </row>
    <row r="390">
      <c r="A390" s="17"/>
      <c r="B390" s="17"/>
      <c r="C390" s="17"/>
      <c r="D390" s="17"/>
      <c r="E390" s="17"/>
      <c r="F390" s="301"/>
      <c r="G390" s="17"/>
      <c r="H390" s="17"/>
      <c r="I390" s="17"/>
      <c r="J390" s="17"/>
      <c r="K390" s="17"/>
      <c r="L390" s="17"/>
      <c r="M390" s="17"/>
      <c r="N390" s="17"/>
      <c r="O390" s="17"/>
      <c r="P390" s="17"/>
      <c r="Q390" s="17"/>
      <c r="R390" s="17"/>
      <c r="S390" s="205"/>
      <c r="T390" s="205"/>
      <c r="U390" s="205"/>
      <c r="V390" s="205"/>
      <c r="W390" s="17"/>
      <c r="X390" s="17"/>
      <c r="Y390" s="17"/>
      <c r="Z390" s="17"/>
      <c r="AA390" s="17"/>
      <c r="AB390" s="17"/>
    </row>
    <row r="391">
      <c r="A391" s="17"/>
      <c r="B391" s="17"/>
      <c r="C391" s="17"/>
      <c r="D391" s="17"/>
      <c r="E391" s="17"/>
      <c r="F391" s="301"/>
      <c r="G391" s="17"/>
      <c r="H391" s="17"/>
      <c r="I391" s="17"/>
      <c r="J391" s="17"/>
      <c r="K391" s="17"/>
      <c r="L391" s="17"/>
      <c r="M391" s="17"/>
      <c r="N391" s="17"/>
      <c r="O391" s="17"/>
      <c r="P391" s="17"/>
      <c r="Q391" s="17"/>
      <c r="R391" s="17"/>
      <c r="S391" s="205"/>
      <c r="T391" s="205"/>
      <c r="U391" s="205"/>
      <c r="V391" s="205"/>
      <c r="W391" s="17"/>
      <c r="X391" s="17"/>
      <c r="Y391" s="17"/>
      <c r="Z391" s="17"/>
      <c r="AA391" s="17"/>
      <c r="AB391" s="17"/>
    </row>
    <row r="392">
      <c r="A392" s="17"/>
      <c r="B392" s="17"/>
      <c r="C392" s="17"/>
      <c r="D392" s="17"/>
      <c r="E392" s="17"/>
      <c r="F392" s="301"/>
      <c r="G392" s="17"/>
      <c r="H392" s="17"/>
      <c r="I392" s="17"/>
      <c r="J392" s="17"/>
      <c r="K392" s="17"/>
      <c r="L392" s="17"/>
      <c r="M392" s="17"/>
      <c r="N392" s="17"/>
      <c r="O392" s="17"/>
      <c r="P392" s="17"/>
      <c r="Q392" s="17"/>
      <c r="R392" s="17"/>
      <c r="S392" s="205"/>
      <c r="T392" s="205"/>
      <c r="U392" s="205"/>
      <c r="V392" s="205"/>
      <c r="W392" s="17"/>
      <c r="X392" s="17"/>
      <c r="Y392" s="17"/>
      <c r="Z392" s="17"/>
      <c r="AA392" s="17"/>
      <c r="AB392" s="17"/>
    </row>
    <row r="393">
      <c r="A393" s="17"/>
      <c r="B393" s="17"/>
      <c r="C393" s="17"/>
      <c r="D393" s="17"/>
      <c r="E393" s="17"/>
      <c r="F393" s="301"/>
      <c r="G393" s="17"/>
      <c r="H393" s="17"/>
      <c r="I393" s="17"/>
      <c r="J393" s="17"/>
      <c r="K393" s="17"/>
      <c r="L393" s="17"/>
      <c r="M393" s="17"/>
      <c r="N393" s="17"/>
      <c r="O393" s="17"/>
      <c r="P393" s="17"/>
      <c r="Q393" s="17"/>
      <c r="R393" s="17"/>
      <c r="S393" s="205"/>
      <c r="T393" s="205"/>
      <c r="U393" s="205"/>
      <c r="V393" s="205"/>
      <c r="W393" s="17"/>
      <c r="X393" s="17"/>
      <c r="Y393" s="17"/>
      <c r="Z393" s="17"/>
      <c r="AA393" s="17"/>
      <c r="AB393" s="17"/>
    </row>
    <row r="394">
      <c r="A394" s="17"/>
      <c r="B394" s="17"/>
      <c r="C394" s="17"/>
      <c r="D394" s="17"/>
      <c r="E394" s="17"/>
      <c r="F394" s="301"/>
      <c r="G394" s="17"/>
      <c r="H394" s="17"/>
      <c r="I394" s="17"/>
      <c r="J394" s="17"/>
      <c r="K394" s="17"/>
      <c r="L394" s="17"/>
      <c r="M394" s="17"/>
      <c r="N394" s="17"/>
      <c r="O394" s="17"/>
      <c r="P394" s="17"/>
      <c r="Q394" s="17"/>
      <c r="R394" s="17"/>
      <c r="S394" s="205"/>
      <c r="T394" s="205"/>
      <c r="U394" s="205"/>
      <c r="V394" s="205"/>
      <c r="W394" s="17"/>
      <c r="X394" s="17"/>
      <c r="Y394" s="17"/>
      <c r="Z394" s="17"/>
      <c r="AA394" s="17"/>
      <c r="AB394" s="17"/>
    </row>
    <row r="395">
      <c r="A395" s="17"/>
      <c r="B395" s="17"/>
      <c r="C395" s="17"/>
      <c r="D395" s="17"/>
      <c r="E395" s="17"/>
      <c r="F395" s="301"/>
      <c r="G395" s="17"/>
      <c r="H395" s="17"/>
      <c r="I395" s="17"/>
      <c r="J395" s="17"/>
      <c r="K395" s="17"/>
      <c r="L395" s="17"/>
      <c r="M395" s="17"/>
      <c r="N395" s="17"/>
      <c r="O395" s="17"/>
      <c r="P395" s="17"/>
      <c r="Q395" s="17"/>
      <c r="R395" s="17"/>
      <c r="S395" s="205"/>
      <c r="T395" s="205"/>
      <c r="U395" s="205"/>
      <c r="V395" s="205"/>
      <c r="W395" s="17"/>
      <c r="X395" s="17"/>
      <c r="Y395" s="17"/>
      <c r="Z395" s="17"/>
      <c r="AA395" s="17"/>
      <c r="AB395" s="17"/>
    </row>
    <row r="396">
      <c r="A396" s="17"/>
      <c r="B396" s="17"/>
      <c r="C396" s="17"/>
      <c r="D396" s="17"/>
      <c r="E396" s="17"/>
      <c r="F396" s="301"/>
      <c r="G396" s="17"/>
      <c r="H396" s="17"/>
      <c r="I396" s="17"/>
      <c r="J396" s="17"/>
      <c r="K396" s="17"/>
      <c r="L396" s="17"/>
      <c r="M396" s="17"/>
      <c r="N396" s="17"/>
      <c r="O396" s="17"/>
      <c r="P396" s="17"/>
      <c r="Q396" s="17"/>
      <c r="R396" s="17"/>
      <c r="S396" s="205"/>
      <c r="T396" s="205"/>
      <c r="U396" s="205"/>
      <c r="V396" s="205"/>
      <c r="W396" s="17"/>
      <c r="X396" s="17"/>
      <c r="Y396" s="17"/>
      <c r="Z396" s="17"/>
      <c r="AA396" s="17"/>
      <c r="AB396" s="17"/>
    </row>
    <row r="397">
      <c r="A397" s="17"/>
      <c r="B397" s="17"/>
      <c r="C397" s="17"/>
      <c r="D397" s="17"/>
      <c r="E397" s="17"/>
      <c r="F397" s="301"/>
      <c r="G397" s="17"/>
      <c r="H397" s="17"/>
      <c r="I397" s="17"/>
      <c r="J397" s="17"/>
      <c r="K397" s="17"/>
      <c r="L397" s="17"/>
      <c r="M397" s="17"/>
      <c r="N397" s="17"/>
      <c r="O397" s="17"/>
      <c r="P397" s="17"/>
      <c r="Q397" s="17"/>
      <c r="R397" s="17"/>
      <c r="S397" s="205"/>
      <c r="T397" s="205"/>
      <c r="U397" s="205"/>
      <c r="V397" s="205"/>
      <c r="W397" s="17"/>
      <c r="X397" s="17"/>
      <c r="Y397" s="17"/>
      <c r="Z397" s="17"/>
      <c r="AA397" s="17"/>
      <c r="AB397" s="17"/>
    </row>
    <row r="398">
      <c r="A398" s="17"/>
      <c r="B398" s="17"/>
      <c r="C398" s="17"/>
      <c r="D398" s="17"/>
      <c r="E398" s="17"/>
      <c r="F398" s="301"/>
      <c r="G398" s="17"/>
      <c r="H398" s="17"/>
      <c r="I398" s="17"/>
      <c r="J398" s="17"/>
      <c r="K398" s="17"/>
      <c r="L398" s="17"/>
      <c r="M398" s="17"/>
      <c r="N398" s="17"/>
      <c r="O398" s="17"/>
      <c r="P398" s="17"/>
      <c r="Q398" s="17"/>
      <c r="R398" s="17"/>
      <c r="S398" s="205"/>
      <c r="T398" s="205"/>
      <c r="U398" s="205"/>
      <c r="V398" s="205"/>
      <c r="W398" s="17"/>
      <c r="X398" s="17"/>
      <c r="Y398" s="17"/>
      <c r="Z398" s="17"/>
      <c r="AA398" s="17"/>
      <c r="AB398" s="17"/>
    </row>
    <row r="399">
      <c r="A399" s="17"/>
      <c r="B399" s="17"/>
      <c r="C399" s="17"/>
      <c r="D399" s="17"/>
      <c r="E399" s="17"/>
      <c r="F399" s="301"/>
      <c r="G399" s="17"/>
      <c r="H399" s="17"/>
      <c r="I399" s="17"/>
      <c r="J399" s="17"/>
      <c r="K399" s="17"/>
      <c r="L399" s="17"/>
      <c r="M399" s="17"/>
      <c r="N399" s="17"/>
      <c r="O399" s="17"/>
      <c r="P399" s="17"/>
      <c r="Q399" s="17"/>
      <c r="R399" s="17"/>
      <c r="S399" s="205"/>
      <c r="T399" s="205"/>
      <c r="U399" s="205"/>
      <c r="V399" s="205"/>
      <c r="W399" s="17"/>
      <c r="X399" s="17"/>
      <c r="Y399" s="17"/>
      <c r="Z399" s="17"/>
      <c r="AA399" s="17"/>
      <c r="AB399" s="17"/>
    </row>
    <row r="400">
      <c r="A400" s="17"/>
      <c r="B400" s="17"/>
      <c r="C400" s="17"/>
      <c r="D400" s="17"/>
      <c r="E400" s="17"/>
      <c r="F400" s="301"/>
      <c r="G400" s="17"/>
      <c r="H400" s="17"/>
      <c r="I400" s="17"/>
      <c r="J400" s="17"/>
      <c r="K400" s="17"/>
      <c r="L400" s="17"/>
      <c r="M400" s="17"/>
      <c r="N400" s="17"/>
      <c r="O400" s="17"/>
      <c r="P400" s="17"/>
      <c r="Q400" s="17"/>
      <c r="R400" s="17"/>
      <c r="S400" s="205"/>
      <c r="T400" s="205"/>
      <c r="U400" s="205"/>
      <c r="V400" s="205"/>
      <c r="W400" s="17"/>
      <c r="X400" s="17"/>
      <c r="Y400" s="17"/>
      <c r="Z400" s="17"/>
      <c r="AA400" s="17"/>
      <c r="AB400" s="17"/>
    </row>
    <row r="401">
      <c r="A401" s="17"/>
      <c r="B401" s="17"/>
      <c r="C401" s="17"/>
      <c r="D401" s="17"/>
      <c r="E401" s="17"/>
      <c r="F401" s="301"/>
      <c r="G401" s="17"/>
      <c r="H401" s="17"/>
      <c r="I401" s="17"/>
      <c r="J401" s="17"/>
      <c r="K401" s="17"/>
      <c r="L401" s="17"/>
      <c r="M401" s="17"/>
      <c r="N401" s="17"/>
      <c r="O401" s="17"/>
      <c r="P401" s="17"/>
      <c r="Q401" s="17"/>
      <c r="R401" s="17"/>
      <c r="S401" s="205"/>
      <c r="T401" s="205"/>
      <c r="U401" s="205"/>
      <c r="V401" s="205"/>
      <c r="W401" s="17"/>
      <c r="X401" s="17"/>
      <c r="Y401" s="17"/>
      <c r="Z401" s="17"/>
      <c r="AA401" s="17"/>
      <c r="AB401" s="17"/>
    </row>
    <row r="402">
      <c r="A402" s="17"/>
      <c r="B402" s="17"/>
      <c r="C402" s="17"/>
      <c r="D402" s="17"/>
      <c r="E402" s="17"/>
      <c r="F402" s="301"/>
      <c r="G402" s="17"/>
      <c r="H402" s="17"/>
      <c r="I402" s="17"/>
      <c r="J402" s="17"/>
      <c r="K402" s="17"/>
      <c r="L402" s="17"/>
      <c r="M402" s="17"/>
      <c r="N402" s="17"/>
      <c r="O402" s="17"/>
      <c r="P402" s="17"/>
      <c r="Q402" s="17"/>
      <c r="R402" s="17"/>
      <c r="S402" s="205"/>
      <c r="T402" s="205"/>
      <c r="U402" s="205"/>
      <c r="V402" s="205"/>
      <c r="W402" s="17"/>
      <c r="X402" s="17"/>
      <c r="Y402" s="17"/>
      <c r="Z402" s="17"/>
      <c r="AA402" s="17"/>
      <c r="AB402" s="17"/>
    </row>
    <row r="403">
      <c r="A403" s="17"/>
      <c r="B403" s="17"/>
      <c r="C403" s="17"/>
      <c r="D403" s="17"/>
      <c r="E403" s="17"/>
      <c r="F403" s="301"/>
      <c r="G403" s="17"/>
      <c r="H403" s="17"/>
      <c r="I403" s="17"/>
      <c r="J403" s="17"/>
      <c r="K403" s="17"/>
      <c r="L403" s="17"/>
      <c r="M403" s="17"/>
      <c r="N403" s="17"/>
      <c r="O403" s="17"/>
      <c r="P403" s="17"/>
      <c r="Q403" s="17"/>
      <c r="R403" s="17"/>
      <c r="S403" s="205"/>
      <c r="T403" s="205"/>
      <c r="U403" s="205"/>
      <c r="V403" s="205"/>
      <c r="W403" s="17"/>
      <c r="X403" s="17"/>
      <c r="Y403" s="17"/>
      <c r="Z403" s="17"/>
      <c r="AA403" s="17"/>
      <c r="AB403" s="17"/>
    </row>
    <row r="404">
      <c r="A404" s="17"/>
      <c r="B404" s="17"/>
      <c r="C404" s="17"/>
      <c r="D404" s="17"/>
      <c r="E404" s="17"/>
      <c r="F404" s="301"/>
      <c r="G404" s="17"/>
      <c r="H404" s="17"/>
      <c r="I404" s="17"/>
      <c r="J404" s="17"/>
      <c r="K404" s="17"/>
      <c r="L404" s="17"/>
      <c r="M404" s="17"/>
      <c r="N404" s="17"/>
      <c r="O404" s="17"/>
      <c r="P404" s="17"/>
      <c r="Q404" s="17"/>
      <c r="R404" s="17"/>
      <c r="S404" s="205"/>
      <c r="T404" s="205"/>
      <c r="U404" s="205"/>
      <c r="V404" s="205"/>
      <c r="W404" s="17"/>
      <c r="X404" s="17"/>
      <c r="Y404" s="17"/>
      <c r="Z404" s="17"/>
      <c r="AA404" s="17"/>
      <c r="AB404" s="17"/>
    </row>
    <row r="405">
      <c r="A405" s="17"/>
      <c r="B405" s="17"/>
      <c r="C405" s="17"/>
      <c r="D405" s="17"/>
      <c r="E405" s="17"/>
      <c r="F405" s="301"/>
      <c r="G405" s="17"/>
      <c r="H405" s="17"/>
      <c r="I405" s="17"/>
      <c r="J405" s="17"/>
      <c r="K405" s="17"/>
      <c r="L405" s="17"/>
      <c r="M405" s="17"/>
      <c r="N405" s="17"/>
      <c r="O405" s="17"/>
      <c r="P405" s="17"/>
      <c r="Q405" s="17"/>
      <c r="R405" s="17"/>
      <c r="S405" s="205"/>
      <c r="T405" s="205"/>
      <c r="U405" s="205"/>
      <c r="V405" s="205"/>
      <c r="W405" s="17"/>
      <c r="X405" s="17"/>
      <c r="Y405" s="17"/>
      <c r="Z405" s="17"/>
      <c r="AA405" s="17"/>
      <c r="AB405" s="17"/>
    </row>
    <row r="406">
      <c r="A406" s="17"/>
      <c r="B406" s="17"/>
      <c r="C406" s="17"/>
      <c r="D406" s="17"/>
      <c r="E406" s="17"/>
      <c r="F406" s="301"/>
      <c r="G406" s="17"/>
      <c r="H406" s="17"/>
      <c r="I406" s="17"/>
      <c r="J406" s="17"/>
      <c r="K406" s="17"/>
      <c r="L406" s="17"/>
      <c r="M406" s="17"/>
      <c r="N406" s="17"/>
      <c r="O406" s="17"/>
      <c r="P406" s="17"/>
      <c r="Q406" s="17"/>
      <c r="R406" s="17"/>
      <c r="S406" s="205"/>
      <c r="T406" s="205"/>
      <c r="U406" s="205"/>
      <c r="V406" s="205"/>
      <c r="W406" s="17"/>
      <c r="X406" s="17"/>
      <c r="Y406" s="17"/>
      <c r="Z406" s="17"/>
      <c r="AA406" s="17"/>
      <c r="AB406" s="17"/>
    </row>
    <row r="407">
      <c r="A407" s="17"/>
      <c r="B407" s="17"/>
      <c r="C407" s="17"/>
      <c r="D407" s="17"/>
      <c r="E407" s="17"/>
      <c r="F407" s="301"/>
      <c r="G407" s="17"/>
      <c r="H407" s="17"/>
      <c r="I407" s="17"/>
      <c r="J407" s="17"/>
      <c r="K407" s="17"/>
      <c r="L407" s="17"/>
      <c r="M407" s="17"/>
      <c r="N407" s="17"/>
      <c r="O407" s="17"/>
      <c r="P407" s="17"/>
      <c r="Q407" s="17"/>
      <c r="R407" s="17"/>
      <c r="S407" s="205"/>
      <c r="T407" s="205"/>
      <c r="U407" s="205"/>
      <c r="V407" s="205"/>
      <c r="W407" s="17"/>
      <c r="X407" s="17"/>
      <c r="Y407" s="17"/>
      <c r="Z407" s="17"/>
      <c r="AA407" s="17"/>
      <c r="AB407" s="17"/>
    </row>
    <row r="408">
      <c r="A408" s="17"/>
      <c r="B408" s="17"/>
      <c r="C408" s="17"/>
      <c r="D408" s="17"/>
      <c r="E408" s="17"/>
      <c r="F408" s="301"/>
      <c r="G408" s="17"/>
      <c r="H408" s="17"/>
      <c r="I408" s="17"/>
      <c r="J408" s="17"/>
      <c r="K408" s="17"/>
      <c r="L408" s="17"/>
      <c r="M408" s="17"/>
      <c r="N408" s="17"/>
      <c r="O408" s="17"/>
      <c r="P408" s="17"/>
      <c r="Q408" s="17"/>
      <c r="R408" s="17"/>
      <c r="S408" s="205"/>
      <c r="T408" s="205"/>
      <c r="U408" s="205"/>
      <c r="V408" s="205"/>
      <c r="W408" s="17"/>
      <c r="X408" s="17"/>
      <c r="Y408" s="17"/>
      <c r="Z408" s="17"/>
      <c r="AA408" s="17"/>
      <c r="AB408" s="17"/>
    </row>
    <row r="409">
      <c r="A409" s="17"/>
      <c r="B409" s="17"/>
      <c r="C409" s="17"/>
      <c r="D409" s="17"/>
      <c r="E409" s="17"/>
      <c r="F409" s="301"/>
      <c r="G409" s="17"/>
      <c r="H409" s="17"/>
      <c r="I409" s="17"/>
      <c r="J409" s="17"/>
      <c r="K409" s="17"/>
      <c r="L409" s="17"/>
      <c r="M409" s="17"/>
      <c r="N409" s="17"/>
      <c r="O409" s="17"/>
      <c r="P409" s="17"/>
      <c r="Q409" s="17"/>
      <c r="R409" s="17"/>
      <c r="S409" s="205"/>
      <c r="T409" s="205"/>
      <c r="U409" s="205"/>
      <c r="V409" s="205"/>
      <c r="W409" s="17"/>
      <c r="X409" s="17"/>
      <c r="Y409" s="17"/>
      <c r="Z409" s="17"/>
      <c r="AA409" s="17"/>
      <c r="AB409" s="17"/>
    </row>
    <row r="410">
      <c r="A410" s="17"/>
      <c r="B410" s="17"/>
      <c r="C410" s="17"/>
      <c r="D410" s="17"/>
      <c r="E410" s="17"/>
      <c r="F410" s="301"/>
      <c r="G410" s="17"/>
      <c r="H410" s="17"/>
      <c r="I410" s="17"/>
      <c r="J410" s="17"/>
      <c r="K410" s="17"/>
      <c r="L410" s="17"/>
      <c r="M410" s="17"/>
      <c r="N410" s="17"/>
      <c r="O410" s="17"/>
      <c r="P410" s="17"/>
      <c r="Q410" s="17"/>
      <c r="R410" s="17"/>
      <c r="S410" s="205"/>
      <c r="T410" s="205"/>
      <c r="U410" s="205"/>
      <c r="V410" s="205"/>
      <c r="W410" s="17"/>
      <c r="X410" s="17"/>
      <c r="Y410" s="17"/>
      <c r="Z410" s="17"/>
      <c r="AA410" s="17"/>
      <c r="AB410" s="17"/>
    </row>
    <row r="411">
      <c r="A411" s="17"/>
      <c r="B411" s="17"/>
      <c r="C411" s="17"/>
      <c r="D411" s="17"/>
      <c r="E411" s="17"/>
      <c r="F411" s="301"/>
      <c r="G411" s="17"/>
      <c r="H411" s="17"/>
      <c r="I411" s="17"/>
      <c r="J411" s="17"/>
      <c r="K411" s="17"/>
      <c r="L411" s="17"/>
      <c r="M411" s="17"/>
      <c r="N411" s="17"/>
      <c r="O411" s="17"/>
      <c r="P411" s="17"/>
      <c r="Q411" s="17"/>
      <c r="R411" s="17"/>
      <c r="S411" s="205"/>
      <c r="T411" s="205"/>
      <c r="U411" s="205"/>
      <c r="V411" s="205"/>
      <c r="W411" s="17"/>
      <c r="X411" s="17"/>
      <c r="Y411" s="17"/>
      <c r="Z411" s="17"/>
      <c r="AA411" s="17"/>
      <c r="AB411" s="17"/>
    </row>
    <row r="412">
      <c r="A412" s="17"/>
      <c r="B412" s="17"/>
      <c r="C412" s="17"/>
      <c r="D412" s="17"/>
      <c r="E412" s="17"/>
      <c r="F412" s="301"/>
      <c r="G412" s="17"/>
      <c r="H412" s="17"/>
      <c r="I412" s="17"/>
      <c r="J412" s="17"/>
      <c r="K412" s="17"/>
      <c r="L412" s="17"/>
      <c r="M412" s="17"/>
      <c r="N412" s="17"/>
      <c r="O412" s="17"/>
      <c r="P412" s="17"/>
      <c r="Q412" s="17"/>
      <c r="R412" s="17"/>
      <c r="S412" s="205"/>
      <c r="T412" s="205"/>
      <c r="U412" s="205"/>
      <c r="V412" s="205"/>
      <c r="W412" s="17"/>
      <c r="X412" s="17"/>
      <c r="Y412" s="17"/>
      <c r="Z412" s="17"/>
      <c r="AA412" s="17"/>
      <c r="AB412" s="17"/>
    </row>
    <row r="413">
      <c r="A413" s="17"/>
      <c r="B413" s="17"/>
      <c r="C413" s="17"/>
      <c r="D413" s="17"/>
      <c r="E413" s="17"/>
      <c r="F413" s="301"/>
      <c r="G413" s="17"/>
      <c r="H413" s="17"/>
      <c r="I413" s="17"/>
      <c r="J413" s="17"/>
      <c r="K413" s="17"/>
      <c r="L413" s="17"/>
      <c r="M413" s="17"/>
      <c r="N413" s="17"/>
      <c r="O413" s="17"/>
      <c r="P413" s="17"/>
      <c r="Q413" s="17"/>
      <c r="R413" s="17"/>
      <c r="S413" s="205"/>
      <c r="T413" s="205"/>
      <c r="U413" s="205"/>
      <c r="V413" s="205"/>
      <c r="W413" s="17"/>
      <c r="X413" s="17"/>
      <c r="Y413" s="17"/>
      <c r="Z413" s="17"/>
      <c r="AA413" s="17"/>
      <c r="AB413" s="17"/>
    </row>
    <row r="414">
      <c r="A414" s="17"/>
      <c r="B414" s="17"/>
      <c r="C414" s="17"/>
      <c r="D414" s="17"/>
      <c r="E414" s="17"/>
      <c r="F414" s="301"/>
      <c r="G414" s="17"/>
      <c r="H414" s="17"/>
      <c r="I414" s="17"/>
      <c r="J414" s="17"/>
      <c r="K414" s="17"/>
      <c r="L414" s="17"/>
      <c r="M414" s="17"/>
      <c r="N414" s="17"/>
      <c r="O414" s="17"/>
      <c r="P414" s="17"/>
      <c r="Q414" s="17"/>
      <c r="R414" s="17"/>
      <c r="S414" s="205"/>
      <c r="T414" s="205"/>
      <c r="U414" s="205"/>
      <c r="V414" s="205"/>
      <c r="W414" s="17"/>
      <c r="X414" s="17"/>
      <c r="Y414" s="17"/>
      <c r="Z414" s="17"/>
      <c r="AA414" s="17"/>
      <c r="AB414" s="17"/>
    </row>
    <row r="415">
      <c r="A415" s="17"/>
      <c r="B415" s="17"/>
      <c r="C415" s="17"/>
      <c r="D415" s="17"/>
      <c r="E415" s="17"/>
      <c r="F415" s="301"/>
      <c r="G415" s="17"/>
      <c r="H415" s="17"/>
      <c r="I415" s="17"/>
      <c r="J415" s="17"/>
      <c r="K415" s="17"/>
      <c r="L415" s="17"/>
      <c r="M415" s="17"/>
      <c r="N415" s="17"/>
      <c r="O415" s="17"/>
      <c r="P415" s="17"/>
      <c r="Q415" s="17"/>
      <c r="R415" s="17"/>
      <c r="S415" s="205"/>
      <c r="T415" s="205"/>
      <c r="U415" s="205"/>
      <c r="V415" s="205"/>
      <c r="W415" s="17"/>
      <c r="X415" s="17"/>
      <c r="Y415" s="17"/>
      <c r="Z415" s="17"/>
      <c r="AA415" s="17"/>
      <c r="AB415" s="17"/>
    </row>
    <row r="416">
      <c r="A416" s="17"/>
      <c r="B416" s="17"/>
      <c r="C416" s="17"/>
      <c r="D416" s="17"/>
      <c r="E416" s="17"/>
      <c r="F416" s="301"/>
      <c r="G416" s="17"/>
      <c r="H416" s="17"/>
      <c r="I416" s="17"/>
      <c r="J416" s="17"/>
      <c r="K416" s="17"/>
      <c r="L416" s="17"/>
      <c r="M416" s="17"/>
      <c r="N416" s="17"/>
      <c r="O416" s="17"/>
      <c r="P416" s="17"/>
      <c r="Q416" s="17"/>
      <c r="R416" s="17"/>
      <c r="S416" s="205"/>
      <c r="T416" s="205"/>
      <c r="U416" s="205"/>
      <c r="V416" s="205"/>
      <c r="W416" s="17"/>
      <c r="X416" s="17"/>
      <c r="Y416" s="17"/>
      <c r="Z416" s="17"/>
      <c r="AA416" s="17"/>
      <c r="AB416" s="17"/>
    </row>
    <row r="417">
      <c r="A417" s="17"/>
      <c r="B417" s="17"/>
      <c r="C417" s="17"/>
      <c r="D417" s="17"/>
      <c r="E417" s="17"/>
      <c r="F417" s="301"/>
      <c r="G417" s="17"/>
      <c r="H417" s="17"/>
      <c r="I417" s="17"/>
      <c r="J417" s="17"/>
      <c r="K417" s="17"/>
      <c r="L417" s="17"/>
      <c r="M417" s="17"/>
      <c r="N417" s="17"/>
      <c r="O417" s="17"/>
      <c r="P417" s="17"/>
      <c r="Q417" s="17"/>
      <c r="R417" s="17"/>
      <c r="S417" s="205"/>
      <c r="T417" s="205"/>
      <c r="U417" s="205"/>
      <c r="V417" s="205"/>
      <c r="W417" s="17"/>
      <c r="X417" s="17"/>
      <c r="Y417" s="17"/>
      <c r="Z417" s="17"/>
      <c r="AA417" s="17"/>
      <c r="AB417" s="17"/>
    </row>
    <row r="418">
      <c r="A418" s="17"/>
      <c r="B418" s="17"/>
      <c r="C418" s="17"/>
      <c r="D418" s="17"/>
      <c r="E418" s="17"/>
      <c r="F418" s="301"/>
      <c r="G418" s="17"/>
      <c r="H418" s="17"/>
      <c r="I418" s="17"/>
      <c r="J418" s="17"/>
      <c r="K418" s="17"/>
      <c r="L418" s="17"/>
      <c r="M418" s="17"/>
      <c r="N418" s="17"/>
      <c r="O418" s="17"/>
      <c r="P418" s="17"/>
      <c r="Q418" s="17"/>
      <c r="R418" s="17"/>
      <c r="S418" s="205"/>
      <c r="T418" s="205"/>
      <c r="U418" s="205"/>
      <c r="V418" s="205"/>
      <c r="W418" s="17"/>
      <c r="X418" s="17"/>
      <c r="Y418" s="17"/>
      <c r="Z418" s="17"/>
      <c r="AA418" s="17"/>
      <c r="AB418" s="17"/>
    </row>
    <row r="419">
      <c r="A419" s="17"/>
      <c r="B419" s="17"/>
      <c r="C419" s="17"/>
      <c r="D419" s="17"/>
      <c r="E419" s="17"/>
      <c r="F419" s="301"/>
      <c r="G419" s="17"/>
      <c r="H419" s="17"/>
      <c r="I419" s="17"/>
      <c r="J419" s="17"/>
      <c r="K419" s="17"/>
      <c r="L419" s="17"/>
      <c r="M419" s="17"/>
      <c r="N419" s="17"/>
      <c r="O419" s="17"/>
      <c r="P419" s="17"/>
      <c r="Q419" s="17"/>
      <c r="R419" s="17"/>
      <c r="S419" s="205"/>
      <c r="T419" s="205"/>
      <c r="U419" s="205"/>
      <c r="V419" s="205"/>
      <c r="W419" s="17"/>
      <c r="X419" s="17"/>
      <c r="Y419" s="17"/>
      <c r="Z419" s="17"/>
      <c r="AA419" s="17"/>
      <c r="AB419" s="17"/>
    </row>
    <row r="420">
      <c r="A420" s="17"/>
      <c r="B420" s="17"/>
      <c r="C420" s="17"/>
      <c r="D420" s="17"/>
      <c r="E420" s="17"/>
      <c r="F420" s="301"/>
      <c r="G420" s="17"/>
      <c r="H420" s="17"/>
      <c r="I420" s="17"/>
      <c r="J420" s="17"/>
      <c r="K420" s="17"/>
      <c r="L420" s="17"/>
      <c r="M420" s="17"/>
      <c r="N420" s="17"/>
      <c r="O420" s="17"/>
      <c r="P420" s="17"/>
      <c r="Q420" s="17"/>
      <c r="R420" s="17"/>
      <c r="S420" s="205"/>
      <c r="T420" s="205"/>
      <c r="U420" s="205"/>
      <c r="V420" s="205"/>
      <c r="W420" s="17"/>
      <c r="X420" s="17"/>
      <c r="Y420" s="17"/>
      <c r="Z420" s="17"/>
      <c r="AA420" s="17"/>
      <c r="AB420" s="17"/>
    </row>
    <row r="421">
      <c r="A421" s="17"/>
      <c r="B421" s="17"/>
      <c r="C421" s="17"/>
      <c r="D421" s="17"/>
      <c r="E421" s="17"/>
      <c r="F421" s="301"/>
      <c r="G421" s="17"/>
      <c r="H421" s="17"/>
      <c r="I421" s="17"/>
      <c r="J421" s="17"/>
      <c r="K421" s="17"/>
      <c r="L421" s="17"/>
      <c r="M421" s="17"/>
      <c r="N421" s="17"/>
      <c r="O421" s="17"/>
      <c r="P421" s="17"/>
      <c r="Q421" s="17"/>
      <c r="R421" s="17"/>
      <c r="S421" s="205"/>
      <c r="T421" s="205"/>
      <c r="U421" s="205"/>
      <c r="V421" s="205"/>
      <c r="W421" s="17"/>
      <c r="X421" s="17"/>
      <c r="Y421" s="17"/>
      <c r="Z421" s="17"/>
      <c r="AA421" s="17"/>
      <c r="AB421" s="17"/>
    </row>
    <row r="422">
      <c r="A422" s="17"/>
      <c r="B422" s="17"/>
      <c r="C422" s="17"/>
      <c r="D422" s="17"/>
      <c r="E422" s="17"/>
      <c r="F422" s="301"/>
      <c r="G422" s="17"/>
      <c r="H422" s="17"/>
      <c r="I422" s="17"/>
      <c r="J422" s="17"/>
      <c r="K422" s="17"/>
      <c r="L422" s="17"/>
      <c r="M422" s="17"/>
      <c r="N422" s="17"/>
      <c r="O422" s="17"/>
      <c r="P422" s="17"/>
      <c r="Q422" s="17"/>
      <c r="R422" s="17"/>
      <c r="S422" s="205"/>
      <c r="T422" s="205"/>
      <c r="U422" s="205"/>
      <c r="V422" s="205"/>
      <c r="W422" s="17"/>
      <c r="X422" s="17"/>
      <c r="Y422" s="17"/>
      <c r="Z422" s="17"/>
      <c r="AA422" s="17"/>
      <c r="AB422" s="17"/>
    </row>
    <row r="423">
      <c r="A423" s="17"/>
      <c r="B423" s="17"/>
      <c r="C423" s="17"/>
      <c r="D423" s="17"/>
      <c r="E423" s="17"/>
      <c r="F423" s="301"/>
      <c r="G423" s="17"/>
      <c r="H423" s="17"/>
      <c r="I423" s="17"/>
      <c r="J423" s="17"/>
      <c r="K423" s="17"/>
      <c r="L423" s="17"/>
      <c r="M423" s="17"/>
      <c r="N423" s="17"/>
      <c r="O423" s="17"/>
      <c r="P423" s="17"/>
      <c r="Q423" s="17"/>
      <c r="R423" s="17"/>
      <c r="S423" s="205"/>
      <c r="T423" s="205"/>
      <c r="U423" s="205"/>
      <c r="V423" s="205"/>
      <c r="W423" s="17"/>
      <c r="X423" s="17"/>
      <c r="Y423" s="17"/>
      <c r="Z423" s="17"/>
      <c r="AA423" s="17"/>
      <c r="AB423" s="17"/>
    </row>
    <row r="424">
      <c r="A424" s="17"/>
      <c r="B424" s="17"/>
      <c r="C424" s="17"/>
      <c r="D424" s="17"/>
      <c r="E424" s="17"/>
      <c r="F424" s="301"/>
      <c r="G424" s="17"/>
      <c r="H424" s="17"/>
      <c r="I424" s="17"/>
      <c r="J424" s="17"/>
      <c r="K424" s="17"/>
      <c r="L424" s="17"/>
      <c r="M424" s="17"/>
      <c r="N424" s="17"/>
      <c r="O424" s="17"/>
      <c r="P424" s="17"/>
      <c r="Q424" s="17"/>
      <c r="R424" s="17"/>
      <c r="S424" s="205"/>
      <c r="T424" s="205"/>
      <c r="U424" s="205"/>
      <c r="V424" s="205"/>
      <c r="W424" s="17"/>
      <c r="X424" s="17"/>
      <c r="Y424" s="17"/>
      <c r="Z424" s="17"/>
      <c r="AA424" s="17"/>
      <c r="AB424" s="17"/>
    </row>
    <row r="425">
      <c r="A425" s="17"/>
      <c r="B425" s="17"/>
      <c r="C425" s="17"/>
      <c r="D425" s="17"/>
      <c r="E425" s="17"/>
      <c r="F425" s="301"/>
      <c r="G425" s="17"/>
      <c r="H425" s="17"/>
      <c r="I425" s="17"/>
      <c r="J425" s="17"/>
      <c r="K425" s="17"/>
      <c r="L425" s="17"/>
      <c r="M425" s="17"/>
      <c r="N425" s="17"/>
      <c r="O425" s="17"/>
      <c r="P425" s="17"/>
      <c r="Q425" s="17"/>
      <c r="R425" s="17"/>
      <c r="S425" s="205"/>
      <c r="T425" s="205"/>
      <c r="U425" s="205"/>
      <c r="V425" s="205"/>
      <c r="W425" s="17"/>
      <c r="X425" s="17"/>
      <c r="Y425" s="17"/>
      <c r="Z425" s="17"/>
      <c r="AA425" s="17"/>
      <c r="AB425" s="17"/>
    </row>
    <row r="426">
      <c r="A426" s="17"/>
      <c r="B426" s="17"/>
      <c r="C426" s="17"/>
      <c r="D426" s="17"/>
      <c r="E426" s="17"/>
      <c r="F426" s="301"/>
      <c r="G426" s="17"/>
      <c r="H426" s="17"/>
      <c r="I426" s="17"/>
      <c r="J426" s="17"/>
      <c r="K426" s="17"/>
      <c r="L426" s="17"/>
      <c r="M426" s="17"/>
      <c r="N426" s="17"/>
      <c r="O426" s="17"/>
      <c r="P426" s="17"/>
      <c r="Q426" s="17"/>
      <c r="R426" s="17"/>
      <c r="S426" s="205"/>
      <c r="T426" s="205"/>
      <c r="U426" s="205"/>
      <c r="V426" s="205"/>
      <c r="W426" s="17"/>
      <c r="X426" s="17"/>
      <c r="Y426" s="17"/>
      <c r="Z426" s="17"/>
      <c r="AA426" s="17"/>
      <c r="AB426" s="17"/>
    </row>
    <row r="427">
      <c r="A427" s="17"/>
      <c r="B427" s="17"/>
      <c r="C427" s="17"/>
      <c r="D427" s="17"/>
      <c r="E427" s="17"/>
      <c r="F427" s="301"/>
      <c r="G427" s="17"/>
      <c r="H427" s="17"/>
      <c r="I427" s="17"/>
      <c r="J427" s="17"/>
      <c r="K427" s="17"/>
      <c r="L427" s="17"/>
      <c r="M427" s="17"/>
      <c r="N427" s="17"/>
      <c r="O427" s="17"/>
      <c r="P427" s="17"/>
      <c r="Q427" s="17"/>
      <c r="R427" s="17"/>
      <c r="S427" s="205"/>
      <c r="T427" s="205"/>
      <c r="U427" s="205"/>
      <c r="V427" s="205"/>
      <c r="W427" s="17"/>
      <c r="X427" s="17"/>
      <c r="Y427" s="17"/>
      <c r="Z427" s="17"/>
      <c r="AA427" s="17"/>
      <c r="AB427" s="17"/>
    </row>
    <row r="428">
      <c r="A428" s="17"/>
      <c r="B428" s="17"/>
      <c r="C428" s="17"/>
      <c r="D428" s="17"/>
      <c r="E428" s="17"/>
      <c r="F428" s="301"/>
      <c r="G428" s="17"/>
      <c r="H428" s="17"/>
      <c r="I428" s="17"/>
      <c r="J428" s="17"/>
      <c r="K428" s="17"/>
      <c r="L428" s="17"/>
      <c r="M428" s="17"/>
      <c r="N428" s="17"/>
      <c r="O428" s="17"/>
      <c r="P428" s="17"/>
      <c r="Q428" s="17"/>
      <c r="R428" s="17"/>
      <c r="S428" s="205"/>
      <c r="T428" s="205"/>
      <c r="U428" s="205"/>
      <c r="V428" s="205"/>
      <c r="W428" s="17"/>
      <c r="X428" s="17"/>
      <c r="Y428" s="17"/>
      <c r="Z428" s="17"/>
      <c r="AA428" s="17"/>
      <c r="AB428" s="17"/>
    </row>
    <row r="429">
      <c r="A429" s="17"/>
      <c r="B429" s="17"/>
      <c r="C429" s="17"/>
      <c r="D429" s="17"/>
      <c r="E429" s="17"/>
      <c r="F429" s="301"/>
      <c r="G429" s="17"/>
      <c r="H429" s="17"/>
      <c r="I429" s="17"/>
      <c r="J429" s="17"/>
      <c r="K429" s="17"/>
      <c r="L429" s="17"/>
      <c r="M429" s="17"/>
      <c r="N429" s="17"/>
      <c r="O429" s="17"/>
      <c r="P429" s="17"/>
      <c r="Q429" s="17"/>
      <c r="R429" s="17"/>
      <c r="S429" s="205"/>
      <c r="T429" s="205"/>
      <c r="U429" s="205"/>
      <c r="V429" s="205"/>
      <c r="W429" s="17"/>
      <c r="X429" s="17"/>
      <c r="Y429" s="17"/>
      <c r="Z429" s="17"/>
      <c r="AA429" s="17"/>
      <c r="AB429" s="17"/>
    </row>
    <row r="430">
      <c r="A430" s="17"/>
      <c r="B430" s="17"/>
      <c r="C430" s="17"/>
      <c r="D430" s="17"/>
      <c r="E430" s="17"/>
      <c r="F430" s="301"/>
      <c r="G430" s="17"/>
      <c r="H430" s="17"/>
      <c r="I430" s="17"/>
      <c r="J430" s="17"/>
      <c r="K430" s="17"/>
      <c r="L430" s="17"/>
      <c r="M430" s="17"/>
      <c r="N430" s="17"/>
      <c r="O430" s="17"/>
      <c r="P430" s="17"/>
      <c r="Q430" s="17"/>
      <c r="R430" s="17"/>
      <c r="S430" s="205"/>
      <c r="T430" s="205"/>
      <c r="U430" s="205"/>
      <c r="V430" s="205"/>
      <c r="W430" s="17"/>
      <c r="X430" s="17"/>
      <c r="Y430" s="17"/>
      <c r="Z430" s="17"/>
      <c r="AA430" s="17"/>
      <c r="AB430" s="17"/>
    </row>
    <row r="431">
      <c r="A431" s="17"/>
      <c r="B431" s="17"/>
      <c r="C431" s="17"/>
      <c r="D431" s="17"/>
      <c r="E431" s="17"/>
      <c r="F431" s="301"/>
      <c r="G431" s="17"/>
      <c r="H431" s="17"/>
      <c r="I431" s="17"/>
      <c r="J431" s="17"/>
      <c r="K431" s="17"/>
      <c r="L431" s="17"/>
      <c r="M431" s="17"/>
      <c r="N431" s="17"/>
      <c r="O431" s="17"/>
      <c r="P431" s="17"/>
      <c r="Q431" s="17"/>
      <c r="R431" s="17"/>
      <c r="S431" s="205"/>
      <c r="T431" s="205"/>
      <c r="U431" s="205"/>
      <c r="V431" s="205"/>
      <c r="W431" s="17"/>
      <c r="X431" s="17"/>
      <c r="Y431" s="17"/>
      <c r="Z431" s="17"/>
      <c r="AA431" s="17"/>
      <c r="AB431" s="17"/>
    </row>
    <row r="432">
      <c r="A432" s="17"/>
      <c r="B432" s="17"/>
      <c r="C432" s="17"/>
      <c r="D432" s="17"/>
      <c r="E432" s="17"/>
      <c r="F432" s="301"/>
      <c r="G432" s="17"/>
      <c r="H432" s="17"/>
      <c r="I432" s="17"/>
      <c r="J432" s="17"/>
      <c r="K432" s="17"/>
      <c r="L432" s="17"/>
      <c r="M432" s="17"/>
      <c r="N432" s="17"/>
      <c r="O432" s="17"/>
      <c r="P432" s="17"/>
      <c r="Q432" s="17"/>
      <c r="R432" s="17"/>
      <c r="S432" s="205"/>
      <c r="T432" s="205"/>
      <c r="U432" s="205"/>
      <c r="V432" s="205"/>
      <c r="W432" s="17"/>
      <c r="X432" s="17"/>
      <c r="Y432" s="17"/>
      <c r="Z432" s="17"/>
      <c r="AA432" s="17"/>
      <c r="AB432" s="17"/>
    </row>
    <row r="433">
      <c r="A433" s="17"/>
      <c r="B433" s="17"/>
      <c r="C433" s="17"/>
      <c r="D433" s="17"/>
      <c r="E433" s="17"/>
      <c r="F433" s="301"/>
      <c r="G433" s="17"/>
      <c r="H433" s="17"/>
      <c r="I433" s="17"/>
      <c r="J433" s="17"/>
      <c r="K433" s="17"/>
      <c r="L433" s="17"/>
      <c r="M433" s="17"/>
      <c r="N433" s="17"/>
      <c r="O433" s="17"/>
      <c r="P433" s="17"/>
      <c r="Q433" s="17"/>
      <c r="R433" s="17"/>
      <c r="S433" s="205"/>
      <c r="T433" s="205"/>
      <c r="U433" s="205"/>
      <c r="V433" s="205"/>
      <c r="W433" s="17"/>
      <c r="X433" s="17"/>
      <c r="Y433" s="17"/>
      <c r="Z433" s="17"/>
      <c r="AA433" s="17"/>
      <c r="AB433" s="17"/>
    </row>
    <row r="434">
      <c r="A434" s="17"/>
      <c r="B434" s="17"/>
      <c r="C434" s="17"/>
      <c r="D434" s="17"/>
      <c r="E434" s="17"/>
      <c r="F434" s="301"/>
      <c r="G434" s="17"/>
      <c r="H434" s="17"/>
      <c r="I434" s="17"/>
      <c r="J434" s="17"/>
      <c r="K434" s="17"/>
      <c r="L434" s="17"/>
      <c r="M434" s="17"/>
      <c r="N434" s="17"/>
      <c r="O434" s="17"/>
      <c r="P434" s="17"/>
      <c r="Q434" s="17"/>
      <c r="R434" s="17"/>
      <c r="S434" s="205"/>
      <c r="T434" s="205"/>
      <c r="U434" s="205"/>
      <c r="V434" s="205"/>
      <c r="W434" s="17"/>
      <c r="X434" s="17"/>
      <c r="Y434" s="17"/>
      <c r="Z434" s="17"/>
      <c r="AA434" s="17"/>
      <c r="AB434" s="17"/>
    </row>
    <row r="435">
      <c r="A435" s="17"/>
      <c r="B435" s="17"/>
      <c r="C435" s="17"/>
      <c r="D435" s="17"/>
      <c r="E435" s="17"/>
      <c r="F435" s="301"/>
      <c r="G435" s="17"/>
      <c r="H435" s="17"/>
      <c r="I435" s="17"/>
      <c r="J435" s="17"/>
      <c r="K435" s="17"/>
      <c r="L435" s="17"/>
      <c r="M435" s="17"/>
      <c r="N435" s="17"/>
      <c r="O435" s="17"/>
      <c r="P435" s="17"/>
      <c r="Q435" s="17"/>
      <c r="R435" s="17"/>
      <c r="S435" s="205"/>
      <c r="T435" s="205"/>
      <c r="U435" s="205"/>
      <c r="V435" s="205"/>
      <c r="W435" s="17"/>
      <c r="X435" s="17"/>
      <c r="Y435" s="17"/>
      <c r="Z435" s="17"/>
      <c r="AA435" s="17"/>
      <c r="AB435" s="17"/>
    </row>
    <row r="436">
      <c r="A436" s="17"/>
      <c r="B436" s="17"/>
      <c r="C436" s="17"/>
      <c r="D436" s="17"/>
      <c r="E436" s="17"/>
      <c r="F436" s="301"/>
      <c r="G436" s="17"/>
      <c r="H436" s="17"/>
      <c r="I436" s="17"/>
      <c r="J436" s="17"/>
      <c r="K436" s="17"/>
      <c r="L436" s="17"/>
      <c r="M436" s="17"/>
      <c r="N436" s="17"/>
      <c r="O436" s="17"/>
      <c r="P436" s="17"/>
      <c r="Q436" s="17"/>
      <c r="R436" s="17"/>
      <c r="S436" s="205"/>
      <c r="T436" s="205"/>
      <c r="U436" s="205"/>
      <c r="V436" s="205"/>
      <c r="W436" s="17"/>
      <c r="X436" s="17"/>
      <c r="Y436" s="17"/>
      <c r="Z436" s="17"/>
      <c r="AA436" s="17"/>
      <c r="AB436" s="17"/>
    </row>
    <row r="437">
      <c r="A437" s="17"/>
      <c r="B437" s="17"/>
      <c r="C437" s="17"/>
      <c r="D437" s="17"/>
      <c r="E437" s="17"/>
      <c r="F437" s="301"/>
      <c r="G437" s="17"/>
      <c r="H437" s="17"/>
      <c r="I437" s="17"/>
      <c r="J437" s="17"/>
      <c r="K437" s="17"/>
      <c r="L437" s="17"/>
      <c r="M437" s="17"/>
      <c r="N437" s="17"/>
      <c r="O437" s="17"/>
      <c r="P437" s="17"/>
      <c r="Q437" s="17"/>
      <c r="R437" s="17"/>
      <c r="S437" s="205"/>
      <c r="T437" s="205"/>
      <c r="U437" s="205"/>
      <c r="V437" s="205"/>
      <c r="W437" s="17"/>
      <c r="X437" s="17"/>
      <c r="Y437" s="17"/>
      <c r="Z437" s="17"/>
      <c r="AA437" s="17"/>
      <c r="AB437" s="17"/>
    </row>
    <row r="438">
      <c r="A438" s="17"/>
      <c r="B438" s="17"/>
      <c r="C438" s="17"/>
      <c r="D438" s="17"/>
      <c r="E438" s="17"/>
      <c r="F438" s="301"/>
      <c r="G438" s="17"/>
      <c r="H438" s="17"/>
      <c r="I438" s="17"/>
      <c r="J438" s="17"/>
      <c r="K438" s="17"/>
      <c r="L438" s="17"/>
      <c r="M438" s="17"/>
      <c r="N438" s="17"/>
      <c r="O438" s="17"/>
      <c r="P438" s="17"/>
      <c r="Q438" s="17"/>
      <c r="R438" s="17"/>
      <c r="S438" s="205"/>
      <c r="T438" s="205"/>
      <c r="U438" s="205"/>
      <c r="V438" s="205"/>
      <c r="W438" s="17"/>
      <c r="X438" s="17"/>
      <c r="Y438" s="17"/>
      <c r="Z438" s="17"/>
      <c r="AA438" s="17"/>
      <c r="AB438" s="17"/>
    </row>
    <row r="439">
      <c r="A439" s="17"/>
      <c r="B439" s="17"/>
      <c r="C439" s="17"/>
      <c r="D439" s="17"/>
      <c r="E439" s="17"/>
      <c r="F439" s="301"/>
      <c r="G439" s="17"/>
      <c r="H439" s="17"/>
      <c r="I439" s="17"/>
      <c r="J439" s="17"/>
      <c r="K439" s="17"/>
      <c r="L439" s="17"/>
      <c r="M439" s="17"/>
      <c r="N439" s="17"/>
      <c r="O439" s="17"/>
      <c r="P439" s="17"/>
      <c r="Q439" s="17"/>
      <c r="R439" s="17"/>
      <c r="S439" s="205"/>
      <c r="T439" s="205"/>
      <c r="U439" s="205"/>
      <c r="V439" s="205"/>
      <c r="W439" s="17"/>
      <c r="X439" s="17"/>
      <c r="Y439" s="17"/>
      <c r="Z439" s="17"/>
      <c r="AA439" s="17"/>
      <c r="AB439" s="17"/>
    </row>
    <row r="440">
      <c r="A440" s="17"/>
      <c r="B440" s="17"/>
      <c r="C440" s="17"/>
      <c r="D440" s="17"/>
      <c r="E440" s="17"/>
      <c r="F440" s="301"/>
      <c r="G440" s="17"/>
      <c r="H440" s="17"/>
      <c r="I440" s="17"/>
      <c r="J440" s="17"/>
      <c r="K440" s="17"/>
      <c r="L440" s="17"/>
      <c r="M440" s="17"/>
      <c r="N440" s="17"/>
      <c r="O440" s="17"/>
      <c r="P440" s="17"/>
      <c r="Q440" s="17"/>
      <c r="R440" s="17"/>
      <c r="S440" s="205"/>
      <c r="T440" s="205"/>
      <c r="U440" s="205"/>
      <c r="V440" s="205"/>
      <c r="W440" s="17"/>
      <c r="X440" s="17"/>
      <c r="Y440" s="17"/>
      <c r="Z440" s="17"/>
      <c r="AA440" s="17"/>
      <c r="AB440" s="17"/>
    </row>
    <row r="441">
      <c r="A441" s="17"/>
      <c r="B441" s="17"/>
      <c r="C441" s="17"/>
      <c r="D441" s="17"/>
      <c r="E441" s="17"/>
      <c r="F441" s="301"/>
      <c r="G441" s="17"/>
      <c r="H441" s="17"/>
      <c r="I441" s="17"/>
      <c r="J441" s="17"/>
      <c r="K441" s="17"/>
      <c r="L441" s="17"/>
      <c r="M441" s="17"/>
      <c r="N441" s="17"/>
      <c r="O441" s="17"/>
      <c r="P441" s="17"/>
      <c r="Q441" s="17"/>
      <c r="R441" s="17"/>
      <c r="S441" s="205"/>
      <c r="T441" s="205"/>
      <c r="U441" s="205"/>
      <c r="V441" s="205"/>
      <c r="W441" s="17"/>
      <c r="X441" s="17"/>
      <c r="Y441" s="17"/>
      <c r="Z441" s="17"/>
      <c r="AA441" s="17"/>
      <c r="AB441" s="17"/>
    </row>
    <row r="442">
      <c r="A442" s="17"/>
      <c r="B442" s="17"/>
      <c r="C442" s="17"/>
      <c r="D442" s="17"/>
      <c r="E442" s="17"/>
      <c r="F442" s="301"/>
      <c r="G442" s="17"/>
      <c r="H442" s="17"/>
      <c r="I442" s="17"/>
      <c r="J442" s="17"/>
      <c r="K442" s="17"/>
      <c r="L442" s="17"/>
      <c r="M442" s="17"/>
      <c r="N442" s="17"/>
      <c r="O442" s="17"/>
      <c r="P442" s="17"/>
      <c r="Q442" s="17"/>
      <c r="R442" s="17"/>
      <c r="S442" s="205"/>
      <c r="T442" s="205"/>
      <c r="U442" s="205"/>
      <c r="V442" s="205"/>
      <c r="W442" s="17"/>
      <c r="X442" s="17"/>
      <c r="Y442" s="17"/>
      <c r="Z442" s="17"/>
      <c r="AA442" s="17"/>
      <c r="AB442" s="17"/>
    </row>
    <row r="443">
      <c r="A443" s="17"/>
      <c r="B443" s="17"/>
      <c r="C443" s="17"/>
      <c r="D443" s="17"/>
      <c r="E443" s="17"/>
      <c r="F443" s="301"/>
      <c r="G443" s="17"/>
      <c r="H443" s="17"/>
      <c r="I443" s="17"/>
      <c r="J443" s="17"/>
      <c r="K443" s="17"/>
      <c r="L443" s="17"/>
      <c r="M443" s="17"/>
      <c r="N443" s="17"/>
      <c r="O443" s="17"/>
      <c r="P443" s="17"/>
      <c r="Q443" s="17"/>
      <c r="R443" s="17"/>
      <c r="S443" s="205"/>
      <c r="T443" s="205"/>
      <c r="U443" s="205"/>
      <c r="V443" s="205"/>
      <c r="W443" s="17"/>
      <c r="X443" s="17"/>
      <c r="Y443" s="17"/>
      <c r="Z443" s="17"/>
      <c r="AA443" s="17"/>
      <c r="AB443" s="17"/>
    </row>
    <row r="444">
      <c r="A444" s="17"/>
      <c r="B444" s="17"/>
      <c r="C444" s="17"/>
      <c r="D444" s="17"/>
      <c r="E444" s="17"/>
      <c r="F444" s="301"/>
      <c r="G444" s="17"/>
      <c r="H444" s="17"/>
      <c r="I444" s="17"/>
      <c r="J444" s="17"/>
      <c r="K444" s="17"/>
      <c r="L444" s="17"/>
      <c r="M444" s="17"/>
      <c r="N444" s="17"/>
      <c r="O444" s="17"/>
      <c r="P444" s="17"/>
      <c r="Q444" s="17"/>
      <c r="R444" s="17"/>
      <c r="S444" s="205"/>
      <c r="T444" s="205"/>
      <c r="U444" s="205"/>
      <c r="V444" s="205"/>
      <c r="W444" s="17"/>
      <c r="X444" s="17"/>
      <c r="Y444" s="17"/>
      <c r="Z444" s="17"/>
      <c r="AA444" s="17"/>
      <c r="AB444" s="17"/>
    </row>
    <row r="445">
      <c r="A445" s="17"/>
      <c r="B445" s="17"/>
      <c r="C445" s="17"/>
      <c r="D445" s="17"/>
      <c r="E445" s="17"/>
      <c r="F445" s="301"/>
      <c r="G445" s="17"/>
      <c r="H445" s="17"/>
      <c r="I445" s="17"/>
      <c r="J445" s="17"/>
      <c r="K445" s="17"/>
      <c r="L445" s="17"/>
      <c r="M445" s="17"/>
      <c r="N445" s="17"/>
      <c r="O445" s="17"/>
      <c r="P445" s="17"/>
      <c r="Q445" s="17"/>
      <c r="R445" s="17"/>
      <c r="S445" s="205"/>
      <c r="T445" s="205"/>
      <c r="U445" s="205"/>
      <c r="V445" s="205"/>
      <c r="W445" s="17"/>
      <c r="X445" s="17"/>
      <c r="Y445" s="17"/>
      <c r="Z445" s="17"/>
      <c r="AA445" s="17"/>
      <c r="AB445" s="17"/>
    </row>
    <row r="446">
      <c r="A446" s="17"/>
      <c r="B446" s="17"/>
      <c r="C446" s="17"/>
      <c r="D446" s="17"/>
      <c r="E446" s="17"/>
      <c r="F446" s="301"/>
      <c r="G446" s="17"/>
      <c r="H446" s="17"/>
      <c r="I446" s="17"/>
      <c r="J446" s="17"/>
      <c r="K446" s="17"/>
      <c r="L446" s="17"/>
      <c r="M446" s="17"/>
      <c r="N446" s="17"/>
      <c r="O446" s="17"/>
      <c r="P446" s="17"/>
      <c r="Q446" s="17"/>
      <c r="R446" s="17"/>
      <c r="S446" s="205"/>
      <c r="T446" s="205"/>
      <c r="U446" s="205"/>
      <c r="V446" s="205"/>
      <c r="W446" s="17"/>
      <c r="X446" s="17"/>
      <c r="Y446" s="17"/>
      <c r="Z446" s="17"/>
      <c r="AA446" s="17"/>
      <c r="AB446" s="17"/>
    </row>
    <row r="447">
      <c r="A447" s="17"/>
      <c r="B447" s="17"/>
      <c r="C447" s="17"/>
      <c r="D447" s="17"/>
      <c r="E447" s="17"/>
      <c r="F447" s="301"/>
      <c r="G447" s="17"/>
      <c r="H447" s="17"/>
      <c r="I447" s="17"/>
      <c r="J447" s="17"/>
      <c r="K447" s="17"/>
      <c r="L447" s="17"/>
      <c r="M447" s="17"/>
      <c r="N447" s="17"/>
      <c r="O447" s="17"/>
      <c r="P447" s="17"/>
      <c r="Q447" s="17"/>
      <c r="R447" s="17"/>
      <c r="S447" s="205"/>
      <c r="T447" s="205"/>
      <c r="U447" s="205"/>
      <c r="V447" s="205"/>
      <c r="W447" s="17"/>
      <c r="X447" s="17"/>
      <c r="Y447" s="17"/>
      <c r="Z447" s="17"/>
      <c r="AA447" s="17"/>
      <c r="AB447" s="17"/>
    </row>
    <row r="448">
      <c r="A448" s="17"/>
      <c r="B448" s="17"/>
      <c r="C448" s="17"/>
      <c r="D448" s="17"/>
      <c r="E448" s="17"/>
      <c r="F448" s="301"/>
      <c r="G448" s="17"/>
      <c r="H448" s="17"/>
      <c r="I448" s="17"/>
      <c r="J448" s="17"/>
      <c r="K448" s="17"/>
      <c r="L448" s="17"/>
      <c r="M448" s="17"/>
      <c r="N448" s="17"/>
      <c r="O448" s="17"/>
      <c r="P448" s="17"/>
      <c r="Q448" s="17"/>
      <c r="R448" s="17"/>
      <c r="S448" s="205"/>
      <c r="T448" s="205"/>
      <c r="U448" s="205"/>
      <c r="V448" s="205"/>
      <c r="W448" s="17"/>
      <c r="X448" s="17"/>
      <c r="Y448" s="17"/>
      <c r="Z448" s="17"/>
      <c r="AA448" s="17"/>
      <c r="AB448" s="17"/>
    </row>
    <row r="449">
      <c r="A449" s="17"/>
      <c r="B449" s="17"/>
      <c r="C449" s="17"/>
      <c r="D449" s="17"/>
      <c r="E449" s="17"/>
      <c r="F449" s="301"/>
      <c r="G449" s="17"/>
      <c r="H449" s="17"/>
      <c r="I449" s="17"/>
      <c r="J449" s="17"/>
      <c r="K449" s="17"/>
      <c r="L449" s="17"/>
      <c r="M449" s="17"/>
      <c r="N449" s="17"/>
      <c r="O449" s="17"/>
      <c r="P449" s="17"/>
      <c r="Q449" s="17"/>
      <c r="R449" s="17"/>
      <c r="S449" s="205"/>
      <c r="T449" s="205"/>
      <c r="U449" s="205"/>
      <c r="V449" s="205"/>
      <c r="W449" s="17"/>
      <c r="X449" s="17"/>
      <c r="Y449" s="17"/>
      <c r="Z449" s="17"/>
      <c r="AA449" s="17"/>
      <c r="AB449" s="17"/>
    </row>
    <row r="450">
      <c r="A450" s="17"/>
      <c r="B450" s="17"/>
      <c r="C450" s="17"/>
      <c r="D450" s="17"/>
      <c r="E450" s="17"/>
      <c r="F450" s="301"/>
      <c r="G450" s="17"/>
      <c r="H450" s="17"/>
      <c r="I450" s="17"/>
      <c r="J450" s="17"/>
      <c r="K450" s="17"/>
      <c r="L450" s="17"/>
      <c r="M450" s="17"/>
      <c r="N450" s="17"/>
      <c r="O450" s="17"/>
      <c r="P450" s="17"/>
      <c r="Q450" s="17"/>
      <c r="R450" s="17"/>
      <c r="S450" s="205"/>
      <c r="T450" s="205"/>
      <c r="U450" s="205"/>
      <c r="V450" s="205"/>
      <c r="W450" s="17"/>
      <c r="X450" s="17"/>
      <c r="Y450" s="17"/>
      <c r="Z450" s="17"/>
      <c r="AA450" s="17"/>
      <c r="AB450" s="17"/>
    </row>
    <row r="451">
      <c r="A451" s="17"/>
      <c r="B451" s="17"/>
      <c r="C451" s="17"/>
      <c r="D451" s="17"/>
      <c r="E451" s="17"/>
      <c r="F451" s="301"/>
      <c r="G451" s="17"/>
      <c r="H451" s="17"/>
      <c r="I451" s="17"/>
      <c r="J451" s="17"/>
      <c r="K451" s="17"/>
      <c r="L451" s="17"/>
      <c r="M451" s="17"/>
      <c r="N451" s="17"/>
      <c r="O451" s="17"/>
      <c r="P451" s="17"/>
      <c r="Q451" s="17"/>
      <c r="R451" s="17"/>
      <c r="S451" s="205"/>
      <c r="T451" s="205"/>
      <c r="U451" s="205"/>
      <c r="V451" s="205"/>
      <c r="W451" s="17"/>
      <c r="X451" s="17"/>
      <c r="Y451" s="17"/>
      <c r="Z451" s="17"/>
      <c r="AA451" s="17"/>
      <c r="AB451" s="17"/>
    </row>
    <row r="452">
      <c r="A452" s="17"/>
      <c r="B452" s="17"/>
      <c r="C452" s="17"/>
      <c r="D452" s="17"/>
      <c r="E452" s="17"/>
      <c r="F452" s="301"/>
      <c r="G452" s="17"/>
      <c r="H452" s="17"/>
      <c r="I452" s="17"/>
      <c r="J452" s="17"/>
      <c r="K452" s="17"/>
      <c r="L452" s="17"/>
      <c r="M452" s="17"/>
      <c r="N452" s="17"/>
      <c r="O452" s="17"/>
      <c r="P452" s="17"/>
      <c r="Q452" s="17"/>
      <c r="R452" s="17"/>
      <c r="S452" s="205"/>
      <c r="T452" s="205"/>
      <c r="U452" s="205"/>
      <c r="V452" s="205"/>
      <c r="W452" s="17"/>
      <c r="X452" s="17"/>
      <c r="Y452" s="17"/>
      <c r="Z452" s="17"/>
      <c r="AA452" s="17"/>
      <c r="AB452" s="17"/>
    </row>
    <row r="453">
      <c r="A453" s="17"/>
      <c r="B453" s="17"/>
      <c r="C453" s="17"/>
      <c r="D453" s="17"/>
      <c r="E453" s="17"/>
      <c r="F453" s="301"/>
      <c r="G453" s="17"/>
      <c r="H453" s="17"/>
      <c r="I453" s="17"/>
      <c r="J453" s="17"/>
      <c r="K453" s="17"/>
      <c r="L453" s="17"/>
      <c r="M453" s="17"/>
      <c r="N453" s="17"/>
      <c r="O453" s="17"/>
      <c r="P453" s="17"/>
      <c r="Q453" s="17"/>
      <c r="R453" s="17"/>
      <c r="S453" s="205"/>
      <c r="T453" s="205"/>
      <c r="U453" s="205"/>
      <c r="V453" s="205"/>
      <c r="W453" s="17"/>
      <c r="X453" s="17"/>
      <c r="Y453" s="17"/>
      <c r="Z453" s="17"/>
      <c r="AA453" s="17"/>
      <c r="AB453" s="17"/>
    </row>
    <row r="454">
      <c r="A454" s="17"/>
      <c r="B454" s="17"/>
      <c r="C454" s="17"/>
      <c r="D454" s="17"/>
      <c r="E454" s="17"/>
      <c r="F454" s="301"/>
      <c r="G454" s="17"/>
      <c r="H454" s="17"/>
      <c r="I454" s="17"/>
      <c r="J454" s="17"/>
      <c r="K454" s="17"/>
      <c r="L454" s="17"/>
      <c r="M454" s="17"/>
      <c r="N454" s="17"/>
      <c r="O454" s="17"/>
      <c r="P454" s="17"/>
      <c r="Q454" s="17"/>
      <c r="R454" s="17"/>
      <c r="S454" s="205"/>
      <c r="T454" s="205"/>
      <c r="U454" s="205"/>
      <c r="V454" s="205"/>
      <c r="W454" s="17"/>
      <c r="X454" s="17"/>
      <c r="Y454" s="17"/>
      <c r="Z454" s="17"/>
      <c r="AA454" s="17"/>
      <c r="AB454" s="17"/>
    </row>
    <row r="455">
      <c r="A455" s="17"/>
      <c r="B455" s="17"/>
      <c r="C455" s="17"/>
      <c r="D455" s="17"/>
      <c r="E455" s="17"/>
      <c r="F455" s="301"/>
      <c r="G455" s="17"/>
      <c r="H455" s="17"/>
      <c r="I455" s="17"/>
      <c r="J455" s="17"/>
      <c r="K455" s="17"/>
      <c r="L455" s="17"/>
      <c r="M455" s="17"/>
      <c r="N455" s="17"/>
      <c r="O455" s="17"/>
      <c r="P455" s="17"/>
      <c r="Q455" s="17"/>
      <c r="R455" s="17"/>
      <c r="S455" s="205"/>
      <c r="T455" s="205"/>
      <c r="U455" s="205"/>
      <c r="V455" s="205"/>
      <c r="W455" s="17"/>
      <c r="X455" s="17"/>
      <c r="Y455" s="17"/>
      <c r="Z455" s="17"/>
      <c r="AA455" s="17"/>
      <c r="AB455" s="17"/>
    </row>
    <row r="456">
      <c r="A456" s="17"/>
      <c r="B456" s="17"/>
      <c r="C456" s="17"/>
      <c r="D456" s="17"/>
      <c r="E456" s="17"/>
      <c r="F456" s="301"/>
      <c r="G456" s="17"/>
      <c r="H456" s="17"/>
      <c r="I456" s="17"/>
      <c r="J456" s="17"/>
      <c r="K456" s="17"/>
      <c r="L456" s="17"/>
      <c r="M456" s="17"/>
      <c r="N456" s="17"/>
      <c r="O456" s="17"/>
      <c r="P456" s="17"/>
      <c r="Q456" s="17"/>
      <c r="R456" s="17"/>
      <c r="S456" s="205"/>
      <c r="T456" s="205"/>
      <c r="U456" s="205"/>
      <c r="V456" s="205"/>
      <c r="W456" s="17"/>
      <c r="X456" s="17"/>
      <c r="Y456" s="17"/>
      <c r="Z456" s="17"/>
      <c r="AA456" s="17"/>
      <c r="AB456" s="17"/>
    </row>
    <row r="457">
      <c r="A457" s="17"/>
      <c r="B457" s="17"/>
      <c r="C457" s="17"/>
      <c r="D457" s="17"/>
      <c r="E457" s="17"/>
      <c r="F457" s="301"/>
      <c r="G457" s="17"/>
      <c r="H457" s="17"/>
      <c r="I457" s="17"/>
      <c r="J457" s="17"/>
      <c r="K457" s="17"/>
      <c r="L457" s="17"/>
      <c r="M457" s="17"/>
      <c r="N457" s="17"/>
      <c r="O457" s="17"/>
      <c r="P457" s="17"/>
      <c r="Q457" s="17"/>
      <c r="R457" s="17"/>
      <c r="S457" s="205"/>
      <c r="T457" s="205"/>
      <c r="U457" s="205"/>
      <c r="V457" s="205"/>
      <c r="W457" s="17"/>
      <c r="X457" s="17"/>
      <c r="Y457" s="17"/>
      <c r="Z457" s="17"/>
      <c r="AA457" s="17"/>
      <c r="AB457" s="17"/>
    </row>
    <row r="458">
      <c r="A458" s="17"/>
      <c r="B458" s="17"/>
      <c r="C458" s="17"/>
      <c r="D458" s="17"/>
      <c r="E458" s="17"/>
      <c r="F458" s="301"/>
      <c r="G458" s="17"/>
      <c r="H458" s="17"/>
      <c r="I458" s="17"/>
      <c r="J458" s="17"/>
      <c r="K458" s="17"/>
      <c r="L458" s="17"/>
      <c r="M458" s="17"/>
      <c r="N458" s="17"/>
      <c r="O458" s="17"/>
      <c r="P458" s="17"/>
      <c r="Q458" s="17"/>
      <c r="R458" s="17"/>
      <c r="S458" s="205"/>
      <c r="T458" s="205"/>
      <c r="U458" s="205"/>
      <c r="V458" s="205"/>
      <c r="W458" s="17"/>
      <c r="X458" s="17"/>
      <c r="Y458" s="17"/>
      <c r="Z458" s="17"/>
      <c r="AA458" s="17"/>
      <c r="AB458" s="17"/>
    </row>
    <row r="459">
      <c r="A459" s="17"/>
      <c r="B459" s="17"/>
      <c r="C459" s="17"/>
      <c r="D459" s="17"/>
      <c r="E459" s="17"/>
      <c r="F459" s="301"/>
      <c r="G459" s="17"/>
      <c r="H459" s="17"/>
      <c r="I459" s="17"/>
      <c r="J459" s="17"/>
      <c r="K459" s="17"/>
      <c r="L459" s="17"/>
      <c r="M459" s="17"/>
      <c r="N459" s="17"/>
      <c r="O459" s="17"/>
      <c r="P459" s="17"/>
      <c r="Q459" s="17"/>
      <c r="R459" s="17"/>
      <c r="S459" s="205"/>
      <c r="T459" s="205"/>
      <c r="U459" s="205"/>
      <c r="V459" s="205"/>
      <c r="W459" s="17"/>
      <c r="X459" s="17"/>
      <c r="Y459" s="17"/>
      <c r="Z459" s="17"/>
      <c r="AA459" s="17"/>
      <c r="AB459" s="17"/>
    </row>
    <row r="460">
      <c r="A460" s="17"/>
      <c r="B460" s="17"/>
      <c r="C460" s="17"/>
      <c r="D460" s="17"/>
      <c r="E460" s="17"/>
      <c r="F460" s="301"/>
      <c r="G460" s="17"/>
      <c r="H460" s="17"/>
      <c r="I460" s="17"/>
      <c r="J460" s="17"/>
      <c r="K460" s="17"/>
      <c r="L460" s="17"/>
      <c r="M460" s="17"/>
      <c r="N460" s="17"/>
      <c r="O460" s="17"/>
      <c r="P460" s="17"/>
      <c r="Q460" s="17"/>
      <c r="R460" s="17"/>
      <c r="S460" s="205"/>
      <c r="T460" s="205"/>
      <c r="U460" s="205"/>
      <c r="V460" s="205"/>
      <c r="W460" s="17"/>
      <c r="X460" s="17"/>
      <c r="Y460" s="17"/>
      <c r="Z460" s="17"/>
      <c r="AA460" s="17"/>
      <c r="AB460" s="17"/>
    </row>
    <row r="461">
      <c r="A461" s="17"/>
      <c r="B461" s="17"/>
      <c r="C461" s="17"/>
      <c r="D461" s="17"/>
      <c r="E461" s="17"/>
      <c r="F461" s="301"/>
      <c r="G461" s="17"/>
      <c r="H461" s="17"/>
      <c r="I461" s="17"/>
      <c r="J461" s="17"/>
      <c r="K461" s="17"/>
      <c r="L461" s="17"/>
      <c r="M461" s="17"/>
      <c r="N461" s="17"/>
      <c r="O461" s="17"/>
      <c r="P461" s="17"/>
      <c r="Q461" s="17"/>
      <c r="R461" s="17"/>
      <c r="S461" s="205"/>
      <c r="T461" s="205"/>
      <c r="U461" s="205"/>
      <c r="V461" s="205"/>
      <c r="W461" s="17"/>
      <c r="X461" s="17"/>
      <c r="Y461" s="17"/>
      <c r="Z461" s="17"/>
      <c r="AA461" s="17"/>
      <c r="AB461" s="17"/>
    </row>
    <row r="462">
      <c r="A462" s="17"/>
      <c r="B462" s="17"/>
      <c r="C462" s="17"/>
      <c r="D462" s="17"/>
      <c r="E462" s="17"/>
      <c r="F462" s="301"/>
      <c r="G462" s="17"/>
      <c r="H462" s="17"/>
      <c r="I462" s="17"/>
      <c r="J462" s="17"/>
      <c r="K462" s="17"/>
      <c r="L462" s="17"/>
      <c r="M462" s="17"/>
      <c r="N462" s="17"/>
      <c r="O462" s="17"/>
      <c r="P462" s="17"/>
      <c r="Q462" s="17"/>
      <c r="R462" s="17"/>
      <c r="S462" s="205"/>
      <c r="T462" s="205"/>
      <c r="U462" s="205"/>
      <c r="V462" s="205"/>
      <c r="W462" s="17"/>
      <c r="X462" s="17"/>
      <c r="Y462" s="17"/>
      <c r="Z462" s="17"/>
      <c r="AA462" s="17"/>
      <c r="AB462" s="17"/>
    </row>
    <row r="463">
      <c r="A463" s="17"/>
      <c r="B463" s="17"/>
      <c r="C463" s="17"/>
      <c r="D463" s="17"/>
      <c r="E463" s="17"/>
      <c r="F463" s="301"/>
      <c r="G463" s="17"/>
      <c r="H463" s="17"/>
      <c r="I463" s="17"/>
      <c r="J463" s="17"/>
      <c r="K463" s="17"/>
      <c r="L463" s="17"/>
      <c r="M463" s="17"/>
      <c r="N463" s="17"/>
      <c r="O463" s="17"/>
      <c r="P463" s="17"/>
      <c r="Q463" s="17"/>
      <c r="R463" s="17"/>
      <c r="S463" s="205"/>
      <c r="T463" s="205"/>
      <c r="U463" s="205"/>
      <c r="V463" s="205"/>
      <c r="W463" s="17"/>
      <c r="X463" s="17"/>
      <c r="Y463" s="17"/>
      <c r="Z463" s="17"/>
      <c r="AA463" s="17"/>
      <c r="AB463" s="17"/>
    </row>
    <row r="464">
      <c r="A464" s="17"/>
      <c r="B464" s="17"/>
      <c r="C464" s="17"/>
      <c r="D464" s="17"/>
      <c r="E464" s="17"/>
      <c r="F464" s="301"/>
      <c r="G464" s="17"/>
      <c r="H464" s="17"/>
      <c r="I464" s="17"/>
      <c r="J464" s="17"/>
      <c r="K464" s="17"/>
      <c r="L464" s="17"/>
      <c r="M464" s="17"/>
      <c r="N464" s="17"/>
      <c r="O464" s="17"/>
      <c r="P464" s="17"/>
      <c r="Q464" s="17"/>
      <c r="R464" s="17"/>
      <c r="S464" s="205"/>
      <c r="T464" s="205"/>
      <c r="U464" s="205"/>
      <c r="V464" s="205"/>
      <c r="W464" s="17"/>
      <c r="X464" s="17"/>
      <c r="Y464" s="17"/>
      <c r="Z464" s="17"/>
      <c r="AA464" s="17"/>
      <c r="AB464" s="17"/>
    </row>
    <row r="465">
      <c r="A465" s="17"/>
      <c r="B465" s="17"/>
      <c r="C465" s="17"/>
      <c r="D465" s="17"/>
      <c r="E465" s="17"/>
      <c r="F465" s="301"/>
      <c r="G465" s="17"/>
      <c r="H465" s="17"/>
      <c r="I465" s="17"/>
      <c r="J465" s="17"/>
      <c r="K465" s="17"/>
      <c r="L465" s="17"/>
      <c r="M465" s="17"/>
      <c r="N465" s="17"/>
      <c r="O465" s="17"/>
      <c r="P465" s="17"/>
      <c r="Q465" s="17"/>
      <c r="R465" s="17"/>
      <c r="S465" s="205"/>
      <c r="T465" s="205"/>
      <c r="U465" s="205"/>
      <c r="V465" s="205"/>
      <c r="W465" s="17"/>
      <c r="X465" s="17"/>
      <c r="Y465" s="17"/>
      <c r="Z465" s="17"/>
      <c r="AA465" s="17"/>
      <c r="AB465" s="17"/>
    </row>
    <row r="466">
      <c r="A466" s="17"/>
      <c r="B466" s="17"/>
      <c r="C466" s="17"/>
      <c r="D466" s="17"/>
      <c r="E466" s="17"/>
      <c r="F466" s="301"/>
      <c r="G466" s="17"/>
      <c r="H466" s="17"/>
      <c r="I466" s="17"/>
      <c r="J466" s="17"/>
      <c r="K466" s="17"/>
      <c r="L466" s="17"/>
      <c r="M466" s="17"/>
      <c r="N466" s="17"/>
      <c r="O466" s="17"/>
      <c r="P466" s="17"/>
      <c r="Q466" s="17"/>
      <c r="R466" s="17"/>
      <c r="S466" s="205"/>
      <c r="T466" s="205"/>
      <c r="U466" s="205"/>
      <c r="V466" s="205"/>
      <c r="W466" s="17"/>
      <c r="X466" s="17"/>
      <c r="Y466" s="17"/>
      <c r="Z466" s="17"/>
      <c r="AA466" s="17"/>
      <c r="AB466" s="17"/>
    </row>
    <row r="467">
      <c r="A467" s="17"/>
      <c r="B467" s="17"/>
      <c r="C467" s="17"/>
      <c r="D467" s="17"/>
      <c r="E467" s="17"/>
      <c r="F467" s="301"/>
      <c r="G467" s="17"/>
      <c r="H467" s="17"/>
      <c r="I467" s="17"/>
      <c r="J467" s="17"/>
      <c r="K467" s="17"/>
      <c r="L467" s="17"/>
      <c r="M467" s="17"/>
      <c r="N467" s="17"/>
      <c r="O467" s="17"/>
      <c r="P467" s="17"/>
      <c r="Q467" s="17"/>
      <c r="R467" s="17"/>
      <c r="S467" s="205"/>
      <c r="T467" s="205"/>
      <c r="U467" s="205"/>
      <c r="V467" s="205"/>
      <c r="W467" s="17"/>
      <c r="X467" s="17"/>
      <c r="Y467" s="17"/>
      <c r="Z467" s="17"/>
      <c r="AA467" s="17"/>
      <c r="AB467" s="17"/>
    </row>
    <row r="468">
      <c r="A468" s="17"/>
      <c r="B468" s="17"/>
      <c r="C468" s="17"/>
      <c r="D468" s="17"/>
      <c r="E468" s="17"/>
      <c r="F468" s="301"/>
      <c r="G468" s="17"/>
      <c r="H468" s="17"/>
      <c r="I468" s="17"/>
      <c r="J468" s="17"/>
      <c r="K468" s="17"/>
      <c r="L468" s="17"/>
      <c r="M468" s="17"/>
      <c r="N468" s="17"/>
      <c r="O468" s="17"/>
      <c r="P468" s="17"/>
      <c r="Q468" s="17"/>
      <c r="R468" s="17"/>
      <c r="S468" s="205"/>
      <c r="T468" s="205"/>
      <c r="U468" s="205"/>
      <c r="V468" s="205"/>
      <c r="W468" s="17"/>
      <c r="X468" s="17"/>
      <c r="Y468" s="17"/>
      <c r="Z468" s="17"/>
      <c r="AA468" s="17"/>
      <c r="AB468" s="17"/>
    </row>
    <row r="469">
      <c r="A469" s="17"/>
      <c r="B469" s="17"/>
      <c r="C469" s="17"/>
      <c r="D469" s="17"/>
      <c r="E469" s="17"/>
      <c r="F469" s="301"/>
      <c r="G469" s="17"/>
      <c r="H469" s="17"/>
      <c r="I469" s="17"/>
      <c r="J469" s="17"/>
      <c r="K469" s="17"/>
      <c r="L469" s="17"/>
      <c r="M469" s="17"/>
      <c r="N469" s="17"/>
      <c r="O469" s="17"/>
      <c r="P469" s="17"/>
      <c r="Q469" s="17"/>
      <c r="R469" s="17"/>
      <c r="S469" s="205"/>
      <c r="T469" s="205"/>
      <c r="U469" s="205"/>
      <c r="V469" s="205"/>
      <c r="W469" s="17"/>
      <c r="X469" s="17"/>
      <c r="Y469" s="17"/>
      <c r="Z469" s="17"/>
      <c r="AA469" s="17"/>
      <c r="AB469" s="17"/>
    </row>
    <row r="470">
      <c r="A470" s="17"/>
      <c r="B470" s="17"/>
      <c r="C470" s="17"/>
      <c r="D470" s="17"/>
      <c r="E470" s="17"/>
      <c r="F470" s="301"/>
      <c r="G470" s="17"/>
      <c r="H470" s="17"/>
      <c r="I470" s="17"/>
      <c r="J470" s="17"/>
      <c r="K470" s="17"/>
      <c r="L470" s="17"/>
      <c r="M470" s="17"/>
      <c r="N470" s="17"/>
      <c r="O470" s="17"/>
      <c r="P470" s="17"/>
      <c r="Q470" s="17"/>
      <c r="R470" s="17"/>
      <c r="S470" s="205"/>
      <c r="T470" s="205"/>
      <c r="U470" s="205"/>
      <c r="V470" s="205"/>
      <c r="W470" s="17"/>
      <c r="X470" s="17"/>
      <c r="Y470" s="17"/>
      <c r="Z470" s="17"/>
      <c r="AA470" s="17"/>
      <c r="AB470" s="17"/>
    </row>
    <row r="471">
      <c r="A471" s="17"/>
      <c r="B471" s="17"/>
      <c r="C471" s="17"/>
      <c r="D471" s="17"/>
      <c r="E471" s="17"/>
      <c r="F471" s="301"/>
      <c r="G471" s="17"/>
      <c r="H471" s="17"/>
      <c r="I471" s="17"/>
      <c r="J471" s="17"/>
      <c r="K471" s="17"/>
      <c r="L471" s="17"/>
      <c r="M471" s="17"/>
      <c r="N471" s="17"/>
      <c r="O471" s="17"/>
      <c r="P471" s="17"/>
      <c r="Q471" s="17"/>
      <c r="R471" s="17"/>
      <c r="S471" s="205"/>
      <c r="T471" s="205"/>
      <c r="U471" s="205"/>
      <c r="V471" s="205"/>
      <c r="W471" s="17"/>
      <c r="X471" s="17"/>
      <c r="Y471" s="17"/>
      <c r="Z471" s="17"/>
      <c r="AA471" s="17"/>
      <c r="AB471" s="17"/>
    </row>
    <row r="472">
      <c r="A472" s="17"/>
      <c r="B472" s="17"/>
      <c r="C472" s="17"/>
      <c r="D472" s="17"/>
      <c r="E472" s="17"/>
      <c r="F472" s="301"/>
      <c r="G472" s="17"/>
      <c r="H472" s="17"/>
      <c r="I472" s="17"/>
      <c r="J472" s="17"/>
      <c r="K472" s="17"/>
      <c r="L472" s="17"/>
      <c r="M472" s="17"/>
      <c r="N472" s="17"/>
      <c r="O472" s="17"/>
      <c r="P472" s="17"/>
      <c r="Q472" s="17"/>
      <c r="R472" s="17"/>
      <c r="S472" s="205"/>
      <c r="T472" s="205"/>
      <c r="U472" s="205"/>
      <c r="V472" s="205"/>
      <c r="W472" s="17"/>
      <c r="X472" s="17"/>
      <c r="Y472" s="17"/>
      <c r="Z472" s="17"/>
      <c r="AA472" s="17"/>
      <c r="AB472" s="17"/>
    </row>
    <row r="473">
      <c r="A473" s="17"/>
      <c r="B473" s="17"/>
      <c r="C473" s="17"/>
      <c r="D473" s="17"/>
      <c r="E473" s="17"/>
      <c r="F473" s="301"/>
      <c r="G473" s="17"/>
      <c r="H473" s="17"/>
      <c r="I473" s="17"/>
      <c r="J473" s="17"/>
      <c r="K473" s="17"/>
      <c r="L473" s="17"/>
      <c r="M473" s="17"/>
      <c r="N473" s="17"/>
      <c r="O473" s="17"/>
      <c r="P473" s="17"/>
      <c r="Q473" s="17"/>
      <c r="R473" s="17"/>
      <c r="S473" s="205"/>
      <c r="T473" s="205"/>
      <c r="U473" s="205"/>
      <c r="V473" s="205"/>
      <c r="W473" s="17"/>
      <c r="X473" s="17"/>
      <c r="Y473" s="17"/>
      <c r="Z473" s="17"/>
      <c r="AA473" s="17"/>
      <c r="AB473" s="17"/>
    </row>
    <row r="474">
      <c r="A474" s="17"/>
      <c r="B474" s="17"/>
      <c r="C474" s="17"/>
      <c r="D474" s="17"/>
      <c r="E474" s="17"/>
      <c r="F474" s="301"/>
      <c r="G474" s="17"/>
      <c r="H474" s="17"/>
      <c r="I474" s="17"/>
      <c r="J474" s="17"/>
      <c r="K474" s="17"/>
      <c r="L474" s="17"/>
      <c r="M474" s="17"/>
      <c r="N474" s="17"/>
      <c r="O474" s="17"/>
      <c r="P474" s="17"/>
      <c r="Q474" s="17"/>
      <c r="R474" s="17"/>
      <c r="S474" s="205"/>
      <c r="T474" s="205"/>
      <c r="U474" s="205"/>
      <c r="V474" s="205"/>
      <c r="W474" s="17"/>
      <c r="X474" s="17"/>
      <c r="Y474" s="17"/>
      <c r="Z474" s="17"/>
      <c r="AA474" s="17"/>
      <c r="AB474" s="17"/>
    </row>
    <row r="475">
      <c r="A475" s="17"/>
      <c r="B475" s="17"/>
      <c r="C475" s="17"/>
      <c r="D475" s="17"/>
      <c r="E475" s="17"/>
      <c r="F475" s="301"/>
      <c r="G475" s="17"/>
      <c r="H475" s="17"/>
      <c r="I475" s="17"/>
      <c r="J475" s="17"/>
      <c r="K475" s="17"/>
      <c r="L475" s="17"/>
      <c r="M475" s="17"/>
      <c r="N475" s="17"/>
      <c r="O475" s="17"/>
      <c r="P475" s="17"/>
      <c r="Q475" s="17"/>
      <c r="R475" s="17"/>
      <c r="S475" s="205"/>
      <c r="T475" s="205"/>
      <c r="U475" s="205"/>
      <c r="V475" s="205"/>
      <c r="W475" s="17"/>
      <c r="X475" s="17"/>
      <c r="Y475" s="17"/>
      <c r="Z475" s="17"/>
      <c r="AA475" s="17"/>
      <c r="AB475" s="17"/>
    </row>
    <row r="476">
      <c r="A476" s="17"/>
      <c r="B476" s="17"/>
      <c r="C476" s="17"/>
      <c r="D476" s="17"/>
      <c r="E476" s="17"/>
      <c r="F476" s="301"/>
      <c r="G476" s="17"/>
      <c r="H476" s="17"/>
      <c r="I476" s="17"/>
      <c r="J476" s="17"/>
      <c r="K476" s="17"/>
      <c r="L476" s="17"/>
      <c r="M476" s="17"/>
      <c r="N476" s="17"/>
      <c r="O476" s="17"/>
      <c r="P476" s="17"/>
      <c r="Q476" s="17"/>
      <c r="R476" s="17"/>
      <c r="S476" s="205"/>
      <c r="T476" s="205"/>
      <c r="U476" s="205"/>
      <c r="V476" s="205"/>
      <c r="W476" s="17"/>
      <c r="X476" s="17"/>
      <c r="Y476" s="17"/>
      <c r="Z476" s="17"/>
      <c r="AA476" s="17"/>
      <c r="AB476" s="17"/>
    </row>
    <row r="477">
      <c r="A477" s="17"/>
      <c r="B477" s="17"/>
      <c r="C477" s="17"/>
      <c r="D477" s="17"/>
      <c r="E477" s="17"/>
      <c r="F477" s="301"/>
      <c r="G477" s="17"/>
      <c r="H477" s="17"/>
      <c r="I477" s="17"/>
      <c r="J477" s="17"/>
      <c r="K477" s="17"/>
      <c r="L477" s="17"/>
      <c r="M477" s="17"/>
      <c r="N477" s="17"/>
      <c r="O477" s="17"/>
      <c r="P477" s="17"/>
      <c r="Q477" s="17"/>
      <c r="R477" s="17"/>
      <c r="S477" s="205"/>
      <c r="T477" s="205"/>
      <c r="U477" s="205"/>
      <c r="V477" s="205"/>
      <c r="W477" s="17"/>
      <c r="X477" s="17"/>
      <c r="Y477" s="17"/>
      <c r="Z477" s="17"/>
      <c r="AA477" s="17"/>
      <c r="AB477" s="17"/>
    </row>
    <row r="478">
      <c r="A478" s="17"/>
      <c r="B478" s="17"/>
      <c r="C478" s="17"/>
      <c r="D478" s="17"/>
      <c r="E478" s="17"/>
      <c r="F478" s="301"/>
      <c r="G478" s="17"/>
      <c r="H478" s="17"/>
      <c r="I478" s="17"/>
      <c r="J478" s="17"/>
      <c r="K478" s="17"/>
      <c r="L478" s="17"/>
      <c r="M478" s="17"/>
      <c r="N478" s="17"/>
      <c r="O478" s="17"/>
      <c r="P478" s="17"/>
      <c r="Q478" s="17"/>
      <c r="R478" s="17"/>
      <c r="S478" s="205"/>
      <c r="T478" s="205"/>
      <c r="U478" s="205"/>
      <c r="V478" s="205"/>
      <c r="W478" s="17"/>
      <c r="X478" s="17"/>
      <c r="Y478" s="17"/>
      <c r="Z478" s="17"/>
      <c r="AA478" s="17"/>
      <c r="AB478" s="17"/>
    </row>
    <row r="479">
      <c r="A479" s="17"/>
      <c r="B479" s="17"/>
      <c r="C479" s="17"/>
      <c r="D479" s="17"/>
      <c r="E479" s="17"/>
      <c r="F479" s="301"/>
      <c r="G479" s="17"/>
      <c r="H479" s="17"/>
      <c r="I479" s="17"/>
      <c r="J479" s="17"/>
      <c r="K479" s="17"/>
      <c r="L479" s="17"/>
      <c r="M479" s="17"/>
      <c r="N479" s="17"/>
      <c r="O479" s="17"/>
      <c r="P479" s="17"/>
      <c r="Q479" s="17"/>
      <c r="R479" s="17"/>
      <c r="S479" s="205"/>
      <c r="T479" s="205"/>
      <c r="U479" s="205"/>
      <c r="V479" s="205"/>
      <c r="W479" s="17"/>
      <c r="X479" s="17"/>
      <c r="Y479" s="17"/>
      <c r="Z479" s="17"/>
      <c r="AA479" s="17"/>
      <c r="AB479" s="17"/>
    </row>
    <row r="480">
      <c r="A480" s="17"/>
      <c r="B480" s="17"/>
      <c r="C480" s="17"/>
      <c r="D480" s="17"/>
      <c r="E480" s="17"/>
      <c r="F480" s="301"/>
      <c r="G480" s="17"/>
      <c r="H480" s="17"/>
      <c r="I480" s="17"/>
      <c r="J480" s="17"/>
      <c r="K480" s="17"/>
      <c r="L480" s="17"/>
      <c r="M480" s="17"/>
      <c r="N480" s="17"/>
      <c r="O480" s="17"/>
      <c r="P480" s="17"/>
      <c r="Q480" s="17"/>
      <c r="R480" s="17"/>
      <c r="S480" s="205"/>
      <c r="T480" s="205"/>
      <c r="U480" s="205"/>
      <c r="V480" s="205"/>
      <c r="W480" s="17"/>
      <c r="X480" s="17"/>
      <c r="Y480" s="17"/>
      <c r="Z480" s="17"/>
      <c r="AA480" s="17"/>
      <c r="AB480" s="17"/>
    </row>
    <row r="481">
      <c r="A481" s="17"/>
      <c r="B481" s="17"/>
      <c r="C481" s="17"/>
      <c r="D481" s="17"/>
      <c r="E481" s="17"/>
      <c r="F481" s="301"/>
      <c r="G481" s="17"/>
      <c r="H481" s="17"/>
      <c r="I481" s="17"/>
      <c r="J481" s="17"/>
      <c r="K481" s="17"/>
      <c r="L481" s="17"/>
      <c r="M481" s="17"/>
      <c r="N481" s="17"/>
      <c r="O481" s="17"/>
      <c r="P481" s="17"/>
      <c r="Q481" s="17"/>
      <c r="R481" s="17"/>
      <c r="S481" s="205"/>
      <c r="T481" s="205"/>
      <c r="U481" s="205"/>
      <c r="V481" s="205"/>
      <c r="W481" s="17"/>
      <c r="X481" s="17"/>
      <c r="Y481" s="17"/>
      <c r="Z481" s="17"/>
      <c r="AA481" s="17"/>
      <c r="AB481" s="17"/>
    </row>
    <row r="482">
      <c r="A482" s="17"/>
      <c r="B482" s="17"/>
      <c r="C482" s="17"/>
      <c r="D482" s="17"/>
      <c r="E482" s="17"/>
      <c r="F482" s="301"/>
      <c r="G482" s="17"/>
      <c r="H482" s="17"/>
      <c r="I482" s="17"/>
      <c r="J482" s="17"/>
      <c r="K482" s="17"/>
      <c r="L482" s="17"/>
      <c r="M482" s="17"/>
      <c r="N482" s="17"/>
      <c r="O482" s="17"/>
      <c r="P482" s="17"/>
      <c r="Q482" s="17"/>
      <c r="R482" s="17"/>
      <c r="S482" s="205"/>
      <c r="T482" s="205"/>
      <c r="U482" s="205"/>
      <c r="V482" s="205"/>
      <c r="W482" s="17"/>
      <c r="X482" s="17"/>
      <c r="Y482" s="17"/>
      <c r="Z482" s="17"/>
      <c r="AA482" s="17"/>
      <c r="AB482" s="17"/>
    </row>
    <row r="483">
      <c r="A483" s="17"/>
      <c r="B483" s="17"/>
      <c r="C483" s="17"/>
      <c r="D483" s="17"/>
      <c r="E483" s="17"/>
      <c r="F483" s="301"/>
      <c r="G483" s="17"/>
      <c r="H483" s="17"/>
      <c r="I483" s="17"/>
      <c r="J483" s="17"/>
      <c r="K483" s="17"/>
      <c r="L483" s="17"/>
      <c r="M483" s="17"/>
      <c r="N483" s="17"/>
      <c r="O483" s="17"/>
      <c r="P483" s="17"/>
      <c r="Q483" s="17"/>
      <c r="R483" s="17"/>
      <c r="S483" s="205"/>
      <c r="T483" s="205"/>
      <c r="U483" s="205"/>
      <c r="V483" s="205"/>
      <c r="W483" s="17"/>
      <c r="X483" s="17"/>
      <c r="Y483" s="17"/>
      <c r="Z483" s="17"/>
      <c r="AA483" s="17"/>
      <c r="AB483" s="17"/>
    </row>
    <row r="484">
      <c r="A484" s="17"/>
      <c r="B484" s="17"/>
      <c r="C484" s="17"/>
      <c r="D484" s="17"/>
      <c r="E484" s="17"/>
      <c r="F484" s="301"/>
      <c r="G484" s="17"/>
      <c r="H484" s="17"/>
      <c r="I484" s="17"/>
      <c r="J484" s="17"/>
      <c r="K484" s="17"/>
      <c r="L484" s="17"/>
      <c r="M484" s="17"/>
      <c r="N484" s="17"/>
      <c r="O484" s="17"/>
      <c r="P484" s="17"/>
      <c r="Q484" s="17"/>
      <c r="R484" s="17"/>
      <c r="S484" s="205"/>
      <c r="T484" s="205"/>
      <c r="U484" s="205"/>
      <c r="V484" s="205"/>
      <c r="W484" s="17"/>
      <c r="X484" s="17"/>
      <c r="Y484" s="17"/>
      <c r="Z484" s="17"/>
      <c r="AA484" s="17"/>
      <c r="AB484" s="17"/>
    </row>
    <row r="485">
      <c r="A485" s="17"/>
      <c r="B485" s="17"/>
      <c r="C485" s="17"/>
      <c r="D485" s="17"/>
      <c r="E485" s="17"/>
      <c r="F485" s="301"/>
      <c r="G485" s="17"/>
      <c r="H485" s="17"/>
      <c r="I485" s="17"/>
      <c r="J485" s="17"/>
      <c r="K485" s="17"/>
      <c r="L485" s="17"/>
      <c r="M485" s="17"/>
      <c r="N485" s="17"/>
      <c r="O485" s="17"/>
      <c r="P485" s="17"/>
      <c r="Q485" s="17"/>
      <c r="R485" s="17"/>
      <c r="S485" s="205"/>
      <c r="T485" s="205"/>
      <c r="U485" s="205"/>
      <c r="V485" s="205"/>
      <c r="W485" s="17"/>
      <c r="X485" s="17"/>
      <c r="Y485" s="17"/>
      <c r="Z485" s="17"/>
      <c r="AA485" s="17"/>
      <c r="AB485" s="17"/>
    </row>
    <row r="486">
      <c r="A486" s="17"/>
      <c r="B486" s="17"/>
      <c r="C486" s="17"/>
      <c r="D486" s="17"/>
      <c r="E486" s="17"/>
      <c r="F486" s="301"/>
      <c r="G486" s="17"/>
      <c r="H486" s="17"/>
      <c r="I486" s="17"/>
      <c r="J486" s="17"/>
      <c r="K486" s="17"/>
      <c r="L486" s="17"/>
      <c r="M486" s="17"/>
      <c r="N486" s="17"/>
      <c r="O486" s="17"/>
      <c r="P486" s="17"/>
      <c r="Q486" s="17"/>
      <c r="R486" s="17"/>
      <c r="S486" s="205"/>
      <c r="T486" s="205"/>
      <c r="U486" s="205"/>
      <c r="V486" s="205"/>
      <c r="W486" s="17"/>
      <c r="X486" s="17"/>
      <c r="Y486" s="17"/>
      <c r="Z486" s="17"/>
      <c r="AA486" s="17"/>
      <c r="AB486" s="17"/>
    </row>
    <row r="487">
      <c r="A487" s="17"/>
      <c r="B487" s="17"/>
      <c r="C487" s="17"/>
      <c r="D487" s="17"/>
      <c r="E487" s="17"/>
      <c r="F487" s="301"/>
      <c r="G487" s="17"/>
      <c r="H487" s="17"/>
      <c r="I487" s="17"/>
      <c r="J487" s="17"/>
      <c r="K487" s="17"/>
      <c r="L487" s="17"/>
      <c r="M487" s="17"/>
      <c r="N487" s="17"/>
      <c r="O487" s="17"/>
      <c r="P487" s="17"/>
      <c r="Q487" s="17"/>
      <c r="R487" s="17"/>
      <c r="S487" s="205"/>
      <c r="T487" s="205"/>
      <c r="U487" s="205"/>
      <c r="V487" s="205"/>
      <c r="W487" s="17"/>
      <c r="X487" s="17"/>
      <c r="Y487" s="17"/>
      <c r="Z487" s="17"/>
      <c r="AA487" s="17"/>
      <c r="AB487" s="17"/>
    </row>
    <row r="488">
      <c r="A488" s="17"/>
      <c r="B488" s="17"/>
      <c r="C488" s="17"/>
      <c r="D488" s="17"/>
      <c r="E488" s="17"/>
      <c r="F488" s="301"/>
      <c r="G488" s="17"/>
      <c r="H488" s="17"/>
      <c r="I488" s="17"/>
      <c r="J488" s="17"/>
      <c r="K488" s="17"/>
      <c r="L488" s="17"/>
      <c r="M488" s="17"/>
      <c r="N488" s="17"/>
      <c r="O488" s="17"/>
      <c r="P488" s="17"/>
      <c r="Q488" s="17"/>
      <c r="R488" s="17"/>
      <c r="S488" s="205"/>
      <c r="T488" s="205"/>
      <c r="U488" s="205"/>
      <c r="V488" s="205"/>
      <c r="W488" s="17"/>
      <c r="X488" s="17"/>
      <c r="Y488" s="17"/>
      <c r="Z488" s="17"/>
      <c r="AA488" s="17"/>
      <c r="AB488" s="17"/>
    </row>
    <row r="489">
      <c r="A489" s="17"/>
      <c r="B489" s="17"/>
      <c r="C489" s="17"/>
      <c r="D489" s="17"/>
      <c r="E489" s="17"/>
      <c r="F489" s="301"/>
      <c r="G489" s="17"/>
      <c r="H489" s="17"/>
      <c r="I489" s="17"/>
      <c r="J489" s="17"/>
      <c r="K489" s="17"/>
      <c r="L489" s="17"/>
      <c r="M489" s="17"/>
      <c r="N489" s="17"/>
      <c r="O489" s="17"/>
      <c r="P489" s="17"/>
      <c r="Q489" s="17"/>
      <c r="R489" s="17"/>
      <c r="S489" s="205"/>
      <c r="T489" s="205"/>
      <c r="U489" s="205"/>
      <c r="V489" s="205"/>
      <c r="W489" s="17"/>
      <c r="X489" s="17"/>
      <c r="Y489" s="17"/>
      <c r="Z489" s="17"/>
      <c r="AA489" s="17"/>
      <c r="AB489" s="17"/>
    </row>
    <row r="490">
      <c r="A490" s="17"/>
      <c r="B490" s="17"/>
      <c r="C490" s="17"/>
      <c r="D490" s="17"/>
      <c r="E490" s="17"/>
      <c r="F490" s="301"/>
      <c r="G490" s="17"/>
      <c r="H490" s="17"/>
      <c r="I490" s="17"/>
      <c r="J490" s="17"/>
      <c r="K490" s="17"/>
      <c r="L490" s="17"/>
      <c r="M490" s="17"/>
      <c r="N490" s="17"/>
      <c r="O490" s="17"/>
      <c r="P490" s="17"/>
      <c r="Q490" s="17"/>
      <c r="R490" s="17"/>
      <c r="S490" s="205"/>
      <c r="T490" s="205"/>
      <c r="U490" s="205"/>
      <c r="V490" s="205"/>
      <c r="W490" s="17"/>
      <c r="X490" s="17"/>
      <c r="Y490" s="17"/>
      <c r="Z490" s="17"/>
      <c r="AA490" s="17"/>
      <c r="AB490" s="17"/>
    </row>
    <row r="491">
      <c r="A491" s="17"/>
      <c r="B491" s="17"/>
      <c r="C491" s="17"/>
      <c r="D491" s="17"/>
      <c r="E491" s="17"/>
      <c r="F491" s="301"/>
      <c r="G491" s="17"/>
      <c r="H491" s="17"/>
      <c r="I491" s="17"/>
      <c r="J491" s="17"/>
      <c r="K491" s="17"/>
      <c r="L491" s="17"/>
      <c r="M491" s="17"/>
      <c r="N491" s="17"/>
      <c r="O491" s="17"/>
      <c r="P491" s="17"/>
      <c r="Q491" s="17"/>
      <c r="R491" s="17"/>
      <c r="S491" s="205"/>
      <c r="T491" s="205"/>
      <c r="U491" s="205"/>
      <c r="V491" s="205"/>
      <c r="W491" s="17"/>
      <c r="X491" s="17"/>
      <c r="Y491" s="17"/>
      <c r="Z491" s="17"/>
      <c r="AA491" s="17"/>
      <c r="AB491" s="17"/>
    </row>
    <row r="492">
      <c r="A492" s="17"/>
      <c r="B492" s="17"/>
      <c r="C492" s="17"/>
      <c r="D492" s="17"/>
      <c r="E492" s="17"/>
      <c r="F492" s="301"/>
      <c r="G492" s="17"/>
      <c r="H492" s="17"/>
      <c r="I492" s="17"/>
      <c r="J492" s="17"/>
      <c r="K492" s="17"/>
      <c r="L492" s="17"/>
      <c r="M492" s="17"/>
      <c r="N492" s="17"/>
      <c r="O492" s="17"/>
      <c r="P492" s="17"/>
      <c r="Q492" s="17"/>
      <c r="R492" s="17"/>
      <c r="S492" s="205"/>
      <c r="T492" s="205"/>
      <c r="U492" s="205"/>
      <c r="V492" s="205"/>
      <c r="W492" s="17"/>
      <c r="X492" s="17"/>
      <c r="Y492" s="17"/>
      <c r="Z492" s="17"/>
      <c r="AA492" s="17"/>
      <c r="AB492" s="17"/>
    </row>
    <row r="493">
      <c r="A493" s="17"/>
      <c r="B493" s="17"/>
      <c r="C493" s="17"/>
      <c r="D493" s="17"/>
      <c r="E493" s="17"/>
      <c r="F493" s="301"/>
      <c r="G493" s="17"/>
      <c r="H493" s="17"/>
      <c r="I493" s="17"/>
      <c r="J493" s="17"/>
      <c r="K493" s="17"/>
      <c r="L493" s="17"/>
      <c r="M493" s="17"/>
      <c r="N493" s="17"/>
      <c r="O493" s="17"/>
      <c r="P493" s="17"/>
      <c r="Q493" s="17"/>
      <c r="R493" s="17"/>
      <c r="S493" s="205"/>
      <c r="T493" s="205"/>
      <c r="U493" s="205"/>
      <c r="V493" s="205"/>
      <c r="W493" s="17"/>
      <c r="X493" s="17"/>
      <c r="Y493" s="17"/>
      <c r="Z493" s="17"/>
      <c r="AA493" s="17"/>
      <c r="AB493" s="17"/>
    </row>
    <row r="494">
      <c r="A494" s="17"/>
      <c r="B494" s="17"/>
      <c r="C494" s="17"/>
      <c r="D494" s="17"/>
      <c r="E494" s="17"/>
      <c r="F494" s="301"/>
      <c r="G494" s="17"/>
      <c r="H494" s="17"/>
      <c r="I494" s="17"/>
      <c r="J494" s="17"/>
      <c r="K494" s="17"/>
      <c r="L494" s="17"/>
      <c r="M494" s="17"/>
      <c r="N494" s="17"/>
      <c r="O494" s="17"/>
      <c r="P494" s="17"/>
      <c r="Q494" s="17"/>
      <c r="R494" s="17"/>
      <c r="S494" s="205"/>
      <c r="T494" s="205"/>
      <c r="U494" s="205"/>
      <c r="V494" s="205"/>
      <c r="W494" s="17"/>
      <c r="X494" s="17"/>
      <c r="Y494" s="17"/>
      <c r="Z494" s="17"/>
      <c r="AA494" s="17"/>
      <c r="AB494" s="17"/>
    </row>
    <row r="495">
      <c r="A495" s="17"/>
      <c r="B495" s="17"/>
      <c r="C495" s="17"/>
      <c r="D495" s="17"/>
      <c r="E495" s="17"/>
      <c r="F495" s="301"/>
      <c r="G495" s="17"/>
      <c r="H495" s="17"/>
      <c r="I495" s="17"/>
      <c r="J495" s="17"/>
      <c r="K495" s="17"/>
      <c r="L495" s="17"/>
      <c r="M495" s="17"/>
      <c r="N495" s="17"/>
      <c r="O495" s="17"/>
      <c r="P495" s="17"/>
      <c r="Q495" s="17"/>
      <c r="R495" s="17"/>
      <c r="S495" s="205"/>
      <c r="T495" s="205"/>
      <c r="U495" s="205"/>
      <c r="V495" s="205"/>
      <c r="W495" s="17"/>
      <c r="X495" s="17"/>
      <c r="Y495" s="17"/>
      <c r="Z495" s="17"/>
      <c r="AA495" s="17"/>
      <c r="AB495" s="17"/>
    </row>
    <row r="496">
      <c r="A496" s="17"/>
      <c r="B496" s="17"/>
      <c r="C496" s="17"/>
      <c r="D496" s="17"/>
      <c r="E496" s="17"/>
      <c r="F496" s="301"/>
      <c r="G496" s="17"/>
      <c r="H496" s="17"/>
      <c r="I496" s="17"/>
      <c r="J496" s="17"/>
      <c r="K496" s="17"/>
      <c r="L496" s="17"/>
      <c r="M496" s="17"/>
      <c r="N496" s="17"/>
      <c r="O496" s="17"/>
      <c r="P496" s="17"/>
      <c r="Q496" s="17"/>
      <c r="R496" s="17"/>
      <c r="S496" s="205"/>
      <c r="T496" s="205"/>
      <c r="U496" s="205"/>
      <c r="V496" s="205"/>
      <c r="W496" s="17"/>
      <c r="X496" s="17"/>
      <c r="Y496" s="17"/>
      <c r="Z496" s="17"/>
      <c r="AA496" s="17"/>
      <c r="AB496" s="17"/>
    </row>
    <row r="497">
      <c r="A497" s="17"/>
      <c r="B497" s="17"/>
      <c r="C497" s="17"/>
      <c r="D497" s="17"/>
      <c r="E497" s="17"/>
      <c r="F497" s="301"/>
      <c r="G497" s="17"/>
      <c r="H497" s="17"/>
      <c r="I497" s="17"/>
      <c r="J497" s="17"/>
      <c r="K497" s="17"/>
      <c r="L497" s="17"/>
      <c r="M497" s="17"/>
      <c r="N497" s="17"/>
      <c r="O497" s="17"/>
      <c r="P497" s="17"/>
      <c r="Q497" s="17"/>
      <c r="R497" s="17"/>
      <c r="S497" s="205"/>
      <c r="T497" s="205"/>
      <c r="U497" s="205"/>
      <c r="V497" s="205"/>
      <c r="W497" s="17"/>
      <c r="X497" s="17"/>
      <c r="Y497" s="17"/>
      <c r="Z497" s="17"/>
      <c r="AA497" s="17"/>
      <c r="AB497" s="17"/>
    </row>
    <row r="498">
      <c r="A498" s="17"/>
      <c r="B498" s="17"/>
      <c r="C498" s="17"/>
      <c r="D498" s="17"/>
      <c r="E498" s="17"/>
      <c r="F498" s="301"/>
      <c r="G498" s="17"/>
      <c r="H498" s="17"/>
      <c r="I498" s="17"/>
      <c r="J498" s="17"/>
      <c r="K498" s="17"/>
      <c r="L498" s="17"/>
      <c r="M498" s="17"/>
      <c r="N498" s="17"/>
      <c r="O498" s="17"/>
      <c r="P498" s="17"/>
      <c r="Q498" s="17"/>
      <c r="R498" s="17"/>
      <c r="S498" s="205"/>
      <c r="T498" s="205"/>
      <c r="U498" s="205"/>
      <c r="V498" s="205"/>
      <c r="W498" s="17"/>
      <c r="X498" s="17"/>
      <c r="Y498" s="17"/>
      <c r="Z498" s="17"/>
      <c r="AA498" s="17"/>
      <c r="AB498" s="17"/>
    </row>
    <row r="499">
      <c r="A499" s="17"/>
      <c r="B499" s="17"/>
      <c r="C499" s="17"/>
      <c r="D499" s="17"/>
      <c r="E499" s="17"/>
      <c r="F499" s="301"/>
      <c r="G499" s="17"/>
      <c r="H499" s="17"/>
      <c r="I499" s="17"/>
      <c r="J499" s="17"/>
      <c r="K499" s="17"/>
      <c r="L499" s="17"/>
      <c r="M499" s="17"/>
      <c r="N499" s="17"/>
      <c r="O499" s="17"/>
      <c r="P499" s="17"/>
      <c r="Q499" s="17"/>
      <c r="R499" s="17"/>
      <c r="S499" s="205"/>
      <c r="T499" s="205"/>
      <c r="U499" s="205"/>
      <c r="V499" s="205"/>
      <c r="W499" s="17"/>
      <c r="X499" s="17"/>
      <c r="Y499" s="17"/>
      <c r="Z499" s="17"/>
      <c r="AA499" s="17"/>
      <c r="AB499" s="17"/>
    </row>
    <row r="500">
      <c r="A500" s="17"/>
      <c r="B500" s="17"/>
      <c r="C500" s="17"/>
      <c r="D500" s="17"/>
      <c r="E500" s="17"/>
      <c r="F500" s="301"/>
      <c r="G500" s="17"/>
      <c r="H500" s="17"/>
      <c r="I500" s="17"/>
      <c r="J500" s="17"/>
      <c r="K500" s="17"/>
      <c r="L500" s="17"/>
      <c r="M500" s="17"/>
      <c r="N500" s="17"/>
      <c r="O500" s="17"/>
      <c r="P500" s="17"/>
      <c r="Q500" s="17"/>
      <c r="R500" s="17"/>
      <c r="S500" s="205"/>
      <c r="T500" s="205"/>
      <c r="U500" s="205"/>
      <c r="V500" s="205"/>
      <c r="W500" s="17"/>
      <c r="X500" s="17"/>
      <c r="Y500" s="17"/>
      <c r="Z500" s="17"/>
      <c r="AA500" s="17"/>
      <c r="AB500" s="17"/>
    </row>
    <row r="501">
      <c r="A501" s="17"/>
      <c r="B501" s="17"/>
      <c r="C501" s="17"/>
      <c r="D501" s="17"/>
      <c r="E501" s="17"/>
      <c r="F501" s="301"/>
      <c r="G501" s="17"/>
      <c r="H501" s="17"/>
      <c r="I501" s="17"/>
      <c r="J501" s="17"/>
      <c r="K501" s="17"/>
      <c r="L501" s="17"/>
      <c r="M501" s="17"/>
      <c r="N501" s="17"/>
      <c r="O501" s="17"/>
      <c r="P501" s="17"/>
      <c r="Q501" s="17"/>
      <c r="R501" s="17"/>
      <c r="S501" s="205"/>
      <c r="T501" s="205"/>
      <c r="U501" s="205"/>
      <c r="V501" s="205"/>
      <c r="W501" s="17"/>
      <c r="X501" s="17"/>
      <c r="Y501" s="17"/>
      <c r="Z501" s="17"/>
      <c r="AA501" s="17"/>
      <c r="AB501" s="17"/>
    </row>
    <row r="502">
      <c r="A502" s="17"/>
      <c r="B502" s="17"/>
      <c r="C502" s="17"/>
      <c r="D502" s="17"/>
      <c r="E502" s="17"/>
      <c r="F502" s="301"/>
      <c r="G502" s="17"/>
      <c r="H502" s="17"/>
      <c r="I502" s="17"/>
      <c r="J502" s="17"/>
      <c r="K502" s="17"/>
      <c r="L502" s="17"/>
      <c r="M502" s="17"/>
      <c r="N502" s="17"/>
      <c r="O502" s="17"/>
      <c r="P502" s="17"/>
      <c r="Q502" s="17"/>
      <c r="R502" s="17"/>
      <c r="S502" s="205"/>
      <c r="T502" s="205"/>
      <c r="U502" s="205"/>
      <c r="V502" s="205"/>
      <c r="W502" s="17"/>
      <c r="X502" s="17"/>
      <c r="Y502" s="17"/>
      <c r="Z502" s="17"/>
      <c r="AA502" s="17"/>
      <c r="AB502" s="17"/>
    </row>
    <row r="503">
      <c r="A503" s="17"/>
      <c r="B503" s="17"/>
      <c r="C503" s="17"/>
      <c r="D503" s="17"/>
      <c r="E503" s="17"/>
      <c r="F503" s="301"/>
      <c r="G503" s="17"/>
      <c r="H503" s="17"/>
      <c r="I503" s="17"/>
      <c r="J503" s="17"/>
      <c r="K503" s="17"/>
      <c r="L503" s="17"/>
      <c r="M503" s="17"/>
      <c r="N503" s="17"/>
      <c r="O503" s="17"/>
      <c r="P503" s="17"/>
      <c r="Q503" s="17"/>
      <c r="R503" s="17"/>
      <c r="S503" s="205"/>
      <c r="T503" s="205"/>
      <c r="U503" s="205"/>
      <c r="V503" s="205"/>
      <c r="W503" s="17"/>
      <c r="X503" s="17"/>
      <c r="Y503" s="17"/>
      <c r="Z503" s="17"/>
      <c r="AA503" s="17"/>
      <c r="AB503" s="17"/>
    </row>
    <row r="504">
      <c r="A504" s="17"/>
      <c r="B504" s="17"/>
      <c r="C504" s="17"/>
      <c r="D504" s="17"/>
      <c r="E504" s="17"/>
      <c r="F504" s="301"/>
      <c r="G504" s="17"/>
      <c r="H504" s="17"/>
      <c r="I504" s="17"/>
      <c r="J504" s="17"/>
      <c r="K504" s="17"/>
      <c r="L504" s="17"/>
      <c r="M504" s="17"/>
      <c r="N504" s="17"/>
      <c r="O504" s="17"/>
      <c r="P504" s="17"/>
      <c r="Q504" s="17"/>
      <c r="R504" s="17"/>
      <c r="S504" s="205"/>
      <c r="T504" s="205"/>
      <c r="U504" s="205"/>
      <c r="V504" s="205"/>
      <c r="W504" s="17"/>
      <c r="X504" s="17"/>
      <c r="Y504" s="17"/>
      <c r="Z504" s="17"/>
      <c r="AA504" s="17"/>
      <c r="AB504" s="17"/>
    </row>
    <row r="505">
      <c r="A505" s="17"/>
      <c r="B505" s="17"/>
      <c r="C505" s="17"/>
      <c r="D505" s="17"/>
      <c r="E505" s="17"/>
      <c r="F505" s="301"/>
      <c r="G505" s="17"/>
      <c r="H505" s="17"/>
      <c r="I505" s="17"/>
      <c r="J505" s="17"/>
      <c r="K505" s="17"/>
      <c r="L505" s="17"/>
      <c r="M505" s="17"/>
      <c r="N505" s="17"/>
      <c r="O505" s="17"/>
      <c r="P505" s="17"/>
      <c r="Q505" s="17"/>
      <c r="R505" s="17"/>
      <c r="S505" s="205"/>
      <c r="T505" s="205"/>
      <c r="U505" s="205"/>
      <c r="V505" s="205"/>
      <c r="W505" s="17"/>
      <c r="X505" s="17"/>
      <c r="Y505" s="17"/>
      <c r="Z505" s="17"/>
      <c r="AA505" s="17"/>
      <c r="AB505" s="17"/>
    </row>
    <row r="506">
      <c r="A506" s="17"/>
      <c r="B506" s="17"/>
      <c r="C506" s="17"/>
      <c r="D506" s="17"/>
      <c r="E506" s="17"/>
      <c r="F506" s="301"/>
      <c r="G506" s="17"/>
      <c r="H506" s="17"/>
      <c r="I506" s="17"/>
      <c r="J506" s="17"/>
      <c r="K506" s="17"/>
      <c r="L506" s="17"/>
      <c r="M506" s="17"/>
      <c r="N506" s="17"/>
      <c r="O506" s="17"/>
      <c r="P506" s="17"/>
      <c r="Q506" s="17"/>
      <c r="R506" s="17"/>
      <c r="S506" s="205"/>
      <c r="T506" s="205"/>
      <c r="U506" s="205"/>
      <c r="V506" s="205"/>
      <c r="W506" s="17"/>
      <c r="X506" s="17"/>
      <c r="Y506" s="17"/>
      <c r="Z506" s="17"/>
      <c r="AA506" s="17"/>
      <c r="AB506" s="17"/>
    </row>
    <row r="507">
      <c r="A507" s="17"/>
      <c r="B507" s="17"/>
      <c r="C507" s="17"/>
      <c r="D507" s="17"/>
      <c r="E507" s="17"/>
      <c r="F507" s="301"/>
      <c r="G507" s="17"/>
      <c r="H507" s="17"/>
      <c r="I507" s="17"/>
      <c r="J507" s="17"/>
      <c r="K507" s="17"/>
      <c r="L507" s="17"/>
      <c r="M507" s="17"/>
      <c r="N507" s="17"/>
      <c r="O507" s="17"/>
      <c r="P507" s="17"/>
      <c r="Q507" s="17"/>
      <c r="R507" s="17"/>
      <c r="S507" s="205"/>
      <c r="T507" s="205"/>
      <c r="U507" s="205"/>
      <c r="V507" s="205"/>
      <c r="W507" s="17"/>
      <c r="X507" s="17"/>
      <c r="Y507" s="17"/>
      <c r="Z507" s="17"/>
      <c r="AA507" s="17"/>
      <c r="AB507" s="17"/>
    </row>
    <row r="508">
      <c r="A508" s="17"/>
      <c r="B508" s="17"/>
      <c r="C508" s="17"/>
      <c r="D508" s="17"/>
      <c r="E508" s="17"/>
      <c r="F508" s="301"/>
      <c r="G508" s="17"/>
      <c r="H508" s="17"/>
      <c r="I508" s="17"/>
      <c r="J508" s="17"/>
      <c r="K508" s="17"/>
      <c r="L508" s="17"/>
      <c r="M508" s="17"/>
      <c r="N508" s="17"/>
      <c r="O508" s="17"/>
      <c r="P508" s="17"/>
      <c r="Q508" s="17"/>
      <c r="R508" s="17"/>
      <c r="S508" s="205"/>
      <c r="T508" s="205"/>
      <c r="U508" s="205"/>
      <c r="V508" s="205"/>
      <c r="W508" s="17"/>
      <c r="X508" s="17"/>
      <c r="Y508" s="17"/>
      <c r="Z508" s="17"/>
      <c r="AA508" s="17"/>
      <c r="AB508" s="17"/>
    </row>
    <row r="509">
      <c r="A509" s="17"/>
      <c r="B509" s="17"/>
      <c r="C509" s="17"/>
      <c r="D509" s="17"/>
      <c r="E509" s="17"/>
      <c r="F509" s="301"/>
      <c r="G509" s="17"/>
      <c r="H509" s="17"/>
      <c r="I509" s="17"/>
      <c r="J509" s="17"/>
      <c r="K509" s="17"/>
      <c r="L509" s="17"/>
      <c r="M509" s="17"/>
      <c r="N509" s="17"/>
      <c r="O509" s="17"/>
      <c r="P509" s="17"/>
      <c r="Q509" s="17"/>
      <c r="R509" s="17"/>
      <c r="S509" s="205"/>
      <c r="T509" s="205"/>
      <c r="U509" s="205"/>
      <c r="V509" s="205"/>
      <c r="W509" s="17"/>
      <c r="X509" s="17"/>
      <c r="Y509" s="17"/>
      <c r="Z509" s="17"/>
      <c r="AA509" s="17"/>
      <c r="AB509" s="17"/>
    </row>
    <row r="510">
      <c r="A510" s="17"/>
      <c r="B510" s="17"/>
      <c r="C510" s="17"/>
      <c r="D510" s="17"/>
      <c r="E510" s="17"/>
      <c r="F510" s="301"/>
      <c r="G510" s="17"/>
      <c r="H510" s="17"/>
      <c r="I510" s="17"/>
      <c r="J510" s="17"/>
      <c r="K510" s="17"/>
      <c r="L510" s="17"/>
      <c r="M510" s="17"/>
      <c r="N510" s="17"/>
      <c r="O510" s="17"/>
      <c r="P510" s="17"/>
      <c r="Q510" s="17"/>
      <c r="R510" s="17"/>
      <c r="S510" s="205"/>
      <c r="T510" s="205"/>
      <c r="U510" s="205"/>
      <c r="V510" s="205"/>
      <c r="W510" s="17"/>
      <c r="X510" s="17"/>
      <c r="Y510" s="17"/>
      <c r="Z510" s="17"/>
      <c r="AA510" s="17"/>
      <c r="AB510" s="17"/>
    </row>
    <row r="511">
      <c r="A511" s="17"/>
      <c r="B511" s="17"/>
      <c r="C511" s="17"/>
      <c r="D511" s="17"/>
      <c r="E511" s="17"/>
      <c r="F511" s="301"/>
      <c r="G511" s="17"/>
      <c r="H511" s="17"/>
      <c r="I511" s="17"/>
      <c r="J511" s="17"/>
      <c r="K511" s="17"/>
      <c r="L511" s="17"/>
      <c r="M511" s="17"/>
      <c r="N511" s="17"/>
      <c r="O511" s="17"/>
      <c r="P511" s="17"/>
      <c r="Q511" s="17"/>
      <c r="R511" s="17"/>
      <c r="S511" s="205"/>
      <c r="T511" s="205"/>
      <c r="U511" s="205"/>
      <c r="V511" s="205"/>
      <c r="W511" s="17"/>
      <c r="X511" s="17"/>
      <c r="Y511" s="17"/>
      <c r="Z511" s="17"/>
      <c r="AA511" s="17"/>
      <c r="AB511" s="17"/>
    </row>
    <row r="512">
      <c r="A512" s="17"/>
      <c r="B512" s="17"/>
      <c r="C512" s="17"/>
      <c r="D512" s="17"/>
      <c r="E512" s="17"/>
      <c r="F512" s="301"/>
      <c r="G512" s="17"/>
      <c r="H512" s="17"/>
      <c r="I512" s="17"/>
      <c r="J512" s="17"/>
      <c r="K512" s="17"/>
      <c r="L512" s="17"/>
      <c r="M512" s="17"/>
      <c r="N512" s="17"/>
      <c r="O512" s="17"/>
      <c r="P512" s="17"/>
      <c r="Q512" s="17"/>
      <c r="R512" s="17"/>
      <c r="S512" s="205"/>
      <c r="T512" s="205"/>
      <c r="U512" s="205"/>
      <c r="V512" s="205"/>
      <c r="W512" s="17"/>
      <c r="X512" s="17"/>
      <c r="Y512" s="17"/>
      <c r="Z512" s="17"/>
      <c r="AA512" s="17"/>
      <c r="AB512" s="17"/>
    </row>
    <row r="513">
      <c r="A513" s="17"/>
      <c r="B513" s="17"/>
      <c r="C513" s="17"/>
      <c r="D513" s="17"/>
      <c r="E513" s="17"/>
      <c r="F513" s="301"/>
      <c r="G513" s="17"/>
      <c r="H513" s="17"/>
      <c r="I513" s="17"/>
      <c r="J513" s="17"/>
      <c r="K513" s="17"/>
      <c r="L513" s="17"/>
      <c r="M513" s="17"/>
      <c r="N513" s="17"/>
      <c r="O513" s="17"/>
      <c r="P513" s="17"/>
      <c r="Q513" s="17"/>
      <c r="R513" s="17"/>
      <c r="S513" s="205"/>
      <c r="T513" s="205"/>
      <c r="U513" s="205"/>
      <c r="V513" s="205"/>
      <c r="W513" s="17"/>
      <c r="X513" s="17"/>
      <c r="Y513" s="17"/>
      <c r="Z513" s="17"/>
      <c r="AA513" s="17"/>
      <c r="AB513" s="17"/>
    </row>
    <row r="514">
      <c r="A514" s="17"/>
      <c r="B514" s="17"/>
      <c r="C514" s="17"/>
      <c r="D514" s="17"/>
      <c r="E514" s="17"/>
      <c r="F514" s="301"/>
      <c r="G514" s="17"/>
      <c r="H514" s="17"/>
      <c r="I514" s="17"/>
      <c r="J514" s="17"/>
      <c r="K514" s="17"/>
      <c r="L514" s="17"/>
      <c r="M514" s="17"/>
      <c r="N514" s="17"/>
      <c r="O514" s="17"/>
      <c r="P514" s="17"/>
      <c r="Q514" s="17"/>
      <c r="R514" s="17"/>
      <c r="S514" s="205"/>
      <c r="T514" s="205"/>
      <c r="U514" s="205"/>
      <c r="V514" s="205"/>
      <c r="W514" s="17"/>
      <c r="X514" s="17"/>
      <c r="Y514" s="17"/>
      <c r="Z514" s="17"/>
      <c r="AA514" s="17"/>
      <c r="AB514" s="17"/>
    </row>
    <row r="515">
      <c r="A515" s="17"/>
      <c r="B515" s="17"/>
      <c r="C515" s="17"/>
      <c r="D515" s="17"/>
      <c r="E515" s="17"/>
      <c r="F515" s="301"/>
      <c r="G515" s="17"/>
      <c r="H515" s="17"/>
      <c r="I515" s="17"/>
      <c r="J515" s="17"/>
      <c r="K515" s="17"/>
      <c r="L515" s="17"/>
      <c r="M515" s="17"/>
      <c r="N515" s="17"/>
      <c r="O515" s="17"/>
      <c r="P515" s="17"/>
      <c r="Q515" s="17"/>
      <c r="R515" s="17"/>
      <c r="S515" s="205"/>
      <c r="T515" s="205"/>
      <c r="U515" s="205"/>
      <c r="V515" s="205"/>
      <c r="W515" s="17"/>
      <c r="X515" s="17"/>
      <c r="Y515" s="17"/>
      <c r="Z515" s="17"/>
      <c r="AA515" s="17"/>
      <c r="AB515" s="17"/>
    </row>
    <row r="516">
      <c r="A516" s="17"/>
      <c r="B516" s="17"/>
      <c r="C516" s="17"/>
      <c r="D516" s="17"/>
      <c r="E516" s="17"/>
      <c r="F516" s="301"/>
      <c r="G516" s="17"/>
      <c r="H516" s="17"/>
      <c r="I516" s="17"/>
      <c r="J516" s="17"/>
      <c r="K516" s="17"/>
      <c r="L516" s="17"/>
      <c r="M516" s="17"/>
      <c r="N516" s="17"/>
      <c r="O516" s="17"/>
      <c r="P516" s="17"/>
      <c r="Q516" s="17"/>
      <c r="R516" s="17"/>
      <c r="S516" s="205"/>
      <c r="T516" s="205"/>
      <c r="U516" s="205"/>
      <c r="V516" s="205"/>
      <c r="W516" s="17"/>
      <c r="X516" s="17"/>
      <c r="Y516" s="17"/>
      <c r="Z516" s="17"/>
      <c r="AA516" s="17"/>
      <c r="AB516" s="17"/>
    </row>
    <row r="517">
      <c r="A517" s="17"/>
      <c r="B517" s="17"/>
      <c r="C517" s="17"/>
      <c r="D517" s="17"/>
      <c r="E517" s="17"/>
      <c r="F517" s="301"/>
      <c r="G517" s="17"/>
      <c r="H517" s="17"/>
      <c r="I517" s="17"/>
      <c r="J517" s="17"/>
      <c r="K517" s="17"/>
      <c r="L517" s="17"/>
      <c r="M517" s="17"/>
      <c r="N517" s="17"/>
      <c r="O517" s="17"/>
      <c r="P517" s="17"/>
      <c r="Q517" s="17"/>
      <c r="R517" s="17"/>
      <c r="S517" s="205"/>
      <c r="T517" s="205"/>
      <c r="U517" s="205"/>
      <c r="V517" s="205"/>
      <c r="W517" s="17"/>
      <c r="X517" s="17"/>
      <c r="Y517" s="17"/>
      <c r="Z517" s="17"/>
      <c r="AA517" s="17"/>
      <c r="AB517" s="17"/>
    </row>
    <row r="518">
      <c r="A518" s="17"/>
      <c r="B518" s="17"/>
      <c r="C518" s="17"/>
      <c r="D518" s="17"/>
      <c r="E518" s="17"/>
      <c r="F518" s="301"/>
      <c r="G518" s="17"/>
      <c r="H518" s="17"/>
      <c r="I518" s="17"/>
      <c r="J518" s="17"/>
      <c r="K518" s="17"/>
      <c r="L518" s="17"/>
      <c r="M518" s="17"/>
      <c r="N518" s="17"/>
      <c r="O518" s="17"/>
      <c r="P518" s="17"/>
      <c r="Q518" s="17"/>
      <c r="R518" s="17"/>
      <c r="S518" s="205"/>
      <c r="T518" s="205"/>
      <c r="U518" s="205"/>
      <c r="V518" s="205"/>
      <c r="W518" s="17"/>
      <c r="X518" s="17"/>
      <c r="Y518" s="17"/>
      <c r="Z518" s="17"/>
      <c r="AA518" s="17"/>
      <c r="AB518" s="17"/>
    </row>
    <row r="519">
      <c r="A519" s="17"/>
      <c r="B519" s="17"/>
      <c r="C519" s="17"/>
      <c r="D519" s="17"/>
      <c r="E519" s="17"/>
      <c r="F519" s="301"/>
      <c r="G519" s="17"/>
      <c r="H519" s="17"/>
      <c r="I519" s="17"/>
      <c r="J519" s="17"/>
      <c r="K519" s="17"/>
      <c r="L519" s="17"/>
      <c r="M519" s="17"/>
      <c r="N519" s="17"/>
      <c r="O519" s="17"/>
      <c r="P519" s="17"/>
      <c r="Q519" s="17"/>
      <c r="R519" s="17"/>
      <c r="S519" s="205"/>
      <c r="T519" s="205"/>
      <c r="U519" s="205"/>
      <c r="V519" s="205"/>
      <c r="W519" s="17"/>
      <c r="X519" s="17"/>
      <c r="Y519" s="17"/>
      <c r="Z519" s="17"/>
      <c r="AA519" s="17"/>
      <c r="AB519" s="17"/>
    </row>
    <row r="520">
      <c r="A520" s="17"/>
      <c r="B520" s="17"/>
      <c r="C520" s="17"/>
      <c r="D520" s="17"/>
      <c r="E520" s="17"/>
      <c r="F520" s="301"/>
      <c r="G520" s="17"/>
      <c r="H520" s="17"/>
      <c r="I520" s="17"/>
      <c r="J520" s="17"/>
      <c r="K520" s="17"/>
      <c r="L520" s="17"/>
      <c r="M520" s="17"/>
      <c r="N520" s="17"/>
      <c r="O520" s="17"/>
      <c r="P520" s="17"/>
      <c r="Q520" s="17"/>
      <c r="R520" s="17"/>
      <c r="S520" s="205"/>
      <c r="T520" s="205"/>
      <c r="U520" s="205"/>
      <c r="V520" s="205"/>
      <c r="W520" s="17"/>
      <c r="X520" s="17"/>
      <c r="Y520" s="17"/>
      <c r="Z520" s="17"/>
      <c r="AA520" s="17"/>
      <c r="AB520" s="17"/>
    </row>
    <row r="521">
      <c r="A521" s="17"/>
      <c r="B521" s="17"/>
      <c r="C521" s="17"/>
      <c r="D521" s="17"/>
      <c r="E521" s="17"/>
      <c r="F521" s="301"/>
      <c r="G521" s="17"/>
      <c r="H521" s="17"/>
      <c r="I521" s="17"/>
      <c r="J521" s="17"/>
      <c r="K521" s="17"/>
      <c r="L521" s="17"/>
      <c r="M521" s="17"/>
      <c r="N521" s="17"/>
      <c r="O521" s="17"/>
      <c r="P521" s="17"/>
      <c r="Q521" s="17"/>
      <c r="R521" s="17"/>
      <c r="S521" s="205"/>
      <c r="T521" s="205"/>
      <c r="U521" s="205"/>
      <c r="V521" s="205"/>
      <c r="W521" s="17"/>
      <c r="X521" s="17"/>
      <c r="Y521" s="17"/>
      <c r="Z521" s="17"/>
      <c r="AA521" s="17"/>
      <c r="AB521" s="17"/>
    </row>
    <row r="522">
      <c r="A522" s="17"/>
      <c r="B522" s="17"/>
      <c r="C522" s="17"/>
      <c r="D522" s="17"/>
      <c r="E522" s="17"/>
      <c r="F522" s="301"/>
      <c r="G522" s="17"/>
      <c r="H522" s="17"/>
      <c r="I522" s="17"/>
      <c r="J522" s="17"/>
      <c r="K522" s="17"/>
      <c r="L522" s="17"/>
      <c r="M522" s="17"/>
      <c r="N522" s="17"/>
      <c r="O522" s="17"/>
      <c r="P522" s="17"/>
      <c r="Q522" s="17"/>
      <c r="R522" s="17"/>
      <c r="S522" s="205"/>
      <c r="T522" s="205"/>
      <c r="U522" s="205"/>
      <c r="V522" s="205"/>
      <c r="W522" s="17"/>
      <c r="X522" s="17"/>
      <c r="Y522" s="17"/>
      <c r="Z522" s="17"/>
      <c r="AA522" s="17"/>
      <c r="AB522" s="17"/>
    </row>
    <row r="523">
      <c r="A523" s="17"/>
      <c r="B523" s="17"/>
      <c r="C523" s="17"/>
      <c r="D523" s="17"/>
      <c r="E523" s="17"/>
      <c r="F523" s="301"/>
      <c r="G523" s="17"/>
      <c r="H523" s="17"/>
      <c r="I523" s="17"/>
      <c r="J523" s="17"/>
      <c r="K523" s="17"/>
      <c r="L523" s="17"/>
      <c r="M523" s="17"/>
      <c r="N523" s="17"/>
      <c r="O523" s="17"/>
      <c r="P523" s="17"/>
      <c r="Q523" s="17"/>
      <c r="R523" s="17"/>
      <c r="S523" s="205"/>
      <c r="T523" s="205"/>
      <c r="U523" s="205"/>
      <c r="V523" s="205"/>
      <c r="W523" s="17"/>
      <c r="X523" s="17"/>
      <c r="Y523" s="17"/>
      <c r="Z523" s="17"/>
      <c r="AA523" s="17"/>
      <c r="AB523" s="17"/>
    </row>
    <row r="524">
      <c r="A524" s="17"/>
      <c r="B524" s="17"/>
      <c r="C524" s="17"/>
      <c r="D524" s="17"/>
      <c r="E524" s="17"/>
      <c r="F524" s="301"/>
      <c r="G524" s="17"/>
      <c r="H524" s="17"/>
      <c r="I524" s="17"/>
      <c r="J524" s="17"/>
      <c r="K524" s="17"/>
      <c r="L524" s="17"/>
      <c r="M524" s="17"/>
      <c r="N524" s="17"/>
      <c r="O524" s="17"/>
      <c r="P524" s="17"/>
      <c r="Q524" s="17"/>
      <c r="R524" s="17"/>
      <c r="S524" s="205"/>
      <c r="T524" s="205"/>
      <c r="U524" s="205"/>
      <c r="V524" s="205"/>
      <c r="W524" s="17"/>
      <c r="X524" s="17"/>
      <c r="Y524" s="17"/>
      <c r="Z524" s="17"/>
      <c r="AA524" s="17"/>
      <c r="AB524" s="17"/>
    </row>
    <row r="525">
      <c r="A525" s="17"/>
      <c r="B525" s="17"/>
      <c r="C525" s="17"/>
      <c r="D525" s="17"/>
      <c r="E525" s="17"/>
      <c r="F525" s="301"/>
      <c r="G525" s="17"/>
      <c r="H525" s="17"/>
      <c r="I525" s="17"/>
      <c r="J525" s="17"/>
      <c r="K525" s="17"/>
      <c r="L525" s="17"/>
      <c r="M525" s="17"/>
      <c r="N525" s="17"/>
      <c r="O525" s="17"/>
      <c r="P525" s="17"/>
      <c r="Q525" s="17"/>
      <c r="R525" s="17"/>
      <c r="S525" s="205"/>
      <c r="T525" s="205"/>
      <c r="U525" s="205"/>
      <c r="V525" s="205"/>
      <c r="W525" s="17"/>
      <c r="X525" s="17"/>
      <c r="Y525" s="17"/>
      <c r="Z525" s="17"/>
      <c r="AA525" s="17"/>
      <c r="AB525" s="17"/>
    </row>
    <row r="526">
      <c r="A526" s="17"/>
      <c r="B526" s="17"/>
      <c r="C526" s="17"/>
      <c r="D526" s="17"/>
      <c r="E526" s="17"/>
      <c r="F526" s="301"/>
      <c r="G526" s="17"/>
      <c r="H526" s="17"/>
      <c r="I526" s="17"/>
      <c r="J526" s="17"/>
      <c r="K526" s="17"/>
      <c r="L526" s="17"/>
      <c r="M526" s="17"/>
      <c r="N526" s="17"/>
      <c r="O526" s="17"/>
      <c r="P526" s="17"/>
      <c r="Q526" s="17"/>
      <c r="R526" s="17"/>
      <c r="S526" s="205"/>
      <c r="T526" s="205"/>
      <c r="U526" s="205"/>
      <c r="V526" s="205"/>
      <c r="W526" s="17"/>
      <c r="X526" s="17"/>
      <c r="Y526" s="17"/>
      <c r="Z526" s="17"/>
      <c r="AA526" s="17"/>
      <c r="AB526" s="17"/>
    </row>
    <row r="527">
      <c r="A527" s="17"/>
      <c r="B527" s="17"/>
      <c r="C527" s="17"/>
      <c r="D527" s="17"/>
      <c r="E527" s="17"/>
      <c r="F527" s="301"/>
      <c r="G527" s="17"/>
      <c r="H527" s="17"/>
      <c r="I527" s="17"/>
      <c r="J527" s="17"/>
      <c r="K527" s="17"/>
      <c r="L527" s="17"/>
      <c r="M527" s="17"/>
      <c r="N527" s="17"/>
      <c r="O527" s="17"/>
      <c r="P527" s="17"/>
      <c r="Q527" s="17"/>
      <c r="R527" s="17"/>
      <c r="S527" s="205"/>
      <c r="T527" s="205"/>
      <c r="U527" s="205"/>
      <c r="V527" s="205"/>
      <c r="W527" s="17"/>
      <c r="X527" s="17"/>
      <c r="Y527" s="17"/>
      <c r="Z527" s="17"/>
      <c r="AA527" s="17"/>
      <c r="AB527" s="17"/>
    </row>
    <row r="528">
      <c r="A528" s="17"/>
      <c r="B528" s="17"/>
      <c r="C528" s="17"/>
      <c r="D528" s="17"/>
      <c r="E528" s="17"/>
      <c r="F528" s="301"/>
      <c r="G528" s="17"/>
      <c r="H528" s="17"/>
      <c r="I528" s="17"/>
      <c r="J528" s="17"/>
      <c r="K528" s="17"/>
      <c r="L528" s="17"/>
      <c r="M528" s="17"/>
      <c r="N528" s="17"/>
      <c r="O528" s="17"/>
      <c r="P528" s="17"/>
      <c r="Q528" s="17"/>
      <c r="R528" s="17"/>
      <c r="S528" s="205"/>
      <c r="T528" s="205"/>
      <c r="U528" s="205"/>
      <c r="V528" s="205"/>
      <c r="W528" s="17"/>
      <c r="X528" s="17"/>
      <c r="Y528" s="17"/>
      <c r="Z528" s="17"/>
      <c r="AA528" s="17"/>
      <c r="AB528" s="17"/>
    </row>
    <row r="529">
      <c r="A529" s="17"/>
      <c r="B529" s="17"/>
      <c r="C529" s="17"/>
      <c r="D529" s="17"/>
      <c r="E529" s="17"/>
      <c r="F529" s="301"/>
      <c r="G529" s="17"/>
      <c r="H529" s="17"/>
      <c r="I529" s="17"/>
      <c r="J529" s="17"/>
      <c r="K529" s="17"/>
      <c r="L529" s="17"/>
      <c r="M529" s="17"/>
      <c r="N529" s="17"/>
      <c r="O529" s="17"/>
      <c r="P529" s="17"/>
      <c r="Q529" s="17"/>
      <c r="R529" s="17"/>
      <c r="S529" s="205"/>
      <c r="T529" s="205"/>
      <c r="U529" s="205"/>
      <c r="V529" s="205"/>
      <c r="W529" s="17"/>
      <c r="X529" s="17"/>
      <c r="Y529" s="17"/>
      <c r="Z529" s="17"/>
      <c r="AA529" s="17"/>
      <c r="AB529" s="17"/>
    </row>
    <row r="530">
      <c r="A530" s="17"/>
      <c r="B530" s="17"/>
      <c r="C530" s="17"/>
      <c r="D530" s="17"/>
      <c r="E530" s="17"/>
      <c r="F530" s="301"/>
      <c r="G530" s="17"/>
      <c r="H530" s="17"/>
      <c r="I530" s="17"/>
      <c r="J530" s="17"/>
      <c r="K530" s="17"/>
      <c r="L530" s="17"/>
      <c r="M530" s="17"/>
      <c r="N530" s="17"/>
      <c r="O530" s="17"/>
      <c r="P530" s="17"/>
      <c r="Q530" s="17"/>
      <c r="R530" s="17"/>
      <c r="S530" s="205"/>
      <c r="T530" s="205"/>
      <c r="U530" s="205"/>
      <c r="V530" s="205"/>
      <c r="W530" s="17"/>
      <c r="X530" s="17"/>
      <c r="Y530" s="17"/>
      <c r="Z530" s="17"/>
      <c r="AA530" s="17"/>
      <c r="AB530" s="17"/>
    </row>
    <row r="531">
      <c r="A531" s="17"/>
      <c r="B531" s="17"/>
      <c r="C531" s="17"/>
      <c r="D531" s="17"/>
      <c r="E531" s="17"/>
      <c r="F531" s="301"/>
      <c r="G531" s="17"/>
      <c r="H531" s="17"/>
      <c r="I531" s="17"/>
      <c r="J531" s="17"/>
      <c r="K531" s="17"/>
      <c r="L531" s="17"/>
      <c r="M531" s="17"/>
      <c r="N531" s="17"/>
      <c r="O531" s="17"/>
      <c r="P531" s="17"/>
      <c r="Q531" s="17"/>
      <c r="R531" s="17"/>
      <c r="S531" s="205"/>
      <c r="T531" s="205"/>
      <c r="U531" s="205"/>
      <c r="V531" s="205"/>
      <c r="W531" s="17"/>
      <c r="X531" s="17"/>
      <c r="Y531" s="17"/>
      <c r="Z531" s="17"/>
      <c r="AA531" s="17"/>
      <c r="AB531" s="17"/>
    </row>
    <row r="532">
      <c r="A532" s="17"/>
      <c r="B532" s="17"/>
      <c r="C532" s="17"/>
      <c r="D532" s="17"/>
      <c r="E532" s="17"/>
      <c r="F532" s="301"/>
      <c r="G532" s="17"/>
      <c r="H532" s="17"/>
      <c r="I532" s="17"/>
      <c r="J532" s="17"/>
      <c r="K532" s="17"/>
      <c r="L532" s="17"/>
      <c r="M532" s="17"/>
      <c r="N532" s="17"/>
      <c r="O532" s="17"/>
      <c r="P532" s="17"/>
      <c r="Q532" s="17"/>
      <c r="R532" s="17"/>
      <c r="S532" s="205"/>
      <c r="T532" s="205"/>
      <c r="U532" s="205"/>
      <c r="V532" s="205"/>
      <c r="W532" s="17"/>
      <c r="X532" s="17"/>
      <c r="Y532" s="17"/>
      <c r="Z532" s="17"/>
      <c r="AA532" s="17"/>
      <c r="AB532" s="17"/>
    </row>
    <row r="533">
      <c r="A533" s="17"/>
      <c r="B533" s="17"/>
      <c r="C533" s="17"/>
      <c r="D533" s="17"/>
      <c r="E533" s="17"/>
      <c r="F533" s="301"/>
      <c r="G533" s="17"/>
      <c r="H533" s="17"/>
      <c r="I533" s="17"/>
      <c r="J533" s="17"/>
      <c r="K533" s="17"/>
      <c r="L533" s="17"/>
      <c r="M533" s="17"/>
      <c r="N533" s="17"/>
      <c r="O533" s="17"/>
      <c r="P533" s="17"/>
      <c r="Q533" s="17"/>
      <c r="R533" s="17"/>
      <c r="S533" s="205"/>
      <c r="T533" s="205"/>
      <c r="U533" s="205"/>
      <c r="V533" s="205"/>
      <c r="W533" s="17"/>
      <c r="X533" s="17"/>
      <c r="Y533" s="17"/>
      <c r="Z533" s="17"/>
      <c r="AA533" s="17"/>
      <c r="AB533" s="17"/>
    </row>
    <row r="534">
      <c r="A534" s="17"/>
      <c r="B534" s="17"/>
      <c r="C534" s="17"/>
      <c r="D534" s="17"/>
      <c r="E534" s="17"/>
      <c r="F534" s="301"/>
      <c r="G534" s="17"/>
      <c r="H534" s="17"/>
      <c r="I534" s="17"/>
      <c r="J534" s="17"/>
      <c r="K534" s="17"/>
      <c r="L534" s="17"/>
      <c r="M534" s="17"/>
      <c r="N534" s="17"/>
      <c r="O534" s="17"/>
      <c r="P534" s="17"/>
      <c r="Q534" s="17"/>
      <c r="R534" s="17"/>
      <c r="S534" s="205"/>
      <c r="T534" s="205"/>
      <c r="U534" s="205"/>
      <c r="V534" s="205"/>
      <c r="W534" s="17"/>
      <c r="X534" s="17"/>
      <c r="Y534" s="17"/>
      <c r="Z534" s="17"/>
      <c r="AA534" s="17"/>
      <c r="AB534" s="17"/>
    </row>
    <row r="535">
      <c r="A535" s="17"/>
      <c r="B535" s="17"/>
      <c r="C535" s="17"/>
      <c r="D535" s="17"/>
      <c r="E535" s="17"/>
      <c r="F535" s="301"/>
      <c r="G535" s="17"/>
      <c r="H535" s="17"/>
      <c r="I535" s="17"/>
      <c r="J535" s="17"/>
      <c r="K535" s="17"/>
      <c r="L535" s="17"/>
      <c r="M535" s="17"/>
      <c r="N535" s="17"/>
      <c r="O535" s="17"/>
      <c r="P535" s="17"/>
      <c r="Q535" s="17"/>
      <c r="R535" s="17"/>
      <c r="S535" s="205"/>
      <c r="T535" s="205"/>
      <c r="U535" s="205"/>
      <c r="V535" s="205"/>
      <c r="W535" s="17"/>
      <c r="X535" s="17"/>
      <c r="Y535" s="17"/>
      <c r="Z535" s="17"/>
      <c r="AA535" s="17"/>
      <c r="AB535" s="17"/>
    </row>
    <row r="536">
      <c r="A536" s="17"/>
      <c r="B536" s="17"/>
      <c r="C536" s="17"/>
      <c r="D536" s="17"/>
      <c r="E536" s="17"/>
      <c r="F536" s="301"/>
      <c r="G536" s="17"/>
      <c r="H536" s="17"/>
      <c r="I536" s="17"/>
      <c r="J536" s="17"/>
      <c r="K536" s="17"/>
      <c r="L536" s="17"/>
      <c r="M536" s="17"/>
      <c r="N536" s="17"/>
      <c r="O536" s="17"/>
      <c r="P536" s="17"/>
      <c r="Q536" s="17"/>
      <c r="R536" s="17"/>
      <c r="S536" s="205"/>
      <c r="T536" s="205"/>
      <c r="U536" s="205"/>
      <c r="V536" s="205"/>
      <c r="W536" s="17"/>
      <c r="X536" s="17"/>
      <c r="Y536" s="17"/>
      <c r="Z536" s="17"/>
      <c r="AA536" s="17"/>
      <c r="AB536" s="17"/>
    </row>
    <row r="537">
      <c r="A537" s="17"/>
      <c r="B537" s="17"/>
      <c r="C537" s="17"/>
      <c r="D537" s="17"/>
      <c r="E537" s="17"/>
      <c r="F537" s="301"/>
      <c r="G537" s="17"/>
      <c r="H537" s="17"/>
      <c r="I537" s="17"/>
      <c r="J537" s="17"/>
      <c r="K537" s="17"/>
      <c r="L537" s="17"/>
      <c r="M537" s="17"/>
      <c r="N537" s="17"/>
      <c r="O537" s="17"/>
      <c r="P537" s="17"/>
      <c r="Q537" s="17"/>
      <c r="R537" s="17"/>
      <c r="S537" s="205"/>
      <c r="T537" s="205"/>
      <c r="U537" s="205"/>
      <c r="V537" s="205"/>
      <c r="W537" s="17"/>
      <c r="X537" s="17"/>
      <c r="Y537" s="17"/>
      <c r="Z537" s="17"/>
      <c r="AA537" s="17"/>
      <c r="AB537" s="17"/>
    </row>
    <row r="538">
      <c r="A538" s="17"/>
      <c r="B538" s="17"/>
      <c r="C538" s="17"/>
      <c r="D538" s="17"/>
      <c r="E538" s="17"/>
      <c r="F538" s="301"/>
      <c r="G538" s="17"/>
      <c r="H538" s="17"/>
      <c r="I538" s="17"/>
      <c r="J538" s="17"/>
      <c r="K538" s="17"/>
      <c r="L538" s="17"/>
      <c r="M538" s="17"/>
      <c r="N538" s="17"/>
      <c r="O538" s="17"/>
      <c r="P538" s="17"/>
      <c r="Q538" s="17"/>
      <c r="R538" s="17"/>
      <c r="S538" s="205"/>
      <c r="T538" s="205"/>
      <c r="U538" s="205"/>
      <c r="V538" s="205"/>
      <c r="W538" s="17"/>
      <c r="X538" s="17"/>
      <c r="Y538" s="17"/>
      <c r="Z538" s="17"/>
      <c r="AA538" s="17"/>
      <c r="AB538" s="17"/>
    </row>
    <row r="539">
      <c r="A539" s="17"/>
      <c r="B539" s="17"/>
      <c r="C539" s="17"/>
      <c r="D539" s="17"/>
      <c r="E539" s="17"/>
      <c r="F539" s="301"/>
      <c r="G539" s="17"/>
      <c r="H539" s="17"/>
      <c r="I539" s="17"/>
      <c r="J539" s="17"/>
      <c r="K539" s="17"/>
      <c r="L539" s="17"/>
      <c r="M539" s="17"/>
      <c r="N539" s="17"/>
      <c r="O539" s="17"/>
      <c r="P539" s="17"/>
      <c r="Q539" s="17"/>
      <c r="R539" s="17"/>
      <c r="S539" s="205"/>
      <c r="T539" s="205"/>
      <c r="U539" s="205"/>
      <c r="V539" s="205"/>
      <c r="W539" s="17"/>
      <c r="X539" s="17"/>
      <c r="Y539" s="17"/>
      <c r="Z539" s="17"/>
      <c r="AA539" s="17"/>
      <c r="AB539" s="17"/>
    </row>
    <row r="540">
      <c r="A540" s="17"/>
      <c r="B540" s="17"/>
      <c r="C540" s="17"/>
      <c r="D540" s="17"/>
      <c r="E540" s="17"/>
      <c r="F540" s="301"/>
      <c r="G540" s="17"/>
      <c r="H540" s="17"/>
      <c r="I540" s="17"/>
      <c r="J540" s="17"/>
      <c r="K540" s="17"/>
      <c r="L540" s="17"/>
      <c r="M540" s="17"/>
      <c r="N540" s="17"/>
      <c r="O540" s="17"/>
      <c r="P540" s="17"/>
      <c r="Q540" s="17"/>
      <c r="R540" s="17"/>
      <c r="S540" s="205"/>
      <c r="T540" s="205"/>
      <c r="U540" s="205"/>
      <c r="V540" s="205"/>
      <c r="W540" s="17"/>
      <c r="X540" s="17"/>
      <c r="Y540" s="17"/>
      <c r="Z540" s="17"/>
      <c r="AA540" s="17"/>
      <c r="AB540" s="17"/>
    </row>
    <row r="541">
      <c r="A541" s="17"/>
      <c r="B541" s="17"/>
      <c r="C541" s="17"/>
      <c r="D541" s="17"/>
      <c r="E541" s="17"/>
      <c r="F541" s="301"/>
      <c r="G541" s="17"/>
      <c r="H541" s="17"/>
      <c r="I541" s="17"/>
      <c r="J541" s="17"/>
      <c r="K541" s="17"/>
      <c r="L541" s="17"/>
      <c r="M541" s="17"/>
      <c r="N541" s="17"/>
      <c r="O541" s="17"/>
      <c r="P541" s="17"/>
      <c r="Q541" s="17"/>
      <c r="R541" s="17"/>
      <c r="S541" s="205"/>
      <c r="T541" s="205"/>
      <c r="U541" s="205"/>
      <c r="V541" s="205"/>
      <c r="W541" s="17"/>
      <c r="X541" s="17"/>
      <c r="Y541" s="17"/>
      <c r="Z541" s="17"/>
      <c r="AA541" s="17"/>
      <c r="AB541" s="17"/>
    </row>
    <row r="542">
      <c r="A542" s="17"/>
      <c r="B542" s="17"/>
      <c r="C542" s="17"/>
      <c r="D542" s="17"/>
      <c r="E542" s="17"/>
      <c r="F542" s="301"/>
      <c r="G542" s="17"/>
      <c r="H542" s="17"/>
      <c r="I542" s="17"/>
      <c r="J542" s="17"/>
      <c r="K542" s="17"/>
      <c r="L542" s="17"/>
      <c r="M542" s="17"/>
      <c r="N542" s="17"/>
      <c r="O542" s="17"/>
      <c r="P542" s="17"/>
      <c r="Q542" s="17"/>
      <c r="R542" s="17"/>
      <c r="S542" s="205"/>
      <c r="T542" s="205"/>
      <c r="U542" s="205"/>
      <c r="V542" s="205"/>
      <c r="W542" s="17"/>
      <c r="X542" s="17"/>
      <c r="Y542" s="17"/>
      <c r="Z542" s="17"/>
      <c r="AA542" s="17"/>
      <c r="AB542" s="17"/>
    </row>
    <row r="543">
      <c r="A543" s="17"/>
      <c r="B543" s="17"/>
      <c r="C543" s="17"/>
      <c r="D543" s="17"/>
      <c r="E543" s="17"/>
      <c r="F543" s="301"/>
      <c r="G543" s="17"/>
      <c r="H543" s="17"/>
      <c r="I543" s="17"/>
      <c r="J543" s="17"/>
      <c r="K543" s="17"/>
      <c r="L543" s="17"/>
      <c r="M543" s="17"/>
      <c r="N543" s="17"/>
      <c r="O543" s="17"/>
      <c r="P543" s="17"/>
      <c r="Q543" s="17"/>
      <c r="R543" s="17"/>
      <c r="S543" s="205"/>
      <c r="T543" s="205"/>
      <c r="U543" s="205"/>
      <c r="V543" s="205"/>
      <c r="W543" s="17"/>
      <c r="X543" s="17"/>
      <c r="Y543" s="17"/>
      <c r="Z543" s="17"/>
      <c r="AA543" s="17"/>
      <c r="AB543" s="17"/>
    </row>
    <row r="544">
      <c r="A544" s="17"/>
      <c r="B544" s="17"/>
      <c r="C544" s="17"/>
      <c r="D544" s="17"/>
      <c r="E544" s="17"/>
      <c r="F544" s="301"/>
      <c r="G544" s="17"/>
      <c r="H544" s="17"/>
      <c r="I544" s="17"/>
      <c r="J544" s="17"/>
      <c r="K544" s="17"/>
      <c r="L544" s="17"/>
      <c r="M544" s="17"/>
      <c r="N544" s="17"/>
      <c r="O544" s="17"/>
      <c r="P544" s="17"/>
      <c r="Q544" s="17"/>
      <c r="R544" s="17"/>
      <c r="S544" s="205"/>
      <c r="T544" s="205"/>
      <c r="U544" s="205"/>
      <c r="V544" s="205"/>
      <c r="W544" s="17"/>
      <c r="X544" s="17"/>
      <c r="Y544" s="17"/>
      <c r="Z544" s="17"/>
      <c r="AA544" s="17"/>
      <c r="AB544" s="17"/>
    </row>
    <row r="545">
      <c r="A545" s="17"/>
      <c r="B545" s="17"/>
      <c r="C545" s="17"/>
      <c r="D545" s="17"/>
      <c r="E545" s="17"/>
      <c r="F545" s="301"/>
      <c r="G545" s="17"/>
      <c r="H545" s="17"/>
      <c r="I545" s="17"/>
      <c r="J545" s="17"/>
      <c r="K545" s="17"/>
      <c r="L545" s="17"/>
      <c r="M545" s="17"/>
      <c r="N545" s="17"/>
      <c r="O545" s="17"/>
      <c r="P545" s="17"/>
      <c r="Q545" s="17"/>
      <c r="R545" s="17"/>
      <c r="S545" s="205"/>
      <c r="T545" s="205"/>
      <c r="U545" s="205"/>
      <c r="V545" s="205"/>
      <c r="W545" s="17"/>
      <c r="X545" s="17"/>
      <c r="Y545" s="17"/>
      <c r="Z545" s="17"/>
      <c r="AA545" s="17"/>
      <c r="AB545" s="17"/>
    </row>
    <row r="546">
      <c r="A546" s="17"/>
      <c r="B546" s="17"/>
      <c r="C546" s="17"/>
      <c r="D546" s="17"/>
      <c r="E546" s="17"/>
      <c r="F546" s="301"/>
      <c r="G546" s="17"/>
      <c r="H546" s="17"/>
      <c r="I546" s="17"/>
      <c r="J546" s="17"/>
      <c r="K546" s="17"/>
      <c r="L546" s="17"/>
      <c r="M546" s="17"/>
      <c r="N546" s="17"/>
      <c r="O546" s="17"/>
      <c r="P546" s="17"/>
      <c r="Q546" s="17"/>
      <c r="R546" s="17"/>
      <c r="S546" s="205"/>
      <c r="T546" s="205"/>
      <c r="U546" s="205"/>
      <c r="V546" s="205"/>
      <c r="W546" s="17"/>
      <c r="X546" s="17"/>
      <c r="Y546" s="17"/>
      <c r="Z546" s="17"/>
      <c r="AA546" s="17"/>
      <c r="AB546" s="17"/>
    </row>
    <row r="547">
      <c r="A547" s="17"/>
      <c r="B547" s="17"/>
      <c r="C547" s="17"/>
      <c r="D547" s="17"/>
      <c r="E547" s="17"/>
      <c r="F547" s="301"/>
      <c r="G547" s="17"/>
      <c r="H547" s="17"/>
      <c r="I547" s="17"/>
      <c r="J547" s="17"/>
      <c r="K547" s="17"/>
      <c r="L547" s="17"/>
      <c r="M547" s="17"/>
      <c r="N547" s="17"/>
      <c r="O547" s="17"/>
      <c r="P547" s="17"/>
      <c r="Q547" s="17"/>
      <c r="R547" s="17"/>
      <c r="S547" s="205"/>
      <c r="T547" s="205"/>
      <c r="U547" s="205"/>
      <c r="V547" s="205"/>
      <c r="W547" s="17"/>
      <c r="X547" s="17"/>
      <c r="Y547" s="17"/>
      <c r="Z547" s="17"/>
      <c r="AA547" s="17"/>
      <c r="AB547" s="17"/>
    </row>
    <row r="548">
      <c r="A548" s="17"/>
      <c r="B548" s="17"/>
      <c r="C548" s="17"/>
      <c r="D548" s="17"/>
      <c r="E548" s="17"/>
      <c r="F548" s="301"/>
      <c r="G548" s="17"/>
      <c r="H548" s="17"/>
      <c r="I548" s="17"/>
      <c r="J548" s="17"/>
      <c r="K548" s="17"/>
      <c r="L548" s="17"/>
      <c r="M548" s="17"/>
      <c r="N548" s="17"/>
      <c r="O548" s="17"/>
      <c r="P548" s="17"/>
      <c r="Q548" s="17"/>
      <c r="R548" s="17"/>
      <c r="S548" s="205"/>
      <c r="T548" s="205"/>
      <c r="U548" s="205"/>
      <c r="V548" s="205"/>
      <c r="W548" s="17"/>
      <c r="X548" s="17"/>
      <c r="Y548" s="17"/>
      <c r="Z548" s="17"/>
      <c r="AA548" s="17"/>
      <c r="AB548" s="17"/>
    </row>
    <row r="549">
      <c r="A549" s="17"/>
      <c r="B549" s="17"/>
      <c r="C549" s="17"/>
      <c r="D549" s="17"/>
      <c r="E549" s="17"/>
      <c r="F549" s="301"/>
      <c r="G549" s="17"/>
      <c r="H549" s="17"/>
      <c r="I549" s="17"/>
      <c r="J549" s="17"/>
      <c r="K549" s="17"/>
      <c r="L549" s="17"/>
      <c r="M549" s="17"/>
      <c r="N549" s="17"/>
      <c r="O549" s="17"/>
      <c r="P549" s="17"/>
      <c r="Q549" s="17"/>
      <c r="R549" s="17"/>
      <c r="S549" s="205"/>
      <c r="T549" s="205"/>
      <c r="U549" s="205"/>
      <c r="V549" s="205"/>
      <c r="W549" s="17"/>
      <c r="X549" s="17"/>
      <c r="Y549" s="17"/>
      <c r="Z549" s="17"/>
      <c r="AA549" s="17"/>
      <c r="AB549" s="17"/>
    </row>
    <row r="550">
      <c r="A550" s="17"/>
      <c r="B550" s="17"/>
      <c r="C550" s="17"/>
      <c r="D550" s="17"/>
      <c r="E550" s="17"/>
      <c r="F550" s="301"/>
      <c r="G550" s="17"/>
      <c r="H550" s="17"/>
      <c r="I550" s="17"/>
      <c r="J550" s="17"/>
      <c r="K550" s="17"/>
      <c r="L550" s="17"/>
      <c r="M550" s="17"/>
      <c r="N550" s="17"/>
      <c r="O550" s="17"/>
      <c r="P550" s="17"/>
      <c r="Q550" s="17"/>
      <c r="R550" s="17"/>
      <c r="S550" s="205"/>
      <c r="T550" s="205"/>
      <c r="U550" s="205"/>
      <c r="V550" s="205"/>
      <c r="W550" s="17"/>
      <c r="X550" s="17"/>
      <c r="Y550" s="17"/>
      <c r="Z550" s="17"/>
      <c r="AA550" s="17"/>
      <c r="AB550" s="17"/>
    </row>
    <row r="551">
      <c r="A551" s="17"/>
      <c r="B551" s="17"/>
      <c r="C551" s="17"/>
      <c r="D551" s="17"/>
      <c r="E551" s="17"/>
      <c r="F551" s="301"/>
      <c r="G551" s="17"/>
      <c r="H551" s="17"/>
      <c r="I551" s="17"/>
      <c r="J551" s="17"/>
      <c r="K551" s="17"/>
      <c r="L551" s="17"/>
      <c r="M551" s="17"/>
      <c r="N551" s="17"/>
      <c r="O551" s="17"/>
      <c r="P551" s="17"/>
      <c r="Q551" s="17"/>
      <c r="R551" s="17"/>
      <c r="S551" s="205"/>
      <c r="T551" s="205"/>
      <c r="U551" s="205"/>
      <c r="V551" s="205"/>
      <c r="W551" s="17"/>
      <c r="X551" s="17"/>
      <c r="Y551" s="17"/>
      <c r="Z551" s="17"/>
      <c r="AA551" s="17"/>
      <c r="AB551" s="17"/>
    </row>
    <row r="552">
      <c r="A552" s="17"/>
      <c r="B552" s="17"/>
      <c r="C552" s="17"/>
      <c r="D552" s="17"/>
      <c r="E552" s="17"/>
      <c r="F552" s="301"/>
      <c r="G552" s="17"/>
      <c r="H552" s="17"/>
      <c r="I552" s="17"/>
      <c r="J552" s="17"/>
      <c r="K552" s="17"/>
      <c r="L552" s="17"/>
      <c r="M552" s="17"/>
      <c r="N552" s="17"/>
      <c r="O552" s="17"/>
      <c r="P552" s="17"/>
      <c r="Q552" s="17"/>
      <c r="R552" s="17"/>
      <c r="S552" s="205"/>
      <c r="T552" s="205"/>
      <c r="U552" s="205"/>
      <c r="V552" s="205"/>
      <c r="W552" s="17"/>
      <c r="X552" s="17"/>
      <c r="Y552" s="17"/>
      <c r="Z552" s="17"/>
      <c r="AA552" s="17"/>
      <c r="AB552" s="17"/>
    </row>
    <row r="553">
      <c r="A553" s="17"/>
      <c r="B553" s="17"/>
      <c r="C553" s="17"/>
      <c r="D553" s="17"/>
      <c r="E553" s="17"/>
      <c r="F553" s="301"/>
      <c r="G553" s="17"/>
      <c r="H553" s="17"/>
      <c r="I553" s="17"/>
      <c r="J553" s="17"/>
      <c r="K553" s="17"/>
      <c r="L553" s="17"/>
      <c r="M553" s="17"/>
      <c r="N553" s="17"/>
      <c r="O553" s="17"/>
      <c r="P553" s="17"/>
      <c r="Q553" s="17"/>
      <c r="R553" s="17"/>
      <c r="S553" s="205"/>
      <c r="T553" s="205"/>
      <c r="U553" s="205"/>
      <c r="V553" s="205"/>
      <c r="W553" s="17"/>
      <c r="X553" s="17"/>
      <c r="Y553" s="17"/>
      <c r="Z553" s="17"/>
      <c r="AA553" s="17"/>
      <c r="AB553" s="17"/>
    </row>
    <row r="554">
      <c r="A554" s="17"/>
      <c r="B554" s="17"/>
      <c r="C554" s="17"/>
      <c r="D554" s="17"/>
      <c r="E554" s="17"/>
      <c r="F554" s="301"/>
      <c r="G554" s="17"/>
      <c r="H554" s="17"/>
      <c r="I554" s="17"/>
      <c r="J554" s="17"/>
      <c r="K554" s="17"/>
      <c r="L554" s="17"/>
      <c r="M554" s="17"/>
      <c r="N554" s="17"/>
      <c r="O554" s="17"/>
      <c r="P554" s="17"/>
      <c r="Q554" s="17"/>
      <c r="R554" s="17"/>
      <c r="S554" s="205"/>
      <c r="T554" s="205"/>
      <c r="U554" s="205"/>
      <c r="V554" s="205"/>
      <c r="W554" s="17"/>
      <c r="X554" s="17"/>
      <c r="Y554" s="17"/>
      <c r="Z554" s="17"/>
      <c r="AA554" s="17"/>
      <c r="AB554" s="17"/>
    </row>
    <row r="555">
      <c r="A555" s="17"/>
      <c r="B555" s="17"/>
      <c r="C555" s="17"/>
      <c r="D555" s="17"/>
      <c r="E555" s="17"/>
      <c r="F555" s="301"/>
      <c r="G555" s="17"/>
      <c r="H555" s="17"/>
      <c r="I555" s="17"/>
      <c r="J555" s="17"/>
      <c r="K555" s="17"/>
      <c r="L555" s="17"/>
      <c r="M555" s="17"/>
      <c r="N555" s="17"/>
      <c r="O555" s="17"/>
      <c r="P555" s="17"/>
      <c r="Q555" s="17"/>
      <c r="R555" s="17"/>
      <c r="S555" s="205"/>
      <c r="T555" s="205"/>
      <c r="U555" s="205"/>
      <c r="V555" s="205"/>
      <c r="W555" s="17"/>
      <c r="X555" s="17"/>
      <c r="Y555" s="17"/>
      <c r="Z555" s="17"/>
      <c r="AA555" s="17"/>
      <c r="AB555" s="17"/>
    </row>
    <row r="556">
      <c r="A556" s="17"/>
      <c r="B556" s="17"/>
      <c r="C556" s="17"/>
      <c r="D556" s="17"/>
      <c r="E556" s="17"/>
      <c r="F556" s="301"/>
      <c r="G556" s="17"/>
      <c r="H556" s="17"/>
      <c r="I556" s="17"/>
      <c r="J556" s="17"/>
      <c r="K556" s="17"/>
      <c r="L556" s="17"/>
      <c r="M556" s="17"/>
      <c r="N556" s="17"/>
      <c r="O556" s="17"/>
      <c r="P556" s="17"/>
      <c r="Q556" s="17"/>
      <c r="R556" s="17"/>
      <c r="S556" s="205"/>
      <c r="T556" s="205"/>
      <c r="U556" s="205"/>
      <c r="V556" s="205"/>
      <c r="W556" s="17"/>
      <c r="X556" s="17"/>
      <c r="Y556" s="17"/>
      <c r="Z556" s="17"/>
      <c r="AA556" s="17"/>
      <c r="AB556" s="17"/>
    </row>
    <row r="557">
      <c r="A557" s="17"/>
      <c r="B557" s="17"/>
      <c r="C557" s="17"/>
      <c r="D557" s="17"/>
      <c r="E557" s="17"/>
      <c r="F557" s="301"/>
      <c r="G557" s="17"/>
      <c r="H557" s="17"/>
      <c r="I557" s="17"/>
      <c r="J557" s="17"/>
      <c r="K557" s="17"/>
      <c r="L557" s="17"/>
      <c r="M557" s="17"/>
      <c r="N557" s="17"/>
      <c r="O557" s="17"/>
      <c r="P557" s="17"/>
      <c r="Q557" s="17"/>
      <c r="R557" s="17"/>
      <c r="S557" s="205"/>
      <c r="T557" s="205"/>
      <c r="U557" s="205"/>
      <c r="V557" s="205"/>
      <c r="W557" s="17"/>
      <c r="X557" s="17"/>
      <c r="Y557" s="17"/>
      <c r="Z557" s="17"/>
      <c r="AA557" s="17"/>
      <c r="AB557" s="17"/>
    </row>
    <row r="558">
      <c r="A558" s="17"/>
      <c r="B558" s="17"/>
      <c r="C558" s="17"/>
      <c r="D558" s="17"/>
      <c r="E558" s="17"/>
      <c r="F558" s="301"/>
      <c r="G558" s="17"/>
      <c r="H558" s="17"/>
      <c r="I558" s="17"/>
      <c r="J558" s="17"/>
      <c r="K558" s="17"/>
      <c r="L558" s="17"/>
      <c r="M558" s="17"/>
      <c r="N558" s="17"/>
      <c r="O558" s="17"/>
      <c r="P558" s="17"/>
      <c r="Q558" s="17"/>
      <c r="R558" s="17"/>
      <c r="S558" s="205"/>
      <c r="T558" s="205"/>
      <c r="U558" s="205"/>
      <c r="V558" s="205"/>
      <c r="W558" s="17"/>
      <c r="X558" s="17"/>
      <c r="Y558" s="17"/>
      <c r="Z558" s="17"/>
      <c r="AA558" s="17"/>
      <c r="AB558" s="17"/>
    </row>
    <row r="559">
      <c r="A559" s="17"/>
      <c r="B559" s="17"/>
      <c r="C559" s="17"/>
      <c r="D559" s="17"/>
      <c r="E559" s="17"/>
      <c r="F559" s="301"/>
      <c r="G559" s="17"/>
      <c r="H559" s="17"/>
      <c r="I559" s="17"/>
      <c r="J559" s="17"/>
      <c r="K559" s="17"/>
      <c r="L559" s="17"/>
      <c r="M559" s="17"/>
      <c r="N559" s="17"/>
      <c r="O559" s="17"/>
      <c r="P559" s="17"/>
      <c r="Q559" s="17"/>
      <c r="R559" s="17"/>
      <c r="S559" s="205"/>
      <c r="T559" s="205"/>
      <c r="U559" s="205"/>
      <c r="V559" s="205"/>
      <c r="W559" s="17"/>
      <c r="X559" s="17"/>
      <c r="Y559" s="17"/>
      <c r="Z559" s="17"/>
      <c r="AA559" s="17"/>
      <c r="AB559" s="17"/>
    </row>
    <row r="560">
      <c r="A560" s="17"/>
      <c r="B560" s="17"/>
      <c r="C560" s="17"/>
      <c r="D560" s="17"/>
      <c r="E560" s="17"/>
      <c r="F560" s="301"/>
      <c r="G560" s="17"/>
      <c r="H560" s="17"/>
      <c r="I560" s="17"/>
      <c r="J560" s="17"/>
      <c r="K560" s="17"/>
      <c r="L560" s="17"/>
      <c r="M560" s="17"/>
      <c r="N560" s="17"/>
      <c r="O560" s="17"/>
      <c r="P560" s="17"/>
      <c r="Q560" s="17"/>
      <c r="R560" s="17"/>
      <c r="S560" s="205"/>
      <c r="T560" s="205"/>
      <c r="U560" s="205"/>
      <c r="V560" s="205"/>
      <c r="W560" s="17"/>
      <c r="X560" s="17"/>
      <c r="Y560" s="17"/>
      <c r="Z560" s="17"/>
      <c r="AA560" s="17"/>
      <c r="AB560" s="17"/>
    </row>
    <row r="561">
      <c r="A561" s="17"/>
      <c r="B561" s="17"/>
      <c r="C561" s="17"/>
      <c r="D561" s="17"/>
      <c r="E561" s="17"/>
      <c r="F561" s="301"/>
      <c r="G561" s="17"/>
      <c r="H561" s="17"/>
      <c r="I561" s="17"/>
      <c r="J561" s="17"/>
      <c r="K561" s="17"/>
      <c r="L561" s="17"/>
      <c r="M561" s="17"/>
      <c r="N561" s="17"/>
      <c r="O561" s="17"/>
      <c r="P561" s="17"/>
      <c r="Q561" s="17"/>
      <c r="R561" s="17"/>
      <c r="S561" s="205"/>
      <c r="T561" s="205"/>
      <c r="U561" s="205"/>
      <c r="V561" s="205"/>
      <c r="W561" s="17"/>
      <c r="X561" s="17"/>
      <c r="Y561" s="17"/>
      <c r="Z561" s="17"/>
      <c r="AA561" s="17"/>
      <c r="AB561" s="17"/>
    </row>
    <row r="562">
      <c r="A562" s="17"/>
      <c r="B562" s="17"/>
      <c r="C562" s="17"/>
      <c r="D562" s="17"/>
      <c r="E562" s="17"/>
      <c r="F562" s="301"/>
      <c r="G562" s="17"/>
      <c r="H562" s="17"/>
      <c r="I562" s="17"/>
      <c r="J562" s="17"/>
      <c r="K562" s="17"/>
      <c r="L562" s="17"/>
      <c r="M562" s="17"/>
      <c r="N562" s="17"/>
      <c r="O562" s="17"/>
      <c r="P562" s="17"/>
      <c r="Q562" s="17"/>
      <c r="R562" s="17"/>
      <c r="S562" s="205"/>
      <c r="T562" s="205"/>
      <c r="U562" s="205"/>
      <c r="V562" s="205"/>
      <c r="W562" s="17"/>
      <c r="X562" s="17"/>
      <c r="Y562" s="17"/>
      <c r="Z562" s="17"/>
      <c r="AA562" s="17"/>
      <c r="AB562" s="17"/>
    </row>
    <row r="563">
      <c r="A563" s="17"/>
      <c r="B563" s="17"/>
      <c r="C563" s="17"/>
      <c r="D563" s="17"/>
      <c r="E563" s="17"/>
      <c r="F563" s="301"/>
      <c r="G563" s="17"/>
      <c r="H563" s="17"/>
      <c r="I563" s="17"/>
      <c r="J563" s="17"/>
      <c r="K563" s="17"/>
      <c r="L563" s="17"/>
      <c r="M563" s="17"/>
      <c r="N563" s="17"/>
      <c r="O563" s="17"/>
      <c r="P563" s="17"/>
      <c r="Q563" s="17"/>
      <c r="R563" s="17"/>
      <c r="S563" s="205"/>
      <c r="T563" s="205"/>
      <c r="U563" s="205"/>
      <c r="V563" s="205"/>
      <c r="W563" s="17"/>
      <c r="X563" s="17"/>
      <c r="Y563" s="17"/>
      <c r="Z563" s="17"/>
      <c r="AA563" s="17"/>
      <c r="AB563" s="17"/>
    </row>
    <row r="564">
      <c r="A564" s="17"/>
      <c r="B564" s="17"/>
      <c r="C564" s="17"/>
      <c r="D564" s="17"/>
      <c r="E564" s="17"/>
      <c r="F564" s="301"/>
      <c r="G564" s="17"/>
      <c r="H564" s="17"/>
      <c r="I564" s="17"/>
      <c r="J564" s="17"/>
      <c r="K564" s="17"/>
      <c r="L564" s="17"/>
      <c r="M564" s="17"/>
      <c r="N564" s="17"/>
      <c r="O564" s="17"/>
      <c r="P564" s="17"/>
      <c r="Q564" s="17"/>
      <c r="R564" s="17"/>
      <c r="S564" s="205"/>
      <c r="T564" s="205"/>
      <c r="U564" s="205"/>
      <c r="V564" s="205"/>
      <c r="W564" s="17"/>
      <c r="X564" s="17"/>
      <c r="Y564" s="17"/>
      <c r="Z564" s="17"/>
      <c r="AA564" s="17"/>
      <c r="AB564" s="17"/>
    </row>
    <row r="565">
      <c r="A565" s="17"/>
      <c r="B565" s="17"/>
      <c r="C565" s="17"/>
      <c r="D565" s="17"/>
      <c r="E565" s="17"/>
      <c r="F565" s="301"/>
      <c r="G565" s="17"/>
      <c r="H565" s="17"/>
      <c r="I565" s="17"/>
      <c r="J565" s="17"/>
      <c r="K565" s="17"/>
      <c r="L565" s="17"/>
      <c r="M565" s="17"/>
      <c r="N565" s="17"/>
      <c r="O565" s="17"/>
      <c r="P565" s="17"/>
      <c r="Q565" s="17"/>
      <c r="R565" s="17"/>
      <c r="S565" s="205"/>
      <c r="T565" s="205"/>
      <c r="U565" s="205"/>
      <c r="V565" s="205"/>
      <c r="W565" s="17"/>
      <c r="X565" s="17"/>
      <c r="Y565" s="17"/>
      <c r="Z565" s="17"/>
      <c r="AA565" s="17"/>
      <c r="AB565" s="17"/>
    </row>
    <row r="566">
      <c r="A566" s="17"/>
      <c r="B566" s="17"/>
      <c r="C566" s="17"/>
      <c r="D566" s="17"/>
      <c r="E566" s="17"/>
      <c r="F566" s="301"/>
      <c r="G566" s="17"/>
      <c r="H566" s="17"/>
      <c r="I566" s="17"/>
      <c r="J566" s="17"/>
      <c r="K566" s="17"/>
      <c r="L566" s="17"/>
      <c r="M566" s="17"/>
      <c r="N566" s="17"/>
      <c r="O566" s="17"/>
      <c r="P566" s="17"/>
      <c r="Q566" s="17"/>
      <c r="R566" s="17"/>
      <c r="S566" s="205"/>
      <c r="T566" s="205"/>
      <c r="U566" s="205"/>
      <c r="V566" s="205"/>
      <c r="W566" s="17"/>
      <c r="X566" s="17"/>
      <c r="Y566" s="17"/>
      <c r="Z566" s="17"/>
      <c r="AA566" s="17"/>
      <c r="AB566" s="17"/>
    </row>
    <row r="567">
      <c r="A567" s="17"/>
      <c r="B567" s="17"/>
      <c r="C567" s="17"/>
      <c r="D567" s="17"/>
      <c r="E567" s="17"/>
      <c r="F567" s="301"/>
      <c r="G567" s="17"/>
      <c r="H567" s="17"/>
      <c r="I567" s="17"/>
      <c r="J567" s="17"/>
      <c r="K567" s="17"/>
      <c r="L567" s="17"/>
      <c r="M567" s="17"/>
      <c r="N567" s="17"/>
      <c r="O567" s="17"/>
      <c r="P567" s="17"/>
      <c r="Q567" s="17"/>
      <c r="R567" s="17"/>
      <c r="S567" s="205"/>
      <c r="T567" s="205"/>
      <c r="U567" s="205"/>
      <c r="V567" s="205"/>
      <c r="W567" s="17"/>
      <c r="X567" s="17"/>
      <c r="Y567" s="17"/>
      <c r="Z567" s="17"/>
      <c r="AA567" s="17"/>
      <c r="AB567" s="17"/>
    </row>
    <row r="568">
      <c r="A568" s="17"/>
      <c r="B568" s="17"/>
      <c r="C568" s="17"/>
      <c r="D568" s="17"/>
      <c r="E568" s="17"/>
      <c r="F568" s="301"/>
      <c r="G568" s="17"/>
      <c r="H568" s="17"/>
      <c r="I568" s="17"/>
      <c r="J568" s="17"/>
      <c r="K568" s="17"/>
      <c r="L568" s="17"/>
      <c r="M568" s="17"/>
      <c r="N568" s="17"/>
      <c r="O568" s="17"/>
      <c r="P568" s="17"/>
      <c r="Q568" s="17"/>
      <c r="R568" s="17"/>
      <c r="S568" s="205"/>
      <c r="T568" s="205"/>
      <c r="U568" s="205"/>
      <c r="V568" s="205"/>
      <c r="W568" s="17"/>
      <c r="X568" s="17"/>
      <c r="Y568" s="17"/>
      <c r="Z568" s="17"/>
      <c r="AA568" s="17"/>
      <c r="AB568" s="17"/>
    </row>
    <row r="569">
      <c r="A569" s="17"/>
      <c r="B569" s="17"/>
      <c r="C569" s="17"/>
      <c r="D569" s="17"/>
      <c r="E569" s="17"/>
      <c r="F569" s="301"/>
      <c r="G569" s="17"/>
      <c r="H569" s="17"/>
      <c r="I569" s="17"/>
      <c r="J569" s="17"/>
      <c r="K569" s="17"/>
      <c r="L569" s="17"/>
      <c r="M569" s="17"/>
      <c r="N569" s="17"/>
      <c r="O569" s="17"/>
      <c r="P569" s="17"/>
      <c r="Q569" s="17"/>
      <c r="R569" s="17"/>
      <c r="S569" s="205"/>
      <c r="T569" s="205"/>
      <c r="U569" s="205"/>
      <c r="V569" s="205"/>
      <c r="W569" s="17"/>
      <c r="X569" s="17"/>
      <c r="Y569" s="17"/>
      <c r="Z569" s="17"/>
      <c r="AA569" s="17"/>
      <c r="AB569" s="17"/>
    </row>
    <row r="570">
      <c r="A570" s="17"/>
      <c r="B570" s="17"/>
      <c r="C570" s="17"/>
      <c r="D570" s="17"/>
      <c r="E570" s="17"/>
      <c r="F570" s="301"/>
      <c r="G570" s="17"/>
      <c r="H570" s="17"/>
      <c r="I570" s="17"/>
      <c r="J570" s="17"/>
      <c r="K570" s="17"/>
      <c r="L570" s="17"/>
      <c r="M570" s="17"/>
      <c r="N570" s="17"/>
      <c r="O570" s="17"/>
      <c r="P570" s="17"/>
      <c r="Q570" s="17"/>
      <c r="R570" s="17"/>
      <c r="S570" s="205"/>
      <c r="T570" s="205"/>
      <c r="U570" s="205"/>
      <c r="V570" s="205"/>
      <c r="W570" s="17"/>
      <c r="X570" s="17"/>
      <c r="Y570" s="17"/>
      <c r="Z570" s="17"/>
      <c r="AA570" s="17"/>
      <c r="AB570" s="17"/>
    </row>
    <row r="571">
      <c r="A571" s="17"/>
      <c r="B571" s="17"/>
      <c r="C571" s="17"/>
      <c r="D571" s="17"/>
      <c r="E571" s="17"/>
      <c r="F571" s="301"/>
      <c r="G571" s="17"/>
      <c r="H571" s="17"/>
      <c r="I571" s="17"/>
      <c r="J571" s="17"/>
      <c r="K571" s="17"/>
      <c r="L571" s="17"/>
      <c r="M571" s="17"/>
      <c r="N571" s="17"/>
      <c r="O571" s="17"/>
      <c r="P571" s="17"/>
      <c r="Q571" s="17"/>
      <c r="R571" s="17"/>
      <c r="S571" s="205"/>
      <c r="T571" s="205"/>
      <c r="U571" s="205"/>
      <c r="V571" s="205"/>
      <c r="W571" s="17"/>
      <c r="X571" s="17"/>
      <c r="Y571" s="17"/>
      <c r="Z571" s="17"/>
      <c r="AA571" s="17"/>
      <c r="AB571" s="17"/>
    </row>
    <row r="572">
      <c r="A572" s="17"/>
      <c r="B572" s="17"/>
      <c r="C572" s="17"/>
      <c r="D572" s="17"/>
      <c r="E572" s="17"/>
      <c r="F572" s="301"/>
      <c r="G572" s="17"/>
      <c r="H572" s="17"/>
      <c r="I572" s="17"/>
      <c r="J572" s="17"/>
      <c r="K572" s="17"/>
      <c r="L572" s="17"/>
      <c r="M572" s="17"/>
      <c r="N572" s="17"/>
      <c r="O572" s="17"/>
      <c r="P572" s="17"/>
      <c r="Q572" s="17"/>
      <c r="R572" s="17"/>
      <c r="S572" s="205"/>
      <c r="T572" s="205"/>
      <c r="U572" s="205"/>
      <c r="V572" s="205"/>
      <c r="W572" s="17"/>
      <c r="X572" s="17"/>
      <c r="Y572" s="17"/>
      <c r="Z572" s="17"/>
      <c r="AA572" s="17"/>
      <c r="AB572" s="17"/>
    </row>
    <row r="573">
      <c r="A573" s="17"/>
      <c r="B573" s="17"/>
      <c r="C573" s="17"/>
      <c r="D573" s="17"/>
      <c r="E573" s="17"/>
      <c r="F573" s="301"/>
      <c r="G573" s="17"/>
      <c r="H573" s="17"/>
      <c r="I573" s="17"/>
      <c r="J573" s="17"/>
      <c r="K573" s="17"/>
      <c r="L573" s="17"/>
      <c r="M573" s="17"/>
      <c r="N573" s="17"/>
      <c r="O573" s="17"/>
      <c r="P573" s="17"/>
      <c r="Q573" s="17"/>
      <c r="R573" s="17"/>
      <c r="S573" s="205"/>
      <c r="T573" s="205"/>
      <c r="U573" s="205"/>
      <c r="V573" s="205"/>
      <c r="W573" s="17"/>
      <c r="X573" s="17"/>
      <c r="Y573" s="17"/>
      <c r="Z573" s="17"/>
      <c r="AA573" s="17"/>
      <c r="AB573" s="17"/>
    </row>
    <row r="574">
      <c r="A574" s="17"/>
      <c r="B574" s="17"/>
      <c r="C574" s="17"/>
      <c r="D574" s="17"/>
      <c r="E574" s="17"/>
      <c r="F574" s="301"/>
      <c r="G574" s="17"/>
      <c r="H574" s="17"/>
      <c r="I574" s="17"/>
      <c r="J574" s="17"/>
      <c r="K574" s="17"/>
      <c r="L574" s="17"/>
      <c r="M574" s="17"/>
      <c r="N574" s="17"/>
      <c r="O574" s="17"/>
      <c r="P574" s="17"/>
      <c r="Q574" s="17"/>
      <c r="R574" s="17"/>
      <c r="S574" s="205"/>
      <c r="T574" s="205"/>
      <c r="U574" s="205"/>
      <c r="V574" s="205"/>
      <c r="W574" s="17"/>
      <c r="X574" s="17"/>
      <c r="Y574" s="17"/>
      <c r="Z574" s="17"/>
      <c r="AA574" s="17"/>
      <c r="AB574" s="17"/>
    </row>
    <row r="575">
      <c r="A575" s="17"/>
      <c r="B575" s="17"/>
      <c r="C575" s="17"/>
      <c r="D575" s="17"/>
      <c r="E575" s="17"/>
      <c r="F575" s="301"/>
      <c r="G575" s="17"/>
      <c r="H575" s="17"/>
      <c r="I575" s="17"/>
      <c r="J575" s="17"/>
      <c r="K575" s="17"/>
      <c r="L575" s="17"/>
      <c r="M575" s="17"/>
      <c r="N575" s="17"/>
      <c r="O575" s="17"/>
      <c r="P575" s="17"/>
      <c r="Q575" s="17"/>
      <c r="R575" s="17"/>
      <c r="S575" s="205"/>
      <c r="T575" s="205"/>
      <c r="U575" s="205"/>
      <c r="V575" s="205"/>
      <c r="W575" s="17"/>
      <c r="X575" s="17"/>
      <c r="Y575" s="17"/>
      <c r="Z575" s="17"/>
      <c r="AA575" s="17"/>
      <c r="AB575" s="17"/>
    </row>
    <row r="576">
      <c r="A576" s="17"/>
      <c r="B576" s="17"/>
      <c r="C576" s="17"/>
      <c r="D576" s="17"/>
      <c r="E576" s="17"/>
      <c r="F576" s="301"/>
      <c r="G576" s="17"/>
      <c r="H576" s="17"/>
      <c r="I576" s="17"/>
      <c r="J576" s="17"/>
      <c r="K576" s="17"/>
      <c r="L576" s="17"/>
      <c r="M576" s="17"/>
      <c r="N576" s="17"/>
      <c r="O576" s="17"/>
      <c r="P576" s="17"/>
      <c r="Q576" s="17"/>
      <c r="R576" s="17"/>
      <c r="S576" s="205"/>
      <c r="T576" s="205"/>
      <c r="U576" s="205"/>
      <c r="V576" s="205"/>
      <c r="W576" s="17"/>
      <c r="X576" s="17"/>
      <c r="Y576" s="17"/>
      <c r="Z576" s="17"/>
      <c r="AA576" s="17"/>
      <c r="AB576" s="17"/>
    </row>
    <row r="577">
      <c r="A577" s="17"/>
      <c r="B577" s="17"/>
      <c r="C577" s="17"/>
      <c r="D577" s="17"/>
      <c r="E577" s="17"/>
      <c r="F577" s="301"/>
      <c r="G577" s="17"/>
      <c r="H577" s="17"/>
      <c r="I577" s="17"/>
      <c r="J577" s="17"/>
      <c r="K577" s="17"/>
      <c r="L577" s="17"/>
      <c r="M577" s="17"/>
      <c r="N577" s="17"/>
      <c r="O577" s="17"/>
      <c r="P577" s="17"/>
      <c r="Q577" s="17"/>
      <c r="R577" s="17"/>
      <c r="S577" s="205"/>
      <c r="T577" s="205"/>
      <c r="U577" s="205"/>
      <c r="V577" s="205"/>
      <c r="W577" s="17"/>
      <c r="X577" s="17"/>
      <c r="Y577" s="17"/>
      <c r="Z577" s="17"/>
      <c r="AA577" s="17"/>
      <c r="AB577" s="17"/>
    </row>
    <row r="578">
      <c r="A578" s="17"/>
      <c r="B578" s="17"/>
      <c r="C578" s="17"/>
      <c r="D578" s="17"/>
      <c r="E578" s="17"/>
      <c r="F578" s="301"/>
      <c r="G578" s="17"/>
      <c r="H578" s="17"/>
      <c r="I578" s="17"/>
      <c r="J578" s="17"/>
      <c r="K578" s="17"/>
      <c r="L578" s="17"/>
      <c r="M578" s="17"/>
      <c r="N578" s="17"/>
      <c r="O578" s="17"/>
      <c r="P578" s="17"/>
      <c r="Q578" s="17"/>
      <c r="R578" s="17"/>
      <c r="S578" s="205"/>
      <c r="T578" s="205"/>
      <c r="U578" s="205"/>
      <c r="V578" s="205"/>
      <c r="W578" s="17"/>
      <c r="X578" s="17"/>
      <c r="Y578" s="17"/>
      <c r="Z578" s="17"/>
      <c r="AA578" s="17"/>
      <c r="AB578" s="17"/>
    </row>
    <row r="579">
      <c r="A579" s="17"/>
      <c r="B579" s="17"/>
      <c r="C579" s="17"/>
      <c r="D579" s="17"/>
      <c r="E579" s="17"/>
      <c r="F579" s="301"/>
      <c r="G579" s="17"/>
      <c r="H579" s="17"/>
      <c r="I579" s="17"/>
      <c r="J579" s="17"/>
      <c r="K579" s="17"/>
      <c r="L579" s="17"/>
      <c r="M579" s="17"/>
      <c r="N579" s="17"/>
      <c r="O579" s="17"/>
      <c r="P579" s="17"/>
      <c r="Q579" s="17"/>
      <c r="R579" s="17"/>
      <c r="S579" s="205"/>
      <c r="T579" s="205"/>
      <c r="U579" s="205"/>
      <c r="V579" s="205"/>
      <c r="W579" s="17"/>
      <c r="X579" s="17"/>
      <c r="Y579" s="17"/>
      <c r="Z579" s="17"/>
      <c r="AA579" s="17"/>
      <c r="AB579" s="17"/>
    </row>
    <row r="580">
      <c r="A580" s="17"/>
      <c r="B580" s="17"/>
      <c r="C580" s="17"/>
      <c r="D580" s="17"/>
      <c r="E580" s="17"/>
      <c r="F580" s="301"/>
      <c r="G580" s="17"/>
      <c r="H580" s="17"/>
      <c r="I580" s="17"/>
      <c r="J580" s="17"/>
      <c r="K580" s="17"/>
      <c r="L580" s="17"/>
      <c r="M580" s="17"/>
      <c r="N580" s="17"/>
      <c r="O580" s="17"/>
      <c r="P580" s="17"/>
      <c r="Q580" s="17"/>
      <c r="R580" s="17"/>
      <c r="S580" s="205"/>
      <c r="T580" s="205"/>
      <c r="U580" s="205"/>
      <c r="V580" s="205"/>
      <c r="W580" s="17"/>
      <c r="X580" s="17"/>
      <c r="Y580" s="17"/>
      <c r="Z580" s="17"/>
      <c r="AA580" s="17"/>
      <c r="AB580" s="17"/>
    </row>
    <row r="581">
      <c r="A581" s="17"/>
      <c r="B581" s="17"/>
      <c r="C581" s="17"/>
      <c r="D581" s="17"/>
      <c r="E581" s="17"/>
      <c r="F581" s="301"/>
      <c r="G581" s="17"/>
      <c r="H581" s="17"/>
      <c r="I581" s="17"/>
      <c r="J581" s="17"/>
      <c r="K581" s="17"/>
      <c r="L581" s="17"/>
      <c r="M581" s="17"/>
      <c r="N581" s="17"/>
      <c r="O581" s="17"/>
      <c r="P581" s="17"/>
      <c r="Q581" s="17"/>
      <c r="R581" s="17"/>
      <c r="S581" s="205"/>
      <c r="T581" s="205"/>
      <c r="U581" s="205"/>
      <c r="V581" s="205"/>
      <c r="W581" s="17"/>
      <c r="X581" s="17"/>
      <c r="Y581" s="17"/>
      <c r="Z581" s="17"/>
      <c r="AA581" s="17"/>
      <c r="AB581" s="17"/>
    </row>
    <row r="582">
      <c r="A582" s="17"/>
      <c r="B582" s="17"/>
      <c r="C582" s="17"/>
      <c r="D582" s="17"/>
      <c r="E582" s="17"/>
      <c r="F582" s="301"/>
      <c r="G582" s="17"/>
      <c r="H582" s="17"/>
      <c r="I582" s="17"/>
      <c r="J582" s="17"/>
      <c r="K582" s="17"/>
      <c r="L582" s="17"/>
      <c r="M582" s="17"/>
      <c r="N582" s="17"/>
      <c r="O582" s="17"/>
      <c r="P582" s="17"/>
      <c r="Q582" s="17"/>
      <c r="R582" s="17"/>
      <c r="S582" s="205"/>
      <c r="T582" s="205"/>
      <c r="U582" s="205"/>
      <c r="V582" s="205"/>
      <c r="W582" s="17"/>
      <c r="X582" s="17"/>
      <c r="Y582" s="17"/>
      <c r="Z582" s="17"/>
      <c r="AA582" s="17"/>
      <c r="AB582" s="17"/>
    </row>
    <row r="583">
      <c r="A583" s="17"/>
      <c r="B583" s="17"/>
      <c r="C583" s="17"/>
      <c r="D583" s="17"/>
      <c r="E583" s="17"/>
      <c r="F583" s="301"/>
      <c r="G583" s="17"/>
      <c r="H583" s="17"/>
      <c r="I583" s="17"/>
      <c r="J583" s="17"/>
      <c r="K583" s="17"/>
      <c r="L583" s="17"/>
      <c r="M583" s="17"/>
      <c r="N583" s="17"/>
      <c r="O583" s="17"/>
      <c r="P583" s="17"/>
      <c r="Q583" s="17"/>
      <c r="R583" s="17"/>
      <c r="S583" s="205"/>
      <c r="T583" s="205"/>
      <c r="U583" s="205"/>
      <c r="V583" s="205"/>
      <c r="W583" s="17"/>
      <c r="X583" s="17"/>
      <c r="Y583" s="17"/>
      <c r="Z583" s="17"/>
      <c r="AA583" s="17"/>
      <c r="AB583" s="17"/>
    </row>
    <row r="584">
      <c r="A584" s="17"/>
      <c r="B584" s="17"/>
      <c r="C584" s="17"/>
      <c r="D584" s="17"/>
      <c r="E584" s="17"/>
      <c r="F584" s="301"/>
      <c r="G584" s="17"/>
      <c r="H584" s="17"/>
      <c r="I584" s="17"/>
      <c r="J584" s="17"/>
      <c r="K584" s="17"/>
      <c r="L584" s="17"/>
      <c r="M584" s="17"/>
      <c r="N584" s="17"/>
      <c r="O584" s="17"/>
      <c r="P584" s="17"/>
      <c r="Q584" s="17"/>
      <c r="R584" s="17"/>
      <c r="S584" s="205"/>
      <c r="T584" s="205"/>
      <c r="U584" s="205"/>
      <c r="V584" s="205"/>
      <c r="W584" s="17"/>
      <c r="X584" s="17"/>
      <c r="Y584" s="17"/>
      <c r="Z584" s="17"/>
      <c r="AA584" s="17"/>
      <c r="AB584" s="17"/>
    </row>
    <row r="585">
      <c r="A585" s="17"/>
      <c r="B585" s="17"/>
      <c r="C585" s="17"/>
      <c r="D585" s="17"/>
      <c r="E585" s="17"/>
      <c r="F585" s="301"/>
      <c r="G585" s="17"/>
      <c r="H585" s="17"/>
      <c r="I585" s="17"/>
      <c r="J585" s="17"/>
      <c r="K585" s="17"/>
      <c r="L585" s="17"/>
      <c r="M585" s="17"/>
      <c r="N585" s="17"/>
      <c r="O585" s="17"/>
      <c r="P585" s="17"/>
      <c r="Q585" s="17"/>
      <c r="R585" s="17"/>
      <c r="S585" s="205"/>
      <c r="T585" s="205"/>
      <c r="U585" s="205"/>
      <c r="V585" s="205"/>
      <c r="W585" s="17"/>
      <c r="X585" s="17"/>
      <c r="Y585" s="17"/>
      <c r="Z585" s="17"/>
      <c r="AA585" s="17"/>
      <c r="AB585" s="17"/>
    </row>
    <row r="586">
      <c r="A586" s="17"/>
      <c r="B586" s="17"/>
      <c r="C586" s="17"/>
      <c r="D586" s="17"/>
      <c r="E586" s="17"/>
      <c r="F586" s="301"/>
      <c r="G586" s="17"/>
      <c r="H586" s="17"/>
      <c r="I586" s="17"/>
      <c r="J586" s="17"/>
      <c r="K586" s="17"/>
      <c r="L586" s="17"/>
      <c r="M586" s="17"/>
      <c r="N586" s="17"/>
      <c r="O586" s="17"/>
      <c r="P586" s="17"/>
      <c r="Q586" s="17"/>
      <c r="R586" s="17"/>
      <c r="S586" s="205"/>
      <c r="T586" s="205"/>
      <c r="U586" s="205"/>
      <c r="V586" s="205"/>
      <c r="W586" s="17"/>
      <c r="X586" s="17"/>
      <c r="Y586" s="17"/>
      <c r="Z586" s="17"/>
      <c r="AA586" s="17"/>
      <c r="AB586" s="17"/>
    </row>
    <row r="587">
      <c r="A587" s="17"/>
      <c r="B587" s="17"/>
      <c r="C587" s="17"/>
      <c r="D587" s="17"/>
      <c r="E587" s="17"/>
      <c r="F587" s="301"/>
      <c r="G587" s="17"/>
      <c r="H587" s="17"/>
      <c r="I587" s="17"/>
      <c r="J587" s="17"/>
      <c r="K587" s="17"/>
      <c r="L587" s="17"/>
      <c r="M587" s="17"/>
      <c r="N587" s="17"/>
      <c r="O587" s="17"/>
      <c r="P587" s="17"/>
      <c r="Q587" s="17"/>
      <c r="R587" s="17"/>
      <c r="S587" s="205"/>
      <c r="T587" s="205"/>
      <c r="U587" s="205"/>
      <c r="V587" s="205"/>
      <c r="W587" s="17"/>
      <c r="X587" s="17"/>
      <c r="Y587" s="17"/>
      <c r="Z587" s="17"/>
      <c r="AA587" s="17"/>
      <c r="AB587" s="17"/>
    </row>
    <row r="588">
      <c r="A588" s="17"/>
      <c r="B588" s="17"/>
      <c r="C588" s="17"/>
      <c r="D588" s="17"/>
      <c r="E588" s="17"/>
      <c r="F588" s="301"/>
      <c r="G588" s="17"/>
      <c r="H588" s="17"/>
      <c r="I588" s="17"/>
      <c r="J588" s="17"/>
      <c r="K588" s="17"/>
      <c r="L588" s="17"/>
      <c r="M588" s="17"/>
      <c r="N588" s="17"/>
      <c r="O588" s="17"/>
      <c r="P588" s="17"/>
      <c r="Q588" s="17"/>
      <c r="R588" s="17"/>
      <c r="S588" s="205"/>
      <c r="T588" s="205"/>
      <c r="U588" s="205"/>
      <c r="V588" s="205"/>
      <c r="W588" s="17"/>
      <c r="X588" s="17"/>
      <c r="Y588" s="17"/>
      <c r="Z588" s="17"/>
      <c r="AA588" s="17"/>
      <c r="AB588" s="17"/>
    </row>
    <row r="589">
      <c r="A589" s="17"/>
      <c r="B589" s="17"/>
      <c r="C589" s="17"/>
      <c r="D589" s="17"/>
      <c r="E589" s="17"/>
      <c r="F589" s="301"/>
      <c r="G589" s="17"/>
      <c r="H589" s="17"/>
      <c r="I589" s="17"/>
      <c r="J589" s="17"/>
      <c r="K589" s="17"/>
      <c r="L589" s="17"/>
      <c r="M589" s="17"/>
      <c r="N589" s="17"/>
      <c r="O589" s="17"/>
      <c r="P589" s="17"/>
      <c r="Q589" s="17"/>
      <c r="R589" s="17"/>
      <c r="S589" s="205"/>
      <c r="T589" s="205"/>
      <c r="U589" s="205"/>
      <c r="V589" s="205"/>
      <c r="W589" s="17"/>
      <c r="X589" s="17"/>
      <c r="Y589" s="17"/>
      <c r="Z589" s="17"/>
      <c r="AA589" s="17"/>
      <c r="AB589" s="17"/>
    </row>
    <row r="590">
      <c r="A590" s="17"/>
      <c r="B590" s="17"/>
      <c r="C590" s="17"/>
      <c r="D590" s="17"/>
      <c r="E590" s="17"/>
      <c r="F590" s="301"/>
      <c r="G590" s="17"/>
      <c r="H590" s="17"/>
      <c r="I590" s="17"/>
      <c r="J590" s="17"/>
      <c r="K590" s="17"/>
      <c r="L590" s="17"/>
      <c r="M590" s="17"/>
      <c r="N590" s="17"/>
      <c r="O590" s="17"/>
      <c r="P590" s="17"/>
      <c r="Q590" s="17"/>
      <c r="R590" s="17"/>
      <c r="S590" s="205"/>
      <c r="T590" s="205"/>
      <c r="U590" s="205"/>
      <c r="V590" s="205"/>
      <c r="W590" s="17"/>
      <c r="X590" s="17"/>
      <c r="Y590" s="17"/>
      <c r="Z590" s="17"/>
      <c r="AA590" s="17"/>
      <c r="AB590" s="17"/>
    </row>
    <row r="591">
      <c r="A591" s="17"/>
      <c r="B591" s="17"/>
      <c r="C591" s="17"/>
      <c r="D591" s="17"/>
      <c r="E591" s="17"/>
      <c r="F591" s="301"/>
      <c r="G591" s="17"/>
      <c r="H591" s="17"/>
      <c r="I591" s="17"/>
      <c r="J591" s="17"/>
      <c r="K591" s="17"/>
      <c r="L591" s="17"/>
      <c r="M591" s="17"/>
      <c r="N591" s="17"/>
      <c r="O591" s="17"/>
      <c r="P591" s="17"/>
      <c r="Q591" s="17"/>
      <c r="R591" s="17"/>
      <c r="S591" s="205"/>
      <c r="T591" s="205"/>
      <c r="U591" s="205"/>
      <c r="V591" s="205"/>
      <c r="W591" s="17"/>
      <c r="X591" s="17"/>
      <c r="Y591" s="17"/>
      <c r="Z591" s="17"/>
      <c r="AA591" s="17"/>
      <c r="AB591" s="17"/>
    </row>
    <row r="592">
      <c r="A592" s="17"/>
      <c r="B592" s="17"/>
      <c r="C592" s="17"/>
      <c r="D592" s="17"/>
      <c r="E592" s="17"/>
      <c r="F592" s="301"/>
      <c r="G592" s="17"/>
      <c r="H592" s="17"/>
      <c r="I592" s="17"/>
      <c r="J592" s="17"/>
      <c r="K592" s="17"/>
      <c r="L592" s="17"/>
      <c r="M592" s="17"/>
      <c r="N592" s="17"/>
      <c r="O592" s="17"/>
      <c r="P592" s="17"/>
      <c r="Q592" s="17"/>
      <c r="R592" s="17"/>
      <c r="S592" s="205"/>
      <c r="T592" s="205"/>
      <c r="U592" s="205"/>
      <c r="V592" s="205"/>
      <c r="W592" s="17"/>
      <c r="X592" s="17"/>
      <c r="Y592" s="17"/>
      <c r="Z592" s="17"/>
      <c r="AA592" s="17"/>
      <c r="AB592" s="17"/>
    </row>
    <row r="593">
      <c r="A593" s="17"/>
      <c r="B593" s="17"/>
      <c r="C593" s="17"/>
      <c r="D593" s="17"/>
      <c r="E593" s="17"/>
      <c r="F593" s="301"/>
      <c r="G593" s="17"/>
      <c r="H593" s="17"/>
      <c r="I593" s="17"/>
      <c r="J593" s="17"/>
      <c r="K593" s="17"/>
      <c r="L593" s="17"/>
      <c r="M593" s="17"/>
      <c r="N593" s="17"/>
      <c r="O593" s="17"/>
      <c r="P593" s="17"/>
      <c r="Q593" s="17"/>
      <c r="R593" s="17"/>
      <c r="S593" s="205"/>
      <c r="T593" s="205"/>
      <c r="U593" s="205"/>
      <c r="V593" s="205"/>
      <c r="W593" s="17"/>
      <c r="X593" s="17"/>
      <c r="Y593" s="17"/>
      <c r="Z593" s="17"/>
      <c r="AA593" s="17"/>
      <c r="AB593" s="17"/>
    </row>
    <row r="594">
      <c r="A594" s="17"/>
      <c r="B594" s="17"/>
      <c r="C594" s="17"/>
      <c r="D594" s="17"/>
      <c r="E594" s="17"/>
      <c r="F594" s="301"/>
      <c r="G594" s="17"/>
      <c r="H594" s="17"/>
      <c r="I594" s="17"/>
      <c r="J594" s="17"/>
      <c r="K594" s="17"/>
      <c r="L594" s="17"/>
      <c r="M594" s="17"/>
      <c r="N594" s="17"/>
      <c r="O594" s="17"/>
      <c r="P594" s="17"/>
      <c r="Q594" s="17"/>
      <c r="R594" s="17"/>
      <c r="S594" s="205"/>
      <c r="T594" s="205"/>
      <c r="U594" s="205"/>
      <c r="V594" s="205"/>
      <c r="W594" s="17"/>
      <c r="X594" s="17"/>
      <c r="Y594" s="17"/>
      <c r="Z594" s="17"/>
      <c r="AA594" s="17"/>
      <c r="AB594" s="17"/>
    </row>
    <row r="595">
      <c r="A595" s="17"/>
      <c r="B595" s="17"/>
      <c r="C595" s="17"/>
      <c r="D595" s="17"/>
      <c r="E595" s="17"/>
      <c r="F595" s="301"/>
      <c r="G595" s="17"/>
      <c r="H595" s="17"/>
      <c r="I595" s="17"/>
      <c r="J595" s="17"/>
      <c r="K595" s="17"/>
      <c r="L595" s="17"/>
      <c r="M595" s="17"/>
      <c r="N595" s="17"/>
      <c r="O595" s="17"/>
      <c r="P595" s="17"/>
      <c r="Q595" s="17"/>
      <c r="R595" s="17"/>
      <c r="S595" s="205"/>
      <c r="T595" s="205"/>
      <c r="U595" s="205"/>
      <c r="V595" s="205"/>
      <c r="W595" s="17"/>
      <c r="X595" s="17"/>
      <c r="Y595" s="17"/>
      <c r="Z595" s="17"/>
      <c r="AA595" s="17"/>
      <c r="AB595" s="17"/>
    </row>
    <row r="596">
      <c r="A596" s="17"/>
      <c r="B596" s="17"/>
      <c r="C596" s="17"/>
      <c r="D596" s="17"/>
      <c r="E596" s="17"/>
      <c r="F596" s="301"/>
      <c r="G596" s="17"/>
      <c r="H596" s="17"/>
      <c r="I596" s="17"/>
      <c r="J596" s="17"/>
      <c r="K596" s="17"/>
      <c r="L596" s="17"/>
      <c r="M596" s="17"/>
      <c r="N596" s="17"/>
      <c r="O596" s="17"/>
      <c r="P596" s="17"/>
      <c r="Q596" s="17"/>
      <c r="R596" s="17"/>
      <c r="S596" s="205"/>
      <c r="T596" s="205"/>
      <c r="U596" s="205"/>
      <c r="V596" s="205"/>
      <c r="W596" s="17"/>
      <c r="X596" s="17"/>
      <c r="Y596" s="17"/>
      <c r="Z596" s="17"/>
      <c r="AA596" s="17"/>
      <c r="AB596" s="17"/>
    </row>
    <row r="597">
      <c r="A597" s="17"/>
      <c r="B597" s="17"/>
      <c r="C597" s="17"/>
      <c r="D597" s="17"/>
      <c r="E597" s="17"/>
      <c r="F597" s="301"/>
      <c r="G597" s="17"/>
      <c r="H597" s="17"/>
      <c r="I597" s="17"/>
      <c r="J597" s="17"/>
      <c r="K597" s="17"/>
      <c r="L597" s="17"/>
      <c r="M597" s="17"/>
      <c r="N597" s="17"/>
      <c r="O597" s="17"/>
      <c r="P597" s="17"/>
      <c r="Q597" s="17"/>
      <c r="R597" s="17"/>
      <c r="S597" s="205"/>
      <c r="T597" s="205"/>
      <c r="U597" s="205"/>
      <c r="V597" s="205"/>
      <c r="W597" s="17"/>
      <c r="X597" s="17"/>
      <c r="Y597" s="17"/>
      <c r="Z597" s="17"/>
      <c r="AA597" s="17"/>
      <c r="AB597" s="17"/>
    </row>
    <row r="598">
      <c r="A598" s="17"/>
      <c r="B598" s="17"/>
      <c r="C598" s="17"/>
      <c r="D598" s="17"/>
      <c r="E598" s="17"/>
      <c r="F598" s="301"/>
      <c r="G598" s="17"/>
      <c r="H598" s="17"/>
      <c r="I598" s="17"/>
      <c r="J598" s="17"/>
      <c r="K598" s="17"/>
      <c r="L598" s="17"/>
      <c r="M598" s="17"/>
      <c r="N598" s="17"/>
      <c r="O598" s="17"/>
      <c r="P598" s="17"/>
      <c r="Q598" s="17"/>
      <c r="R598" s="17"/>
      <c r="S598" s="205"/>
      <c r="T598" s="205"/>
      <c r="U598" s="205"/>
      <c r="V598" s="205"/>
      <c r="W598" s="17"/>
      <c r="X598" s="17"/>
      <c r="Y598" s="17"/>
      <c r="Z598" s="17"/>
      <c r="AA598" s="17"/>
      <c r="AB598" s="17"/>
    </row>
    <row r="599">
      <c r="A599" s="17"/>
      <c r="B599" s="17"/>
      <c r="C599" s="17"/>
      <c r="D599" s="17"/>
      <c r="E599" s="17"/>
      <c r="F599" s="301"/>
      <c r="G599" s="17"/>
      <c r="H599" s="17"/>
      <c r="I599" s="17"/>
      <c r="J599" s="17"/>
      <c r="K599" s="17"/>
      <c r="L599" s="17"/>
      <c r="M599" s="17"/>
      <c r="N599" s="17"/>
      <c r="O599" s="17"/>
      <c r="P599" s="17"/>
      <c r="Q599" s="17"/>
      <c r="R599" s="17"/>
      <c r="S599" s="205"/>
      <c r="T599" s="205"/>
      <c r="U599" s="205"/>
      <c r="V599" s="205"/>
      <c r="W599" s="17"/>
      <c r="X599" s="17"/>
      <c r="Y599" s="17"/>
      <c r="Z599" s="17"/>
      <c r="AA599" s="17"/>
      <c r="AB599" s="17"/>
    </row>
    <row r="600">
      <c r="A600" s="17"/>
      <c r="B600" s="17"/>
      <c r="C600" s="17"/>
      <c r="D600" s="17"/>
      <c r="E600" s="17"/>
      <c r="F600" s="301"/>
      <c r="G600" s="17"/>
      <c r="H600" s="17"/>
      <c r="I600" s="17"/>
      <c r="J600" s="17"/>
      <c r="K600" s="17"/>
      <c r="L600" s="17"/>
      <c r="M600" s="17"/>
      <c r="N600" s="17"/>
      <c r="O600" s="17"/>
      <c r="P600" s="17"/>
      <c r="Q600" s="17"/>
      <c r="R600" s="17"/>
      <c r="S600" s="205"/>
      <c r="T600" s="205"/>
      <c r="U600" s="205"/>
      <c r="V600" s="205"/>
      <c r="W600" s="17"/>
      <c r="X600" s="17"/>
      <c r="Y600" s="17"/>
      <c r="Z600" s="17"/>
      <c r="AA600" s="17"/>
      <c r="AB600" s="17"/>
    </row>
    <row r="601">
      <c r="A601" s="17"/>
      <c r="B601" s="17"/>
      <c r="C601" s="17"/>
      <c r="D601" s="17"/>
      <c r="E601" s="17"/>
      <c r="F601" s="301"/>
      <c r="G601" s="17"/>
      <c r="H601" s="17"/>
      <c r="I601" s="17"/>
      <c r="J601" s="17"/>
      <c r="K601" s="17"/>
      <c r="L601" s="17"/>
      <c r="M601" s="17"/>
      <c r="N601" s="17"/>
      <c r="O601" s="17"/>
      <c r="P601" s="17"/>
      <c r="Q601" s="17"/>
      <c r="R601" s="17"/>
      <c r="S601" s="205"/>
      <c r="T601" s="205"/>
      <c r="U601" s="205"/>
      <c r="V601" s="205"/>
      <c r="W601" s="17"/>
      <c r="X601" s="17"/>
      <c r="Y601" s="17"/>
      <c r="Z601" s="17"/>
      <c r="AA601" s="17"/>
      <c r="AB601" s="17"/>
    </row>
    <row r="602">
      <c r="A602" s="17"/>
      <c r="B602" s="17"/>
      <c r="C602" s="17"/>
      <c r="D602" s="17"/>
      <c r="E602" s="17"/>
      <c r="F602" s="301"/>
      <c r="G602" s="17"/>
      <c r="H602" s="17"/>
      <c r="I602" s="17"/>
      <c r="J602" s="17"/>
      <c r="K602" s="17"/>
      <c r="L602" s="17"/>
      <c r="M602" s="17"/>
      <c r="N602" s="17"/>
      <c r="O602" s="17"/>
      <c r="P602" s="17"/>
      <c r="Q602" s="17"/>
      <c r="R602" s="17"/>
      <c r="S602" s="205"/>
      <c r="T602" s="205"/>
      <c r="U602" s="205"/>
      <c r="V602" s="205"/>
      <c r="W602" s="17"/>
      <c r="X602" s="17"/>
      <c r="Y602" s="17"/>
      <c r="Z602" s="17"/>
      <c r="AA602" s="17"/>
      <c r="AB602" s="17"/>
    </row>
    <row r="603">
      <c r="A603" s="17"/>
      <c r="B603" s="17"/>
      <c r="C603" s="17"/>
      <c r="D603" s="17"/>
      <c r="E603" s="17"/>
      <c r="F603" s="301"/>
      <c r="G603" s="17"/>
      <c r="H603" s="17"/>
      <c r="I603" s="17"/>
      <c r="J603" s="17"/>
      <c r="K603" s="17"/>
      <c r="L603" s="17"/>
      <c r="M603" s="17"/>
      <c r="N603" s="17"/>
      <c r="O603" s="17"/>
      <c r="P603" s="17"/>
      <c r="Q603" s="17"/>
      <c r="R603" s="17"/>
      <c r="S603" s="205"/>
      <c r="T603" s="205"/>
      <c r="U603" s="205"/>
      <c r="V603" s="205"/>
      <c r="W603" s="17"/>
      <c r="X603" s="17"/>
      <c r="Y603" s="17"/>
      <c r="Z603" s="17"/>
      <c r="AA603" s="17"/>
      <c r="AB603" s="17"/>
    </row>
    <row r="604">
      <c r="A604" s="17"/>
      <c r="B604" s="17"/>
      <c r="C604" s="17"/>
      <c r="D604" s="17"/>
      <c r="E604" s="17"/>
      <c r="F604" s="301"/>
      <c r="G604" s="17"/>
      <c r="H604" s="17"/>
      <c r="I604" s="17"/>
      <c r="J604" s="17"/>
      <c r="K604" s="17"/>
      <c r="L604" s="17"/>
      <c r="M604" s="17"/>
      <c r="N604" s="17"/>
      <c r="O604" s="17"/>
      <c r="P604" s="17"/>
      <c r="Q604" s="17"/>
      <c r="R604" s="17"/>
      <c r="S604" s="205"/>
      <c r="T604" s="205"/>
      <c r="U604" s="205"/>
      <c r="V604" s="205"/>
      <c r="W604" s="17"/>
      <c r="X604" s="17"/>
      <c r="Y604" s="17"/>
      <c r="Z604" s="17"/>
      <c r="AA604" s="17"/>
      <c r="AB604" s="17"/>
    </row>
    <row r="605">
      <c r="A605" s="17"/>
      <c r="B605" s="17"/>
      <c r="C605" s="17"/>
      <c r="D605" s="17"/>
      <c r="E605" s="17"/>
      <c r="F605" s="301"/>
      <c r="G605" s="17"/>
      <c r="H605" s="17"/>
      <c r="I605" s="17"/>
      <c r="J605" s="17"/>
      <c r="K605" s="17"/>
      <c r="L605" s="17"/>
      <c r="M605" s="17"/>
      <c r="N605" s="17"/>
      <c r="O605" s="17"/>
      <c r="P605" s="17"/>
      <c r="Q605" s="17"/>
      <c r="R605" s="17"/>
      <c r="S605" s="205"/>
      <c r="T605" s="205"/>
      <c r="U605" s="205"/>
      <c r="V605" s="205"/>
      <c r="W605" s="17"/>
      <c r="X605" s="17"/>
      <c r="Y605" s="17"/>
      <c r="Z605" s="17"/>
      <c r="AA605" s="17"/>
      <c r="AB605" s="17"/>
    </row>
    <row r="606">
      <c r="A606" s="17"/>
      <c r="B606" s="17"/>
      <c r="C606" s="17"/>
      <c r="D606" s="17"/>
      <c r="E606" s="17"/>
      <c r="F606" s="301"/>
      <c r="G606" s="17"/>
      <c r="H606" s="17"/>
      <c r="I606" s="17"/>
      <c r="J606" s="17"/>
      <c r="K606" s="17"/>
      <c r="L606" s="17"/>
      <c r="M606" s="17"/>
      <c r="N606" s="17"/>
      <c r="O606" s="17"/>
      <c r="P606" s="17"/>
      <c r="Q606" s="17"/>
      <c r="R606" s="17"/>
      <c r="S606" s="205"/>
      <c r="T606" s="205"/>
      <c r="U606" s="205"/>
      <c r="V606" s="205"/>
      <c r="W606" s="17"/>
      <c r="X606" s="17"/>
      <c r="Y606" s="17"/>
      <c r="Z606" s="17"/>
      <c r="AA606" s="17"/>
      <c r="AB606" s="17"/>
    </row>
    <row r="607">
      <c r="A607" s="17"/>
      <c r="B607" s="17"/>
      <c r="C607" s="17"/>
      <c r="D607" s="17"/>
      <c r="E607" s="17"/>
      <c r="F607" s="301"/>
      <c r="G607" s="17"/>
      <c r="H607" s="17"/>
      <c r="I607" s="17"/>
      <c r="J607" s="17"/>
      <c r="K607" s="17"/>
      <c r="L607" s="17"/>
      <c r="M607" s="17"/>
      <c r="N607" s="17"/>
      <c r="O607" s="17"/>
      <c r="P607" s="17"/>
      <c r="Q607" s="17"/>
      <c r="R607" s="17"/>
      <c r="S607" s="205"/>
      <c r="T607" s="205"/>
      <c r="U607" s="205"/>
      <c r="V607" s="205"/>
      <c r="W607" s="17"/>
      <c r="X607" s="17"/>
      <c r="Y607" s="17"/>
      <c r="Z607" s="17"/>
      <c r="AA607" s="17"/>
      <c r="AB607" s="17"/>
    </row>
    <row r="608">
      <c r="A608" s="17"/>
      <c r="B608" s="17"/>
      <c r="C608" s="17"/>
      <c r="D608" s="17"/>
      <c r="E608" s="17"/>
      <c r="F608" s="301"/>
      <c r="G608" s="17"/>
      <c r="H608" s="17"/>
      <c r="I608" s="17"/>
      <c r="J608" s="17"/>
      <c r="K608" s="17"/>
      <c r="L608" s="17"/>
      <c r="M608" s="17"/>
      <c r="N608" s="17"/>
      <c r="O608" s="17"/>
      <c r="P608" s="17"/>
      <c r="Q608" s="17"/>
      <c r="R608" s="17"/>
      <c r="S608" s="205"/>
      <c r="T608" s="205"/>
      <c r="U608" s="205"/>
      <c r="V608" s="205"/>
      <c r="W608" s="17"/>
      <c r="X608" s="17"/>
      <c r="Y608" s="17"/>
      <c r="Z608" s="17"/>
      <c r="AA608" s="17"/>
      <c r="AB608" s="17"/>
    </row>
    <row r="609">
      <c r="A609" s="17"/>
      <c r="B609" s="17"/>
      <c r="C609" s="17"/>
      <c r="D609" s="17"/>
      <c r="E609" s="17"/>
      <c r="F609" s="301"/>
      <c r="G609" s="17"/>
      <c r="H609" s="17"/>
      <c r="I609" s="17"/>
      <c r="J609" s="17"/>
      <c r="K609" s="17"/>
      <c r="L609" s="17"/>
      <c r="M609" s="17"/>
      <c r="N609" s="17"/>
      <c r="O609" s="17"/>
      <c r="P609" s="17"/>
      <c r="Q609" s="17"/>
      <c r="R609" s="17"/>
      <c r="S609" s="205"/>
      <c r="T609" s="205"/>
      <c r="U609" s="205"/>
      <c r="V609" s="205"/>
      <c r="W609" s="17"/>
      <c r="X609" s="17"/>
      <c r="Y609" s="17"/>
      <c r="Z609" s="17"/>
      <c r="AA609" s="17"/>
      <c r="AB609" s="17"/>
    </row>
    <row r="610">
      <c r="A610" s="17"/>
      <c r="B610" s="17"/>
      <c r="C610" s="17"/>
      <c r="D610" s="17"/>
      <c r="E610" s="17"/>
      <c r="F610" s="301"/>
      <c r="G610" s="17"/>
      <c r="H610" s="17"/>
      <c r="I610" s="17"/>
      <c r="J610" s="17"/>
      <c r="K610" s="17"/>
      <c r="L610" s="17"/>
      <c r="M610" s="17"/>
      <c r="N610" s="17"/>
      <c r="O610" s="17"/>
      <c r="P610" s="17"/>
      <c r="Q610" s="17"/>
      <c r="R610" s="17"/>
      <c r="S610" s="205"/>
      <c r="T610" s="205"/>
      <c r="U610" s="205"/>
      <c r="V610" s="205"/>
      <c r="W610" s="17"/>
      <c r="X610" s="17"/>
      <c r="Y610" s="17"/>
      <c r="Z610" s="17"/>
      <c r="AA610" s="17"/>
      <c r="AB610" s="17"/>
    </row>
    <row r="611">
      <c r="A611" s="17"/>
      <c r="B611" s="17"/>
      <c r="C611" s="17"/>
      <c r="D611" s="17"/>
      <c r="E611" s="17"/>
      <c r="F611" s="301"/>
      <c r="G611" s="17"/>
      <c r="H611" s="17"/>
      <c r="I611" s="17"/>
      <c r="J611" s="17"/>
      <c r="K611" s="17"/>
      <c r="L611" s="17"/>
      <c r="M611" s="17"/>
      <c r="N611" s="17"/>
      <c r="O611" s="17"/>
      <c r="P611" s="17"/>
      <c r="Q611" s="17"/>
      <c r="R611" s="17"/>
      <c r="S611" s="205"/>
      <c r="T611" s="205"/>
      <c r="U611" s="205"/>
      <c r="V611" s="205"/>
      <c r="W611" s="17"/>
      <c r="X611" s="17"/>
      <c r="Y611" s="17"/>
      <c r="Z611" s="17"/>
      <c r="AA611" s="17"/>
      <c r="AB611" s="17"/>
    </row>
    <row r="612">
      <c r="A612" s="17"/>
      <c r="B612" s="17"/>
      <c r="C612" s="17"/>
      <c r="D612" s="17"/>
      <c r="E612" s="17"/>
      <c r="F612" s="301"/>
      <c r="G612" s="17"/>
      <c r="H612" s="17"/>
      <c r="I612" s="17"/>
      <c r="J612" s="17"/>
      <c r="K612" s="17"/>
      <c r="L612" s="17"/>
      <c r="M612" s="17"/>
      <c r="N612" s="17"/>
      <c r="O612" s="17"/>
      <c r="P612" s="17"/>
      <c r="Q612" s="17"/>
      <c r="R612" s="17"/>
      <c r="S612" s="205"/>
      <c r="T612" s="205"/>
      <c r="U612" s="205"/>
      <c r="V612" s="205"/>
      <c r="W612" s="17"/>
      <c r="X612" s="17"/>
      <c r="Y612" s="17"/>
      <c r="Z612" s="17"/>
      <c r="AA612" s="17"/>
      <c r="AB612" s="17"/>
    </row>
    <row r="613">
      <c r="A613" s="17"/>
      <c r="B613" s="17"/>
      <c r="C613" s="17"/>
      <c r="D613" s="17"/>
      <c r="E613" s="17"/>
      <c r="F613" s="301"/>
      <c r="G613" s="17"/>
      <c r="H613" s="17"/>
      <c r="I613" s="17"/>
      <c r="J613" s="17"/>
      <c r="K613" s="17"/>
      <c r="L613" s="17"/>
      <c r="M613" s="17"/>
      <c r="N613" s="17"/>
      <c r="O613" s="17"/>
      <c r="P613" s="17"/>
      <c r="Q613" s="17"/>
      <c r="R613" s="17"/>
      <c r="S613" s="205"/>
      <c r="T613" s="205"/>
      <c r="U613" s="205"/>
      <c r="V613" s="205"/>
      <c r="W613" s="17"/>
      <c r="X613" s="17"/>
      <c r="Y613" s="17"/>
      <c r="Z613" s="17"/>
      <c r="AA613" s="17"/>
      <c r="AB613" s="17"/>
    </row>
    <row r="614">
      <c r="A614" s="17"/>
      <c r="B614" s="17"/>
      <c r="C614" s="17"/>
      <c r="D614" s="17"/>
      <c r="E614" s="17"/>
      <c r="F614" s="301"/>
      <c r="G614" s="17"/>
      <c r="H614" s="17"/>
      <c r="I614" s="17"/>
      <c r="J614" s="17"/>
      <c r="K614" s="17"/>
      <c r="L614" s="17"/>
      <c r="M614" s="17"/>
      <c r="N614" s="17"/>
      <c r="O614" s="17"/>
      <c r="P614" s="17"/>
      <c r="Q614" s="17"/>
      <c r="R614" s="17"/>
      <c r="S614" s="205"/>
      <c r="T614" s="205"/>
      <c r="U614" s="205"/>
      <c r="V614" s="205"/>
      <c r="W614" s="17"/>
      <c r="X614" s="17"/>
      <c r="Y614" s="17"/>
      <c r="Z614" s="17"/>
      <c r="AA614" s="17"/>
      <c r="AB614" s="17"/>
    </row>
    <row r="615">
      <c r="A615" s="17"/>
      <c r="B615" s="17"/>
      <c r="C615" s="17"/>
      <c r="D615" s="17"/>
      <c r="E615" s="17"/>
      <c r="F615" s="301"/>
      <c r="G615" s="17"/>
      <c r="H615" s="17"/>
      <c r="I615" s="17"/>
      <c r="J615" s="17"/>
      <c r="K615" s="17"/>
      <c r="L615" s="17"/>
      <c r="M615" s="17"/>
      <c r="N615" s="17"/>
      <c r="O615" s="17"/>
      <c r="P615" s="17"/>
      <c r="Q615" s="17"/>
      <c r="R615" s="17"/>
      <c r="S615" s="205"/>
      <c r="T615" s="205"/>
      <c r="U615" s="205"/>
      <c r="V615" s="205"/>
      <c r="W615" s="17"/>
      <c r="X615" s="17"/>
      <c r="Y615" s="17"/>
      <c r="Z615" s="17"/>
      <c r="AA615" s="17"/>
      <c r="AB615" s="17"/>
    </row>
    <row r="616">
      <c r="A616" s="17"/>
      <c r="B616" s="17"/>
      <c r="C616" s="17"/>
      <c r="D616" s="17"/>
      <c r="E616" s="17"/>
      <c r="F616" s="301"/>
      <c r="G616" s="17"/>
      <c r="H616" s="17"/>
      <c r="I616" s="17"/>
      <c r="J616" s="17"/>
      <c r="K616" s="17"/>
      <c r="L616" s="17"/>
      <c r="M616" s="17"/>
      <c r="N616" s="17"/>
      <c r="O616" s="17"/>
      <c r="P616" s="17"/>
      <c r="Q616" s="17"/>
      <c r="R616" s="17"/>
      <c r="S616" s="205"/>
      <c r="T616" s="205"/>
      <c r="U616" s="205"/>
      <c r="V616" s="205"/>
      <c r="W616" s="17"/>
      <c r="X616" s="17"/>
      <c r="Y616" s="17"/>
      <c r="Z616" s="17"/>
      <c r="AA616" s="17"/>
      <c r="AB616" s="17"/>
    </row>
    <row r="617">
      <c r="A617" s="17"/>
      <c r="B617" s="17"/>
      <c r="C617" s="17"/>
      <c r="D617" s="17"/>
      <c r="E617" s="17"/>
      <c r="F617" s="301"/>
      <c r="G617" s="17"/>
      <c r="H617" s="17"/>
      <c r="I617" s="17"/>
      <c r="J617" s="17"/>
      <c r="K617" s="17"/>
      <c r="L617" s="17"/>
      <c r="M617" s="17"/>
      <c r="N617" s="17"/>
      <c r="O617" s="17"/>
      <c r="P617" s="17"/>
      <c r="Q617" s="17"/>
      <c r="R617" s="17"/>
      <c r="S617" s="205"/>
      <c r="T617" s="205"/>
      <c r="U617" s="205"/>
      <c r="V617" s="205"/>
      <c r="W617" s="17"/>
      <c r="X617" s="17"/>
      <c r="Y617" s="17"/>
      <c r="Z617" s="17"/>
      <c r="AA617" s="17"/>
      <c r="AB617" s="17"/>
    </row>
    <row r="618">
      <c r="A618" s="17"/>
      <c r="B618" s="17"/>
      <c r="C618" s="17"/>
      <c r="D618" s="17"/>
      <c r="E618" s="17"/>
      <c r="F618" s="301"/>
      <c r="G618" s="17"/>
      <c r="H618" s="17"/>
      <c r="I618" s="17"/>
      <c r="J618" s="17"/>
      <c r="K618" s="17"/>
      <c r="L618" s="17"/>
      <c r="M618" s="17"/>
      <c r="N618" s="17"/>
      <c r="O618" s="17"/>
      <c r="P618" s="17"/>
      <c r="Q618" s="17"/>
      <c r="R618" s="17"/>
      <c r="S618" s="205"/>
      <c r="T618" s="205"/>
      <c r="U618" s="205"/>
      <c r="V618" s="205"/>
      <c r="W618" s="17"/>
      <c r="X618" s="17"/>
      <c r="Y618" s="17"/>
      <c r="Z618" s="17"/>
      <c r="AA618" s="17"/>
      <c r="AB618" s="17"/>
    </row>
    <row r="619">
      <c r="A619" s="17"/>
      <c r="B619" s="17"/>
      <c r="C619" s="17"/>
      <c r="D619" s="17"/>
      <c r="E619" s="17"/>
      <c r="F619" s="301"/>
      <c r="G619" s="17"/>
      <c r="H619" s="17"/>
      <c r="I619" s="17"/>
      <c r="J619" s="17"/>
      <c r="K619" s="17"/>
      <c r="L619" s="17"/>
      <c r="M619" s="17"/>
      <c r="N619" s="17"/>
      <c r="O619" s="17"/>
      <c r="P619" s="17"/>
      <c r="Q619" s="17"/>
      <c r="R619" s="17"/>
      <c r="S619" s="205"/>
      <c r="T619" s="205"/>
      <c r="U619" s="205"/>
      <c r="V619" s="205"/>
      <c r="W619" s="17"/>
      <c r="X619" s="17"/>
      <c r="Y619" s="17"/>
      <c r="Z619" s="17"/>
      <c r="AA619" s="17"/>
      <c r="AB619" s="17"/>
    </row>
    <row r="620">
      <c r="A620" s="17"/>
      <c r="B620" s="17"/>
      <c r="C620" s="17"/>
      <c r="D620" s="17"/>
      <c r="E620" s="17"/>
      <c r="F620" s="301"/>
      <c r="G620" s="17"/>
      <c r="H620" s="17"/>
      <c r="I620" s="17"/>
      <c r="J620" s="17"/>
      <c r="K620" s="17"/>
      <c r="L620" s="17"/>
      <c r="M620" s="17"/>
      <c r="N620" s="17"/>
      <c r="O620" s="17"/>
      <c r="P620" s="17"/>
      <c r="Q620" s="17"/>
      <c r="R620" s="17"/>
      <c r="S620" s="205"/>
      <c r="T620" s="205"/>
      <c r="U620" s="205"/>
      <c r="V620" s="205"/>
      <c r="W620" s="17"/>
      <c r="X620" s="17"/>
      <c r="Y620" s="17"/>
      <c r="Z620" s="17"/>
      <c r="AA620" s="17"/>
      <c r="AB620" s="17"/>
    </row>
    <row r="621">
      <c r="A621" s="17"/>
      <c r="B621" s="17"/>
      <c r="C621" s="17"/>
      <c r="D621" s="17"/>
      <c r="E621" s="17"/>
      <c r="F621" s="301"/>
      <c r="G621" s="17"/>
      <c r="H621" s="17"/>
      <c r="I621" s="17"/>
      <c r="J621" s="17"/>
      <c r="K621" s="17"/>
      <c r="L621" s="17"/>
      <c r="M621" s="17"/>
      <c r="N621" s="17"/>
      <c r="O621" s="17"/>
      <c r="P621" s="17"/>
      <c r="Q621" s="17"/>
      <c r="R621" s="17"/>
      <c r="S621" s="205"/>
      <c r="T621" s="205"/>
      <c r="U621" s="205"/>
      <c r="V621" s="205"/>
      <c r="W621" s="17"/>
      <c r="X621" s="17"/>
      <c r="Y621" s="17"/>
      <c r="Z621" s="17"/>
      <c r="AA621" s="17"/>
      <c r="AB621" s="17"/>
    </row>
    <row r="622">
      <c r="A622" s="17"/>
      <c r="B622" s="17"/>
      <c r="C622" s="17"/>
      <c r="D622" s="17"/>
      <c r="E622" s="17"/>
      <c r="F622" s="301"/>
      <c r="G622" s="17"/>
      <c r="H622" s="17"/>
      <c r="I622" s="17"/>
      <c r="J622" s="17"/>
      <c r="K622" s="17"/>
      <c r="L622" s="17"/>
      <c r="M622" s="17"/>
      <c r="N622" s="17"/>
      <c r="O622" s="17"/>
      <c r="P622" s="17"/>
      <c r="Q622" s="17"/>
      <c r="R622" s="17"/>
      <c r="S622" s="205"/>
      <c r="T622" s="205"/>
      <c r="U622" s="205"/>
      <c r="V622" s="205"/>
      <c r="W622" s="17"/>
      <c r="X622" s="17"/>
      <c r="Y622" s="17"/>
      <c r="Z622" s="17"/>
      <c r="AA622" s="17"/>
      <c r="AB622" s="17"/>
    </row>
    <row r="623">
      <c r="A623" s="17"/>
      <c r="B623" s="17"/>
      <c r="C623" s="17"/>
      <c r="D623" s="17"/>
      <c r="E623" s="17"/>
      <c r="F623" s="301"/>
      <c r="G623" s="17"/>
      <c r="H623" s="17"/>
      <c r="I623" s="17"/>
      <c r="J623" s="17"/>
      <c r="K623" s="17"/>
      <c r="L623" s="17"/>
      <c r="M623" s="17"/>
      <c r="N623" s="17"/>
      <c r="O623" s="17"/>
      <c r="P623" s="17"/>
      <c r="Q623" s="17"/>
      <c r="R623" s="17"/>
      <c r="S623" s="205"/>
      <c r="T623" s="205"/>
      <c r="U623" s="205"/>
      <c r="V623" s="205"/>
      <c r="W623" s="17"/>
      <c r="X623" s="17"/>
      <c r="Y623" s="17"/>
      <c r="Z623" s="17"/>
      <c r="AA623" s="17"/>
      <c r="AB623" s="17"/>
    </row>
    <row r="624">
      <c r="A624" s="17"/>
      <c r="B624" s="17"/>
      <c r="C624" s="17"/>
      <c r="D624" s="17"/>
      <c r="E624" s="17"/>
      <c r="F624" s="301"/>
      <c r="G624" s="17"/>
      <c r="H624" s="17"/>
      <c r="I624" s="17"/>
      <c r="J624" s="17"/>
      <c r="K624" s="17"/>
      <c r="L624" s="17"/>
      <c r="M624" s="17"/>
      <c r="N624" s="17"/>
      <c r="O624" s="17"/>
      <c r="P624" s="17"/>
      <c r="Q624" s="17"/>
      <c r="R624" s="17"/>
      <c r="S624" s="205"/>
      <c r="T624" s="205"/>
      <c r="U624" s="205"/>
      <c r="V624" s="205"/>
      <c r="W624" s="17"/>
      <c r="X624" s="17"/>
      <c r="Y624" s="17"/>
      <c r="Z624" s="17"/>
      <c r="AA624" s="17"/>
      <c r="AB624" s="17"/>
    </row>
    <row r="625">
      <c r="A625" s="17"/>
      <c r="B625" s="17"/>
      <c r="C625" s="17"/>
      <c r="D625" s="17"/>
      <c r="E625" s="17"/>
      <c r="F625" s="301"/>
      <c r="G625" s="17"/>
      <c r="H625" s="17"/>
      <c r="I625" s="17"/>
      <c r="J625" s="17"/>
      <c r="K625" s="17"/>
      <c r="L625" s="17"/>
      <c r="M625" s="17"/>
      <c r="N625" s="17"/>
      <c r="O625" s="17"/>
      <c r="P625" s="17"/>
      <c r="Q625" s="17"/>
      <c r="R625" s="17"/>
      <c r="S625" s="205"/>
      <c r="T625" s="205"/>
      <c r="U625" s="205"/>
      <c r="V625" s="205"/>
      <c r="W625" s="17"/>
      <c r="X625" s="17"/>
      <c r="Y625" s="17"/>
      <c r="Z625" s="17"/>
      <c r="AA625" s="17"/>
      <c r="AB625" s="17"/>
    </row>
    <row r="626">
      <c r="A626" s="17"/>
      <c r="B626" s="17"/>
      <c r="C626" s="17"/>
      <c r="D626" s="17"/>
      <c r="E626" s="17"/>
      <c r="F626" s="301"/>
      <c r="G626" s="17"/>
      <c r="H626" s="17"/>
      <c r="I626" s="17"/>
      <c r="J626" s="17"/>
      <c r="K626" s="17"/>
      <c r="L626" s="17"/>
      <c r="M626" s="17"/>
      <c r="N626" s="17"/>
      <c r="O626" s="17"/>
      <c r="P626" s="17"/>
      <c r="Q626" s="17"/>
      <c r="R626" s="17"/>
      <c r="S626" s="205"/>
      <c r="T626" s="205"/>
      <c r="U626" s="205"/>
      <c r="V626" s="205"/>
      <c r="W626" s="17"/>
      <c r="X626" s="17"/>
      <c r="Y626" s="17"/>
      <c r="Z626" s="17"/>
      <c r="AA626" s="17"/>
      <c r="AB626" s="17"/>
    </row>
    <row r="627">
      <c r="A627" s="17"/>
      <c r="B627" s="17"/>
      <c r="C627" s="17"/>
      <c r="D627" s="17"/>
      <c r="E627" s="17"/>
      <c r="F627" s="301"/>
      <c r="G627" s="17"/>
      <c r="H627" s="17"/>
      <c r="I627" s="17"/>
      <c r="J627" s="17"/>
      <c r="K627" s="17"/>
      <c r="L627" s="17"/>
      <c r="M627" s="17"/>
      <c r="N627" s="17"/>
      <c r="O627" s="17"/>
      <c r="P627" s="17"/>
      <c r="Q627" s="17"/>
      <c r="R627" s="17"/>
      <c r="S627" s="205"/>
      <c r="T627" s="205"/>
      <c r="U627" s="205"/>
      <c r="V627" s="205"/>
      <c r="W627" s="17"/>
      <c r="X627" s="17"/>
      <c r="Y627" s="17"/>
      <c r="Z627" s="17"/>
      <c r="AA627" s="17"/>
      <c r="AB627" s="17"/>
    </row>
    <row r="628">
      <c r="A628" s="17"/>
      <c r="B628" s="17"/>
      <c r="C628" s="17"/>
      <c r="D628" s="17"/>
      <c r="E628" s="17"/>
      <c r="F628" s="301"/>
      <c r="G628" s="17"/>
      <c r="H628" s="17"/>
      <c r="I628" s="17"/>
      <c r="J628" s="17"/>
      <c r="K628" s="17"/>
      <c r="L628" s="17"/>
      <c r="M628" s="17"/>
      <c r="N628" s="17"/>
      <c r="O628" s="17"/>
      <c r="P628" s="17"/>
      <c r="Q628" s="17"/>
      <c r="R628" s="17"/>
      <c r="S628" s="205"/>
      <c r="T628" s="205"/>
      <c r="U628" s="205"/>
      <c r="V628" s="205"/>
      <c r="W628" s="17"/>
      <c r="X628" s="17"/>
      <c r="Y628" s="17"/>
      <c r="Z628" s="17"/>
      <c r="AA628" s="17"/>
      <c r="AB628" s="17"/>
    </row>
    <row r="629">
      <c r="A629" s="17"/>
      <c r="B629" s="17"/>
      <c r="C629" s="17"/>
      <c r="D629" s="17"/>
      <c r="E629" s="17"/>
      <c r="F629" s="301"/>
      <c r="G629" s="17"/>
      <c r="H629" s="17"/>
      <c r="I629" s="17"/>
      <c r="J629" s="17"/>
      <c r="K629" s="17"/>
      <c r="L629" s="17"/>
      <c r="M629" s="17"/>
      <c r="N629" s="17"/>
      <c r="O629" s="17"/>
      <c r="P629" s="17"/>
      <c r="Q629" s="17"/>
      <c r="R629" s="17"/>
      <c r="S629" s="205"/>
      <c r="T629" s="205"/>
      <c r="U629" s="205"/>
      <c r="V629" s="205"/>
      <c r="W629" s="17"/>
      <c r="X629" s="17"/>
      <c r="Y629" s="17"/>
      <c r="Z629" s="17"/>
      <c r="AA629" s="17"/>
      <c r="AB629" s="17"/>
    </row>
    <row r="630">
      <c r="A630" s="17"/>
      <c r="B630" s="17"/>
      <c r="C630" s="17"/>
      <c r="D630" s="17"/>
      <c r="E630" s="17"/>
      <c r="F630" s="301"/>
      <c r="G630" s="17"/>
      <c r="H630" s="17"/>
      <c r="I630" s="17"/>
      <c r="J630" s="17"/>
      <c r="K630" s="17"/>
      <c r="L630" s="17"/>
      <c r="M630" s="17"/>
      <c r="N630" s="17"/>
      <c r="O630" s="17"/>
      <c r="P630" s="17"/>
      <c r="Q630" s="17"/>
      <c r="R630" s="17"/>
      <c r="S630" s="205"/>
      <c r="T630" s="205"/>
      <c r="U630" s="205"/>
      <c r="V630" s="205"/>
      <c r="W630" s="17"/>
      <c r="X630" s="17"/>
      <c r="Y630" s="17"/>
      <c r="Z630" s="17"/>
      <c r="AA630" s="17"/>
      <c r="AB630" s="17"/>
    </row>
    <row r="631">
      <c r="A631" s="17"/>
      <c r="B631" s="17"/>
      <c r="C631" s="17"/>
      <c r="D631" s="17"/>
      <c r="E631" s="17"/>
      <c r="F631" s="301"/>
      <c r="G631" s="17"/>
      <c r="H631" s="17"/>
      <c r="I631" s="17"/>
      <c r="J631" s="17"/>
      <c r="K631" s="17"/>
      <c r="L631" s="17"/>
      <c r="M631" s="17"/>
      <c r="N631" s="17"/>
      <c r="O631" s="17"/>
      <c r="P631" s="17"/>
      <c r="Q631" s="17"/>
      <c r="R631" s="17"/>
      <c r="S631" s="205"/>
      <c r="T631" s="205"/>
      <c r="U631" s="205"/>
      <c r="V631" s="205"/>
      <c r="W631" s="17"/>
      <c r="X631" s="17"/>
      <c r="Y631" s="17"/>
      <c r="Z631" s="17"/>
      <c r="AA631" s="17"/>
      <c r="AB631" s="17"/>
    </row>
    <row r="632">
      <c r="A632" s="17"/>
      <c r="B632" s="17"/>
      <c r="C632" s="17"/>
      <c r="D632" s="17"/>
      <c r="E632" s="17"/>
      <c r="F632" s="301"/>
      <c r="G632" s="17"/>
      <c r="H632" s="17"/>
      <c r="I632" s="17"/>
      <c r="J632" s="17"/>
      <c r="K632" s="17"/>
      <c r="L632" s="17"/>
      <c r="M632" s="17"/>
      <c r="N632" s="17"/>
      <c r="O632" s="17"/>
      <c r="P632" s="17"/>
      <c r="Q632" s="17"/>
      <c r="R632" s="17"/>
      <c r="S632" s="205"/>
      <c r="T632" s="205"/>
      <c r="U632" s="205"/>
      <c r="V632" s="205"/>
      <c r="W632" s="17"/>
      <c r="X632" s="17"/>
      <c r="Y632" s="17"/>
      <c r="Z632" s="17"/>
      <c r="AA632" s="17"/>
      <c r="AB632" s="17"/>
    </row>
    <row r="633">
      <c r="A633" s="17"/>
      <c r="B633" s="17"/>
      <c r="C633" s="17"/>
      <c r="D633" s="17"/>
      <c r="E633" s="17"/>
      <c r="F633" s="301"/>
      <c r="G633" s="17"/>
      <c r="H633" s="17"/>
      <c r="I633" s="17"/>
      <c r="J633" s="17"/>
      <c r="K633" s="17"/>
      <c r="L633" s="17"/>
      <c r="M633" s="17"/>
      <c r="N633" s="17"/>
      <c r="O633" s="17"/>
      <c r="P633" s="17"/>
      <c r="Q633" s="17"/>
      <c r="R633" s="17"/>
      <c r="S633" s="205"/>
      <c r="T633" s="205"/>
      <c r="U633" s="205"/>
      <c r="V633" s="205"/>
      <c r="W633" s="17"/>
      <c r="X633" s="17"/>
      <c r="Y633" s="17"/>
      <c r="Z633" s="17"/>
      <c r="AA633" s="17"/>
      <c r="AB633" s="17"/>
    </row>
    <row r="634">
      <c r="A634" s="17"/>
      <c r="B634" s="17"/>
      <c r="C634" s="17"/>
      <c r="D634" s="17"/>
      <c r="E634" s="17"/>
      <c r="F634" s="301"/>
      <c r="G634" s="17"/>
      <c r="H634" s="17"/>
      <c r="I634" s="17"/>
      <c r="J634" s="17"/>
      <c r="K634" s="17"/>
      <c r="L634" s="17"/>
      <c r="M634" s="17"/>
      <c r="N634" s="17"/>
      <c r="O634" s="17"/>
      <c r="P634" s="17"/>
      <c r="Q634" s="17"/>
      <c r="R634" s="17"/>
      <c r="S634" s="205"/>
      <c r="T634" s="205"/>
      <c r="U634" s="205"/>
      <c r="V634" s="205"/>
      <c r="W634" s="17"/>
      <c r="X634" s="17"/>
      <c r="Y634" s="17"/>
      <c r="Z634" s="17"/>
      <c r="AA634" s="17"/>
      <c r="AB634" s="17"/>
    </row>
    <row r="635">
      <c r="A635" s="17"/>
      <c r="B635" s="17"/>
      <c r="C635" s="17"/>
      <c r="D635" s="17"/>
      <c r="E635" s="17"/>
      <c r="F635" s="301"/>
      <c r="G635" s="17"/>
      <c r="H635" s="17"/>
      <c r="I635" s="17"/>
      <c r="J635" s="17"/>
      <c r="K635" s="17"/>
      <c r="L635" s="17"/>
      <c r="M635" s="17"/>
      <c r="N635" s="17"/>
      <c r="O635" s="17"/>
      <c r="P635" s="17"/>
      <c r="Q635" s="17"/>
      <c r="R635" s="17"/>
      <c r="S635" s="205"/>
      <c r="T635" s="205"/>
      <c r="U635" s="205"/>
      <c r="V635" s="205"/>
      <c r="W635" s="17"/>
      <c r="X635" s="17"/>
      <c r="Y635" s="17"/>
      <c r="Z635" s="17"/>
      <c r="AA635" s="17"/>
      <c r="AB635" s="17"/>
    </row>
    <row r="636">
      <c r="A636" s="17"/>
      <c r="B636" s="17"/>
      <c r="C636" s="17"/>
      <c r="D636" s="17"/>
      <c r="E636" s="17"/>
      <c r="F636" s="301"/>
      <c r="G636" s="17"/>
      <c r="H636" s="17"/>
      <c r="I636" s="17"/>
      <c r="J636" s="17"/>
      <c r="K636" s="17"/>
      <c r="L636" s="17"/>
      <c r="M636" s="17"/>
      <c r="N636" s="17"/>
      <c r="O636" s="17"/>
      <c r="P636" s="17"/>
      <c r="Q636" s="17"/>
      <c r="R636" s="17"/>
      <c r="S636" s="205"/>
      <c r="T636" s="205"/>
      <c r="U636" s="205"/>
      <c r="V636" s="205"/>
      <c r="W636" s="17"/>
      <c r="X636" s="17"/>
      <c r="Y636" s="17"/>
      <c r="Z636" s="17"/>
      <c r="AA636" s="17"/>
      <c r="AB636" s="17"/>
    </row>
    <row r="637">
      <c r="A637" s="17"/>
      <c r="B637" s="17"/>
      <c r="C637" s="17"/>
      <c r="D637" s="17"/>
      <c r="E637" s="17"/>
      <c r="F637" s="301"/>
      <c r="G637" s="17"/>
      <c r="H637" s="17"/>
      <c r="I637" s="17"/>
      <c r="J637" s="17"/>
      <c r="K637" s="17"/>
      <c r="L637" s="17"/>
      <c r="M637" s="17"/>
      <c r="N637" s="17"/>
      <c r="O637" s="17"/>
      <c r="P637" s="17"/>
      <c r="Q637" s="17"/>
      <c r="R637" s="17"/>
      <c r="S637" s="205"/>
      <c r="T637" s="205"/>
      <c r="U637" s="205"/>
      <c r="V637" s="205"/>
      <c r="W637" s="17"/>
      <c r="X637" s="17"/>
      <c r="Y637" s="17"/>
      <c r="Z637" s="17"/>
      <c r="AA637" s="17"/>
      <c r="AB637" s="17"/>
    </row>
    <row r="638">
      <c r="A638" s="17"/>
      <c r="B638" s="17"/>
      <c r="C638" s="17"/>
      <c r="D638" s="17"/>
      <c r="E638" s="17"/>
      <c r="F638" s="301"/>
      <c r="G638" s="17"/>
      <c r="H638" s="17"/>
      <c r="I638" s="17"/>
      <c r="J638" s="17"/>
      <c r="K638" s="17"/>
      <c r="L638" s="17"/>
      <c r="M638" s="17"/>
      <c r="N638" s="17"/>
      <c r="O638" s="17"/>
      <c r="P638" s="17"/>
      <c r="Q638" s="17"/>
      <c r="R638" s="17"/>
      <c r="S638" s="205"/>
      <c r="T638" s="205"/>
      <c r="U638" s="205"/>
      <c r="V638" s="205"/>
      <c r="W638" s="17"/>
      <c r="X638" s="17"/>
      <c r="Y638" s="17"/>
      <c r="Z638" s="17"/>
      <c r="AA638" s="17"/>
      <c r="AB638" s="17"/>
    </row>
    <row r="639">
      <c r="A639" s="17"/>
      <c r="B639" s="17"/>
      <c r="C639" s="17"/>
      <c r="D639" s="17"/>
      <c r="E639" s="17"/>
      <c r="F639" s="301"/>
      <c r="G639" s="17"/>
      <c r="H639" s="17"/>
      <c r="I639" s="17"/>
      <c r="J639" s="17"/>
      <c r="K639" s="17"/>
      <c r="L639" s="17"/>
      <c r="M639" s="17"/>
      <c r="N639" s="17"/>
      <c r="O639" s="17"/>
      <c r="P639" s="17"/>
      <c r="Q639" s="17"/>
      <c r="R639" s="17"/>
      <c r="S639" s="205"/>
      <c r="T639" s="205"/>
      <c r="U639" s="205"/>
      <c r="V639" s="205"/>
      <c r="W639" s="17"/>
      <c r="X639" s="17"/>
      <c r="Y639" s="17"/>
      <c r="Z639" s="17"/>
      <c r="AA639" s="17"/>
      <c r="AB639" s="17"/>
    </row>
    <row r="640">
      <c r="A640" s="17"/>
      <c r="B640" s="17"/>
      <c r="C640" s="17"/>
      <c r="D640" s="17"/>
      <c r="E640" s="17"/>
      <c r="F640" s="301"/>
      <c r="G640" s="17"/>
      <c r="H640" s="17"/>
      <c r="I640" s="17"/>
      <c r="J640" s="17"/>
      <c r="K640" s="17"/>
      <c r="L640" s="17"/>
      <c r="M640" s="17"/>
      <c r="N640" s="17"/>
      <c r="O640" s="17"/>
      <c r="P640" s="17"/>
      <c r="Q640" s="17"/>
      <c r="R640" s="17"/>
      <c r="S640" s="205"/>
      <c r="T640" s="205"/>
      <c r="U640" s="205"/>
      <c r="V640" s="205"/>
      <c r="W640" s="17"/>
      <c r="X640" s="17"/>
      <c r="Y640" s="17"/>
      <c r="Z640" s="17"/>
      <c r="AA640" s="17"/>
      <c r="AB640" s="17"/>
    </row>
    <row r="641">
      <c r="A641" s="17"/>
      <c r="B641" s="17"/>
      <c r="C641" s="17"/>
      <c r="D641" s="17"/>
      <c r="E641" s="17"/>
      <c r="F641" s="301"/>
      <c r="G641" s="17"/>
      <c r="H641" s="17"/>
      <c r="I641" s="17"/>
      <c r="J641" s="17"/>
      <c r="K641" s="17"/>
      <c r="L641" s="17"/>
      <c r="M641" s="17"/>
      <c r="N641" s="17"/>
      <c r="O641" s="17"/>
      <c r="P641" s="17"/>
      <c r="Q641" s="17"/>
      <c r="R641" s="17"/>
      <c r="S641" s="205"/>
      <c r="T641" s="205"/>
      <c r="U641" s="205"/>
      <c r="V641" s="205"/>
      <c r="W641" s="17"/>
      <c r="X641" s="17"/>
      <c r="Y641" s="17"/>
      <c r="Z641" s="17"/>
      <c r="AA641" s="17"/>
      <c r="AB641" s="17"/>
    </row>
    <row r="642">
      <c r="A642" s="17"/>
      <c r="B642" s="17"/>
      <c r="C642" s="17"/>
      <c r="D642" s="17"/>
      <c r="E642" s="17"/>
      <c r="F642" s="301"/>
      <c r="G642" s="17"/>
      <c r="H642" s="17"/>
      <c r="I642" s="17"/>
      <c r="J642" s="17"/>
      <c r="K642" s="17"/>
      <c r="L642" s="17"/>
      <c r="M642" s="17"/>
      <c r="N642" s="17"/>
      <c r="O642" s="17"/>
      <c r="P642" s="17"/>
      <c r="Q642" s="17"/>
      <c r="R642" s="17"/>
      <c r="S642" s="205"/>
      <c r="T642" s="205"/>
      <c r="U642" s="205"/>
      <c r="V642" s="205"/>
      <c r="W642" s="17"/>
      <c r="X642" s="17"/>
      <c r="Y642" s="17"/>
      <c r="Z642" s="17"/>
      <c r="AA642" s="17"/>
      <c r="AB642" s="17"/>
    </row>
    <row r="643">
      <c r="A643" s="17"/>
      <c r="B643" s="17"/>
      <c r="C643" s="17"/>
      <c r="D643" s="17"/>
      <c r="E643" s="17"/>
      <c r="F643" s="301"/>
      <c r="G643" s="17"/>
      <c r="H643" s="17"/>
      <c r="I643" s="17"/>
      <c r="J643" s="17"/>
      <c r="K643" s="17"/>
      <c r="L643" s="17"/>
      <c r="M643" s="17"/>
      <c r="N643" s="17"/>
      <c r="O643" s="17"/>
      <c r="P643" s="17"/>
      <c r="Q643" s="17"/>
      <c r="R643" s="17"/>
      <c r="S643" s="205"/>
      <c r="T643" s="205"/>
      <c r="U643" s="205"/>
      <c r="V643" s="205"/>
      <c r="W643" s="17"/>
      <c r="X643" s="17"/>
      <c r="Y643" s="17"/>
      <c r="Z643" s="17"/>
      <c r="AA643" s="17"/>
      <c r="AB643" s="17"/>
    </row>
    <row r="644">
      <c r="A644" s="17"/>
      <c r="B644" s="17"/>
      <c r="C644" s="17"/>
      <c r="D644" s="17"/>
      <c r="E644" s="17"/>
      <c r="F644" s="301"/>
      <c r="G644" s="17"/>
      <c r="H644" s="17"/>
      <c r="I644" s="17"/>
      <c r="J644" s="17"/>
      <c r="K644" s="17"/>
      <c r="L644" s="17"/>
      <c r="M644" s="17"/>
      <c r="N644" s="17"/>
      <c r="O644" s="17"/>
      <c r="P644" s="17"/>
      <c r="Q644" s="17"/>
      <c r="R644" s="17"/>
      <c r="S644" s="205"/>
      <c r="T644" s="205"/>
      <c r="U644" s="205"/>
      <c r="V644" s="205"/>
      <c r="W644" s="17"/>
      <c r="X644" s="17"/>
      <c r="Y644" s="17"/>
      <c r="Z644" s="17"/>
      <c r="AA644" s="17"/>
      <c r="AB644" s="17"/>
    </row>
    <row r="645">
      <c r="A645" s="17"/>
      <c r="B645" s="17"/>
      <c r="C645" s="17"/>
      <c r="D645" s="17"/>
      <c r="E645" s="17"/>
      <c r="F645" s="301"/>
      <c r="G645" s="17"/>
      <c r="H645" s="17"/>
      <c r="I645" s="17"/>
      <c r="J645" s="17"/>
      <c r="K645" s="17"/>
      <c r="L645" s="17"/>
      <c r="M645" s="17"/>
      <c r="N645" s="17"/>
      <c r="O645" s="17"/>
      <c r="P645" s="17"/>
      <c r="Q645" s="17"/>
      <c r="R645" s="17"/>
      <c r="S645" s="205"/>
      <c r="T645" s="205"/>
      <c r="U645" s="205"/>
      <c r="V645" s="205"/>
      <c r="W645" s="17"/>
      <c r="X645" s="17"/>
      <c r="Y645" s="17"/>
      <c r="Z645" s="17"/>
      <c r="AA645" s="17"/>
      <c r="AB645" s="17"/>
    </row>
    <row r="646">
      <c r="A646" s="17"/>
      <c r="B646" s="17"/>
      <c r="C646" s="17"/>
      <c r="D646" s="17"/>
      <c r="E646" s="17"/>
      <c r="F646" s="301"/>
      <c r="G646" s="17"/>
      <c r="H646" s="17"/>
      <c r="I646" s="17"/>
      <c r="J646" s="17"/>
      <c r="K646" s="17"/>
      <c r="L646" s="17"/>
      <c r="M646" s="17"/>
      <c r="N646" s="17"/>
      <c r="O646" s="17"/>
      <c r="P646" s="17"/>
      <c r="Q646" s="17"/>
      <c r="R646" s="17"/>
      <c r="S646" s="205"/>
      <c r="T646" s="205"/>
      <c r="U646" s="205"/>
      <c r="V646" s="205"/>
      <c r="W646" s="17"/>
      <c r="X646" s="17"/>
      <c r="Y646" s="17"/>
      <c r="Z646" s="17"/>
      <c r="AA646" s="17"/>
      <c r="AB646" s="17"/>
    </row>
    <row r="647">
      <c r="A647" s="17"/>
      <c r="B647" s="17"/>
      <c r="C647" s="17"/>
      <c r="D647" s="17"/>
      <c r="E647" s="17"/>
      <c r="F647" s="301"/>
      <c r="G647" s="17"/>
      <c r="H647" s="17"/>
      <c r="I647" s="17"/>
      <c r="J647" s="17"/>
      <c r="K647" s="17"/>
      <c r="L647" s="17"/>
      <c r="M647" s="17"/>
      <c r="N647" s="17"/>
      <c r="O647" s="17"/>
      <c r="P647" s="17"/>
      <c r="Q647" s="17"/>
      <c r="R647" s="17"/>
      <c r="S647" s="205"/>
      <c r="T647" s="205"/>
      <c r="U647" s="205"/>
      <c r="V647" s="205"/>
      <c r="W647" s="17"/>
      <c r="X647" s="17"/>
      <c r="Y647" s="17"/>
      <c r="Z647" s="17"/>
      <c r="AA647" s="17"/>
      <c r="AB647" s="17"/>
    </row>
    <row r="648">
      <c r="A648" s="17"/>
      <c r="B648" s="17"/>
      <c r="C648" s="17"/>
      <c r="D648" s="17"/>
      <c r="E648" s="17"/>
      <c r="F648" s="301"/>
      <c r="G648" s="17"/>
      <c r="H648" s="17"/>
      <c r="I648" s="17"/>
      <c r="J648" s="17"/>
      <c r="K648" s="17"/>
      <c r="L648" s="17"/>
      <c r="M648" s="17"/>
      <c r="N648" s="17"/>
      <c r="O648" s="17"/>
      <c r="P648" s="17"/>
      <c r="Q648" s="17"/>
      <c r="R648" s="17"/>
      <c r="S648" s="205"/>
      <c r="T648" s="205"/>
      <c r="U648" s="205"/>
      <c r="V648" s="205"/>
      <c r="W648" s="17"/>
      <c r="X648" s="17"/>
      <c r="Y648" s="17"/>
      <c r="Z648" s="17"/>
      <c r="AA648" s="17"/>
      <c r="AB648" s="17"/>
    </row>
    <row r="649">
      <c r="A649" s="17"/>
      <c r="B649" s="17"/>
      <c r="C649" s="17"/>
      <c r="D649" s="17"/>
      <c r="E649" s="17"/>
      <c r="F649" s="301"/>
      <c r="G649" s="17"/>
      <c r="H649" s="17"/>
      <c r="I649" s="17"/>
      <c r="J649" s="17"/>
      <c r="K649" s="17"/>
      <c r="L649" s="17"/>
      <c r="M649" s="17"/>
      <c r="N649" s="17"/>
      <c r="O649" s="17"/>
      <c r="P649" s="17"/>
      <c r="Q649" s="17"/>
      <c r="R649" s="17"/>
      <c r="S649" s="205"/>
      <c r="T649" s="205"/>
      <c r="U649" s="205"/>
      <c r="V649" s="205"/>
      <c r="W649" s="17"/>
      <c r="X649" s="17"/>
      <c r="Y649" s="17"/>
      <c r="Z649" s="17"/>
      <c r="AA649" s="17"/>
      <c r="AB649" s="17"/>
    </row>
    <row r="650">
      <c r="A650" s="17"/>
      <c r="B650" s="17"/>
      <c r="C650" s="17"/>
      <c r="D650" s="17"/>
      <c r="E650" s="17"/>
      <c r="F650" s="301"/>
      <c r="G650" s="17"/>
      <c r="H650" s="17"/>
      <c r="I650" s="17"/>
      <c r="J650" s="17"/>
      <c r="K650" s="17"/>
      <c r="L650" s="17"/>
      <c r="M650" s="17"/>
      <c r="N650" s="17"/>
      <c r="O650" s="17"/>
      <c r="P650" s="17"/>
      <c r="Q650" s="17"/>
      <c r="R650" s="17"/>
      <c r="S650" s="205"/>
      <c r="T650" s="205"/>
      <c r="U650" s="205"/>
      <c r="V650" s="205"/>
      <c r="W650" s="17"/>
      <c r="X650" s="17"/>
      <c r="Y650" s="17"/>
      <c r="Z650" s="17"/>
      <c r="AA650" s="17"/>
      <c r="AB650" s="17"/>
    </row>
    <row r="651">
      <c r="A651" s="17"/>
      <c r="B651" s="17"/>
      <c r="C651" s="17"/>
      <c r="D651" s="17"/>
      <c r="E651" s="17"/>
      <c r="F651" s="301"/>
      <c r="G651" s="17"/>
      <c r="H651" s="17"/>
      <c r="I651" s="17"/>
      <c r="J651" s="17"/>
      <c r="K651" s="17"/>
      <c r="L651" s="17"/>
      <c r="M651" s="17"/>
      <c r="N651" s="17"/>
      <c r="O651" s="17"/>
      <c r="P651" s="17"/>
      <c r="Q651" s="17"/>
      <c r="R651" s="17"/>
      <c r="S651" s="205"/>
      <c r="T651" s="205"/>
      <c r="U651" s="205"/>
      <c r="V651" s="205"/>
      <c r="W651" s="17"/>
      <c r="X651" s="17"/>
      <c r="Y651" s="17"/>
      <c r="Z651" s="17"/>
      <c r="AA651" s="17"/>
      <c r="AB651" s="17"/>
    </row>
    <row r="652">
      <c r="A652" s="17"/>
      <c r="B652" s="17"/>
      <c r="C652" s="17"/>
      <c r="D652" s="17"/>
      <c r="E652" s="17"/>
      <c r="F652" s="301"/>
      <c r="G652" s="17"/>
      <c r="H652" s="17"/>
      <c r="I652" s="17"/>
      <c r="J652" s="17"/>
      <c r="K652" s="17"/>
      <c r="L652" s="17"/>
      <c r="M652" s="17"/>
      <c r="N652" s="17"/>
      <c r="O652" s="17"/>
      <c r="P652" s="17"/>
      <c r="Q652" s="17"/>
      <c r="R652" s="17"/>
      <c r="S652" s="205"/>
      <c r="T652" s="205"/>
      <c r="U652" s="205"/>
      <c r="V652" s="205"/>
      <c r="W652" s="17"/>
      <c r="X652" s="17"/>
      <c r="Y652" s="17"/>
      <c r="Z652" s="17"/>
      <c r="AA652" s="17"/>
      <c r="AB652" s="17"/>
    </row>
    <row r="653">
      <c r="A653" s="17"/>
      <c r="B653" s="17"/>
      <c r="C653" s="17"/>
      <c r="D653" s="17"/>
      <c r="E653" s="17"/>
      <c r="F653" s="301"/>
      <c r="G653" s="17"/>
      <c r="H653" s="17"/>
      <c r="I653" s="17"/>
      <c r="J653" s="17"/>
      <c r="K653" s="17"/>
      <c r="L653" s="17"/>
      <c r="M653" s="17"/>
      <c r="N653" s="17"/>
      <c r="O653" s="17"/>
      <c r="P653" s="17"/>
      <c r="Q653" s="17"/>
      <c r="R653" s="17"/>
      <c r="S653" s="205"/>
      <c r="T653" s="205"/>
      <c r="U653" s="205"/>
      <c r="V653" s="205"/>
      <c r="W653" s="17"/>
      <c r="X653" s="17"/>
      <c r="Y653" s="17"/>
      <c r="Z653" s="17"/>
      <c r="AA653" s="17"/>
      <c r="AB653" s="17"/>
    </row>
    <row r="654">
      <c r="A654" s="17"/>
      <c r="B654" s="17"/>
      <c r="C654" s="17"/>
      <c r="D654" s="17"/>
      <c r="E654" s="17"/>
      <c r="F654" s="301"/>
      <c r="G654" s="17"/>
      <c r="H654" s="17"/>
      <c r="I654" s="17"/>
      <c r="J654" s="17"/>
      <c r="K654" s="17"/>
      <c r="L654" s="17"/>
      <c r="M654" s="17"/>
      <c r="N654" s="17"/>
      <c r="O654" s="17"/>
      <c r="P654" s="17"/>
      <c r="Q654" s="17"/>
      <c r="R654" s="17"/>
      <c r="S654" s="205"/>
      <c r="T654" s="205"/>
      <c r="U654" s="205"/>
      <c r="V654" s="205"/>
      <c r="W654" s="17"/>
      <c r="X654" s="17"/>
      <c r="Y654" s="17"/>
      <c r="Z654" s="17"/>
      <c r="AA654" s="17"/>
      <c r="AB654" s="17"/>
    </row>
    <row r="655">
      <c r="A655" s="17"/>
      <c r="B655" s="17"/>
      <c r="C655" s="17"/>
      <c r="D655" s="17"/>
      <c r="E655" s="17"/>
      <c r="F655" s="301"/>
      <c r="G655" s="17"/>
      <c r="H655" s="17"/>
      <c r="I655" s="17"/>
      <c r="J655" s="17"/>
      <c r="K655" s="17"/>
      <c r="L655" s="17"/>
      <c r="M655" s="17"/>
      <c r="N655" s="17"/>
      <c r="O655" s="17"/>
      <c r="P655" s="17"/>
      <c r="Q655" s="17"/>
      <c r="R655" s="17"/>
      <c r="S655" s="205"/>
      <c r="T655" s="205"/>
      <c r="U655" s="205"/>
      <c r="V655" s="205"/>
      <c r="W655" s="17"/>
      <c r="X655" s="17"/>
      <c r="Y655" s="17"/>
      <c r="Z655" s="17"/>
      <c r="AA655" s="17"/>
      <c r="AB655" s="17"/>
    </row>
    <row r="656">
      <c r="A656" s="17"/>
      <c r="B656" s="17"/>
      <c r="C656" s="17"/>
      <c r="D656" s="17"/>
      <c r="E656" s="17"/>
      <c r="F656" s="301"/>
      <c r="G656" s="17"/>
      <c r="H656" s="17"/>
      <c r="I656" s="17"/>
      <c r="J656" s="17"/>
      <c r="K656" s="17"/>
      <c r="L656" s="17"/>
      <c r="M656" s="17"/>
      <c r="N656" s="17"/>
      <c r="O656" s="17"/>
      <c r="P656" s="17"/>
      <c r="Q656" s="17"/>
      <c r="R656" s="17"/>
      <c r="S656" s="205"/>
      <c r="T656" s="205"/>
      <c r="U656" s="205"/>
      <c r="V656" s="205"/>
      <c r="W656" s="17"/>
      <c r="X656" s="17"/>
      <c r="Y656" s="17"/>
      <c r="Z656" s="17"/>
      <c r="AA656" s="17"/>
      <c r="AB656" s="17"/>
    </row>
    <row r="657">
      <c r="A657" s="17"/>
      <c r="B657" s="17"/>
      <c r="C657" s="17"/>
      <c r="D657" s="17"/>
      <c r="E657" s="17"/>
      <c r="F657" s="301"/>
      <c r="G657" s="17"/>
      <c r="H657" s="17"/>
      <c r="I657" s="17"/>
      <c r="J657" s="17"/>
      <c r="K657" s="17"/>
      <c r="L657" s="17"/>
      <c r="M657" s="17"/>
      <c r="N657" s="17"/>
      <c r="O657" s="17"/>
      <c r="P657" s="17"/>
      <c r="Q657" s="17"/>
      <c r="R657" s="17"/>
      <c r="S657" s="205"/>
      <c r="T657" s="205"/>
      <c r="U657" s="205"/>
      <c r="V657" s="205"/>
      <c r="W657" s="17"/>
      <c r="X657" s="17"/>
      <c r="Y657" s="17"/>
      <c r="Z657" s="17"/>
      <c r="AA657" s="17"/>
      <c r="AB657" s="17"/>
    </row>
    <row r="658">
      <c r="A658" s="17"/>
      <c r="B658" s="17"/>
      <c r="C658" s="17"/>
      <c r="D658" s="17"/>
      <c r="E658" s="17"/>
      <c r="F658" s="301"/>
      <c r="G658" s="17"/>
      <c r="H658" s="17"/>
      <c r="I658" s="17"/>
      <c r="J658" s="17"/>
      <c r="K658" s="17"/>
      <c r="L658" s="17"/>
      <c r="M658" s="17"/>
      <c r="N658" s="17"/>
      <c r="O658" s="17"/>
      <c r="P658" s="17"/>
      <c r="Q658" s="17"/>
      <c r="R658" s="17"/>
      <c r="S658" s="205"/>
      <c r="T658" s="205"/>
      <c r="U658" s="205"/>
      <c r="V658" s="205"/>
      <c r="W658" s="17"/>
      <c r="X658" s="17"/>
      <c r="Y658" s="17"/>
      <c r="Z658" s="17"/>
      <c r="AA658" s="17"/>
      <c r="AB658" s="17"/>
    </row>
    <row r="659">
      <c r="A659" s="17"/>
      <c r="B659" s="17"/>
      <c r="C659" s="17"/>
      <c r="D659" s="17"/>
      <c r="E659" s="17"/>
      <c r="F659" s="301"/>
      <c r="G659" s="17"/>
      <c r="H659" s="17"/>
      <c r="I659" s="17"/>
      <c r="J659" s="17"/>
      <c r="K659" s="17"/>
      <c r="L659" s="17"/>
      <c r="M659" s="17"/>
      <c r="N659" s="17"/>
      <c r="O659" s="17"/>
      <c r="P659" s="17"/>
      <c r="Q659" s="17"/>
      <c r="R659" s="17"/>
      <c r="S659" s="205"/>
      <c r="T659" s="205"/>
      <c r="U659" s="205"/>
      <c r="V659" s="205"/>
      <c r="W659" s="17"/>
      <c r="X659" s="17"/>
      <c r="Y659" s="17"/>
      <c r="Z659" s="17"/>
      <c r="AA659" s="17"/>
      <c r="AB659" s="17"/>
    </row>
    <row r="660">
      <c r="A660" s="17"/>
      <c r="B660" s="17"/>
      <c r="C660" s="17"/>
      <c r="D660" s="17"/>
      <c r="E660" s="17"/>
      <c r="F660" s="301"/>
      <c r="G660" s="17"/>
      <c r="H660" s="17"/>
      <c r="I660" s="17"/>
      <c r="J660" s="17"/>
      <c r="K660" s="17"/>
      <c r="L660" s="17"/>
      <c r="M660" s="17"/>
      <c r="N660" s="17"/>
      <c r="O660" s="17"/>
      <c r="P660" s="17"/>
      <c r="Q660" s="17"/>
      <c r="R660" s="17"/>
      <c r="S660" s="205"/>
      <c r="T660" s="205"/>
      <c r="U660" s="205"/>
      <c r="V660" s="205"/>
      <c r="W660" s="17"/>
      <c r="X660" s="17"/>
      <c r="Y660" s="17"/>
      <c r="Z660" s="17"/>
      <c r="AA660" s="17"/>
      <c r="AB660" s="17"/>
    </row>
    <row r="661">
      <c r="A661" s="17"/>
      <c r="B661" s="17"/>
      <c r="C661" s="17"/>
      <c r="D661" s="17"/>
      <c r="E661" s="17"/>
      <c r="F661" s="301"/>
      <c r="G661" s="17"/>
      <c r="H661" s="17"/>
      <c r="I661" s="17"/>
      <c r="J661" s="17"/>
      <c r="K661" s="17"/>
      <c r="L661" s="17"/>
      <c r="M661" s="17"/>
      <c r="N661" s="17"/>
      <c r="O661" s="17"/>
      <c r="P661" s="17"/>
      <c r="Q661" s="17"/>
      <c r="R661" s="17"/>
      <c r="S661" s="205"/>
      <c r="T661" s="205"/>
      <c r="U661" s="205"/>
      <c r="V661" s="205"/>
      <c r="W661" s="17"/>
      <c r="X661" s="17"/>
      <c r="Y661" s="17"/>
      <c r="Z661" s="17"/>
      <c r="AA661" s="17"/>
      <c r="AB661" s="17"/>
    </row>
    <row r="662">
      <c r="A662" s="17"/>
      <c r="B662" s="17"/>
      <c r="C662" s="17"/>
      <c r="D662" s="17"/>
      <c r="E662" s="17"/>
      <c r="F662" s="301"/>
      <c r="G662" s="17"/>
      <c r="H662" s="17"/>
      <c r="I662" s="17"/>
      <c r="J662" s="17"/>
      <c r="K662" s="17"/>
      <c r="L662" s="17"/>
      <c r="M662" s="17"/>
      <c r="N662" s="17"/>
      <c r="O662" s="17"/>
      <c r="P662" s="17"/>
      <c r="Q662" s="17"/>
      <c r="R662" s="17"/>
      <c r="S662" s="205"/>
      <c r="T662" s="205"/>
      <c r="U662" s="205"/>
      <c r="V662" s="205"/>
      <c r="W662" s="17"/>
      <c r="X662" s="17"/>
      <c r="Y662" s="17"/>
      <c r="Z662" s="17"/>
      <c r="AA662" s="17"/>
      <c r="AB662" s="17"/>
    </row>
    <row r="663">
      <c r="A663" s="17"/>
      <c r="B663" s="17"/>
      <c r="C663" s="17"/>
      <c r="D663" s="17"/>
      <c r="E663" s="17"/>
      <c r="F663" s="301"/>
      <c r="G663" s="17"/>
      <c r="H663" s="17"/>
      <c r="I663" s="17"/>
      <c r="J663" s="17"/>
      <c r="K663" s="17"/>
      <c r="L663" s="17"/>
      <c r="M663" s="17"/>
      <c r="N663" s="17"/>
      <c r="O663" s="17"/>
      <c r="P663" s="17"/>
      <c r="Q663" s="17"/>
      <c r="R663" s="17"/>
      <c r="S663" s="205"/>
      <c r="T663" s="205"/>
      <c r="U663" s="205"/>
      <c r="V663" s="205"/>
      <c r="W663" s="17"/>
      <c r="X663" s="17"/>
      <c r="Y663" s="17"/>
      <c r="Z663" s="17"/>
      <c r="AA663" s="17"/>
      <c r="AB663" s="17"/>
    </row>
    <row r="664">
      <c r="A664" s="17"/>
      <c r="B664" s="17"/>
      <c r="C664" s="17"/>
      <c r="D664" s="17"/>
      <c r="E664" s="17"/>
      <c r="F664" s="301"/>
      <c r="G664" s="17"/>
      <c r="H664" s="17"/>
      <c r="I664" s="17"/>
      <c r="J664" s="17"/>
      <c r="K664" s="17"/>
      <c r="L664" s="17"/>
      <c r="M664" s="17"/>
      <c r="N664" s="17"/>
      <c r="O664" s="17"/>
      <c r="P664" s="17"/>
      <c r="Q664" s="17"/>
      <c r="R664" s="17"/>
      <c r="S664" s="205"/>
      <c r="T664" s="205"/>
      <c r="U664" s="205"/>
      <c r="V664" s="205"/>
      <c r="W664" s="17"/>
      <c r="X664" s="17"/>
      <c r="Y664" s="17"/>
      <c r="Z664" s="17"/>
      <c r="AA664" s="17"/>
      <c r="AB664" s="17"/>
    </row>
    <row r="665">
      <c r="A665" s="17"/>
      <c r="B665" s="17"/>
      <c r="C665" s="17"/>
      <c r="D665" s="17"/>
      <c r="E665" s="17"/>
      <c r="F665" s="301"/>
      <c r="G665" s="17"/>
      <c r="H665" s="17"/>
      <c r="I665" s="17"/>
      <c r="J665" s="17"/>
      <c r="K665" s="17"/>
      <c r="L665" s="17"/>
      <c r="M665" s="17"/>
      <c r="N665" s="17"/>
      <c r="O665" s="17"/>
      <c r="P665" s="17"/>
      <c r="Q665" s="17"/>
      <c r="R665" s="17"/>
      <c r="S665" s="205"/>
      <c r="T665" s="205"/>
      <c r="U665" s="205"/>
      <c r="V665" s="205"/>
      <c r="W665" s="17"/>
      <c r="X665" s="17"/>
      <c r="Y665" s="17"/>
      <c r="Z665" s="17"/>
      <c r="AA665" s="17"/>
      <c r="AB665" s="17"/>
    </row>
    <row r="666">
      <c r="A666" s="17"/>
      <c r="B666" s="17"/>
      <c r="C666" s="17"/>
      <c r="D666" s="17"/>
      <c r="E666" s="17"/>
      <c r="F666" s="301"/>
      <c r="G666" s="17"/>
      <c r="H666" s="17"/>
      <c r="I666" s="17"/>
      <c r="J666" s="17"/>
      <c r="K666" s="17"/>
      <c r="L666" s="17"/>
      <c r="M666" s="17"/>
      <c r="N666" s="17"/>
      <c r="O666" s="17"/>
      <c r="P666" s="17"/>
      <c r="Q666" s="17"/>
      <c r="R666" s="17"/>
      <c r="S666" s="205"/>
      <c r="T666" s="205"/>
      <c r="U666" s="205"/>
      <c r="V666" s="205"/>
      <c r="W666" s="17"/>
      <c r="X666" s="17"/>
      <c r="Y666" s="17"/>
      <c r="Z666" s="17"/>
      <c r="AA666" s="17"/>
      <c r="AB666" s="17"/>
    </row>
    <row r="667">
      <c r="A667" s="17"/>
      <c r="B667" s="17"/>
      <c r="C667" s="17"/>
      <c r="D667" s="17"/>
      <c r="E667" s="17"/>
      <c r="F667" s="301"/>
      <c r="G667" s="17"/>
      <c r="H667" s="17"/>
      <c r="I667" s="17"/>
      <c r="J667" s="17"/>
      <c r="K667" s="17"/>
      <c r="L667" s="17"/>
      <c r="M667" s="17"/>
      <c r="N667" s="17"/>
      <c r="O667" s="17"/>
      <c r="P667" s="17"/>
      <c r="Q667" s="17"/>
      <c r="R667" s="17"/>
      <c r="S667" s="205"/>
      <c r="T667" s="205"/>
      <c r="U667" s="205"/>
      <c r="V667" s="205"/>
      <c r="W667" s="17"/>
      <c r="X667" s="17"/>
      <c r="Y667" s="17"/>
      <c r="Z667" s="17"/>
      <c r="AA667" s="17"/>
      <c r="AB667" s="17"/>
    </row>
    <row r="668">
      <c r="A668" s="17"/>
      <c r="B668" s="17"/>
      <c r="C668" s="17"/>
      <c r="D668" s="17"/>
      <c r="E668" s="17"/>
      <c r="F668" s="301"/>
      <c r="G668" s="17"/>
      <c r="H668" s="17"/>
      <c r="I668" s="17"/>
      <c r="J668" s="17"/>
      <c r="K668" s="17"/>
      <c r="L668" s="17"/>
      <c r="M668" s="17"/>
      <c r="N668" s="17"/>
      <c r="O668" s="17"/>
      <c r="P668" s="17"/>
      <c r="Q668" s="17"/>
      <c r="R668" s="17"/>
      <c r="S668" s="205"/>
      <c r="T668" s="205"/>
      <c r="U668" s="205"/>
      <c r="V668" s="205"/>
      <c r="W668" s="17"/>
      <c r="X668" s="17"/>
      <c r="Y668" s="17"/>
      <c r="Z668" s="17"/>
      <c r="AA668" s="17"/>
      <c r="AB668" s="17"/>
    </row>
    <row r="669">
      <c r="A669" s="17"/>
      <c r="B669" s="17"/>
      <c r="C669" s="17"/>
      <c r="D669" s="17"/>
      <c r="E669" s="17"/>
      <c r="F669" s="301"/>
      <c r="G669" s="17"/>
      <c r="H669" s="17"/>
      <c r="I669" s="17"/>
      <c r="J669" s="17"/>
      <c r="K669" s="17"/>
      <c r="L669" s="17"/>
      <c r="M669" s="17"/>
      <c r="N669" s="17"/>
      <c r="O669" s="17"/>
      <c r="P669" s="17"/>
      <c r="Q669" s="17"/>
      <c r="R669" s="17"/>
      <c r="S669" s="205"/>
      <c r="T669" s="205"/>
      <c r="U669" s="205"/>
      <c r="V669" s="205"/>
      <c r="W669" s="17"/>
      <c r="X669" s="17"/>
      <c r="Y669" s="17"/>
      <c r="Z669" s="17"/>
      <c r="AA669" s="17"/>
      <c r="AB669" s="17"/>
    </row>
    <row r="670">
      <c r="A670" s="17"/>
      <c r="B670" s="17"/>
      <c r="C670" s="17"/>
      <c r="D670" s="17"/>
      <c r="E670" s="17"/>
      <c r="F670" s="301"/>
      <c r="G670" s="17"/>
      <c r="H670" s="17"/>
      <c r="I670" s="17"/>
      <c r="J670" s="17"/>
      <c r="K670" s="17"/>
      <c r="L670" s="17"/>
      <c r="M670" s="17"/>
      <c r="N670" s="17"/>
      <c r="O670" s="17"/>
      <c r="P670" s="17"/>
      <c r="Q670" s="17"/>
      <c r="R670" s="17"/>
      <c r="S670" s="205"/>
      <c r="T670" s="205"/>
      <c r="U670" s="205"/>
      <c r="V670" s="205"/>
      <c r="W670" s="17"/>
      <c r="X670" s="17"/>
      <c r="Y670" s="17"/>
      <c r="Z670" s="17"/>
      <c r="AA670" s="17"/>
      <c r="AB670" s="17"/>
    </row>
    <row r="671">
      <c r="A671" s="17"/>
      <c r="B671" s="17"/>
      <c r="C671" s="17"/>
      <c r="D671" s="17"/>
      <c r="E671" s="17"/>
      <c r="F671" s="301"/>
      <c r="G671" s="17"/>
      <c r="H671" s="17"/>
      <c r="I671" s="17"/>
      <c r="J671" s="17"/>
      <c r="K671" s="17"/>
      <c r="L671" s="17"/>
      <c r="M671" s="17"/>
      <c r="N671" s="17"/>
      <c r="O671" s="17"/>
      <c r="P671" s="17"/>
      <c r="Q671" s="17"/>
      <c r="R671" s="17"/>
      <c r="S671" s="205"/>
      <c r="T671" s="205"/>
      <c r="U671" s="205"/>
      <c r="V671" s="205"/>
      <c r="W671" s="17"/>
      <c r="X671" s="17"/>
      <c r="Y671" s="17"/>
      <c r="Z671" s="17"/>
      <c r="AA671" s="17"/>
      <c r="AB671" s="17"/>
    </row>
    <row r="672">
      <c r="A672" s="17"/>
      <c r="B672" s="17"/>
      <c r="C672" s="17"/>
      <c r="D672" s="17"/>
      <c r="E672" s="17"/>
      <c r="F672" s="301"/>
      <c r="G672" s="17"/>
      <c r="H672" s="17"/>
      <c r="I672" s="17"/>
      <c r="J672" s="17"/>
      <c r="K672" s="17"/>
      <c r="L672" s="17"/>
      <c r="M672" s="17"/>
      <c r="N672" s="17"/>
      <c r="O672" s="17"/>
      <c r="P672" s="17"/>
      <c r="Q672" s="17"/>
      <c r="R672" s="17"/>
      <c r="S672" s="205"/>
      <c r="T672" s="205"/>
      <c r="U672" s="205"/>
      <c r="V672" s="205"/>
      <c r="W672" s="17"/>
      <c r="X672" s="17"/>
      <c r="Y672" s="17"/>
      <c r="Z672" s="17"/>
      <c r="AA672" s="17"/>
      <c r="AB672" s="17"/>
    </row>
    <row r="673">
      <c r="A673" s="17"/>
      <c r="B673" s="17"/>
      <c r="C673" s="17"/>
      <c r="D673" s="17"/>
      <c r="E673" s="17"/>
      <c r="F673" s="301"/>
      <c r="G673" s="17"/>
      <c r="H673" s="17"/>
      <c r="I673" s="17"/>
      <c r="J673" s="17"/>
      <c r="K673" s="17"/>
      <c r="L673" s="17"/>
      <c r="M673" s="17"/>
      <c r="N673" s="17"/>
      <c r="O673" s="17"/>
      <c r="P673" s="17"/>
      <c r="Q673" s="17"/>
      <c r="R673" s="17"/>
      <c r="S673" s="205"/>
      <c r="T673" s="205"/>
      <c r="U673" s="205"/>
      <c r="V673" s="205"/>
      <c r="W673" s="17"/>
      <c r="X673" s="17"/>
      <c r="Y673" s="17"/>
      <c r="Z673" s="17"/>
      <c r="AA673" s="17"/>
      <c r="AB673" s="17"/>
    </row>
    <row r="674">
      <c r="A674" s="17"/>
      <c r="B674" s="17"/>
      <c r="C674" s="17"/>
      <c r="D674" s="17"/>
      <c r="E674" s="17"/>
      <c r="F674" s="301"/>
      <c r="G674" s="17"/>
      <c r="H674" s="17"/>
      <c r="I674" s="17"/>
      <c r="J674" s="17"/>
      <c r="K674" s="17"/>
      <c r="L674" s="17"/>
      <c r="M674" s="17"/>
      <c r="N674" s="17"/>
      <c r="O674" s="17"/>
      <c r="P674" s="17"/>
      <c r="Q674" s="17"/>
      <c r="R674" s="17"/>
      <c r="S674" s="205"/>
      <c r="T674" s="205"/>
      <c r="U674" s="205"/>
      <c r="V674" s="205"/>
      <c r="W674" s="17"/>
      <c r="X674" s="17"/>
      <c r="Y674" s="17"/>
      <c r="Z674" s="17"/>
      <c r="AA674" s="17"/>
      <c r="AB674" s="17"/>
    </row>
    <row r="675">
      <c r="A675" s="17"/>
      <c r="B675" s="17"/>
      <c r="C675" s="17"/>
      <c r="D675" s="17"/>
      <c r="E675" s="17"/>
      <c r="F675" s="301"/>
      <c r="G675" s="17"/>
      <c r="H675" s="17"/>
      <c r="I675" s="17"/>
      <c r="J675" s="17"/>
      <c r="K675" s="17"/>
      <c r="L675" s="17"/>
      <c r="M675" s="17"/>
      <c r="N675" s="17"/>
      <c r="O675" s="17"/>
      <c r="P675" s="17"/>
      <c r="Q675" s="17"/>
      <c r="R675" s="17"/>
      <c r="S675" s="205"/>
      <c r="T675" s="205"/>
      <c r="U675" s="205"/>
      <c r="V675" s="205"/>
      <c r="W675" s="17"/>
      <c r="X675" s="17"/>
      <c r="Y675" s="17"/>
      <c r="Z675" s="17"/>
      <c r="AA675" s="17"/>
      <c r="AB675" s="17"/>
    </row>
    <row r="676">
      <c r="A676" s="17"/>
      <c r="B676" s="17"/>
      <c r="C676" s="17"/>
      <c r="D676" s="17"/>
      <c r="E676" s="17"/>
      <c r="F676" s="301"/>
      <c r="G676" s="17"/>
      <c r="H676" s="17"/>
      <c r="I676" s="17"/>
      <c r="J676" s="17"/>
      <c r="K676" s="17"/>
      <c r="L676" s="17"/>
      <c r="M676" s="17"/>
      <c r="N676" s="17"/>
      <c r="O676" s="17"/>
      <c r="P676" s="17"/>
      <c r="Q676" s="17"/>
      <c r="R676" s="17"/>
      <c r="S676" s="205"/>
      <c r="T676" s="205"/>
      <c r="U676" s="205"/>
      <c r="V676" s="205"/>
      <c r="W676" s="17"/>
      <c r="X676" s="17"/>
      <c r="Y676" s="17"/>
      <c r="Z676" s="17"/>
      <c r="AA676" s="17"/>
      <c r="AB676" s="17"/>
    </row>
    <row r="677">
      <c r="A677" s="17"/>
      <c r="B677" s="17"/>
      <c r="C677" s="17"/>
      <c r="D677" s="17"/>
      <c r="E677" s="17"/>
      <c r="F677" s="301"/>
      <c r="G677" s="17"/>
      <c r="H677" s="17"/>
      <c r="I677" s="17"/>
      <c r="J677" s="17"/>
      <c r="K677" s="17"/>
      <c r="L677" s="17"/>
      <c r="M677" s="17"/>
      <c r="N677" s="17"/>
      <c r="O677" s="17"/>
      <c r="P677" s="17"/>
      <c r="Q677" s="17"/>
      <c r="R677" s="17"/>
      <c r="S677" s="205"/>
      <c r="T677" s="205"/>
      <c r="U677" s="205"/>
      <c r="V677" s="205"/>
      <c r="W677" s="17"/>
      <c r="X677" s="17"/>
      <c r="Y677" s="17"/>
      <c r="Z677" s="17"/>
      <c r="AA677" s="17"/>
      <c r="AB677" s="17"/>
    </row>
    <row r="678">
      <c r="A678" s="17"/>
      <c r="B678" s="17"/>
      <c r="C678" s="17"/>
      <c r="D678" s="17"/>
      <c r="E678" s="17"/>
      <c r="F678" s="301"/>
      <c r="G678" s="17"/>
      <c r="H678" s="17"/>
      <c r="I678" s="17"/>
      <c r="J678" s="17"/>
      <c r="K678" s="17"/>
      <c r="L678" s="17"/>
      <c r="M678" s="17"/>
      <c r="N678" s="17"/>
      <c r="O678" s="17"/>
      <c r="P678" s="17"/>
      <c r="Q678" s="17"/>
      <c r="R678" s="17"/>
      <c r="S678" s="205"/>
      <c r="T678" s="205"/>
      <c r="U678" s="205"/>
      <c r="V678" s="205"/>
      <c r="W678" s="17"/>
      <c r="X678" s="17"/>
      <c r="Y678" s="17"/>
      <c r="Z678" s="17"/>
      <c r="AA678" s="17"/>
      <c r="AB678" s="17"/>
    </row>
    <row r="679">
      <c r="A679" s="17"/>
      <c r="B679" s="17"/>
      <c r="C679" s="17"/>
      <c r="D679" s="17"/>
      <c r="E679" s="17"/>
      <c r="F679" s="301"/>
      <c r="G679" s="17"/>
      <c r="H679" s="17"/>
      <c r="I679" s="17"/>
      <c r="J679" s="17"/>
      <c r="K679" s="17"/>
      <c r="L679" s="17"/>
      <c r="M679" s="17"/>
      <c r="N679" s="17"/>
      <c r="O679" s="17"/>
      <c r="P679" s="17"/>
      <c r="Q679" s="17"/>
      <c r="R679" s="17"/>
      <c r="S679" s="205"/>
      <c r="T679" s="205"/>
      <c r="U679" s="205"/>
      <c r="V679" s="205"/>
      <c r="W679" s="17"/>
      <c r="X679" s="17"/>
      <c r="Y679" s="17"/>
      <c r="Z679" s="17"/>
      <c r="AA679" s="17"/>
      <c r="AB679" s="17"/>
    </row>
    <row r="680">
      <c r="A680" s="17"/>
      <c r="B680" s="17"/>
      <c r="C680" s="17"/>
      <c r="D680" s="17"/>
      <c r="E680" s="17"/>
      <c r="F680" s="301"/>
      <c r="G680" s="17"/>
      <c r="H680" s="17"/>
      <c r="I680" s="17"/>
      <c r="J680" s="17"/>
      <c r="K680" s="17"/>
      <c r="L680" s="17"/>
      <c r="M680" s="17"/>
      <c r="N680" s="17"/>
      <c r="O680" s="17"/>
      <c r="P680" s="17"/>
      <c r="Q680" s="17"/>
      <c r="R680" s="17"/>
      <c r="S680" s="205"/>
      <c r="T680" s="205"/>
      <c r="U680" s="205"/>
      <c r="V680" s="205"/>
      <c r="W680" s="17"/>
      <c r="X680" s="17"/>
      <c r="Y680" s="17"/>
      <c r="Z680" s="17"/>
      <c r="AA680" s="17"/>
      <c r="AB680" s="17"/>
    </row>
    <row r="681">
      <c r="A681" s="17"/>
      <c r="B681" s="17"/>
      <c r="C681" s="17"/>
      <c r="D681" s="17"/>
      <c r="E681" s="17"/>
      <c r="F681" s="301"/>
      <c r="G681" s="17"/>
      <c r="H681" s="17"/>
      <c r="I681" s="17"/>
      <c r="J681" s="17"/>
      <c r="K681" s="17"/>
      <c r="L681" s="17"/>
      <c r="M681" s="17"/>
      <c r="N681" s="17"/>
      <c r="O681" s="17"/>
      <c r="P681" s="17"/>
      <c r="Q681" s="17"/>
      <c r="R681" s="17"/>
      <c r="S681" s="205"/>
      <c r="T681" s="205"/>
      <c r="U681" s="205"/>
      <c r="V681" s="205"/>
      <c r="W681" s="17"/>
      <c r="X681" s="17"/>
      <c r="Y681" s="17"/>
      <c r="Z681" s="17"/>
      <c r="AA681" s="17"/>
      <c r="AB681" s="17"/>
    </row>
    <row r="682">
      <c r="A682" s="17"/>
      <c r="B682" s="17"/>
      <c r="C682" s="17"/>
      <c r="D682" s="17"/>
      <c r="E682" s="17"/>
      <c r="F682" s="301"/>
      <c r="G682" s="17"/>
      <c r="H682" s="17"/>
      <c r="I682" s="17"/>
      <c r="J682" s="17"/>
      <c r="K682" s="17"/>
      <c r="L682" s="17"/>
      <c r="M682" s="17"/>
      <c r="N682" s="17"/>
      <c r="O682" s="17"/>
      <c r="P682" s="17"/>
      <c r="Q682" s="17"/>
      <c r="R682" s="17"/>
      <c r="S682" s="205"/>
      <c r="T682" s="205"/>
      <c r="U682" s="205"/>
      <c r="V682" s="205"/>
      <c r="W682" s="17"/>
      <c r="X682" s="17"/>
      <c r="Y682" s="17"/>
      <c r="Z682" s="17"/>
      <c r="AA682" s="17"/>
      <c r="AB682" s="17"/>
    </row>
    <row r="683">
      <c r="A683" s="17"/>
      <c r="B683" s="17"/>
      <c r="C683" s="17"/>
      <c r="D683" s="17"/>
      <c r="E683" s="17"/>
      <c r="F683" s="301"/>
      <c r="G683" s="17"/>
      <c r="H683" s="17"/>
      <c r="I683" s="17"/>
      <c r="J683" s="17"/>
      <c r="K683" s="17"/>
      <c r="L683" s="17"/>
      <c r="M683" s="17"/>
      <c r="N683" s="17"/>
      <c r="O683" s="17"/>
      <c r="P683" s="17"/>
      <c r="Q683" s="17"/>
      <c r="R683" s="17"/>
      <c r="S683" s="205"/>
      <c r="T683" s="205"/>
      <c r="U683" s="205"/>
      <c r="V683" s="205"/>
      <c r="W683" s="17"/>
      <c r="X683" s="17"/>
      <c r="Y683" s="17"/>
      <c r="Z683" s="17"/>
      <c r="AA683" s="17"/>
      <c r="AB683" s="17"/>
    </row>
    <row r="684">
      <c r="A684" s="17"/>
      <c r="B684" s="17"/>
      <c r="C684" s="17"/>
      <c r="D684" s="17"/>
      <c r="E684" s="17"/>
      <c r="F684" s="301"/>
      <c r="G684" s="17"/>
      <c r="H684" s="17"/>
      <c r="I684" s="17"/>
      <c r="J684" s="17"/>
      <c r="K684" s="17"/>
      <c r="L684" s="17"/>
      <c r="M684" s="17"/>
      <c r="N684" s="17"/>
      <c r="O684" s="17"/>
      <c r="P684" s="17"/>
      <c r="Q684" s="17"/>
      <c r="R684" s="17"/>
      <c r="S684" s="205"/>
      <c r="T684" s="205"/>
      <c r="U684" s="205"/>
      <c r="V684" s="205"/>
      <c r="W684" s="17"/>
      <c r="X684" s="17"/>
      <c r="Y684" s="17"/>
      <c r="Z684" s="17"/>
      <c r="AA684" s="17"/>
      <c r="AB684" s="17"/>
    </row>
    <row r="685">
      <c r="A685" s="17"/>
      <c r="B685" s="17"/>
      <c r="C685" s="17"/>
      <c r="D685" s="17"/>
      <c r="E685" s="17"/>
      <c r="F685" s="301"/>
      <c r="G685" s="17"/>
      <c r="H685" s="17"/>
      <c r="I685" s="17"/>
      <c r="J685" s="17"/>
      <c r="K685" s="17"/>
      <c r="L685" s="17"/>
      <c r="M685" s="17"/>
      <c r="N685" s="17"/>
      <c r="O685" s="17"/>
      <c r="P685" s="17"/>
      <c r="Q685" s="17"/>
      <c r="R685" s="17"/>
      <c r="S685" s="205"/>
      <c r="T685" s="205"/>
      <c r="U685" s="205"/>
      <c r="V685" s="205"/>
      <c r="W685" s="17"/>
      <c r="X685" s="17"/>
      <c r="Y685" s="17"/>
      <c r="Z685" s="17"/>
      <c r="AA685" s="17"/>
      <c r="AB685" s="17"/>
    </row>
    <row r="686">
      <c r="A686" s="17"/>
      <c r="B686" s="17"/>
      <c r="C686" s="17"/>
      <c r="D686" s="17"/>
      <c r="E686" s="17"/>
      <c r="F686" s="301"/>
      <c r="G686" s="17"/>
      <c r="H686" s="17"/>
      <c r="I686" s="17"/>
      <c r="J686" s="17"/>
      <c r="K686" s="17"/>
      <c r="L686" s="17"/>
      <c r="M686" s="17"/>
      <c r="N686" s="17"/>
      <c r="O686" s="17"/>
      <c r="P686" s="17"/>
      <c r="Q686" s="17"/>
      <c r="R686" s="17"/>
      <c r="S686" s="205"/>
      <c r="T686" s="205"/>
      <c r="U686" s="205"/>
      <c r="V686" s="205"/>
      <c r="W686" s="17"/>
      <c r="X686" s="17"/>
      <c r="Y686" s="17"/>
      <c r="Z686" s="17"/>
      <c r="AA686" s="17"/>
      <c r="AB686" s="17"/>
    </row>
    <row r="687">
      <c r="A687" s="17"/>
      <c r="B687" s="17"/>
      <c r="C687" s="17"/>
      <c r="D687" s="17"/>
      <c r="E687" s="17"/>
      <c r="F687" s="301"/>
      <c r="G687" s="17"/>
      <c r="H687" s="17"/>
      <c r="I687" s="17"/>
      <c r="J687" s="17"/>
      <c r="K687" s="17"/>
      <c r="L687" s="17"/>
      <c r="M687" s="17"/>
      <c r="N687" s="17"/>
      <c r="O687" s="17"/>
      <c r="P687" s="17"/>
      <c r="Q687" s="17"/>
      <c r="R687" s="17"/>
      <c r="S687" s="205"/>
      <c r="T687" s="205"/>
      <c r="U687" s="205"/>
      <c r="V687" s="205"/>
      <c r="W687" s="17"/>
      <c r="X687" s="17"/>
      <c r="Y687" s="17"/>
      <c r="Z687" s="17"/>
      <c r="AA687" s="17"/>
      <c r="AB687" s="17"/>
    </row>
    <row r="688">
      <c r="A688" s="17"/>
      <c r="B688" s="17"/>
      <c r="C688" s="17"/>
      <c r="D688" s="17"/>
      <c r="E688" s="17"/>
      <c r="F688" s="301"/>
      <c r="G688" s="17"/>
      <c r="H688" s="17"/>
      <c r="I688" s="17"/>
      <c r="J688" s="17"/>
      <c r="K688" s="17"/>
      <c r="L688" s="17"/>
      <c r="M688" s="17"/>
      <c r="N688" s="17"/>
      <c r="O688" s="17"/>
      <c r="P688" s="17"/>
      <c r="Q688" s="17"/>
      <c r="R688" s="17"/>
      <c r="S688" s="205"/>
      <c r="T688" s="205"/>
      <c r="U688" s="205"/>
      <c r="V688" s="205"/>
      <c r="W688" s="17"/>
      <c r="X688" s="17"/>
      <c r="Y688" s="17"/>
      <c r="Z688" s="17"/>
      <c r="AA688" s="17"/>
      <c r="AB688" s="17"/>
    </row>
    <row r="689">
      <c r="A689" s="17"/>
      <c r="B689" s="17"/>
      <c r="C689" s="17"/>
      <c r="D689" s="17"/>
      <c r="E689" s="17"/>
      <c r="F689" s="301"/>
      <c r="G689" s="17"/>
      <c r="H689" s="17"/>
      <c r="I689" s="17"/>
      <c r="J689" s="17"/>
      <c r="K689" s="17"/>
      <c r="L689" s="17"/>
      <c r="M689" s="17"/>
      <c r="N689" s="17"/>
      <c r="O689" s="17"/>
      <c r="P689" s="17"/>
      <c r="Q689" s="17"/>
      <c r="R689" s="17"/>
      <c r="S689" s="205"/>
      <c r="T689" s="205"/>
      <c r="U689" s="205"/>
      <c r="V689" s="205"/>
      <c r="W689" s="17"/>
      <c r="X689" s="17"/>
      <c r="Y689" s="17"/>
      <c r="Z689" s="17"/>
      <c r="AA689" s="17"/>
      <c r="AB689" s="17"/>
    </row>
    <row r="690">
      <c r="A690" s="17"/>
      <c r="B690" s="17"/>
      <c r="C690" s="17"/>
      <c r="D690" s="17"/>
      <c r="E690" s="17"/>
      <c r="F690" s="301"/>
      <c r="G690" s="17"/>
      <c r="H690" s="17"/>
      <c r="I690" s="17"/>
      <c r="J690" s="17"/>
      <c r="K690" s="17"/>
      <c r="L690" s="17"/>
      <c r="M690" s="17"/>
      <c r="N690" s="17"/>
      <c r="O690" s="17"/>
      <c r="P690" s="17"/>
      <c r="Q690" s="17"/>
      <c r="R690" s="17"/>
      <c r="S690" s="205"/>
      <c r="T690" s="205"/>
      <c r="U690" s="205"/>
      <c r="V690" s="205"/>
      <c r="W690" s="17"/>
      <c r="X690" s="17"/>
      <c r="Y690" s="17"/>
      <c r="Z690" s="17"/>
      <c r="AA690" s="17"/>
      <c r="AB690" s="17"/>
    </row>
    <row r="691">
      <c r="A691" s="17"/>
      <c r="B691" s="17"/>
      <c r="C691" s="17"/>
      <c r="D691" s="17"/>
      <c r="E691" s="17"/>
      <c r="F691" s="301"/>
      <c r="G691" s="17"/>
      <c r="H691" s="17"/>
      <c r="I691" s="17"/>
      <c r="J691" s="17"/>
      <c r="K691" s="17"/>
      <c r="L691" s="17"/>
      <c r="M691" s="17"/>
      <c r="N691" s="17"/>
      <c r="O691" s="17"/>
      <c r="P691" s="17"/>
      <c r="Q691" s="17"/>
      <c r="R691" s="17"/>
      <c r="S691" s="205"/>
      <c r="T691" s="205"/>
      <c r="U691" s="205"/>
      <c r="V691" s="205"/>
      <c r="W691" s="17"/>
      <c r="X691" s="17"/>
      <c r="Y691" s="17"/>
      <c r="Z691" s="17"/>
      <c r="AA691" s="17"/>
      <c r="AB691" s="17"/>
    </row>
    <row r="692">
      <c r="A692" s="17"/>
      <c r="B692" s="17"/>
      <c r="C692" s="17"/>
      <c r="D692" s="17"/>
      <c r="E692" s="17"/>
      <c r="F692" s="301"/>
      <c r="G692" s="17"/>
      <c r="H692" s="17"/>
      <c r="I692" s="17"/>
      <c r="J692" s="17"/>
      <c r="K692" s="17"/>
      <c r="L692" s="17"/>
      <c r="M692" s="17"/>
      <c r="N692" s="17"/>
      <c r="O692" s="17"/>
      <c r="P692" s="17"/>
      <c r="Q692" s="17"/>
      <c r="R692" s="17"/>
      <c r="S692" s="205"/>
      <c r="T692" s="205"/>
      <c r="U692" s="205"/>
      <c r="V692" s="205"/>
      <c r="W692" s="17"/>
      <c r="X692" s="17"/>
      <c r="Y692" s="17"/>
      <c r="Z692" s="17"/>
      <c r="AA692" s="17"/>
      <c r="AB692" s="17"/>
    </row>
    <row r="693">
      <c r="A693" s="17"/>
      <c r="B693" s="17"/>
      <c r="C693" s="17"/>
      <c r="D693" s="17"/>
      <c r="E693" s="17"/>
      <c r="F693" s="301"/>
      <c r="G693" s="17"/>
      <c r="H693" s="17"/>
      <c r="I693" s="17"/>
      <c r="J693" s="17"/>
      <c r="K693" s="17"/>
      <c r="L693" s="17"/>
      <c r="M693" s="17"/>
      <c r="N693" s="17"/>
      <c r="O693" s="17"/>
      <c r="P693" s="17"/>
      <c r="Q693" s="17"/>
      <c r="R693" s="17"/>
      <c r="S693" s="205"/>
      <c r="T693" s="205"/>
      <c r="U693" s="205"/>
      <c r="V693" s="205"/>
      <c r="W693" s="17"/>
      <c r="X693" s="17"/>
      <c r="Y693" s="17"/>
      <c r="Z693" s="17"/>
      <c r="AA693" s="17"/>
      <c r="AB693" s="17"/>
    </row>
    <row r="694">
      <c r="A694" s="17"/>
      <c r="B694" s="17"/>
      <c r="C694" s="17"/>
      <c r="D694" s="17"/>
      <c r="E694" s="17"/>
      <c r="F694" s="301"/>
      <c r="G694" s="17"/>
      <c r="H694" s="17"/>
      <c r="I694" s="17"/>
      <c r="J694" s="17"/>
      <c r="K694" s="17"/>
      <c r="L694" s="17"/>
      <c r="M694" s="17"/>
      <c r="N694" s="17"/>
      <c r="O694" s="17"/>
      <c r="P694" s="17"/>
      <c r="Q694" s="17"/>
      <c r="R694" s="17"/>
      <c r="S694" s="205"/>
      <c r="T694" s="205"/>
      <c r="U694" s="205"/>
      <c r="V694" s="205"/>
      <c r="W694" s="17"/>
      <c r="X694" s="17"/>
      <c r="Y694" s="17"/>
      <c r="Z694" s="17"/>
      <c r="AA694" s="17"/>
      <c r="AB694" s="17"/>
    </row>
    <row r="695">
      <c r="A695" s="17"/>
      <c r="B695" s="17"/>
      <c r="C695" s="17"/>
      <c r="D695" s="17"/>
      <c r="E695" s="17"/>
      <c r="F695" s="301"/>
      <c r="G695" s="17"/>
      <c r="H695" s="17"/>
      <c r="I695" s="17"/>
      <c r="J695" s="17"/>
      <c r="K695" s="17"/>
      <c r="L695" s="17"/>
      <c r="M695" s="17"/>
      <c r="N695" s="17"/>
      <c r="O695" s="17"/>
      <c r="P695" s="17"/>
      <c r="Q695" s="17"/>
      <c r="R695" s="17"/>
      <c r="S695" s="205"/>
      <c r="T695" s="205"/>
      <c r="U695" s="205"/>
      <c r="V695" s="205"/>
      <c r="W695" s="17"/>
      <c r="X695" s="17"/>
      <c r="Y695" s="17"/>
      <c r="Z695" s="17"/>
      <c r="AA695" s="17"/>
      <c r="AB695" s="17"/>
    </row>
    <row r="696">
      <c r="A696" s="17"/>
      <c r="B696" s="17"/>
      <c r="C696" s="17"/>
      <c r="D696" s="17"/>
      <c r="E696" s="17"/>
      <c r="F696" s="301"/>
      <c r="G696" s="17"/>
      <c r="H696" s="17"/>
      <c r="I696" s="17"/>
      <c r="J696" s="17"/>
      <c r="K696" s="17"/>
      <c r="L696" s="17"/>
      <c r="M696" s="17"/>
      <c r="N696" s="17"/>
      <c r="O696" s="17"/>
      <c r="P696" s="17"/>
      <c r="Q696" s="17"/>
      <c r="R696" s="17"/>
      <c r="S696" s="205"/>
      <c r="T696" s="205"/>
      <c r="U696" s="205"/>
      <c r="V696" s="205"/>
      <c r="W696" s="17"/>
      <c r="X696" s="17"/>
      <c r="Y696" s="17"/>
      <c r="Z696" s="17"/>
      <c r="AA696" s="17"/>
      <c r="AB696" s="17"/>
    </row>
    <row r="697">
      <c r="A697" s="17"/>
      <c r="B697" s="17"/>
      <c r="C697" s="17"/>
      <c r="D697" s="17"/>
      <c r="E697" s="17"/>
      <c r="F697" s="301"/>
      <c r="G697" s="17"/>
      <c r="H697" s="17"/>
      <c r="I697" s="17"/>
      <c r="J697" s="17"/>
      <c r="K697" s="17"/>
      <c r="L697" s="17"/>
      <c r="M697" s="17"/>
      <c r="N697" s="17"/>
      <c r="O697" s="17"/>
      <c r="P697" s="17"/>
      <c r="Q697" s="17"/>
      <c r="R697" s="17"/>
      <c r="S697" s="205"/>
      <c r="T697" s="205"/>
      <c r="U697" s="205"/>
      <c r="V697" s="205"/>
      <c r="W697" s="17"/>
      <c r="X697" s="17"/>
      <c r="Y697" s="17"/>
      <c r="Z697" s="17"/>
      <c r="AA697" s="17"/>
      <c r="AB697" s="17"/>
    </row>
    <row r="698">
      <c r="A698" s="17"/>
      <c r="B698" s="17"/>
      <c r="C698" s="17"/>
      <c r="D698" s="17"/>
      <c r="E698" s="17"/>
      <c r="F698" s="301"/>
      <c r="G698" s="17"/>
      <c r="H698" s="17"/>
      <c r="I698" s="17"/>
      <c r="J698" s="17"/>
      <c r="K698" s="17"/>
      <c r="L698" s="17"/>
      <c r="M698" s="17"/>
      <c r="N698" s="17"/>
      <c r="O698" s="17"/>
      <c r="P698" s="17"/>
      <c r="Q698" s="17"/>
      <c r="R698" s="17"/>
      <c r="S698" s="205"/>
      <c r="T698" s="205"/>
      <c r="U698" s="205"/>
      <c r="V698" s="205"/>
      <c r="W698" s="17"/>
      <c r="X698" s="17"/>
      <c r="Y698" s="17"/>
      <c r="Z698" s="17"/>
      <c r="AA698" s="17"/>
      <c r="AB698" s="17"/>
    </row>
    <row r="699">
      <c r="A699" s="17"/>
      <c r="B699" s="17"/>
      <c r="C699" s="17"/>
      <c r="D699" s="17"/>
      <c r="E699" s="17"/>
      <c r="F699" s="301"/>
      <c r="G699" s="17"/>
      <c r="H699" s="17"/>
      <c r="I699" s="17"/>
      <c r="J699" s="17"/>
      <c r="K699" s="17"/>
      <c r="L699" s="17"/>
      <c r="M699" s="17"/>
      <c r="N699" s="17"/>
      <c r="O699" s="17"/>
      <c r="P699" s="17"/>
      <c r="Q699" s="17"/>
      <c r="R699" s="17"/>
      <c r="S699" s="205"/>
      <c r="T699" s="205"/>
      <c r="U699" s="205"/>
      <c r="V699" s="205"/>
      <c r="W699" s="17"/>
      <c r="X699" s="17"/>
      <c r="Y699" s="17"/>
      <c r="Z699" s="17"/>
      <c r="AA699" s="17"/>
      <c r="AB699" s="17"/>
    </row>
    <row r="700">
      <c r="A700" s="17"/>
      <c r="B700" s="17"/>
      <c r="C700" s="17"/>
      <c r="D700" s="17"/>
      <c r="E700" s="17"/>
      <c r="F700" s="301"/>
      <c r="G700" s="17"/>
      <c r="H700" s="17"/>
      <c r="I700" s="17"/>
      <c r="J700" s="17"/>
      <c r="K700" s="17"/>
      <c r="L700" s="17"/>
      <c r="M700" s="17"/>
      <c r="N700" s="17"/>
      <c r="O700" s="17"/>
      <c r="P700" s="17"/>
      <c r="Q700" s="17"/>
      <c r="R700" s="17"/>
      <c r="S700" s="205"/>
      <c r="T700" s="205"/>
      <c r="U700" s="205"/>
      <c r="V700" s="205"/>
      <c r="W700" s="17"/>
      <c r="X700" s="17"/>
      <c r="Y700" s="17"/>
      <c r="Z700" s="17"/>
      <c r="AA700" s="17"/>
      <c r="AB700" s="17"/>
    </row>
    <row r="701">
      <c r="A701" s="17"/>
      <c r="B701" s="17"/>
      <c r="C701" s="17"/>
      <c r="D701" s="17"/>
      <c r="E701" s="17"/>
      <c r="F701" s="301"/>
      <c r="G701" s="17"/>
      <c r="H701" s="17"/>
      <c r="I701" s="17"/>
      <c r="J701" s="17"/>
      <c r="K701" s="17"/>
      <c r="L701" s="17"/>
      <c r="M701" s="17"/>
      <c r="N701" s="17"/>
      <c r="O701" s="17"/>
      <c r="P701" s="17"/>
      <c r="Q701" s="17"/>
      <c r="R701" s="17"/>
      <c r="S701" s="205"/>
      <c r="T701" s="205"/>
      <c r="U701" s="205"/>
      <c r="V701" s="205"/>
      <c r="W701" s="17"/>
      <c r="X701" s="17"/>
      <c r="Y701" s="17"/>
      <c r="Z701" s="17"/>
      <c r="AA701" s="17"/>
      <c r="AB701" s="17"/>
    </row>
    <row r="702">
      <c r="A702" s="17"/>
      <c r="B702" s="17"/>
      <c r="C702" s="17"/>
      <c r="D702" s="17"/>
      <c r="E702" s="17"/>
      <c r="F702" s="301"/>
      <c r="G702" s="17"/>
      <c r="H702" s="17"/>
      <c r="I702" s="17"/>
      <c r="J702" s="17"/>
      <c r="K702" s="17"/>
      <c r="L702" s="17"/>
      <c r="M702" s="17"/>
      <c r="N702" s="17"/>
      <c r="O702" s="17"/>
      <c r="P702" s="17"/>
      <c r="Q702" s="17"/>
      <c r="R702" s="17"/>
      <c r="S702" s="205"/>
      <c r="T702" s="205"/>
      <c r="U702" s="205"/>
      <c r="V702" s="205"/>
      <c r="W702" s="17"/>
      <c r="X702" s="17"/>
      <c r="Y702" s="17"/>
      <c r="Z702" s="17"/>
      <c r="AA702" s="17"/>
      <c r="AB702" s="17"/>
    </row>
    <row r="703">
      <c r="A703" s="17"/>
      <c r="B703" s="17"/>
      <c r="C703" s="17"/>
      <c r="D703" s="17"/>
      <c r="E703" s="17"/>
      <c r="F703" s="301"/>
      <c r="G703" s="17"/>
      <c r="H703" s="17"/>
      <c r="I703" s="17"/>
      <c r="J703" s="17"/>
      <c r="K703" s="17"/>
      <c r="L703" s="17"/>
      <c r="M703" s="17"/>
      <c r="N703" s="17"/>
      <c r="O703" s="17"/>
      <c r="P703" s="17"/>
      <c r="Q703" s="17"/>
      <c r="R703" s="17"/>
      <c r="S703" s="205"/>
      <c r="T703" s="205"/>
      <c r="U703" s="205"/>
      <c r="V703" s="205"/>
      <c r="W703" s="17"/>
      <c r="X703" s="17"/>
      <c r="Y703" s="17"/>
      <c r="Z703" s="17"/>
      <c r="AA703" s="17"/>
      <c r="AB703" s="17"/>
    </row>
    <row r="704">
      <c r="A704" s="17"/>
      <c r="B704" s="17"/>
      <c r="C704" s="17"/>
      <c r="D704" s="17"/>
      <c r="E704" s="17"/>
      <c r="F704" s="301"/>
      <c r="G704" s="17"/>
      <c r="H704" s="17"/>
      <c r="I704" s="17"/>
      <c r="J704" s="17"/>
      <c r="K704" s="17"/>
      <c r="L704" s="17"/>
      <c r="M704" s="17"/>
      <c r="N704" s="17"/>
      <c r="O704" s="17"/>
      <c r="P704" s="17"/>
      <c r="Q704" s="17"/>
      <c r="R704" s="17"/>
      <c r="S704" s="205"/>
      <c r="T704" s="205"/>
      <c r="U704" s="205"/>
      <c r="V704" s="205"/>
      <c r="W704" s="17"/>
      <c r="X704" s="17"/>
      <c r="Y704" s="17"/>
      <c r="Z704" s="17"/>
      <c r="AA704" s="17"/>
      <c r="AB704" s="17"/>
    </row>
    <row r="705">
      <c r="A705" s="17"/>
      <c r="B705" s="17"/>
      <c r="C705" s="17"/>
      <c r="D705" s="17"/>
      <c r="E705" s="17"/>
      <c r="F705" s="301"/>
      <c r="G705" s="17"/>
      <c r="H705" s="17"/>
      <c r="I705" s="17"/>
      <c r="J705" s="17"/>
      <c r="K705" s="17"/>
      <c r="L705" s="17"/>
      <c r="M705" s="17"/>
      <c r="N705" s="17"/>
      <c r="O705" s="17"/>
      <c r="P705" s="17"/>
      <c r="Q705" s="17"/>
      <c r="R705" s="17"/>
      <c r="S705" s="205"/>
      <c r="T705" s="205"/>
      <c r="U705" s="205"/>
      <c r="V705" s="205"/>
      <c r="W705" s="17"/>
      <c r="X705" s="17"/>
      <c r="Y705" s="17"/>
      <c r="Z705" s="17"/>
      <c r="AA705" s="17"/>
      <c r="AB705" s="17"/>
    </row>
    <row r="706">
      <c r="A706" s="17"/>
      <c r="B706" s="17"/>
      <c r="C706" s="17"/>
      <c r="D706" s="17"/>
      <c r="E706" s="17"/>
      <c r="F706" s="301"/>
      <c r="G706" s="17"/>
      <c r="H706" s="17"/>
      <c r="I706" s="17"/>
      <c r="J706" s="17"/>
      <c r="K706" s="17"/>
      <c r="L706" s="17"/>
      <c r="M706" s="17"/>
      <c r="N706" s="17"/>
      <c r="O706" s="17"/>
      <c r="P706" s="17"/>
      <c r="Q706" s="17"/>
      <c r="R706" s="17"/>
      <c r="S706" s="205"/>
      <c r="T706" s="205"/>
      <c r="U706" s="205"/>
      <c r="V706" s="205"/>
      <c r="W706" s="17"/>
      <c r="X706" s="17"/>
      <c r="Y706" s="17"/>
      <c r="Z706" s="17"/>
      <c r="AA706" s="17"/>
      <c r="AB706" s="17"/>
    </row>
    <row r="707">
      <c r="A707" s="17"/>
      <c r="B707" s="17"/>
      <c r="C707" s="17"/>
      <c r="D707" s="17"/>
      <c r="E707" s="17"/>
      <c r="F707" s="301"/>
      <c r="G707" s="17"/>
      <c r="H707" s="17"/>
      <c r="I707" s="17"/>
      <c r="J707" s="17"/>
      <c r="K707" s="17"/>
      <c r="L707" s="17"/>
      <c r="M707" s="17"/>
      <c r="N707" s="17"/>
      <c r="O707" s="17"/>
      <c r="P707" s="17"/>
      <c r="Q707" s="17"/>
      <c r="R707" s="17"/>
      <c r="S707" s="205"/>
      <c r="T707" s="205"/>
      <c r="U707" s="205"/>
      <c r="V707" s="205"/>
      <c r="W707" s="17"/>
      <c r="X707" s="17"/>
      <c r="Y707" s="17"/>
      <c r="Z707" s="17"/>
      <c r="AA707" s="17"/>
      <c r="AB707" s="17"/>
    </row>
    <row r="708">
      <c r="A708" s="17"/>
      <c r="B708" s="17"/>
      <c r="C708" s="17"/>
      <c r="D708" s="17"/>
      <c r="E708" s="17"/>
      <c r="F708" s="301"/>
      <c r="G708" s="17"/>
      <c r="H708" s="17"/>
      <c r="I708" s="17"/>
      <c r="J708" s="17"/>
      <c r="K708" s="17"/>
      <c r="L708" s="17"/>
      <c r="M708" s="17"/>
      <c r="N708" s="17"/>
      <c r="O708" s="17"/>
      <c r="P708" s="17"/>
      <c r="Q708" s="17"/>
      <c r="R708" s="17"/>
      <c r="S708" s="205"/>
      <c r="T708" s="205"/>
      <c r="U708" s="205"/>
      <c r="V708" s="205"/>
      <c r="W708" s="17"/>
      <c r="X708" s="17"/>
      <c r="Y708" s="17"/>
      <c r="Z708" s="17"/>
      <c r="AA708" s="17"/>
      <c r="AB708" s="17"/>
    </row>
    <row r="709">
      <c r="A709" s="17"/>
      <c r="B709" s="17"/>
      <c r="C709" s="17"/>
      <c r="D709" s="17"/>
      <c r="E709" s="17"/>
      <c r="F709" s="301"/>
      <c r="G709" s="17"/>
      <c r="H709" s="17"/>
      <c r="I709" s="17"/>
      <c r="J709" s="17"/>
      <c r="K709" s="17"/>
      <c r="L709" s="17"/>
      <c r="M709" s="17"/>
      <c r="N709" s="17"/>
      <c r="O709" s="17"/>
      <c r="P709" s="17"/>
      <c r="Q709" s="17"/>
      <c r="R709" s="17"/>
      <c r="S709" s="205"/>
      <c r="T709" s="205"/>
      <c r="U709" s="205"/>
      <c r="V709" s="205"/>
      <c r="W709" s="17"/>
      <c r="X709" s="17"/>
      <c r="Y709" s="17"/>
      <c r="Z709" s="17"/>
      <c r="AA709" s="17"/>
      <c r="AB709" s="17"/>
    </row>
    <row r="710">
      <c r="A710" s="17"/>
      <c r="B710" s="17"/>
      <c r="C710" s="17"/>
      <c r="D710" s="17"/>
      <c r="E710" s="17"/>
      <c r="F710" s="301"/>
      <c r="G710" s="17"/>
      <c r="H710" s="17"/>
      <c r="I710" s="17"/>
      <c r="J710" s="17"/>
      <c r="K710" s="17"/>
      <c r="L710" s="17"/>
      <c r="M710" s="17"/>
      <c r="N710" s="17"/>
      <c r="O710" s="17"/>
      <c r="P710" s="17"/>
      <c r="Q710" s="17"/>
      <c r="R710" s="17"/>
      <c r="S710" s="205"/>
      <c r="T710" s="205"/>
      <c r="U710" s="205"/>
      <c r="V710" s="205"/>
      <c r="W710" s="17"/>
      <c r="X710" s="17"/>
      <c r="Y710" s="17"/>
      <c r="Z710" s="17"/>
      <c r="AA710" s="17"/>
      <c r="AB710" s="17"/>
    </row>
    <row r="711">
      <c r="A711" s="17"/>
      <c r="B711" s="17"/>
      <c r="C711" s="17"/>
      <c r="D711" s="17"/>
      <c r="E711" s="17"/>
      <c r="F711" s="301"/>
      <c r="G711" s="17"/>
      <c r="H711" s="17"/>
      <c r="I711" s="17"/>
      <c r="J711" s="17"/>
      <c r="K711" s="17"/>
      <c r="L711" s="17"/>
      <c r="M711" s="17"/>
      <c r="N711" s="17"/>
      <c r="O711" s="17"/>
      <c r="P711" s="17"/>
      <c r="Q711" s="17"/>
      <c r="R711" s="17"/>
      <c r="S711" s="205"/>
      <c r="T711" s="205"/>
      <c r="U711" s="205"/>
      <c r="V711" s="205"/>
      <c r="W711" s="17"/>
      <c r="X711" s="17"/>
      <c r="Y711" s="17"/>
      <c r="Z711" s="17"/>
      <c r="AA711" s="17"/>
      <c r="AB711" s="17"/>
    </row>
    <row r="712">
      <c r="A712" s="17"/>
      <c r="B712" s="17"/>
      <c r="C712" s="17"/>
      <c r="D712" s="17"/>
      <c r="E712" s="17"/>
      <c r="F712" s="301"/>
      <c r="G712" s="17"/>
      <c r="H712" s="17"/>
      <c r="I712" s="17"/>
      <c r="J712" s="17"/>
      <c r="K712" s="17"/>
      <c r="L712" s="17"/>
      <c r="M712" s="17"/>
      <c r="N712" s="17"/>
      <c r="O712" s="17"/>
      <c r="P712" s="17"/>
      <c r="Q712" s="17"/>
      <c r="R712" s="17"/>
      <c r="S712" s="205"/>
      <c r="T712" s="205"/>
      <c r="U712" s="205"/>
      <c r="V712" s="205"/>
      <c r="W712" s="17"/>
      <c r="X712" s="17"/>
      <c r="Y712" s="17"/>
      <c r="Z712" s="17"/>
      <c r="AA712" s="17"/>
      <c r="AB712" s="17"/>
    </row>
    <row r="713">
      <c r="A713" s="17"/>
      <c r="B713" s="17"/>
      <c r="C713" s="17"/>
      <c r="D713" s="17"/>
      <c r="E713" s="17"/>
      <c r="F713" s="301"/>
      <c r="G713" s="17"/>
      <c r="H713" s="17"/>
      <c r="I713" s="17"/>
      <c r="J713" s="17"/>
      <c r="K713" s="17"/>
      <c r="L713" s="17"/>
      <c r="M713" s="17"/>
      <c r="N713" s="17"/>
      <c r="O713" s="17"/>
      <c r="P713" s="17"/>
      <c r="Q713" s="17"/>
      <c r="R713" s="17"/>
      <c r="S713" s="205"/>
      <c r="T713" s="205"/>
      <c r="U713" s="205"/>
      <c r="V713" s="205"/>
      <c r="W713" s="17"/>
      <c r="X713" s="17"/>
      <c r="Y713" s="17"/>
      <c r="Z713" s="17"/>
      <c r="AA713" s="17"/>
      <c r="AB713" s="17"/>
    </row>
    <row r="714">
      <c r="A714" s="17"/>
      <c r="B714" s="17"/>
      <c r="C714" s="17"/>
      <c r="D714" s="17"/>
      <c r="E714" s="17"/>
      <c r="F714" s="301"/>
      <c r="G714" s="17"/>
      <c r="H714" s="17"/>
      <c r="I714" s="17"/>
      <c r="J714" s="17"/>
      <c r="K714" s="17"/>
      <c r="L714" s="17"/>
      <c r="M714" s="17"/>
      <c r="N714" s="17"/>
      <c r="O714" s="17"/>
      <c r="P714" s="17"/>
      <c r="Q714" s="17"/>
      <c r="R714" s="17"/>
      <c r="S714" s="205"/>
      <c r="T714" s="205"/>
      <c r="U714" s="205"/>
      <c r="V714" s="205"/>
      <c r="W714" s="17"/>
      <c r="X714" s="17"/>
      <c r="Y714" s="17"/>
      <c r="Z714" s="17"/>
      <c r="AA714" s="17"/>
      <c r="AB714" s="17"/>
    </row>
    <row r="715">
      <c r="A715" s="17"/>
      <c r="B715" s="17"/>
      <c r="C715" s="17"/>
      <c r="D715" s="17"/>
      <c r="E715" s="17"/>
      <c r="F715" s="301"/>
      <c r="G715" s="17"/>
      <c r="H715" s="17"/>
      <c r="I715" s="17"/>
      <c r="J715" s="17"/>
      <c r="K715" s="17"/>
      <c r="L715" s="17"/>
      <c r="M715" s="17"/>
      <c r="N715" s="17"/>
      <c r="O715" s="17"/>
      <c r="P715" s="17"/>
      <c r="Q715" s="17"/>
      <c r="R715" s="17"/>
      <c r="S715" s="205"/>
      <c r="T715" s="205"/>
      <c r="U715" s="205"/>
      <c r="V715" s="205"/>
      <c r="W715" s="17"/>
      <c r="X715" s="17"/>
      <c r="Y715" s="17"/>
      <c r="Z715" s="17"/>
      <c r="AA715" s="17"/>
      <c r="AB715" s="17"/>
    </row>
    <row r="716">
      <c r="A716" s="17"/>
      <c r="B716" s="17"/>
      <c r="C716" s="17"/>
      <c r="D716" s="17"/>
      <c r="E716" s="17"/>
      <c r="F716" s="301"/>
      <c r="G716" s="17"/>
      <c r="H716" s="17"/>
      <c r="I716" s="17"/>
      <c r="J716" s="17"/>
      <c r="K716" s="17"/>
      <c r="L716" s="17"/>
      <c r="M716" s="17"/>
      <c r="N716" s="17"/>
      <c r="O716" s="17"/>
      <c r="P716" s="17"/>
      <c r="Q716" s="17"/>
      <c r="R716" s="17"/>
      <c r="S716" s="205"/>
      <c r="T716" s="205"/>
      <c r="U716" s="205"/>
      <c r="V716" s="205"/>
      <c r="W716" s="17"/>
      <c r="X716" s="17"/>
      <c r="Y716" s="17"/>
      <c r="Z716" s="17"/>
      <c r="AA716" s="17"/>
      <c r="AB716" s="17"/>
    </row>
    <row r="717">
      <c r="A717" s="17"/>
      <c r="B717" s="17"/>
      <c r="C717" s="17"/>
      <c r="D717" s="17"/>
      <c r="E717" s="17"/>
      <c r="F717" s="301"/>
      <c r="G717" s="17"/>
      <c r="H717" s="17"/>
      <c r="I717" s="17"/>
      <c r="J717" s="17"/>
      <c r="K717" s="17"/>
      <c r="L717" s="17"/>
      <c r="M717" s="17"/>
      <c r="N717" s="17"/>
      <c r="O717" s="17"/>
      <c r="P717" s="17"/>
      <c r="Q717" s="17"/>
      <c r="R717" s="17"/>
      <c r="S717" s="205"/>
      <c r="T717" s="205"/>
      <c r="U717" s="205"/>
      <c r="V717" s="205"/>
      <c r="W717" s="17"/>
      <c r="X717" s="17"/>
      <c r="Y717" s="17"/>
      <c r="Z717" s="17"/>
      <c r="AA717" s="17"/>
      <c r="AB717" s="17"/>
    </row>
    <row r="718">
      <c r="A718" s="17"/>
      <c r="B718" s="17"/>
      <c r="C718" s="17"/>
      <c r="D718" s="17"/>
      <c r="E718" s="17"/>
      <c r="F718" s="301"/>
      <c r="G718" s="17"/>
      <c r="H718" s="17"/>
      <c r="I718" s="17"/>
      <c r="J718" s="17"/>
      <c r="K718" s="17"/>
      <c r="L718" s="17"/>
      <c r="M718" s="17"/>
      <c r="N718" s="17"/>
      <c r="O718" s="17"/>
      <c r="P718" s="17"/>
      <c r="Q718" s="17"/>
      <c r="R718" s="17"/>
      <c r="S718" s="205"/>
      <c r="T718" s="205"/>
      <c r="U718" s="205"/>
      <c r="V718" s="205"/>
      <c r="W718" s="17"/>
      <c r="X718" s="17"/>
      <c r="Y718" s="17"/>
      <c r="Z718" s="17"/>
      <c r="AA718" s="17"/>
      <c r="AB718" s="17"/>
    </row>
    <row r="719">
      <c r="A719" s="17"/>
      <c r="B719" s="17"/>
      <c r="C719" s="17"/>
      <c r="D719" s="17"/>
      <c r="E719" s="17"/>
      <c r="F719" s="301"/>
      <c r="G719" s="17"/>
      <c r="H719" s="17"/>
      <c r="I719" s="17"/>
      <c r="J719" s="17"/>
      <c r="K719" s="17"/>
      <c r="L719" s="17"/>
      <c r="M719" s="17"/>
      <c r="N719" s="17"/>
      <c r="O719" s="17"/>
      <c r="P719" s="17"/>
      <c r="Q719" s="17"/>
      <c r="R719" s="17"/>
      <c r="S719" s="205"/>
      <c r="T719" s="205"/>
      <c r="U719" s="205"/>
      <c r="V719" s="205"/>
      <c r="W719" s="17"/>
      <c r="X719" s="17"/>
      <c r="Y719" s="17"/>
      <c r="Z719" s="17"/>
      <c r="AA719" s="17"/>
      <c r="AB719" s="17"/>
    </row>
    <row r="720">
      <c r="A720" s="17"/>
      <c r="B720" s="17"/>
      <c r="C720" s="17"/>
      <c r="D720" s="17"/>
      <c r="E720" s="17"/>
      <c r="F720" s="301"/>
      <c r="G720" s="17"/>
      <c r="H720" s="17"/>
      <c r="I720" s="17"/>
      <c r="J720" s="17"/>
      <c r="K720" s="17"/>
      <c r="L720" s="17"/>
      <c r="M720" s="17"/>
      <c r="N720" s="17"/>
      <c r="O720" s="17"/>
      <c r="P720" s="17"/>
      <c r="Q720" s="17"/>
      <c r="R720" s="17"/>
      <c r="S720" s="205"/>
      <c r="T720" s="205"/>
      <c r="U720" s="205"/>
      <c r="V720" s="205"/>
      <c r="W720" s="17"/>
      <c r="X720" s="17"/>
      <c r="Y720" s="17"/>
      <c r="Z720" s="17"/>
      <c r="AA720" s="17"/>
      <c r="AB720" s="17"/>
    </row>
    <row r="721">
      <c r="A721" s="17"/>
      <c r="B721" s="17"/>
      <c r="C721" s="17"/>
      <c r="D721" s="17"/>
      <c r="E721" s="17"/>
      <c r="F721" s="301"/>
      <c r="G721" s="17"/>
      <c r="H721" s="17"/>
      <c r="I721" s="17"/>
      <c r="J721" s="17"/>
      <c r="K721" s="17"/>
      <c r="L721" s="17"/>
      <c r="M721" s="17"/>
      <c r="N721" s="17"/>
      <c r="O721" s="17"/>
      <c r="P721" s="17"/>
      <c r="Q721" s="17"/>
      <c r="R721" s="17"/>
      <c r="S721" s="205"/>
      <c r="T721" s="205"/>
      <c r="U721" s="205"/>
      <c r="V721" s="205"/>
      <c r="W721" s="17"/>
      <c r="X721" s="17"/>
      <c r="Y721" s="17"/>
      <c r="Z721" s="17"/>
      <c r="AA721" s="17"/>
      <c r="AB721" s="17"/>
    </row>
    <row r="722">
      <c r="A722" s="17"/>
      <c r="B722" s="17"/>
      <c r="C722" s="17"/>
      <c r="D722" s="17"/>
      <c r="E722" s="17"/>
      <c r="F722" s="301"/>
      <c r="G722" s="17"/>
      <c r="H722" s="17"/>
      <c r="I722" s="17"/>
      <c r="J722" s="17"/>
      <c r="K722" s="17"/>
      <c r="L722" s="17"/>
      <c r="M722" s="17"/>
      <c r="N722" s="17"/>
      <c r="O722" s="17"/>
      <c r="P722" s="17"/>
      <c r="Q722" s="17"/>
      <c r="R722" s="17"/>
      <c r="S722" s="205"/>
      <c r="T722" s="205"/>
      <c r="U722" s="205"/>
      <c r="V722" s="205"/>
      <c r="W722" s="17"/>
      <c r="X722" s="17"/>
      <c r="Y722" s="17"/>
      <c r="Z722" s="17"/>
      <c r="AA722" s="17"/>
      <c r="AB722" s="17"/>
    </row>
    <row r="723">
      <c r="A723" s="17"/>
      <c r="B723" s="17"/>
      <c r="C723" s="17"/>
      <c r="D723" s="17"/>
      <c r="E723" s="17"/>
      <c r="F723" s="301"/>
      <c r="G723" s="17"/>
      <c r="H723" s="17"/>
      <c r="I723" s="17"/>
      <c r="J723" s="17"/>
      <c r="K723" s="17"/>
      <c r="L723" s="17"/>
      <c r="M723" s="17"/>
      <c r="N723" s="17"/>
      <c r="O723" s="17"/>
      <c r="P723" s="17"/>
      <c r="Q723" s="17"/>
      <c r="R723" s="17"/>
      <c r="S723" s="205"/>
      <c r="T723" s="205"/>
      <c r="U723" s="205"/>
      <c r="V723" s="205"/>
      <c r="W723" s="17"/>
      <c r="X723" s="17"/>
      <c r="Y723" s="17"/>
      <c r="Z723" s="17"/>
      <c r="AA723" s="17"/>
      <c r="AB723" s="17"/>
    </row>
    <row r="724">
      <c r="A724" s="17"/>
      <c r="B724" s="17"/>
      <c r="C724" s="17"/>
      <c r="D724" s="17"/>
      <c r="E724" s="17"/>
      <c r="F724" s="301"/>
      <c r="G724" s="17"/>
      <c r="H724" s="17"/>
      <c r="I724" s="17"/>
      <c r="J724" s="17"/>
      <c r="K724" s="17"/>
      <c r="L724" s="17"/>
      <c r="M724" s="17"/>
      <c r="N724" s="17"/>
      <c r="O724" s="17"/>
      <c r="P724" s="17"/>
      <c r="Q724" s="17"/>
      <c r="R724" s="17"/>
      <c r="S724" s="205"/>
      <c r="T724" s="205"/>
      <c r="U724" s="205"/>
      <c r="V724" s="205"/>
      <c r="W724" s="17"/>
      <c r="X724" s="17"/>
      <c r="Y724" s="17"/>
      <c r="Z724" s="17"/>
      <c r="AA724" s="17"/>
      <c r="AB724" s="17"/>
    </row>
    <row r="725">
      <c r="A725" s="17"/>
      <c r="B725" s="17"/>
      <c r="C725" s="17"/>
      <c r="D725" s="17"/>
      <c r="E725" s="17"/>
      <c r="F725" s="301"/>
      <c r="G725" s="17"/>
      <c r="H725" s="17"/>
      <c r="I725" s="17"/>
      <c r="J725" s="17"/>
      <c r="K725" s="17"/>
      <c r="L725" s="17"/>
      <c r="M725" s="17"/>
      <c r="N725" s="17"/>
      <c r="O725" s="17"/>
      <c r="P725" s="17"/>
      <c r="Q725" s="17"/>
      <c r="R725" s="17"/>
      <c r="S725" s="205"/>
      <c r="T725" s="205"/>
      <c r="U725" s="205"/>
      <c r="V725" s="205"/>
      <c r="W725" s="17"/>
      <c r="X725" s="17"/>
      <c r="Y725" s="17"/>
      <c r="Z725" s="17"/>
      <c r="AA725" s="17"/>
      <c r="AB725" s="17"/>
    </row>
    <row r="726">
      <c r="A726" s="17"/>
      <c r="B726" s="17"/>
      <c r="C726" s="17"/>
      <c r="D726" s="17"/>
      <c r="E726" s="17"/>
      <c r="F726" s="301"/>
      <c r="G726" s="17"/>
      <c r="H726" s="17"/>
      <c r="I726" s="17"/>
      <c r="J726" s="17"/>
      <c r="K726" s="17"/>
      <c r="L726" s="17"/>
      <c r="M726" s="17"/>
      <c r="N726" s="17"/>
      <c r="O726" s="17"/>
      <c r="P726" s="17"/>
      <c r="Q726" s="17"/>
      <c r="R726" s="17"/>
      <c r="S726" s="205"/>
      <c r="T726" s="205"/>
      <c r="U726" s="205"/>
      <c r="V726" s="205"/>
      <c r="W726" s="17"/>
      <c r="X726" s="17"/>
      <c r="Y726" s="17"/>
      <c r="Z726" s="17"/>
      <c r="AA726" s="17"/>
      <c r="AB726" s="17"/>
    </row>
    <row r="727">
      <c r="A727" s="17"/>
      <c r="B727" s="17"/>
      <c r="C727" s="17"/>
      <c r="D727" s="17"/>
      <c r="E727" s="17"/>
      <c r="F727" s="301"/>
      <c r="G727" s="17"/>
      <c r="H727" s="17"/>
      <c r="I727" s="17"/>
      <c r="J727" s="17"/>
      <c r="K727" s="17"/>
      <c r="L727" s="17"/>
      <c r="M727" s="17"/>
      <c r="N727" s="17"/>
      <c r="O727" s="17"/>
      <c r="P727" s="17"/>
      <c r="Q727" s="17"/>
      <c r="R727" s="17"/>
      <c r="S727" s="205"/>
      <c r="T727" s="205"/>
      <c r="U727" s="205"/>
      <c r="V727" s="205"/>
      <c r="W727" s="17"/>
      <c r="X727" s="17"/>
      <c r="Y727" s="17"/>
      <c r="Z727" s="17"/>
      <c r="AA727" s="17"/>
      <c r="AB727" s="17"/>
    </row>
    <row r="728">
      <c r="A728" s="17"/>
      <c r="B728" s="17"/>
      <c r="C728" s="17"/>
      <c r="D728" s="17"/>
      <c r="E728" s="17"/>
      <c r="F728" s="301"/>
      <c r="G728" s="17"/>
      <c r="H728" s="17"/>
      <c r="I728" s="17"/>
      <c r="J728" s="17"/>
      <c r="K728" s="17"/>
      <c r="L728" s="17"/>
      <c r="M728" s="17"/>
      <c r="N728" s="17"/>
      <c r="O728" s="17"/>
      <c r="P728" s="17"/>
      <c r="Q728" s="17"/>
      <c r="R728" s="17"/>
      <c r="S728" s="205"/>
      <c r="T728" s="205"/>
      <c r="U728" s="205"/>
      <c r="V728" s="205"/>
      <c r="W728" s="17"/>
      <c r="X728" s="17"/>
      <c r="Y728" s="17"/>
      <c r="Z728" s="17"/>
      <c r="AA728" s="17"/>
      <c r="AB728" s="17"/>
    </row>
    <row r="729">
      <c r="A729" s="17"/>
      <c r="B729" s="17"/>
      <c r="C729" s="17"/>
      <c r="D729" s="17"/>
      <c r="E729" s="17"/>
      <c r="F729" s="301"/>
      <c r="G729" s="17"/>
      <c r="H729" s="17"/>
      <c r="I729" s="17"/>
      <c r="J729" s="17"/>
      <c r="K729" s="17"/>
      <c r="L729" s="17"/>
      <c r="M729" s="17"/>
      <c r="N729" s="17"/>
      <c r="O729" s="17"/>
      <c r="P729" s="17"/>
      <c r="Q729" s="17"/>
      <c r="R729" s="17"/>
      <c r="S729" s="205"/>
      <c r="T729" s="205"/>
      <c r="U729" s="205"/>
      <c r="V729" s="205"/>
      <c r="W729" s="17"/>
      <c r="X729" s="17"/>
      <c r="Y729" s="17"/>
      <c r="Z729" s="17"/>
      <c r="AA729" s="17"/>
      <c r="AB729" s="17"/>
    </row>
    <row r="730">
      <c r="A730" s="17"/>
      <c r="B730" s="17"/>
      <c r="C730" s="17"/>
      <c r="D730" s="17"/>
      <c r="E730" s="17"/>
      <c r="F730" s="301"/>
      <c r="G730" s="17"/>
      <c r="H730" s="17"/>
      <c r="I730" s="17"/>
      <c r="J730" s="17"/>
      <c r="K730" s="17"/>
      <c r="L730" s="17"/>
      <c r="M730" s="17"/>
      <c r="N730" s="17"/>
      <c r="O730" s="17"/>
      <c r="P730" s="17"/>
      <c r="Q730" s="17"/>
      <c r="R730" s="17"/>
      <c r="S730" s="205"/>
      <c r="T730" s="205"/>
      <c r="U730" s="205"/>
      <c r="V730" s="205"/>
      <c r="W730" s="17"/>
      <c r="X730" s="17"/>
      <c r="Y730" s="17"/>
      <c r="Z730" s="17"/>
      <c r="AA730" s="17"/>
      <c r="AB730" s="17"/>
    </row>
    <row r="731">
      <c r="A731" s="17"/>
      <c r="B731" s="17"/>
      <c r="C731" s="17"/>
      <c r="D731" s="17"/>
      <c r="E731" s="17"/>
      <c r="F731" s="301"/>
      <c r="G731" s="17"/>
      <c r="H731" s="17"/>
      <c r="I731" s="17"/>
      <c r="J731" s="17"/>
      <c r="K731" s="17"/>
      <c r="L731" s="17"/>
      <c r="M731" s="17"/>
      <c r="N731" s="17"/>
      <c r="O731" s="17"/>
      <c r="P731" s="17"/>
      <c r="Q731" s="17"/>
      <c r="R731" s="17"/>
      <c r="S731" s="205"/>
      <c r="T731" s="205"/>
      <c r="U731" s="205"/>
      <c r="V731" s="205"/>
      <c r="W731" s="17"/>
      <c r="X731" s="17"/>
      <c r="Y731" s="17"/>
      <c r="Z731" s="17"/>
      <c r="AA731" s="17"/>
      <c r="AB731" s="17"/>
    </row>
    <row r="732">
      <c r="A732" s="17"/>
      <c r="B732" s="17"/>
      <c r="C732" s="17"/>
      <c r="D732" s="17"/>
      <c r="E732" s="17"/>
      <c r="F732" s="301"/>
      <c r="G732" s="17"/>
      <c r="H732" s="17"/>
      <c r="I732" s="17"/>
      <c r="J732" s="17"/>
      <c r="K732" s="17"/>
      <c r="L732" s="17"/>
      <c r="M732" s="17"/>
      <c r="N732" s="17"/>
      <c r="O732" s="17"/>
      <c r="P732" s="17"/>
      <c r="Q732" s="17"/>
      <c r="R732" s="17"/>
      <c r="S732" s="205"/>
      <c r="T732" s="205"/>
      <c r="U732" s="205"/>
      <c r="V732" s="205"/>
      <c r="W732" s="17"/>
      <c r="X732" s="17"/>
      <c r="Y732" s="17"/>
      <c r="Z732" s="17"/>
      <c r="AA732" s="17"/>
      <c r="AB732" s="17"/>
    </row>
    <row r="733">
      <c r="A733" s="17"/>
      <c r="B733" s="17"/>
      <c r="C733" s="17"/>
      <c r="D733" s="17"/>
      <c r="E733" s="17"/>
      <c r="F733" s="301"/>
      <c r="G733" s="17"/>
      <c r="H733" s="17"/>
      <c r="I733" s="17"/>
      <c r="J733" s="17"/>
      <c r="K733" s="17"/>
      <c r="L733" s="17"/>
      <c r="M733" s="17"/>
      <c r="N733" s="17"/>
      <c r="O733" s="17"/>
      <c r="P733" s="17"/>
      <c r="Q733" s="17"/>
      <c r="R733" s="17"/>
      <c r="S733" s="205"/>
      <c r="T733" s="205"/>
      <c r="U733" s="205"/>
      <c r="V733" s="205"/>
      <c r="W733" s="17"/>
      <c r="X733" s="17"/>
      <c r="Y733" s="17"/>
      <c r="Z733" s="17"/>
      <c r="AA733" s="17"/>
      <c r="AB733" s="17"/>
    </row>
    <row r="734">
      <c r="A734" s="17"/>
      <c r="B734" s="17"/>
      <c r="C734" s="17"/>
      <c r="D734" s="17"/>
      <c r="E734" s="17"/>
      <c r="F734" s="301"/>
      <c r="G734" s="17"/>
      <c r="H734" s="17"/>
      <c r="I734" s="17"/>
      <c r="J734" s="17"/>
      <c r="K734" s="17"/>
      <c r="L734" s="17"/>
      <c r="M734" s="17"/>
      <c r="N734" s="17"/>
      <c r="O734" s="17"/>
      <c r="P734" s="17"/>
      <c r="Q734" s="17"/>
      <c r="R734" s="17"/>
      <c r="S734" s="205"/>
      <c r="T734" s="205"/>
      <c r="U734" s="205"/>
      <c r="V734" s="205"/>
      <c r="W734" s="17"/>
      <c r="X734" s="17"/>
      <c r="Y734" s="17"/>
      <c r="Z734" s="17"/>
      <c r="AA734" s="17"/>
      <c r="AB734" s="17"/>
    </row>
    <row r="735">
      <c r="A735" s="17"/>
      <c r="B735" s="17"/>
      <c r="C735" s="17"/>
      <c r="D735" s="17"/>
      <c r="E735" s="17"/>
      <c r="F735" s="301"/>
      <c r="G735" s="17"/>
      <c r="H735" s="17"/>
      <c r="I735" s="17"/>
      <c r="J735" s="17"/>
      <c r="K735" s="17"/>
      <c r="L735" s="17"/>
      <c r="M735" s="17"/>
      <c r="N735" s="17"/>
      <c r="O735" s="17"/>
      <c r="P735" s="17"/>
      <c r="Q735" s="17"/>
      <c r="R735" s="17"/>
      <c r="S735" s="205"/>
      <c r="T735" s="205"/>
      <c r="U735" s="205"/>
      <c r="V735" s="205"/>
      <c r="W735" s="17"/>
      <c r="X735" s="17"/>
      <c r="Y735" s="17"/>
      <c r="Z735" s="17"/>
      <c r="AA735" s="17"/>
      <c r="AB735" s="17"/>
    </row>
    <row r="736">
      <c r="A736" s="17"/>
      <c r="B736" s="17"/>
      <c r="C736" s="17"/>
      <c r="D736" s="17"/>
      <c r="E736" s="17"/>
      <c r="F736" s="301"/>
      <c r="G736" s="17"/>
      <c r="H736" s="17"/>
      <c r="I736" s="17"/>
      <c r="J736" s="17"/>
      <c r="K736" s="17"/>
      <c r="L736" s="17"/>
      <c r="M736" s="17"/>
      <c r="N736" s="17"/>
      <c r="O736" s="17"/>
      <c r="P736" s="17"/>
      <c r="Q736" s="17"/>
      <c r="R736" s="17"/>
      <c r="S736" s="205"/>
      <c r="T736" s="205"/>
      <c r="U736" s="205"/>
      <c r="V736" s="205"/>
      <c r="W736" s="17"/>
      <c r="X736" s="17"/>
      <c r="Y736" s="17"/>
      <c r="Z736" s="17"/>
      <c r="AA736" s="17"/>
      <c r="AB736" s="17"/>
    </row>
    <row r="737">
      <c r="A737" s="17"/>
      <c r="B737" s="17"/>
      <c r="C737" s="17"/>
      <c r="D737" s="17"/>
      <c r="E737" s="17"/>
      <c r="F737" s="301"/>
      <c r="G737" s="17"/>
      <c r="H737" s="17"/>
      <c r="I737" s="17"/>
      <c r="J737" s="17"/>
      <c r="K737" s="17"/>
      <c r="L737" s="17"/>
      <c r="M737" s="17"/>
      <c r="N737" s="17"/>
      <c r="O737" s="17"/>
      <c r="P737" s="17"/>
      <c r="Q737" s="17"/>
      <c r="R737" s="17"/>
      <c r="S737" s="205"/>
      <c r="T737" s="205"/>
      <c r="U737" s="205"/>
      <c r="V737" s="205"/>
      <c r="W737" s="17"/>
      <c r="X737" s="17"/>
      <c r="Y737" s="17"/>
      <c r="Z737" s="17"/>
      <c r="AA737" s="17"/>
      <c r="AB737" s="17"/>
    </row>
    <row r="738">
      <c r="A738" s="17"/>
      <c r="B738" s="17"/>
      <c r="C738" s="17"/>
      <c r="D738" s="17"/>
      <c r="E738" s="17"/>
      <c r="F738" s="301"/>
      <c r="G738" s="17"/>
      <c r="H738" s="17"/>
      <c r="I738" s="17"/>
      <c r="J738" s="17"/>
      <c r="K738" s="17"/>
      <c r="L738" s="17"/>
      <c r="M738" s="17"/>
      <c r="N738" s="17"/>
      <c r="O738" s="17"/>
      <c r="P738" s="17"/>
      <c r="Q738" s="17"/>
      <c r="R738" s="17"/>
      <c r="S738" s="205"/>
      <c r="T738" s="205"/>
      <c r="U738" s="205"/>
      <c r="V738" s="205"/>
      <c r="W738" s="17"/>
      <c r="X738" s="17"/>
      <c r="Y738" s="17"/>
      <c r="Z738" s="17"/>
      <c r="AA738" s="17"/>
      <c r="AB738" s="17"/>
    </row>
    <row r="739">
      <c r="A739" s="17"/>
      <c r="B739" s="17"/>
      <c r="C739" s="17"/>
      <c r="D739" s="17"/>
      <c r="E739" s="17"/>
      <c r="F739" s="301"/>
      <c r="G739" s="17"/>
      <c r="H739" s="17"/>
      <c r="I739" s="17"/>
      <c r="J739" s="17"/>
      <c r="K739" s="17"/>
      <c r="L739" s="17"/>
      <c r="M739" s="17"/>
      <c r="N739" s="17"/>
      <c r="O739" s="17"/>
      <c r="P739" s="17"/>
      <c r="Q739" s="17"/>
      <c r="R739" s="17"/>
      <c r="S739" s="205"/>
      <c r="T739" s="205"/>
      <c r="U739" s="205"/>
      <c r="V739" s="205"/>
      <c r="W739" s="17"/>
      <c r="X739" s="17"/>
      <c r="Y739" s="17"/>
      <c r="Z739" s="17"/>
      <c r="AA739" s="17"/>
      <c r="AB739" s="17"/>
    </row>
    <row r="740">
      <c r="A740" s="17"/>
      <c r="B740" s="17"/>
      <c r="C740" s="17"/>
      <c r="D740" s="17"/>
      <c r="E740" s="17"/>
      <c r="F740" s="301"/>
      <c r="G740" s="17"/>
      <c r="H740" s="17"/>
      <c r="I740" s="17"/>
      <c r="J740" s="17"/>
      <c r="K740" s="17"/>
      <c r="L740" s="17"/>
      <c r="M740" s="17"/>
      <c r="N740" s="17"/>
      <c r="O740" s="17"/>
      <c r="P740" s="17"/>
      <c r="Q740" s="17"/>
      <c r="R740" s="17"/>
      <c r="S740" s="205"/>
      <c r="T740" s="205"/>
      <c r="U740" s="205"/>
      <c r="V740" s="205"/>
      <c r="W740" s="17"/>
      <c r="X740" s="17"/>
      <c r="Y740" s="17"/>
      <c r="Z740" s="17"/>
      <c r="AA740" s="17"/>
      <c r="AB740" s="17"/>
    </row>
    <row r="741">
      <c r="A741" s="17"/>
      <c r="B741" s="17"/>
      <c r="C741" s="17"/>
      <c r="D741" s="17"/>
      <c r="E741" s="17"/>
      <c r="F741" s="301"/>
      <c r="G741" s="17"/>
      <c r="H741" s="17"/>
      <c r="I741" s="17"/>
      <c r="J741" s="17"/>
      <c r="K741" s="17"/>
      <c r="L741" s="17"/>
      <c r="M741" s="17"/>
      <c r="N741" s="17"/>
      <c r="O741" s="17"/>
      <c r="P741" s="17"/>
      <c r="Q741" s="17"/>
      <c r="R741" s="17"/>
      <c r="S741" s="205"/>
      <c r="T741" s="205"/>
      <c r="U741" s="205"/>
      <c r="V741" s="205"/>
      <c r="W741" s="17"/>
      <c r="X741" s="17"/>
      <c r="Y741" s="17"/>
      <c r="Z741" s="17"/>
      <c r="AA741" s="17"/>
      <c r="AB741" s="17"/>
    </row>
    <row r="742">
      <c r="A742" s="17"/>
      <c r="B742" s="17"/>
      <c r="C742" s="17"/>
      <c r="D742" s="17"/>
      <c r="E742" s="17"/>
      <c r="F742" s="301"/>
      <c r="G742" s="17"/>
      <c r="H742" s="17"/>
      <c r="I742" s="17"/>
      <c r="J742" s="17"/>
      <c r="K742" s="17"/>
      <c r="L742" s="17"/>
      <c r="M742" s="17"/>
      <c r="N742" s="17"/>
      <c r="O742" s="17"/>
      <c r="P742" s="17"/>
      <c r="Q742" s="17"/>
      <c r="R742" s="17"/>
      <c r="S742" s="205"/>
      <c r="T742" s="205"/>
      <c r="U742" s="205"/>
      <c r="V742" s="205"/>
      <c r="W742" s="17"/>
      <c r="X742" s="17"/>
      <c r="Y742" s="17"/>
      <c r="Z742" s="17"/>
      <c r="AA742" s="17"/>
      <c r="AB742" s="17"/>
    </row>
    <row r="743">
      <c r="A743" s="17"/>
      <c r="B743" s="17"/>
      <c r="C743" s="17"/>
      <c r="D743" s="17"/>
      <c r="E743" s="17"/>
      <c r="F743" s="301"/>
      <c r="G743" s="17"/>
      <c r="H743" s="17"/>
      <c r="I743" s="17"/>
      <c r="J743" s="17"/>
      <c r="K743" s="17"/>
      <c r="L743" s="17"/>
      <c r="M743" s="17"/>
      <c r="N743" s="17"/>
      <c r="O743" s="17"/>
      <c r="P743" s="17"/>
      <c r="Q743" s="17"/>
      <c r="R743" s="17"/>
      <c r="S743" s="205"/>
      <c r="T743" s="205"/>
      <c r="U743" s="205"/>
      <c r="V743" s="205"/>
      <c r="W743" s="17"/>
      <c r="X743" s="17"/>
      <c r="Y743" s="17"/>
      <c r="Z743" s="17"/>
      <c r="AA743" s="17"/>
      <c r="AB743" s="17"/>
    </row>
    <row r="744">
      <c r="A744" s="17"/>
      <c r="B744" s="17"/>
      <c r="C744" s="17"/>
      <c r="D744" s="17"/>
      <c r="E744" s="17"/>
      <c r="F744" s="301"/>
      <c r="G744" s="17"/>
      <c r="H744" s="17"/>
      <c r="I744" s="17"/>
      <c r="J744" s="17"/>
      <c r="K744" s="17"/>
      <c r="L744" s="17"/>
      <c r="M744" s="17"/>
      <c r="N744" s="17"/>
      <c r="O744" s="17"/>
      <c r="P744" s="17"/>
      <c r="Q744" s="17"/>
      <c r="R744" s="17"/>
      <c r="S744" s="205"/>
      <c r="T744" s="205"/>
      <c r="U744" s="205"/>
      <c r="V744" s="205"/>
      <c r="W744" s="17"/>
      <c r="X744" s="17"/>
      <c r="Y744" s="17"/>
      <c r="Z744" s="17"/>
      <c r="AA744" s="17"/>
      <c r="AB744" s="17"/>
    </row>
    <row r="745">
      <c r="A745" s="17"/>
      <c r="B745" s="17"/>
      <c r="C745" s="17"/>
      <c r="D745" s="17"/>
      <c r="E745" s="17"/>
      <c r="F745" s="301"/>
      <c r="G745" s="17"/>
      <c r="H745" s="17"/>
      <c r="I745" s="17"/>
      <c r="J745" s="17"/>
      <c r="K745" s="17"/>
      <c r="L745" s="17"/>
      <c r="M745" s="17"/>
      <c r="N745" s="17"/>
      <c r="O745" s="17"/>
      <c r="P745" s="17"/>
      <c r="Q745" s="17"/>
      <c r="R745" s="17"/>
      <c r="S745" s="205"/>
      <c r="T745" s="205"/>
      <c r="U745" s="205"/>
      <c r="V745" s="205"/>
      <c r="W745" s="17"/>
      <c r="X745" s="17"/>
      <c r="Y745" s="17"/>
      <c r="Z745" s="17"/>
      <c r="AA745" s="17"/>
      <c r="AB745" s="17"/>
    </row>
    <row r="746">
      <c r="A746" s="17"/>
      <c r="B746" s="17"/>
      <c r="C746" s="17"/>
      <c r="D746" s="17"/>
      <c r="E746" s="17"/>
      <c r="F746" s="301"/>
      <c r="G746" s="17"/>
      <c r="H746" s="17"/>
      <c r="I746" s="17"/>
      <c r="J746" s="17"/>
      <c r="K746" s="17"/>
      <c r="L746" s="17"/>
      <c r="M746" s="17"/>
      <c r="N746" s="17"/>
      <c r="O746" s="17"/>
      <c r="P746" s="17"/>
      <c r="Q746" s="17"/>
      <c r="R746" s="17"/>
      <c r="S746" s="205"/>
      <c r="T746" s="205"/>
      <c r="U746" s="205"/>
      <c r="V746" s="205"/>
      <c r="W746" s="17"/>
      <c r="X746" s="17"/>
      <c r="Y746" s="17"/>
      <c r="Z746" s="17"/>
      <c r="AA746" s="17"/>
      <c r="AB746" s="17"/>
    </row>
    <row r="747">
      <c r="A747" s="17"/>
      <c r="B747" s="17"/>
      <c r="C747" s="17"/>
      <c r="D747" s="17"/>
      <c r="E747" s="17"/>
      <c r="F747" s="301"/>
      <c r="G747" s="17"/>
      <c r="H747" s="17"/>
      <c r="I747" s="17"/>
      <c r="J747" s="17"/>
      <c r="K747" s="17"/>
      <c r="L747" s="17"/>
      <c r="M747" s="17"/>
      <c r="N747" s="17"/>
      <c r="O747" s="17"/>
      <c r="P747" s="17"/>
      <c r="Q747" s="17"/>
      <c r="R747" s="17"/>
      <c r="S747" s="205"/>
      <c r="T747" s="205"/>
      <c r="U747" s="205"/>
      <c r="V747" s="205"/>
      <c r="W747" s="17"/>
      <c r="X747" s="17"/>
      <c r="Y747" s="17"/>
      <c r="Z747" s="17"/>
      <c r="AA747" s="17"/>
      <c r="AB747" s="17"/>
    </row>
    <row r="748">
      <c r="A748" s="17"/>
      <c r="B748" s="17"/>
      <c r="C748" s="17"/>
      <c r="D748" s="17"/>
      <c r="E748" s="17"/>
      <c r="F748" s="301"/>
      <c r="G748" s="17"/>
      <c r="H748" s="17"/>
      <c r="I748" s="17"/>
      <c r="J748" s="17"/>
      <c r="K748" s="17"/>
      <c r="L748" s="17"/>
      <c r="M748" s="17"/>
      <c r="N748" s="17"/>
      <c r="O748" s="17"/>
      <c r="P748" s="17"/>
      <c r="Q748" s="17"/>
      <c r="R748" s="17"/>
      <c r="S748" s="205"/>
      <c r="T748" s="205"/>
      <c r="U748" s="205"/>
      <c r="V748" s="205"/>
      <c r="W748" s="17"/>
      <c r="X748" s="17"/>
      <c r="Y748" s="17"/>
      <c r="Z748" s="17"/>
      <c r="AA748" s="17"/>
      <c r="AB748" s="17"/>
    </row>
    <row r="749">
      <c r="A749" s="17"/>
      <c r="B749" s="17"/>
      <c r="C749" s="17"/>
      <c r="D749" s="17"/>
      <c r="E749" s="17"/>
      <c r="F749" s="301"/>
      <c r="G749" s="17"/>
      <c r="H749" s="17"/>
      <c r="I749" s="17"/>
      <c r="J749" s="17"/>
      <c r="K749" s="17"/>
      <c r="L749" s="17"/>
      <c r="M749" s="17"/>
      <c r="N749" s="17"/>
      <c r="O749" s="17"/>
      <c r="P749" s="17"/>
      <c r="Q749" s="17"/>
      <c r="R749" s="17"/>
      <c r="S749" s="205"/>
      <c r="T749" s="205"/>
      <c r="U749" s="205"/>
      <c r="V749" s="205"/>
      <c r="W749" s="17"/>
      <c r="X749" s="17"/>
      <c r="Y749" s="17"/>
      <c r="Z749" s="17"/>
      <c r="AA749" s="17"/>
      <c r="AB749" s="17"/>
    </row>
    <row r="750">
      <c r="A750" s="17"/>
      <c r="B750" s="17"/>
      <c r="C750" s="17"/>
      <c r="D750" s="17"/>
      <c r="E750" s="17"/>
      <c r="F750" s="301"/>
      <c r="G750" s="17"/>
      <c r="H750" s="17"/>
      <c r="I750" s="17"/>
      <c r="J750" s="17"/>
      <c r="K750" s="17"/>
      <c r="L750" s="17"/>
      <c r="M750" s="17"/>
      <c r="N750" s="17"/>
      <c r="O750" s="17"/>
      <c r="P750" s="17"/>
      <c r="Q750" s="17"/>
      <c r="R750" s="17"/>
      <c r="S750" s="205"/>
      <c r="T750" s="205"/>
      <c r="U750" s="205"/>
      <c r="V750" s="205"/>
      <c r="W750" s="17"/>
      <c r="X750" s="17"/>
      <c r="Y750" s="17"/>
      <c r="Z750" s="17"/>
      <c r="AA750" s="17"/>
      <c r="AB750" s="17"/>
    </row>
    <row r="751">
      <c r="A751" s="17"/>
      <c r="B751" s="17"/>
      <c r="C751" s="17"/>
      <c r="D751" s="17"/>
      <c r="E751" s="17"/>
      <c r="F751" s="301"/>
      <c r="G751" s="17"/>
      <c r="H751" s="17"/>
      <c r="I751" s="17"/>
      <c r="J751" s="17"/>
      <c r="K751" s="17"/>
      <c r="L751" s="17"/>
      <c r="M751" s="17"/>
      <c r="N751" s="17"/>
      <c r="O751" s="17"/>
      <c r="P751" s="17"/>
      <c r="Q751" s="17"/>
      <c r="R751" s="17"/>
      <c r="S751" s="205"/>
      <c r="T751" s="205"/>
      <c r="U751" s="205"/>
      <c r="V751" s="205"/>
      <c r="W751" s="17"/>
      <c r="X751" s="17"/>
      <c r="Y751" s="17"/>
      <c r="Z751" s="17"/>
      <c r="AA751" s="17"/>
      <c r="AB751" s="17"/>
    </row>
    <row r="752">
      <c r="A752" s="17"/>
      <c r="B752" s="17"/>
      <c r="C752" s="17"/>
      <c r="D752" s="17"/>
      <c r="E752" s="17"/>
      <c r="F752" s="301"/>
      <c r="G752" s="17"/>
      <c r="H752" s="17"/>
      <c r="I752" s="17"/>
      <c r="J752" s="17"/>
      <c r="K752" s="17"/>
      <c r="L752" s="17"/>
      <c r="M752" s="17"/>
      <c r="N752" s="17"/>
      <c r="O752" s="17"/>
      <c r="P752" s="17"/>
      <c r="Q752" s="17"/>
      <c r="R752" s="17"/>
      <c r="S752" s="205"/>
      <c r="T752" s="205"/>
      <c r="U752" s="205"/>
      <c r="V752" s="205"/>
      <c r="W752" s="17"/>
      <c r="X752" s="17"/>
      <c r="Y752" s="17"/>
      <c r="Z752" s="17"/>
      <c r="AA752" s="17"/>
      <c r="AB752" s="17"/>
    </row>
    <row r="753">
      <c r="A753" s="17"/>
      <c r="B753" s="17"/>
      <c r="C753" s="17"/>
      <c r="D753" s="17"/>
      <c r="E753" s="17"/>
      <c r="F753" s="301"/>
      <c r="G753" s="17"/>
      <c r="H753" s="17"/>
      <c r="I753" s="17"/>
      <c r="J753" s="17"/>
      <c r="K753" s="17"/>
      <c r="L753" s="17"/>
      <c r="M753" s="17"/>
      <c r="N753" s="17"/>
      <c r="O753" s="17"/>
      <c r="P753" s="17"/>
      <c r="Q753" s="17"/>
      <c r="R753" s="17"/>
      <c r="S753" s="205"/>
      <c r="T753" s="205"/>
      <c r="U753" s="205"/>
      <c r="V753" s="205"/>
      <c r="W753" s="17"/>
      <c r="X753" s="17"/>
      <c r="Y753" s="17"/>
      <c r="Z753" s="17"/>
      <c r="AA753" s="17"/>
      <c r="AB753" s="17"/>
    </row>
    <row r="754">
      <c r="A754" s="17"/>
      <c r="B754" s="17"/>
      <c r="C754" s="17"/>
      <c r="D754" s="17"/>
      <c r="E754" s="17"/>
      <c r="F754" s="301"/>
      <c r="G754" s="17"/>
      <c r="H754" s="17"/>
      <c r="I754" s="17"/>
      <c r="J754" s="17"/>
      <c r="K754" s="17"/>
      <c r="L754" s="17"/>
      <c r="M754" s="17"/>
      <c r="N754" s="17"/>
      <c r="O754" s="17"/>
      <c r="P754" s="17"/>
      <c r="Q754" s="17"/>
      <c r="R754" s="17"/>
      <c r="S754" s="205"/>
      <c r="T754" s="205"/>
      <c r="U754" s="205"/>
      <c r="V754" s="205"/>
      <c r="W754" s="17"/>
      <c r="X754" s="17"/>
      <c r="Y754" s="17"/>
      <c r="Z754" s="17"/>
      <c r="AA754" s="17"/>
      <c r="AB754" s="17"/>
    </row>
    <row r="755">
      <c r="A755" s="17"/>
      <c r="B755" s="17"/>
      <c r="C755" s="17"/>
      <c r="D755" s="17"/>
      <c r="E755" s="17"/>
      <c r="F755" s="301"/>
      <c r="G755" s="17"/>
      <c r="H755" s="17"/>
      <c r="I755" s="17"/>
      <c r="J755" s="17"/>
      <c r="K755" s="17"/>
      <c r="L755" s="17"/>
      <c r="M755" s="17"/>
      <c r="N755" s="17"/>
      <c r="O755" s="17"/>
      <c r="P755" s="17"/>
      <c r="Q755" s="17"/>
      <c r="R755" s="17"/>
      <c r="S755" s="205"/>
      <c r="T755" s="205"/>
      <c r="U755" s="205"/>
      <c r="V755" s="205"/>
      <c r="W755" s="17"/>
      <c r="X755" s="17"/>
      <c r="Y755" s="17"/>
      <c r="Z755" s="17"/>
      <c r="AA755" s="17"/>
      <c r="AB755" s="17"/>
    </row>
    <row r="756">
      <c r="A756" s="17"/>
      <c r="B756" s="17"/>
      <c r="C756" s="17"/>
      <c r="D756" s="17"/>
      <c r="E756" s="17"/>
      <c r="F756" s="301"/>
      <c r="G756" s="17"/>
      <c r="H756" s="17"/>
      <c r="I756" s="17"/>
      <c r="J756" s="17"/>
      <c r="K756" s="17"/>
      <c r="L756" s="17"/>
      <c r="M756" s="17"/>
      <c r="N756" s="17"/>
      <c r="O756" s="17"/>
      <c r="P756" s="17"/>
      <c r="Q756" s="17"/>
      <c r="R756" s="17"/>
      <c r="S756" s="205"/>
      <c r="T756" s="205"/>
      <c r="U756" s="205"/>
      <c r="V756" s="205"/>
      <c r="W756" s="17"/>
      <c r="X756" s="17"/>
      <c r="Y756" s="17"/>
      <c r="Z756" s="17"/>
      <c r="AA756" s="17"/>
      <c r="AB756" s="17"/>
    </row>
    <row r="757">
      <c r="A757" s="17"/>
      <c r="B757" s="17"/>
      <c r="C757" s="17"/>
      <c r="D757" s="17"/>
      <c r="E757" s="17"/>
      <c r="F757" s="301"/>
      <c r="G757" s="17"/>
      <c r="H757" s="17"/>
      <c r="I757" s="17"/>
      <c r="J757" s="17"/>
      <c r="K757" s="17"/>
      <c r="L757" s="17"/>
      <c r="M757" s="17"/>
      <c r="N757" s="17"/>
      <c r="O757" s="17"/>
      <c r="P757" s="17"/>
      <c r="Q757" s="17"/>
      <c r="R757" s="17"/>
      <c r="S757" s="205"/>
      <c r="T757" s="205"/>
      <c r="U757" s="205"/>
      <c r="V757" s="205"/>
      <c r="W757" s="17"/>
      <c r="X757" s="17"/>
      <c r="Y757" s="17"/>
      <c r="Z757" s="17"/>
      <c r="AA757" s="17"/>
      <c r="AB757" s="17"/>
    </row>
    <row r="758">
      <c r="A758" s="17"/>
      <c r="B758" s="17"/>
      <c r="C758" s="17"/>
      <c r="D758" s="17"/>
      <c r="E758" s="17"/>
      <c r="F758" s="301"/>
      <c r="G758" s="17"/>
      <c r="H758" s="17"/>
      <c r="I758" s="17"/>
      <c r="J758" s="17"/>
      <c r="K758" s="17"/>
      <c r="L758" s="17"/>
      <c r="M758" s="17"/>
      <c r="N758" s="17"/>
      <c r="O758" s="17"/>
      <c r="P758" s="17"/>
      <c r="Q758" s="17"/>
      <c r="R758" s="17"/>
      <c r="S758" s="205"/>
      <c r="T758" s="205"/>
      <c r="U758" s="205"/>
      <c r="V758" s="205"/>
      <c r="W758" s="17"/>
      <c r="X758" s="17"/>
      <c r="Y758" s="17"/>
      <c r="Z758" s="17"/>
      <c r="AA758" s="17"/>
      <c r="AB758" s="17"/>
    </row>
    <row r="759">
      <c r="A759" s="17"/>
      <c r="B759" s="17"/>
      <c r="C759" s="17"/>
      <c r="D759" s="17"/>
      <c r="E759" s="17"/>
      <c r="F759" s="301"/>
      <c r="G759" s="17"/>
      <c r="H759" s="17"/>
      <c r="I759" s="17"/>
      <c r="J759" s="17"/>
      <c r="K759" s="17"/>
      <c r="L759" s="17"/>
      <c r="M759" s="17"/>
      <c r="N759" s="17"/>
      <c r="O759" s="17"/>
      <c r="P759" s="17"/>
      <c r="Q759" s="17"/>
      <c r="R759" s="17"/>
      <c r="S759" s="205"/>
      <c r="T759" s="205"/>
      <c r="U759" s="205"/>
      <c r="V759" s="205"/>
      <c r="W759" s="17"/>
      <c r="X759" s="17"/>
      <c r="Y759" s="17"/>
      <c r="Z759" s="17"/>
      <c r="AA759" s="17"/>
      <c r="AB759" s="17"/>
    </row>
    <row r="760">
      <c r="A760" s="17"/>
      <c r="B760" s="17"/>
      <c r="C760" s="17"/>
      <c r="D760" s="17"/>
      <c r="E760" s="17"/>
      <c r="F760" s="301"/>
      <c r="G760" s="17"/>
      <c r="H760" s="17"/>
      <c r="I760" s="17"/>
      <c r="J760" s="17"/>
      <c r="K760" s="17"/>
      <c r="L760" s="17"/>
      <c r="M760" s="17"/>
      <c r="N760" s="17"/>
      <c r="O760" s="17"/>
      <c r="P760" s="17"/>
      <c r="Q760" s="17"/>
      <c r="R760" s="17"/>
      <c r="S760" s="205"/>
      <c r="T760" s="205"/>
      <c r="U760" s="205"/>
      <c r="V760" s="205"/>
      <c r="W760" s="17"/>
      <c r="X760" s="17"/>
      <c r="Y760" s="17"/>
      <c r="Z760" s="17"/>
      <c r="AA760" s="17"/>
      <c r="AB760" s="17"/>
    </row>
    <row r="761">
      <c r="A761" s="17"/>
      <c r="B761" s="17"/>
      <c r="C761" s="17"/>
      <c r="D761" s="17"/>
      <c r="E761" s="17"/>
      <c r="F761" s="301"/>
      <c r="G761" s="17"/>
      <c r="H761" s="17"/>
      <c r="I761" s="17"/>
      <c r="J761" s="17"/>
      <c r="K761" s="17"/>
      <c r="L761" s="17"/>
      <c r="M761" s="17"/>
      <c r="N761" s="17"/>
      <c r="O761" s="17"/>
      <c r="P761" s="17"/>
      <c r="Q761" s="17"/>
      <c r="R761" s="17"/>
      <c r="S761" s="205"/>
      <c r="T761" s="205"/>
      <c r="U761" s="205"/>
      <c r="V761" s="205"/>
      <c r="W761" s="17"/>
      <c r="X761" s="17"/>
      <c r="Y761" s="17"/>
      <c r="Z761" s="17"/>
      <c r="AA761" s="17"/>
      <c r="AB761" s="17"/>
    </row>
    <row r="762">
      <c r="A762" s="17"/>
      <c r="B762" s="17"/>
      <c r="C762" s="17"/>
      <c r="D762" s="17"/>
      <c r="E762" s="17"/>
      <c r="F762" s="301"/>
      <c r="G762" s="17"/>
      <c r="H762" s="17"/>
      <c r="I762" s="17"/>
      <c r="J762" s="17"/>
      <c r="K762" s="17"/>
      <c r="L762" s="17"/>
      <c r="M762" s="17"/>
      <c r="N762" s="17"/>
      <c r="O762" s="17"/>
      <c r="P762" s="17"/>
      <c r="Q762" s="17"/>
      <c r="R762" s="17"/>
      <c r="S762" s="205"/>
      <c r="T762" s="205"/>
      <c r="U762" s="205"/>
      <c r="V762" s="205"/>
      <c r="W762" s="17"/>
      <c r="X762" s="17"/>
      <c r="Y762" s="17"/>
      <c r="Z762" s="17"/>
      <c r="AA762" s="17"/>
      <c r="AB762" s="17"/>
    </row>
    <row r="763">
      <c r="A763" s="17"/>
      <c r="B763" s="17"/>
      <c r="C763" s="17"/>
      <c r="D763" s="17"/>
      <c r="E763" s="17"/>
      <c r="F763" s="301"/>
      <c r="G763" s="17"/>
      <c r="H763" s="17"/>
      <c r="I763" s="17"/>
      <c r="J763" s="17"/>
      <c r="K763" s="17"/>
      <c r="L763" s="17"/>
      <c r="M763" s="17"/>
      <c r="N763" s="17"/>
      <c r="O763" s="17"/>
      <c r="P763" s="17"/>
      <c r="Q763" s="17"/>
      <c r="R763" s="17"/>
      <c r="S763" s="205"/>
      <c r="T763" s="205"/>
      <c r="U763" s="205"/>
      <c r="V763" s="205"/>
      <c r="W763" s="17"/>
      <c r="X763" s="17"/>
      <c r="Y763" s="17"/>
      <c r="Z763" s="17"/>
      <c r="AA763" s="17"/>
      <c r="AB763" s="17"/>
    </row>
    <row r="764">
      <c r="A764" s="17"/>
      <c r="B764" s="17"/>
      <c r="C764" s="17"/>
      <c r="D764" s="17"/>
      <c r="E764" s="17"/>
      <c r="F764" s="301"/>
      <c r="G764" s="17"/>
      <c r="H764" s="17"/>
      <c r="I764" s="17"/>
      <c r="J764" s="17"/>
      <c r="K764" s="17"/>
      <c r="L764" s="17"/>
      <c r="M764" s="17"/>
      <c r="N764" s="17"/>
      <c r="O764" s="17"/>
      <c r="P764" s="17"/>
      <c r="Q764" s="17"/>
      <c r="R764" s="17"/>
      <c r="S764" s="205"/>
      <c r="T764" s="205"/>
      <c r="U764" s="205"/>
      <c r="V764" s="205"/>
      <c r="W764" s="17"/>
      <c r="X764" s="17"/>
      <c r="Y764" s="17"/>
      <c r="Z764" s="17"/>
      <c r="AA764" s="17"/>
      <c r="AB764" s="17"/>
    </row>
    <row r="765">
      <c r="A765" s="17"/>
      <c r="B765" s="17"/>
      <c r="C765" s="17"/>
      <c r="D765" s="17"/>
      <c r="E765" s="17"/>
      <c r="F765" s="301"/>
      <c r="G765" s="17"/>
      <c r="H765" s="17"/>
      <c r="I765" s="17"/>
      <c r="J765" s="17"/>
      <c r="K765" s="17"/>
      <c r="L765" s="17"/>
      <c r="M765" s="17"/>
      <c r="N765" s="17"/>
      <c r="O765" s="17"/>
      <c r="P765" s="17"/>
      <c r="Q765" s="17"/>
      <c r="R765" s="17"/>
      <c r="S765" s="205"/>
      <c r="T765" s="205"/>
      <c r="U765" s="205"/>
      <c r="V765" s="205"/>
      <c r="W765" s="17"/>
      <c r="X765" s="17"/>
      <c r="Y765" s="17"/>
      <c r="Z765" s="17"/>
      <c r="AA765" s="17"/>
      <c r="AB765" s="17"/>
    </row>
    <row r="766">
      <c r="A766" s="17"/>
      <c r="B766" s="17"/>
      <c r="C766" s="17"/>
      <c r="D766" s="17"/>
      <c r="E766" s="17"/>
      <c r="F766" s="301"/>
      <c r="G766" s="17"/>
      <c r="H766" s="17"/>
      <c r="I766" s="17"/>
      <c r="J766" s="17"/>
      <c r="K766" s="17"/>
      <c r="L766" s="17"/>
      <c r="M766" s="17"/>
      <c r="N766" s="17"/>
      <c r="O766" s="17"/>
      <c r="P766" s="17"/>
      <c r="Q766" s="17"/>
      <c r="R766" s="17"/>
      <c r="S766" s="205"/>
      <c r="T766" s="205"/>
      <c r="U766" s="205"/>
      <c r="V766" s="205"/>
      <c r="W766" s="17"/>
      <c r="X766" s="17"/>
      <c r="Y766" s="17"/>
      <c r="Z766" s="17"/>
      <c r="AA766" s="17"/>
      <c r="AB766" s="17"/>
    </row>
    <row r="767">
      <c r="A767" s="17"/>
      <c r="B767" s="17"/>
      <c r="C767" s="17"/>
      <c r="D767" s="17"/>
      <c r="E767" s="17"/>
      <c r="F767" s="301"/>
      <c r="G767" s="17"/>
      <c r="H767" s="17"/>
      <c r="I767" s="17"/>
      <c r="J767" s="17"/>
      <c r="K767" s="17"/>
      <c r="L767" s="17"/>
      <c r="M767" s="17"/>
      <c r="N767" s="17"/>
      <c r="O767" s="17"/>
      <c r="P767" s="17"/>
      <c r="Q767" s="17"/>
      <c r="R767" s="17"/>
      <c r="S767" s="205"/>
      <c r="T767" s="205"/>
      <c r="U767" s="205"/>
      <c r="V767" s="205"/>
      <c r="W767" s="17"/>
      <c r="X767" s="17"/>
      <c r="Y767" s="17"/>
      <c r="Z767" s="17"/>
      <c r="AA767" s="17"/>
      <c r="AB767" s="17"/>
    </row>
    <row r="768">
      <c r="A768" s="17"/>
      <c r="B768" s="17"/>
      <c r="C768" s="17"/>
      <c r="D768" s="17"/>
      <c r="E768" s="17"/>
      <c r="F768" s="301"/>
      <c r="G768" s="17"/>
      <c r="H768" s="17"/>
      <c r="I768" s="17"/>
      <c r="J768" s="17"/>
      <c r="K768" s="17"/>
      <c r="L768" s="17"/>
      <c r="M768" s="17"/>
      <c r="N768" s="17"/>
      <c r="O768" s="17"/>
      <c r="P768" s="17"/>
      <c r="Q768" s="17"/>
      <c r="R768" s="17"/>
      <c r="S768" s="205"/>
      <c r="T768" s="205"/>
      <c r="U768" s="205"/>
      <c r="V768" s="205"/>
      <c r="W768" s="17"/>
      <c r="X768" s="17"/>
      <c r="Y768" s="17"/>
      <c r="Z768" s="17"/>
      <c r="AA768" s="17"/>
      <c r="AB768" s="17"/>
    </row>
    <row r="769">
      <c r="A769" s="17"/>
      <c r="B769" s="17"/>
      <c r="C769" s="17"/>
      <c r="D769" s="17"/>
      <c r="E769" s="17"/>
      <c r="F769" s="301"/>
      <c r="G769" s="17"/>
      <c r="H769" s="17"/>
      <c r="I769" s="17"/>
      <c r="J769" s="17"/>
      <c r="K769" s="17"/>
      <c r="L769" s="17"/>
      <c r="M769" s="17"/>
      <c r="N769" s="17"/>
      <c r="O769" s="17"/>
      <c r="P769" s="17"/>
      <c r="Q769" s="17"/>
      <c r="R769" s="17"/>
      <c r="S769" s="205"/>
      <c r="T769" s="205"/>
      <c r="U769" s="205"/>
      <c r="V769" s="205"/>
      <c r="W769" s="17"/>
      <c r="X769" s="17"/>
      <c r="Y769" s="17"/>
      <c r="Z769" s="17"/>
      <c r="AA769" s="17"/>
      <c r="AB769" s="17"/>
    </row>
    <row r="770">
      <c r="A770" s="17"/>
      <c r="B770" s="17"/>
      <c r="C770" s="17"/>
      <c r="D770" s="17"/>
      <c r="E770" s="17"/>
      <c r="F770" s="301"/>
      <c r="G770" s="17"/>
      <c r="H770" s="17"/>
      <c r="I770" s="17"/>
      <c r="J770" s="17"/>
      <c r="K770" s="17"/>
      <c r="L770" s="17"/>
      <c r="M770" s="17"/>
      <c r="N770" s="17"/>
      <c r="O770" s="17"/>
      <c r="P770" s="17"/>
      <c r="Q770" s="17"/>
      <c r="R770" s="17"/>
      <c r="S770" s="205"/>
      <c r="T770" s="205"/>
      <c r="U770" s="205"/>
      <c r="V770" s="205"/>
      <c r="W770" s="17"/>
      <c r="X770" s="17"/>
      <c r="Y770" s="17"/>
      <c r="Z770" s="17"/>
      <c r="AA770" s="17"/>
      <c r="AB770" s="17"/>
    </row>
    <row r="771">
      <c r="A771" s="17"/>
      <c r="B771" s="17"/>
      <c r="C771" s="17"/>
      <c r="D771" s="17"/>
      <c r="E771" s="17"/>
      <c r="F771" s="301"/>
      <c r="G771" s="17"/>
      <c r="H771" s="17"/>
      <c r="I771" s="17"/>
      <c r="J771" s="17"/>
      <c r="K771" s="17"/>
      <c r="L771" s="17"/>
      <c r="M771" s="17"/>
      <c r="N771" s="17"/>
      <c r="O771" s="17"/>
      <c r="P771" s="17"/>
      <c r="Q771" s="17"/>
      <c r="R771" s="17"/>
      <c r="S771" s="205"/>
      <c r="T771" s="205"/>
      <c r="U771" s="205"/>
      <c r="V771" s="205"/>
      <c r="W771" s="17"/>
      <c r="X771" s="17"/>
      <c r="Y771" s="17"/>
      <c r="Z771" s="17"/>
      <c r="AA771" s="17"/>
      <c r="AB771" s="17"/>
    </row>
    <row r="772">
      <c r="A772" s="17"/>
      <c r="B772" s="17"/>
      <c r="C772" s="17"/>
      <c r="D772" s="17"/>
      <c r="E772" s="17"/>
      <c r="F772" s="301"/>
      <c r="G772" s="17"/>
      <c r="H772" s="17"/>
      <c r="I772" s="17"/>
      <c r="J772" s="17"/>
      <c r="K772" s="17"/>
      <c r="L772" s="17"/>
      <c r="M772" s="17"/>
      <c r="N772" s="17"/>
      <c r="O772" s="17"/>
      <c r="P772" s="17"/>
      <c r="Q772" s="17"/>
      <c r="R772" s="17"/>
      <c r="S772" s="205"/>
      <c r="T772" s="205"/>
      <c r="U772" s="205"/>
      <c r="V772" s="205"/>
      <c r="W772" s="17"/>
      <c r="X772" s="17"/>
      <c r="Y772" s="17"/>
      <c r="Z772" s="17"/>
      <c r="AA772" s="17"/>
      <c r="AB772" s="17"/>
    </row>
    <row r="773">
      <c r="A773" s="17"/>
      <c r="B773" s="17"/>
      <c r="C773" s="17"/>
      <c r="D773" s="17"/>
      <c r="E773" s="17"/>
      <c r="F773" s="301"/>
      <c r="G773" s="17"/>
      <c r="H773" s="17"/>
      <c r="I773" s="17"/>
      <c r="J773" s="17"/>
      <c r="K773" s="17"/>
      <c r="L773" s="17"/>
      <c r="M773" s="17"/>
      <c r="N773" s="17"/>
      <c r="O773" s="17"/>
      <c r="P773" s="17"/>
      <c r="Q773" s="17"/>
      <c r="R773" s="17"/>
      <c r="S773" s="205"/>
      <c r="T773" s="205"/>
      <c r="U773" s="205"/>
      <c r="V773" s="205"/>
      <c r="W773" s="17"/>
      <c r="X773" s="17"/>
      <c r="Y773" s="17"/>
      <c r="Z773" s="17"/>
      <c r="AA773" s="17"/>
      <c r="AB773" s="17"/>
    </row>
    <row r="774">
      <c r="A774" s="17"/>
      <c r="B774" s="17"/>
      <c r="C774" s="17"/>
      <c r="D774" s="17"/>
      <c r="E774" s="17"/>
      <c r="F774" s="301"/>
      <c r="G774" s="17"/>
      <c r="H774" s="17"/>
      <c r="I774" s="17"/>
      <c r="J774" s="17"/>
      <c r="K774" s="17"/>
      <c r="L774" s="17"/>
      <c r="M774" s="17"/>
      <c r="N774" s="17"/>
      <c r="O774" s="17"/>
      <c r="P774" s="17"/>
      <c r="Q774" s="17"/>
      <c r="R774" s="17"/>
      <c r="S774" s="205"/>
      <c r="T774" s="205"/>
      <c r="U774" s="205"/>
      <c r="V774" s="205"/>
      <c r="W774" s="17"/>
      <c r="X774" s="17"/>
      <c r="Y774" s="17"/>
      <c r="Z774" s="17"/>
      <c r="AA774" s="17"/>
      <c r="AB774" s="17"/>
    </row>
    <row r="775">
      <c r="A775" s="17"/>
      <c r="B775" s="17"/>
      <c r="C775" s="17"/>
      <c r="D775" s="17"/>
      <c r="E775" s="17"/>
      <c r="F775" s="301"/>
      <c r="G775" s="17"/>
      <c r="H775" s="17"/>
      <c r="I775" s="17"/>
      <c r="J775" s="17"/>
      <c r="K775" s="17"/>
      <c r="L775" s="17"/>
      <c r="M775" s="17"/>
      <c r="N775" s="17"/>
      <c r="O775" s="17"/>
      <c r="P775" s="17"/>
      <c r="Q775" s="17"/>
      <c r="R775" s="17"/>
      <c r="S775" s="205"/>
      <c r="T775" s="205"/>
      <c r="U775" s="205"/>
      <c r="V775" s="205"/>
      <c r="W775" s="17"/>
      <c r="X775" s="17"/>
      <c r="Y775" s="17"/>
      <c r="Z775" s="17"/>
      <c r="AA775" s="17"/>
      <c r="AB775" s="17"/>
    </row>
    <row r="776">
      <c r="A776" s="17"/>
      <c r="B776" s="17"/>
      <c r="C776" s="17"/>
      <c r="D776" s="17"/>
      <c r="E776" s="17"/>
      <c r="F776" s="301"/>
      <c r="G776" s="17"/>
      <c r="H776" s="17"/>
      <c r="I776" s="17"/>
      <c r="J776" s="17"/>
      <c r="K776" s="17"/>
      <c r="L776" s="17"/>
      <c r="M776" s="17"/>
      <c r="N776" s="17"/>
      <c r="O776" s="17"/>
      <c r="P776" s="17"/>
      <c r="Q776" s="17"/>
      <c r="R776" s="17"/>
      <c r="S776" s="205"/>
      <c r="T776" s="205"/>
      <c r="U776" s="205"/>
      <c r="V776" s="205"/>
      <c r="W776" s="17"/>
      <c r="X776" s="17"/>
      <c r="Y776" s="17"/>
      <c r="Z776" s="17"/>
      <c r="AA776" s="17"/>
      <c r="AB776" s="17"/>
    </row>
    <row r="777">
      <c r="A777" s="17"/>
      <c r="B777" s="17"/>
      <c r="C777" s="17"/>
      <c r="D777" s="17"/>
      <c r="E777" s="17"/>
      <c r="F777" s="301"/>
      <c r="G777" s="17"/>
      <c r="H777" s="17"/>
      <c r="I777" s="17"/>
      <c r="J777" s="17"/>
      <c r="K777" s="17"/>
      <c r="L777" s="17"/>
      <c r="M777" s="17"/>
      <c r="N777" s="17"/>
      <c r="O777" s="17"/>
      <c r="P777" s="17"/>
      <c r="Q777" s="17"/>
      <c r="R777" s="17"/>
      <c r="S777" s="205"/>
      <c r="T777" s="205"/>
      <c r="U777" s="205"/>
      <c r="V777" s="205"/>
      <c r="W777" s="17"/>
      <c r="X777" s="17"/>
      <c r="Y777" s="17"/>
      <c r="Z777" s="17"/>
      <c r="AA777" s="17"/>
      <c r="AB777" s="17"/>
    </row>
    <row r="778">
      <c r="A778" s="17"/>
      <c r="B778" s="17"/>
      <c r="C778" s="17"/>
      <c r="D778" s="17"/>
      <c r="E778" s="17"/>
      <c r="F778" s="301"/>
      <c r="G778" s="17"/>
      <c r="H778" s="17"/>
      <c r="I778" s="17"/>
      <c r="J778" s="17"/>
      <c r="K778" s="17"/>
      <c r="L778" s="17"/>
      <c r="M778" s="17"/>
      <c r="N778" s="17"/>
      <c r="O778" s="17"/>
      <c r="P778" s="17"/>
      <c r="Q778" s="17"/>
      <c r="R778" s="17"/>
      <c r="S778" s="205"/>
      <c r="T778" s="205"/>
      <c r="U778" s="205"/>
      <c r="V778" s="205"/>
      <c r="W778" s="17"/>
      <c r="X778" s="17"/>
      <c r="Y778" s="17"/>
      <c r="Z778" s="17"/>
      <c r="AA778" s="17"/>
      <c r="AB778" s="17"/>
    </row>
    <row r="779">
      <c r="A779" s="17"/>
      <c r="B779" s="17"/>
      <c r="C779" s="17"/>
      <c r="D779" s="17"/>
      <c r="E779" s="17"/>
      <c r="F779" s="301"/>
      <c r="G779" s="17"/>
      <c r="H779" s="17"/>
      <c r="I779" s="17"/>
      <c r="J779" s="17"/>
      <c r="K779" s="17"/>
      <c r="L779" s="17"/>
      <c r="M779" s="17"/>
      <c r="N779" s="17"/>
      <c r="O779" s="17"/>
      <c r="P779" s="17"/>
      <c r="Q779" s="17"/>
      <c r="R779" s="17"/>
      <c r="S779" s="205"/>
      <c r="T779" s="205"/>
      <c r="U779" s="205"/>
      <c r="V779" s="205"/>
      <c r="W779" s="17"/>
      <c r="X779" s="17"/>
      <c r="Y779" s="17"/>
      <c r="Z779" s="17"/>
      <c r="AA779" s="17"/>
      <c r="AB779" s="17"/>
    </row>
    <row r="780">
      <c r="A780" s="17"/>
      <c r="B780" s="17"/>
      <c r="C780" s="17"/>
      <c r="D780" s="17"/>
      <c r="E780" s="17"/>
      <c r="F780" s="301"/>
      <c r="G780" s="17"/>
      <c r="H780" s="17"/>
      <c r="I780" s="17"/>
      <c r="J780" s="17"/>
      <c r="K780" s="17"/>
      <c r="L780" s="17"/>
      <c r="M780" s="17"/>
      <c r="N780" s="17"/>
      <c r="O780" s="17"/>
      <c r="P780" s="17"/>
      <c r="Q780" s="17"/>
      <c r="R780" s="17"/>
      <c r="S780" s="205"/>
      <c r="T780" s="205"/>
      <c r="U780" s="205"/>
      <c r="V780" s="205"/>
      <c r="W780" s="17"/>
      <c r="X780" s="17"/>
      <c r="Y780" s="17"/>
      <c r="Z780" s="17"/>
      <c r="AA780" s="17"/>
      <c r="AB780" s="17"/>
    </row>
    <row r="781">
      <c r="A781" s="17"/>
      <c r="B781" s="17"/>
      <c r="C781" s="17"/>
      <c r="D781" s="17"/>
      <c r="E781" s="17"/>
      <c r="F781" s="301"/>
      <c r="G781" s="17"/>
      <c r="H781" s="17"/>
      <c r="I781" s="17"/>
      <c r="J781" s="17"/>
      <c r="K781" s="17"/>
      <c r="L781" s="17"/>
      <c r="M781" s="17"/>
      <c r="N781" s="17"/>
      <c r="O781" s="17"/>
      <c r="P781" s="17"/>
      <c r="Q781" s="17"/>
      <c r="R781" s="17"/>
      <c r="S781" s="205"/>
      <c r="T781" s="205"/>
      <c r="U781" s="205"/>
      <c r="V781" s="205"/>
      <c r="W781" s="17"/>
      <c r="X781" s="17"/>
      <c r="Y781" s="17"/>
      <c r="Z781" s="17"/>
      <c r="AA781" s="17"/>
      <c r="AB781" s="17"/>
    </row>
    <row r="782">
      <c r="A782" s="17"/>
      <c r="B782" s="17"/>
      <c r="C782" s="17"/>
      <c r="D782" s="17"/>
      <c r="E782" s="17"/>
      <c r="F782" s="301"/>
      <c r="G782" s="17"/>
      <c r="H782" s="17"/>
      <c r="I782" s="17"/>
      <c r="J782" s="17"/>
      <c r="K782" s="17"/>
      <c r="L782" s="17"/>
      <c r="M782" s="17"/>
      <c r="N782" s="17"/>
      <c r="O782" s="17"/>
      <c r="P782" s="17"/>
      <c r="Q782" s="17"/>
      <c r="R782" s="17"/>
      <c r="S782" s="205"/>
      <c r="T782" s="205"/>
      <c r="U782" s="205"/>
      <c r="V782" s="205"/>
      <c r="W782" s="17"/>
      <c r="X782" s="17"/>
      <c r="Y782" s="17"/>
      <c r="Z782" s="17"/>
      <c r="AA782" s="17"/>
      <c r="AB782" s="17"/>
    </row>
    <row r="783">
      <c r="A783" s="17"/>
      <c r="B783" s="17"/>
      <c r="C783" s="17"/>
      <c r="D783" s="17"/>
      <c r="E783" s="17"/>
      <c r="F783" s="301"/>
      <c r="G783" s="17"/>
      <c r="H783" s="17"/>
      <c r="I783" s="17"/>
      <c r="J783" s="17"/>
      <c r="K783" s="17"/>
      <c r="L783" s="17"/>
      <c r="M783" s="17"/>
      <c r="N783" s="17"/>
      <c r="O783" s="17"/>
      <c r="P783" s="17"/>
      <c r="Q783" s="17"/>
      <c r="R783" s="17"/>
      <c r="S783" s="205"/>
      <c r="T783" s="205"/>
      <c r="U783" s="205"/>
      <c r="V783" s="205"/>
      <c r="W783" s="17"/>
      <c r="X783" s="17"/>
      <c r="Y783" s="17"/>
      <c r="Z783" s="17"/>
      <c r="AA783" s="17"/>
      <c r="AB783" s="17"/>
    </row>
    <row r="784">
      <c r="A784" s="17"/>
      <c r="B784" s="17"/>
      <c r="C784" s="17"/>
      <c r="D784" s="17"/>
      <c r="E784" s="17"/>
      <c r="F784" s="301"/>
      <c r="G784" s="17"/>
      <c r="H784" s="17"/>
      <c r="I784" s="17"/>
      <c r="J784" s="17"/>
      <c r="K784" s="17"/>
      <c r="L784" s="17"/>
      <c r="M784" s="17"/>
      <c r="N784" s="17"/>
      <c r="O784" s="17"/>
      <c r="P784" s="17"/>
      <c r="Q784" s="17"/>
      <c r="R784" s="17"/>
      <c r="S784" s="205"/>
      <c r="T784" s="205"/>
      <c r="U784" s="205"/>
      <c r="V784" s="205"/>
      <c r="W784" s="17"/>
      <c r="X784" s="17"/>
      <c r="Y784" s="17"/>
      <c r="Z784" s="17"/>
      <c r="AA784" s="17"/>
      <c r="AB784" s="17"/>
    </row>
    <row r="785">
      <c r="A785" s="17"/>
      <c r="B785" s="17"/>
      <c r="C785" s="17"/>
      <c r="D785" s="17"/>
      <c r="E785" s="17"/>
      <c r="F785" s="301"/>
      <c r="G785" s="17"/>
      <c r="H785" s="17"/>
      <c r="I785" s="17"/>
      <c r="J785" s="17"/>
      <c r="K785" s="17"/>
      <c r="L785" s="17"/>
      <c r="M785" s="17"/>
      <c r="N785" s="17"/>
      <c r="O785" s="17"/>
      <c r="P785" s="17"/>
      <c r="Q785" s="17"/>
      <c r="R785" s="17"/>
      <c r="S785" s="205"/>
      <c r="T785" s="205"/>
      <c r="U785" s="205"/>
      <c r="V785" s="205"/>
      <c r="W785" s="17"/>
      <c r="X785" s="17"/>
      <c r="Y785" s="17"/>
      <c r="Z785" s="17"/>
      <c r="AA785" s="17"/>
      <c r="AB785" s="17"/>
    </row>
    <row r="786">
      <c r="A786" s="17"/>
      <c r="B786" s="17"/>
      <c r="C786" s="17"/>
      <c r="D786" s="17"/>
      <c r="E786" s="17"/>
      <c r="F786" s="301"/>
      <c r="G786" s="17"/>
      <c r="H786" s="17"/>
      <c r="I786" s="17"/>
      <c r="J786" s="17"/>
      <c r="K786" s="17"/>
      <c r="L786" s="17"/>
      <c r="M786" s="17"/>
      <c r="N786" s="17"/>
      <c r="O786" s="17"/>
      <c r="P786" s="17"/>
      <c r="Q786" s="17"/>
      <c r="R786" s="17"/>
      <c r="S786" s="205"/>
      <c r="T786" s="205"/>
      <c r="U786" s="205"/>
      <c r="V786" s="205"/>
      <c r="W786" s="17"/>
      <c r="X786" s="17"/>
      <c r="Y786" s="17"/>
      <c r="Z786" s="17"/>
      <c r="AA786" s="17"/>
      <c r="AB786" s="17"/>
    </row>
    <row r="787">
      <c r="A787" s="17"/>
      <c r="B787" s="17"/>
      <c r="C787" s="17"/>
      <c r="D787" s="17"/>
      <c r="E787" s="17"/>
      <c r="F787" s="301"/>
      <c r="G787" s="17"/>
      <c r="H787" s="17"/>
      <c r="I787" s="17"/>
      <c r="J787" s="17"/>
      <c r="K787" s="17"/>
      <c r="L787" s="17"/>
      <c r="M787" s="17"/>
      <c r="N787" s="17"/>
      <c r="O787" s="17"/>
      <c r="P787" s="17"/>
      <c r="Q787" s="17"/>
      <c r="R787" s="17"/>
      <c r="S787" s="205"/>
      <c r="T787" s="205"/>
      <c r="U787" s="205"/>
      <c r="V787" s="205"/>
      <c r="W787" s="17"/>
      <c r="X787" s="17"/>
      <c r="Y787" s="17"/>
      <c r="Z787" s="17"/>
      <c r="AA787" s="17"/>
      <c r="AB787" s="17"/>
    </row>
    <row r="788">
      <c r="A788" s="17"/>
      <c r="B788" s="17"/>
      <c r="C788" s="17"/>
      <c r="D788" s="17"/>
      <c r="E788" s="17"/>
      <c r="F788" s="301"/>
      <c r="G788" s="17"/>
      <c r="H788" s="17"/>
      <c r="I788" s="17"/>
      <c r="J788" s="17"/>
      <c r="K788" s="17"/>
      <c r="L788" s="17"/>
      <c r="M788" s="17"/>
      <c r="N788" s="17"/>
      <c r="O788" s="17"/>
      <c r="P788" s="17"/>
      <c r="Q788" s="17"/>
      <c r="R788" s="17"/>
      <c r="S788" s="205"/>
      <c r="T788" s="205"/>
      <c r="U788" s="205"/>
      <c r="V788" s="205"/>
      <c r="W788" s="17"/>
      <c r="X788" s="17"/>
      <c r="Y788" s="17"/>
      <c r="Z788" s="17"/>
      <c r="AA788" s="17"/>
      <c r="AB788" s="17"/>
    </row>
    <row r="789">
      <c r="A789" s="17"/>
      <c r="B789" s="17"/>
      <c r="C789" s="17"/>
      <c r="D789" s="17"/>
      <c r="E789" s="17"/>
      <c r="F789" s="301"/>
      <c r="G789" s="17"/>
      <c r="H789" s="17"/>
      <c r="I789" s="17"/>
      <c r="J789" s="17"/>
      <c r="K789" s="17"/>
      <c r="L789" s="17"/>
      <c r="M789" s="17"/>
      <c r="N789" s="17"/>
      <c r="O789" s="17"/>
      <c r="P789" s="17"/>
      <c r="Q789" s="17"/>
      <c r="R789" s="17"/>
      <c r="S789" s="205"/>
      <c r="T789" s="205"/>
      <c r="U789" s="205"/>
      <c r="V789" s="205"/>
      <c r="W789" s="17"/>
      <c r="X789" s="17"/>
      <c r="Y789" s="17"/>
      <c r="Z789" s="17"/>
      <c r="AA789" s="17"/>
      <c r="AB789" s="17"/>
    </row>
    <row r="790">
      <c r="A790" s="17"/>
      <c r="B790" s="17"/>
      <c r="C790" s="17"/>
      <c r="D790" s="17"/>
      <c r="E790" s="17"/>
      <c r="F790" s="301"/>
      <c r="G790" s="17"/>
      <c r="H790" s="17"/>
      <c r="I790" s="17"/>
      <c r="J790" s="17"/>
      <c r="K790" s="17"/>
      <c r="L790" s="17"/>
      <c r="M790" s="17"/>
      <c r="N790" s="17"/>
      <c r="O790" s="17"/>
      <c r="P790" s="17"/>
      <c r="Q790" s="17"/>
      <c r="R790" s="17"/>
      <c r="S790" s="205"/>
      <c r="T790" s="205"/>
      <c r="U790" s="205"/>
      <c r="V790" s="205"/>
      <c r="W790" s="17"/>
      <c r="X790" s="17"/>
      <c r="Y790" s="17"/>
      <c r="Z790" s="17"/>
      <c r="AA790" s="17"/>
      <c r="AB790" s="17"/>
    </row>
    <row r="791">
      <c r="A791" s="17"/>
      <c r="B791" s="17"/>
      <c r="C791" s="17"/>
      <c r="D791" s="17"/>
      <c r="E791" s="17"/>
      <c r="F791" s="301"/>
      <c r="G791" s="17"/>
      <c r="H791" s="17"/>
      <c r="I791" s="17"/>
      <c r="J791" s="17"/>
      <c r="K791" s="17"/>
      <c r="L791" s="17"/>
      <c r="M791" s="17"/>
      <c r="N791" s="17"/>
      <c r="O791" s="17"/>
      <c r="P791" s="17"/>
      <c r="Q791" s="17"/>
      <c r="R791" s="17"/>
      <c r="S791" s="205"/>
      <c r="T791" s="205"/>
      <c r="U791" s="205"/>
      <c r="V791" s="205"/>
      <c r="W791" s="17"/>
      <c r="X791" s="17"/>
      <c r="Y791" s="17"/>
      <c r="Z791" s="17"/>
      <c r="AA791" s="17"/>
      <c r="AB791" s="17"/>
    </row>
    <row r="792">
      <c r="A792" s="17"/>
      <c r="B792" s="17"/>
      <c r="C792" s="17"/>
      <c r="D792" s="17"/>
      <c r="E792" s="17"/>
      <c r="F792" s="301"/>
      <c r="G792" s="17"/>
      <c r="H792" s="17"/>
      <c r="I792" s="17"/>
      <c r="J792" s="17"/>
      <c r="K792" s="17"/>
      <c r="L792" s="17"/>
      <c r="M792" s="17"/>
      <c r="N792" s="17"/>
      <c r="O792" s="17"/>
      <c r="P792" s="17"/>
      <c r="Q792" s="17"/>
      <c r="R792" s="17"/>
      <c r="S792" s="205"/>
      <c r="T792" s="205"/>
      <c r="U792" s="205"/>
      <c r="V792" s="205"/>
      <c r="W792" s="17"/>
      <c r="X792" s="17"/>
      <c r="Y792" s="17"/>
      <c r="Z792" s="17"/>
      <c r="AA792" s="17"/>
      <c r="AB792" s="17"/>
    </row>
    <row r="793">
      <c r="A793" s="17"/>
      <c r="B793" s="17"/>
      <c r="C793" s="17"/>
      <c r="D793" s="17"/>
      <c r="E793" s="17"/>
      <c r="F793" s="301"/>
      <c r="G793" s="17"/>
      <c r="H793" s="17"/>
      <c r="I793" s="17"/>
      <c r="J793" s="17"/>
      <c r="K793" s="17"/>
      <c r="L793" s="17"/>
      <c r="M793" s="17"/>
      <c r="N793" s="17"/>
      <c r="O793" s="17"/>
      <c r="P793" s="17"/>
      <c r="Q793" s="17"/>
      <c r="R793" s="17"/>
      <c r="S793" s="205"/>
      <c r="T793" s="205"/>
      <c r="U793" s="205"/>
      <c r="V793" s="205"/>
      <c r="W793" s="17"/>
      <c r="X793" s="17"/>
      <c r="Y793" s="17"/>
      <c r="Z793" s="17"/>
      <c r="AA793" s="17"/>
      <c r="AB793" s="17"/>
    </row>
    <row r="794">
      <c r="A794" s="17"/>
      <c r="B794" s="17"/>
      <c r="C794" s="17"/>
      <c r="D794" s="17"/>
      <c r="E794" s="17"/>
      <c r="F794" s="301"/>
      <c r="G794" s="17"/>
      <c r="H794" s="17"/>
      <c r="I794" s="17"/>
      <c r="J794" s="17"/>
      <c r="K794" s="17"/>
      <c r="L794" s="17"/>
      <c r="M794" s="17"/>
      <c r="N794" s="17"/>
      <c r="O794" s="17"/>
      <c r="P794" s="17"/>
      <c r="Q794" s="17"/>
      <c r="R794" s="17"/>
      <c r="S794" s="205"/>
      <c r="T794" s="205"/>
      <c r="U794" s="205"/>
      <c r="V794" s="205"/>
      <c r="W794" s="17"/>
      <c r="X794" s="17"/>
      <c r="Y794" s="17"/>
      <c r="Z794" s="17"/>
      <c r="AA794" s="17"/>
      <c r="AB794" s="17"/>
    </row>
    <row r="795">
      <c r="A795" s="17"/>
      <c r="B795" s="17"/>
      <c r="C795" s="17"/>
      <c r="D795" s="17"/>
      <c r="E795" s="17"/>
      <c r="F795" s="301"/>
      <c r="G795" s="17"/>
      <c r="H795" s="17"/>
      <c r="I795" s="17"/>
      <c r="J795" s="17"/>
      <c r="K795" s="17"/>
      <c r="L795" s="17"/>
      <c r="M795" s="17"/>
      <c r="N795" s="17"/>
      <c r="O795" s="17"/>
      <c r="P795" s="17"/>
      <c r="Q795" s="17"/>
      <c r="R795" s="17"/>
      <c r="S795" s="205"/>
      <c r="T795" s="205"/>
      <c r="U795" s="205"/>
      <c r="V795" s="205"/>
      <c r="W795" s="17"/>
      <c r="X795" s="17"/>
      <c r="Y795" s="17"/>
      <c r="Z795" s="17"/>
      <c r="AA795" s="17"/>
      <c r="AB795" s="17"/>
    </row>
    <row r="796">
      <c r="A796" s="17"/>
      <c r="B796" s="17"/>
      <c r="C796" s="17"/>
      <c r="D796" s="17"/>
      <c r="E796" s="17"/>
      <c r="F796" s="301"/>
      <c r="G796" s="17"/>
      <c r="H796" s="17"/>
      <c r="I796" s="17"/>
      <c r="J796" s="17"/>
      <c r="K796" s="17"/>
      <c r="L796" s="17"/>
      <c r="M796" s="17"/>
      <c r="N796" s="17"/>
      <c r="O796" s="17"/>
      <c r="P796" s="17"/>
      <c r="Q796" s="17"/>
      <c r="R796" s="17"/>
      <c r="S796" s="205"/>
      <c r="T796" s="205"/>
      <c r="U796" s="205"/>
      <c r="V796" s="205"/>
      <c r="W796" s="17"/>
      <c r="X796" s="17"/>
      <c r="Y796" s="17"/>
      <c r="Z796" s="17"/>
      <c r="AA796" s="17"/>
      <c r="AB796" s="17"/>
    </row>
    <row r="797">
      <c r="A797" s="17"/>
      <c r="B797" s="17"/>
      <c r="C797" s="17"/>
      <c r="D797" s="17"/>
      <c r="E797" s="17"/>
      <c r="F797" s="301"/>
      <c r="G797" s="17"/>
      <c r="H797" s="17"/>
      <c r="I797" s="17"/>
      <c r="J797" s="17"/>
      <c r="K797" s="17"/>
      <c r="L797" s="17"/>
      <c r="M797" s="17"/>
      <c r="N797" s="17"/>
      <c r="O797" s="17"/>
      <c r="P797" s="17"/>
      <c r="Q797" s="17"/>
      <c r="R797" s="17"/>
      <c r="S797" s="205"/>
      <c r="T797" s="205"/>
      <c r="U797" s="205"/>
      <c r="V797" s="205"/>
      <c r="W797" s="17"/>
      <c r="X797" s="17"/>
      <c r="Y797" s="17"/>
      <c r="Z797" s="17"/>
      <c r="AA797" s="17"/>
      <c r="AB797" s="17"/>
    </row>
    <row r="798">
      <c r="A798" s="17"/>
      <c r="B798" s="17"/>
      <c r="C798" s="17"/>
      <c r="D798" s="17"/>
      <c r="E798" s="17"/>
      <c r="F798" s="301"/>
      <c r="G798" s="17"/>
      <c r="H798" s="17"/>
      <c r="I798" s="17"/>
      <c r="J798" s="17"/>
      <c r="K798" s="17"/>
      <c r="L798" s="17"/>
      <c r="M798" s="17"/>
      <c r="N798" s="17"/>
      <c r="O798" s="17"/>
      <c r="P798" s="17"/>
      <c r="Q798" s="17"/>
      <c r="R798" s="17"/>
      <c r="S798" s="205"/>
      <c r="T798" s="205"/>
      <c r="U798" s="205"/>
      <c r="V798" s="205"/>
      <c r="W798" s="17"/>
      <c r="X798" s="17"/>
      <c r="Y798" s="17"/>
      <c r="Z798" s="17"/>
      <c r="AA798" s="17"/>
      <c r="AB798" s="17"/>
    </row>
    <row r="799">
      <c r="A799" s="17"/>
      <c r="B799" s="17"/>
      <c r="C799" s="17"/>
      <c r="D799" s="17"/>
      <c r="E799" s="17"/>
      <c r="F799" s="301"/>
      <c r="G799" s="17"/>
      <c r="H799" s="17"/>
      <c r="I799" s="17"/>
      <c r="J799" s="17"/>
      <c r="K799" s="17"/>
      <c r="L799" s="17"/>
      <c r="M799" s="17"/>
      <c r="N799" s="17"/>
      <c r="O799" s="17"/>
      <c r="P799" s="17"/>
      <c r="Q799" s="17"/>
      <c r="R799" s="17"/>
      <c r="S799" s="205"/>
      <c r="T799" s="205"/>
      <c r="U799" s="205"/>
      <c r="V799" s="205"/>
      <c r="W799" s="17"/>
      <c r="X799" s="17"/>
      <c r="Y799" s="17"/>
      <c r="Z799" s="17"/>
      <c r="AA799" s="17"/>
      <c r="AB799" s="17"/>
    </row>
    <row r="800">
      <c r="A800" s="17"/>
      <c r="B800" s="17"/>
      <c r="C800" s="17"/>
      <c r="D800" s="17"/>
      <c r="E800" s="17"/>
      <c r="F800" s="301"/>
      <c r="G800" s="17"/>
      <c r="H800" s="17"/>
      <c r="I800" s="17"/>
      <c r="J800" s="17"/>
      <c r="K800" s="17"/>
      <c r="L800" s="17"/>
      <c r="M800" s="17"/>
      <c r="N800" s="17"/>
      <c r="O800" s="17"/>
      <c r="P800" s="17"/>
      <c r="Q800" s="17"/>
      <c r="R800" s="17"/>
      <c r="S800" s="205"/>
      <c r="T800" s="205"/>
      <c r="U800" s="205"/>
      <c r="V800" s="205"/>
      <c r="W800" s="17"/>
      <c r="X800" s="17"/>
      <c r="Y800" s="17"/>
      <c r="Z800" s="17"/>
      <c r="AA800" s="17"/>
      <c r="AB800" s="17"/>
    </row>
    <row r="801">
      <c r="A801" s="17"/>
      <c r="B801" s="17"/>
      <c r="C801" s="17"/>
      <c r="D801" s="17"/>
      <c r="E801" s="17"/>
      <c r="F801" s="301"/>
      <c r="G801" s="17"/>
      <c r="H801" s="17"/>
      <c r="I801" s="17"/>
      <c r="J801" s="17"/>
      <c r="K801" s="17"/>
      <c r="L801" s="17"/>
      <c r="M801" s="17"/>
      <c r="N801" s="17"/>
      <c r="O801" s="17"/>
      <c r="P801" s="17"/>
      <c r="Q801" s="17"/>
      <c r="R801" s="17"/>
      <c r="S801" s="205"/>
      <c r="T801" s="205"/>
      <c r="U801" s="205"/>
      <c r="V801" s="205"/>
      <c r="W801" s="17"/>
      <c r="X801" s="17"/>
      <c r="Y801" s="17"/>
      <c r="Z801" s="17"/>
      <c r="AA801" s="17"/>
      <c r="AB801" s="17"/>
    </row>
    <row r="802">
      <c r="A802" s="17"/>
      <c r="B802" s="17"/>
      <c r="C802" s="17"/>
      <c r="D802" s="17"/>
      <c r="E802" s="17"/>
      <c r="F802" s="301"/>
      <c r="G802" s="17"/>
      <c r="H802" s="17"/>
      <c r="I802" s="17"/>
      <c r="J802" s="17"/>
      <c r="K802" s="17"/>
      <c r="L802" s="17"/>
      <c r="M802" s="17"/>
      <c r="N802" s="17"/>
      <c r="O802" s="17"/>
      <c r="P802" s="17"/>
      <c r="Q802" s="17"/>
      <c r="R802" s="17"/>
      <c r="S802" s="205"/>
      <c r="T802" s="205"/>
      <c r="U802" s="205"/>
      <c r="V802" s="205"/>
      <c r="W802" s="17"/>
      <c r="X802" s="17"/>
      <c r="Y802" s="17"/>
      <c r="Z802" s="17"/>
      <c r="AA802" s="17"/>
      <c r="AB802" s="17"/>
    </row>
    <row r="803">
      <c r="A803" s="17"/>
      <c r="B803" s="17"/>
      <c r="C803" s="17"/>
      <c r="D803" s="17"/>
      <c r="E803" s="17"/>
      <c r="F803" s="301"/>
      <c r="G803" s="17"/>
      <c r="H803" s="17"/>
      <c r="I803" s="17"/>
      <c r="J803" s="17"/>
      <c r="K803" s="17"/>
      <c r="L803" s="17"/>
      <c r="M803" s="17"/>
      <c r="N803" s="17"/>
      <c r="O803" s="17"/>
      <c r="P803" s="17"/>
      <c r="Q803" s="17"/>
      <c r="R803" s="17"/>
      <c r="S803" s="205"/>
      <c r="T803" s="205"/>
      <c r="U803" s="205"/>
      <c r="V803" s="205"/>
      <c r="W803" s="17"/>
      <c r="X803" s="17"/>
      <c r="Y803" s="17"/>
      <c r="Z803" s="17"/>
      <c r="AA803" s="17"/>
      <c r="AB803" s="17"/>
    </row>
    <row r="804">
      <c r="A804" s="17"/>
      <c r="B804" s="17"/>
      <c r="C804" s="17"/>
      <c r="D804" s="17"/>
      <c r="E804" s="17"/>
      <c r="F804" s="301"/>
      <c r="G804" s="17"/>
      <c r="H804" s="17"/>
      <c r="I804" s="17"/>
      <c r="J804" s="17"/>
      <c r="K804" s="17"/>
      <c r="L804" s="17"/>
      <c r="M804" s="17"/>
      <c r="N804" s="17"/>
      <c r="O804" s="17"/>
      <c r="P804" s="17"/>
      <c r="Q804" s="17"/>
      <c r="R804" s="17"/>
      <c r="S804" s="205"/>
      <c r="T804" s="205"/>
      <c r="U804" s="205"/>
      <c r="V804" s="205"/>
      <c r="W804" s="17"/>
      <c r="X804" s="17"/>
      <c r="Y804" s="17"/>
      <c r="Z804" s="17"/>
      <c r="AA804" s="17"/>
      <c r="AB804" s="17"/>
    </row>
    <row r="805">
      <c r="A805" s="17"/>
      <c r="B805" s="17"/>
      <c r="C805" s="17"/>
      <c r="D805" s="17"/>
      <c r="E805" s="17"/>
      <c r="F805" s="301"/>
      <c r="G805" s="17"/>
      <c r="H805" s="17"/>
      <c r="I805" s="17"/>
      <c r="J805" s="17"/>
      <c r="K805" s="17"/>
      <c r="L805" s="17"/>
      <c r="M805" s="17"/>
      <c r="N805" s="17"/>
      <c r="O805" s="17"/>
      <c r="P805" s="17"/>
      <c r="Q805" s="17"/>
      <c r="R805" s="17"/>
      <c r="S805" s="205"/>
      <c r="T805" s="205"/>
      <c r="U805" s="205"/>
      <c r="V805" s="205"/>
      <c r="W805" s="17"/>
      <c r="X805" s="17"/>
      <c r="Y805" s="17"/>
      <c r="Z805" s="17"/>
      <c r="AA805" s="17"/>
      <c r="AB805" s="17"/>
    </row>
    <row r="806">
      <c r="A806" s="17"/>
      <c r="B806" s="17"/>
      <c r="C806" s="17"/>
      <c r="D806" s="17"/>
      <c r="E806" s="17"/>
      <c r="F806" s="301"/>
      <c r="G806" s="17"/>
      <c r="H806" s="17"/>
      <c r="I806" s="17"/>
      <c r="J806" s="17"/>
      <c r="K806" s="17"/>
      <c r="L806" s="17"/>
      <c r="M806" s="17"/>
      <c r="N806" s="17"/>
      <c r="O806" s="17"/>
      <c r="P806" s="17"/>
      <c r="Q806" s="17"/>
      <c r="R806" s="17"/>
      <c r="S806" s="205"/>
      <c r="T806" s="205"/>
      <c r="U806" s="205"/>
      <c r="V806" s="205"/>
      <c r="W806" s="17"/>
      <c r="X806" s="17"/>
      <c r="Y806" s="17"/>
      <c r="Z806" s="17"/>
      <c r="AA806" s="17"/>
      <c r="AB806" s="17"/>
    </row>
    <row r="807">
      <c r="A807" s="17"/>
      <c r="B807" s="17"/>
      <c r="C807" s="17"/>
      <c r="D807" s="17"/>
      <c r="E807" s="17"/>
      <c r="F807" s="301"/>
      <c r="G807" s="17"/>
      <c r="H807" s="17"/>
      <c r="I807" s="17"/>
      <c r="J807" s="17"/>
      <c r="K807" s="17"/>
      <c r="L807" s="17"/>
      <c r="M807" s="17"/>
      <c r="N807" s="17"/>
      <c r="O807" s="17"/>
      <c r="P807" s="17"/>
      <c r="Q807" s="17"/>
      <c r="R807" s="17"/>
      <c r="S807" s="205"/>
      <c r="T807" s="205"/>
      <c r="U807" s="205"/>
      <c r="V807" s="205"/>
      <c r="W807" s="17"/>
      <c r="X807" s="17"/>
      <c r="Y807" s="17"/>
      <c r="Z807" s="17"/>
      <c r="AA807" s="17"/>
      <c r="AB807" s="17"/>
    </row>
    <row r="808">
      <c r="A808" s="17"/>
      <c r="B808" s="17"/>
      <c r="C808" s="17"/>
      <c r="D808" s="17"/>
      <c r="E808" s="17"/>
      <c r="F808" s="301"/>
      <c r="G808" s="17"/>
      <c r="H808" s="17"/>
      <c r="I808" s="17"/>
      <c r="J808" s="17"/>
      <c r="K808" s="17"/>
      <c r="L808" s="17"/>
      <c r="M808" s="17"/>
      <c r="N808" s="17"/>
      <c r="O808" s="17"/>
      <c r="P808" s="17"/>
      <c r="Q808" s="17"/>
      <c r="R808" s="17"/>
      <c r="S808" s="205"/>
      <c r="T808" s="205"/>
      <c r="U808" s="205"/>
      <c r="V808" s="205"/>
      <c r="W808" s="17"/>
      <c r="X808" s="17"/>
      <c r="Y808" s="17"/>
      <c r="Z808" s="17"/>
      <c r="AA808" s="17"/>
      <c r="AB808" s="17"/>
    </row>
    <row r="809">
      <c r="A809" s="17"/>
      <c r="B809" s="17"/>
      <c r="C809" s="17"/>
      <c r="D809" s="17"/>
      <c r="E809" s="17"/>
      <c r="F809" s="301"/>
      <c r="G809" s="17"/>
      <c r="H809" s="17"/>
      <c r="I809" s="17"/>
      <c r="J809" s="17"/>
      <c r="K809" s="17"/>
      <c r="L809" s="17"/>
      <c r="M809" s="17"/>
      <c r="N809" s="17"/>
      <c r="O809" s="17"/>
      <c r="P809" s="17"/>
      <c r="Q809" s="17"/>
      <c r="R809" s="17"/>
      <c r="S809" s="205"/>
      <c r="T809" s="205"/>
      <c r="U809" s="205"/>
      <c r="V809" s="205"/>
      <c r="W809" s="17"/>
      <c r="X809" s="17"/>
      <c r="Y809" s="17"/>
      <c r="Z809" s="17"/>
      <c r="AA809" s="17"/>
      <c r="AB809" s="17"/>
    </row>
    <row r="810">
      <c r="A810" s="17"/>
      <c r="B810" s="17"/>
      <c r="C810" s="17"/>
      <c r="D810" s="17"/>
      <c r="E810" s="17"/>
      <c r="F810" s="301"/>
      <c r="G810" s="17"/>
      <c r="H810" s="17"/>
      <c r="I810" s="17"/>
      <c r="J810" s="17"/>
      <c r="K810" s="17"/>
      <c r="L810" s="17"/>
      <c r="M810" s="17"/>
      <c r="N810" s="17"/>
      <c r="O810" s="17"/>
      <c r="P810" s="17"/>
      <c r="Q810" s="17"/>
      <c r="R810" s="17"/>
      <c r="S810" s="205"/>
      <c r="T810" s="205"/>
      <c r="U810" s="205"/>
      <c r="V810" s="205"/>
      <c r="W810" s="17"/>
      <c r="X810" s="17"/>
      <c r="Y810" s="17"/>
      <c r="Z810" s="17"/>
      <c r="AA810" s="17"/>
      <c r="AB810" s="17"/>
    </row>
    <row r="811">
      <c r="A811" s="17"/>
      <c r="B811" s="17"/>
      <c r="C811" s="17"/>
      <c r="D811" s="17"/>
      <c r="E811" s="17"/>
      <c r="F811" s="301"/>
      <c r="G811" s="17"/>
      <c r="H811" s="17"/>
      <c r="I811" s="17"/>
      <c r="J811" s="17"/>
      <c r="K811" s="17"/>
      <c r="L811" s="17"/>
      <c r="M811" s="17"/>
      <c r="N811" s="17"/>
      <c r="O811" s="17"/>
      <c r="P811" s="17"/>
      <c r="Q811" s="17"/>
      <c r="R811" s="17"/>
      <c r="S811" s="205"/>
      <c r="T811" s="205"/>
      <c r="U811" s="205"/>
      <c r="V811" s="205"/>
      <c r="W811" s="17"/>
      <c r="X811" s="17"/>
      <c r="Y811" s="17"/>
      <c r="Z811" s="17"/>
      <c r="AA811" s="17"/>
      <c r="AB811" s="17"/>
    </row>
    <row r="812">
      <c r="A812" s="17"/>
      <c r="B812" s="17"/>
      <c r="C812" s="17"/>
      <c r="D812" s="17"/>
      <c r="E812" s="17"/>
      <c r="F812" s="301"/>
      <c r="G812" s="17"/>
      <c r="H812" s="17"/>
      <c r="I812" s="17"/>
      <c r="J812" s="17"/>
      <c r="K812" s="17"/>
      <c r="L812" s="17"/>
      <c r="M812" s="17"/>
      <c r="N812" s="17"/>
      <c r="O812" s="17"/>
      <c r="P812" s="17"/>
      <c r="Q812" s="17"/>
      <c r="R812" s="17"/>
      <c r="S812" s="205"/>
      <c r="T812" s="205"/>
      <c r="U812" s="205"/>
      <c r="V812" s="205"/>
      <c r="W812" s="17"/>
      <c r="X812" s="17"/>
      <c r="Y812" s="17"/>
      <c r="Z812" s="17"/>
      <c r="AA812" s="17"/>
      <c r="AB812" s="17"/>
    </row>
    <row r="813">
      <c r="A813" s="17"/>
      <c r="B813" s="17"/>
      <c r="C813" s="17"/>
      <c r="D813" s="17"/>
      <c r="E813" s="17"/>
      <c r="F813" s="301"/>
      <c r="G813" s="17"/>
      <c r="H813" s="17"/>
      <c r="I813" s="17"/>
      <c r="J813" s="17"/>
      <c r="K813" s="17"/>
      <c r="L813" s="17"/>
      <c r="M813" s="17"/>
      <c r="N813" s="17"/>
      <c r="O813" s="17"/>
      <c r="P813" s="17"/>
      <c r="Q813" s="17"/>
      <c r="R813" s="17"/>
      <c r="S813" s="205"/>
      <c r="T813" s="205"/>
      <c r="U813" s="205"/>
      <c r="V813" s="205"/>
      <c r="W813" s="17"/>
      <c r="X813" s="17"/>
      <c r="Y813" s="17"/>
      <c r="Z813" s="17"/>
      <c r="AA813" s="17"/>
      <c r="AB813" s="17"/>
    </row>
    <row r="814">
      <c r="A814" s="17"/>
      <c r="B814" s="17"/>
      <c r="C814" s="17"/>
      <c r="D814" s="17"/>
      <c r="E814" s="17"/>
      <c r="F814" s="301"/>
      <c r="G814" s="17"/>
      <c r="H814" s="17"/>
      <c r="I814" s="17"/>
      <c r="J814" s="17"/>
      <c r="K814" s="17"/>
      <c r="L814" s="17"/>
      <c r="M814" s="17"/>
      <c r="N814" s="17"/>
      <c r="O814" s="17"/>
      <c r="P814" s="17"/>
      <c r="Q814" s="17"/>
      <c r="R814" s="17"/>
      <c r="S814" s="205"/>
      <c r="T814" s="205"/>
      <c r="U814" s="205"/>
      <c r="V814" s="205"/>
      <c r="W814" s="17"/>
      <c r="X814" s="17"/>
      <c r="Y814" s="17"/>
      <c r="Z814" s="17"/>
      <c r="AA814" s="17"/>
      <c r="AB814" s="17"/>
    </row>
    <row r="815">
      <c r="A815" s="17"/>
      <c r="B815" s="17"/>
      <c r="C815" s="17"/>
      <c r="D815" s="17"/>
      <c r="E815" s="17"/>
      <c r="F815" s="301"/>
      <c r="G815" s="17"/>
      <c r="H815" s="17"/>
      <c r="I815" s="17"/>
      <c r="J815" s="17"/>
      <c r="K815" s="17"/>
      <c r="L815" s="17"/>
      <c r="M815" s="17"/>
      <c r="N815" s="17"/>
      <c r="O815" s="17"/>
      <c r="P815" s="17"/>
      <c r="Q815" s="17"/>
      <c r="R815" s="17"/>
      <c r="S815" s="205"/>
      <c r="T815" s="205"/>
      <c r="U815" s="205"/>
      <c r="V815" s="205"/>
      <c r="W815" s="17"/>
      <c r="X815" s="17"/>
      <c r="Y815" s="17"/>
      <c r="Z815" s="17"/>
      <c r="AA815" s="17"/>
      <c r="AB815" s="17"/>
    </row>
    <row r="816">
      <c r="A816" s="17"/>
      <c r="B816" s="17"/>
      <c r="C816" s="17"/>
      <c r="D816" s="17"/>
      <c r="E816" s="17"/>
      <c r="F816" s="301"/>
      <c r="G816" s="17"/>
      <c r="H816" s="17"/>
      <c r="I816" s="17"/>
      <c r="J816" s="17"/>
      <c r="K816" s="17"/>
      <c r="L816" s="17"/>
      <c r="M816" s="17"/>
      <c r="N816" s="17"/>
      <c r="O816" s="17"/>
      <c r="P816" s="17"/>
      <c r="Q816" s="17"/>
      <c r="R816" s="17"/>
      <c r="S816" s="205"/>
      <c r="T816" s="205"/>
      <c r="U816" s="205"/>
      <c r="V816" s="205"/>
      <c r="W816" s="17"/>
      <c r="X816" s="17"/>
      <c r="Y816" s="17"/>
      <c r="Z816" s="17"/>
      <c r="AA816" s="17"/>
      <c r="AB816" s="17"/>
    </row>
    <row r="817">
      <c r="A817" s="17"/>
      <c r="B817" s="17"/>
      <c r="C817" s="17"/>
      <c r="D817" s="17"/>
      <c r="E817" s="17"/>
      <c r="F817" s="301"/>
      <c r="G817" s="17"/>
      <c r="H817" s="17"/>
      <c r="I817" s="17"/>
      <c r="J817" s="17"/>
      <c r="K817" s="17"/>
      <c r="L817" s="17"/>
      <c r="M817" s="17"/>
      <c r="N817" s="17"/>
      <c r="O817" s="17"/>
      <c r="P817" s="17"/>
      <c r="Q817" s="17"/>
      <c r="R817" s="17"/>
      <c r="S817" s="205"/>
      <c r="T817" s="205"/>
      <c r="U817" s="205"/>
      <c r="V817" s="205"/>
      <c r="W817" s="17"/>
      <c r="X817" s="17"/>
      <c r="Y817" s="17"/>
      <c r="Z817" s="17"/>
      <c r="AA817" s="17"/>
      <c r="AB817" s="17"/>
    </row>
    <row r="818">
      <c r="A818" s="17"/>
      <c r="B818" s="17"/>
      <c r="C818" s="17"/>
      <c r="D818" s="17"/>
      <c r="E818" s="17"/>
      <c r="F818" s="301"/>
      <c r="G818" s="17"/>
      <c r="H818" s="17"/>
      <c r="I818" s="17"/>
      <c r="J818" s="17"/>
      <c r="K818" s="17"/>
      <c r="L818" s="17"/>
      <c r="M818" s="17"/>
      <c r="N818" s="17"/>
      <c r="O818" s="17"/>
      <c r="P818" s="17"/>
      <c r="Q818" s="17"/>
      <c r="R818" s="17"/>
      <c r="S818" s="205"/>
      <c r="T818" s="205"/>
      <c r="U818" s="205"/>
      <c r="V818" s="205"/>
      <c r="W818" s="17"/>
      <c r="X818" s="17"/>
      <c r="Y818" s="17"/>
      <c r="Z818" s="17"/>
      <c r="AA818" s="17"/>
      <c r="AB818" s="17"/>
    </row>
    <row r="819">
      <c r="A819" s="17"/>
      <c r="B819" s="17"/>
      <c r="C819" s="17"/>
      <c r="D819" s="17"/>
      <c r="E819" s="17"/>
      <c r="F819" s="301"/>
      <c r="G819" s="17"/>
      <c r="H819" s="17"/>
      <c r="I819" s="17"/>
      <c r="J819" s="17"/>
      <c r="K819" s="17"/>
      <c r="L819" s="17"/>
      <c r="M819" s="17"/>
      <c r="N819" s="17"/>
      <c r="O819" s="17"/>
      <c r="P819" s="17"/>
      <c r="Q819" s="17"/>
      <c r="R819" s="17"/>
      <c r="S819" s="205"/>
      <c r="T819" s="205"/>
      <c r="U819" s="205"/>
      <c r="V819" s="205"/>
      <c r="W819" s="17"/>
      <c r="X819" s="17"/>
      <c r="Y819" s="17"/>
      <c r="Z819" s="17"/>
      <c r="AA819" s="17"/>
      <c r="AB819" s="17"/>
    </row>
    <row r="820">
      <c r="A820" s="17"/>
      <c r="B820" s="17"/>
      <c r="C820" s="17"/>
      <c r="D820" s="17"/>
      <c r="E820" s="17"/>
      <c r="F820" s="301"/>
      <c r="G820" s="17"/>
      <c r="H820" s="17"/>
      <c r="I820" s="17"/>
      <c r="J820" s="17"/>
      <c r="K820" s="17"/>
      <c r="L820" s="17"/>
      <c r="M820" s="17"/>
      <c r="N820" s="17"/>
      <c r="O820" s="17"/>
      <c r="P820" s="17"/>
      <c r="Q820" s="17"/>
      <c r="R820" s="17"/>
      <c r="S820" s="205"/>
      <c r="T820" s="205"/>
      <c r="U820" s="205"/>
      <c r="V820" s="205"/>
      <c r="W820" s="17"/>
      <c r="X820" s="17"/>
      <c r="Y820" s="17"/>
      <c r="Z820" s="17"/>
      <c r="AA820" s="17"/>
      <c r="AB820" s="17"/>
    </row>
    <row r="821">
      <c r="A821" s="17"/>
      <c r="B821" s="17"/>
      <c r="C821" s="17"/>
      <c r="D821" s="17"/>
      <c r="E821" s="17"/>
      <c r="F821" s="301"/>
      <c r="G821" s="17"/>
      <c r="H821" s="17"/>
      <c r="I821" s="17"/>
      <c r="J821" s="17"/>
      <c r="K821" s="17"/>
      <c r="L821" s="17"/>
      <c r="M821" s="17"/>
      <c r="N821" s="17"/>
      <c r="O821" s="17"/>
      <c r="P821" s="17"/>
      <c r="Q821" s="17"/>
      <c r="R821" s="17"/>
      <c r="S821" s="205"/>
      <c r="T821" s="205"/>
      <c r="U821" s="205"/>
      <c r="V821" s="205"/>
      <c r="W821" s="17"/>
      <c r="X821" s="17"/>
      <c r="Y821" s="17"/>
      <c r="Z821" s="17"/>
      <c r="AA821" s="17"/>
      <c r="AB821" s="17"/>
    </row>
    <row r="822">
      <c r="A822" s="17"/>
      <c r="B822" s="17"/>
      <c r="C822" s="17"/>
      <c r="D822" s="17"/>
      <c r="E822" s="17"/>
      <c r="F822" s="301"/>
      <c r="G822" s="17"/>
      <c r="H822" s="17"/>
      <c r="I822" s="17"/>
      <c r="J822" s="17"/>
      <c r="K822" s="17"/>
      <c r="L822" s="17"/>
      <c r="M822" s="17"/>
      <c r="N822" s="17"/>
      <c r="O822" s="17"/>
      <c r="P822" s="17"/>
      <c r="Q822" s="17"/>
      <c r="R822" s="17"/>
      <c r="S822" s="205"/>
      <c r="T822" s="205"/>
      <c r="U822" s="205"/>
      <c r="V822" s="205"/>
      <c r="W822" s="17"/>
      <c r="X822" s="17"/>
      <c r="Y822" s="17"/>
      <c r="Z822" s="17"/>
      <c r="AA822" s="17"/>
      <c r="AB822" s="17"/>
    </row>
    <row r="823">
      <c r="A823" s="17"/>
      <c r="B823" s="17"/>
      <c r="C823" s="17"/>
      <c r="D823" s="17"/>
      <c r="E823" s="17"/>
      <c r="F823" s="301"/>
      <c r="G823" s="17"/>
      <c r="H823" s="17"/>
      <c r="I823" s="17"/>
      <c r="J823" s="17"/>
      <c r="K823" s="17"/>
      <c r="L823" s="17"/>
      <c r="M823" s="17"/>
      <c r="N823" s="17"/>
      <c r="O823" s="17"/>
      <c r="P823" s="17"/>
      <c r="Q823" s="17"/>
      <c r="R823" s="17"/>
      <c r="S823" s="205"/>
      <c r="T823" s="205"/>
      <c r="U823" s="205"/>
      <c r="V823" s="205"/>
      <c r="W823" s="17"/>
      <c r="X823" s="17"/>
      <c r="Y823" s="17"/>
      <c r="Z823" s="17"/>
      <c r="AA823" s="17"/>
      <c r="AB823" s="17"/>
    </row>
    <row r="824">
      <c r="A824" s="17"/>
      <c r="B824" s="17"/>
      <c r="C824" s="17"/>
      <c r="D824" s="17"/>
      <c r="E824" s="17"/>
      <c r="F824" s="301"/>
      <c r="G824" s="17"/>
      <c r="H824" s="17"/>
      <c r="I824" s="17"/>
      <c r="J824" s="17"/>
      <c r="K824" s="17"/>
      <c r="L824" s="17"/>
      <c r="M824" s="17"/>
      <c r="N824" s="17"/>
      <c r="O824" s="17"/>
      <c r="P824" s="17"/>
      <c r="Q824" s="17"/>
      <c r="R824" s="17"/>
      <c r="S824" s="205"/>
      <c r="T824" s="205"/>
      <c r="U824" s="205"/>
      <c r="V824" s="205"/>
      <c r="W824" s="17"/>
      <c r="X824" s="17"/>
      <c r="Y824" s="17"/>
      <c r="Z824" s="17"/>
      <c r="AA824" s="17"/>
      <c r="AB824" s="17"/>
    </row>
    <row r="825">
      <c r="A825" s="17"/>
      <c r="B825" s="17"/>
      <c r="C825" s="17"/>
      <c r="D825" s="17"/>
      <c r="E825" s="17"/>
      <c r="F825" s="301"/>
      <c r="G825" s="17"/>
      <c r="H825" s="17"/>
      <c r="I825" s="17"/>
      <c r="J825" s="17"/>
      <c r="K825" s="17"/>
      <c r="L825" s="17"/>
      <c r="M825" s="17"/>
      <c r="N825" s="17"/>
      <c r="O825" s="17"/>
      <c r="P825" s="17"/>
      <c r="Q825" s="17"/>
      <c r="R825" s="17"/>
      <c r="S825" s="205"/>
      <c r="T825" s="205"/>
      <c r="U825" s="205"/>
      <c r="V825" s="205"/>
      <c r="W825" s="17"/>
      <c r="X825" s="17"/>
      <c r="Y825" s="17"/>
      <c r="Z825" s="17"/>
      <c r="AA825" s="17"/>
      <c r="AB825" s="17"/>
    </row>
    <row r="826">
      <c r="A826" s="17"/>
      <c r="B826" s="17"/>
      <c r="C826" s="17"/>
      <c r="D826" s="17"/>
      <c r="E826" s="17"/>
      <c r="F826" s="301"/>
      <c r="G826" s="17"/>
      <c r="H826" s="17"/>
      <c r="I826" s="17"/>
      <c r="J826" s="17"/>
      <c r="K826" s="17"/>
      <c r="L826" s="17"/>
      <c r="M826" s="17"/>
      <c r="N826" s="17"/>
      <c r="O826" s="17"/>
      <c r="P826" s="17"/>
      <c r="Q826" s="17"/>
      <c r="R826" s="17"/>
      <c r="S826" s="205"/>
      <c r="T826" s="205"/>
      <c r="U826" s="205"/>
      <c r="V826" s="205"/>
      <c r="W826" s="17"/>
      <c r="X826" s="17"/>
      <c r="Y826" s="17"/>
      <c r="Z826" s="17"/>
      <c r="AA826" s="17"/>
      <c r="AB826" s="17"/>
    </row>
    <row r="827">
      <c r="A827" s="17"/>
      <c r="B827" s="17"/>
      <c r="C827" s="17"/>
      <c r="D827" s="17"/>
      <c r="E827" s="17"/>
      <c r="F827" s="301"/>
      <c r="G827" s="17"/>
      <c r="H827" s="17"/>
      <c r="I827" s="17"/>
      <c r="J827" s="17"/>
      <c r="K827" s="17"/>
      <c r="L827" s="17"/>
      <c r="M827" s="17"/>
      <c r="N827" s="17"/>
      <c r="O827" s="17"/>
      <c r="P827" s="17"/>
      <c r="Q827" s="17"/>
      <c r="R827" s="17"/>
      <c r="S827" s="205"/>
      <c r="T827" s="205"/>
      <c r="U827" s="205"/>
      <c r="V827" s="205"/>
      <c r="W827" s="17"/>
      <c r="X827" s="17"/>
      <c r="Y827" s="17"/>
      <c r="Z827" s="17"/>
      <c r="AA827" s="17"/>
      <c r="AB827" s="17"/>
    </row>
    <row r="828">
      <c r="A828" s="17"/>
      <c r="B828" s="17"/>
      <c r="C828" s="17"/>
      <c r="D828" s="17"/>
      <c r="E828" s="17"/>
      <c r="F828" s="301"/>
      <c r="G828" s="17"/>
      <c r="H828" s="17"/>
      <c r="I828" s="17"/>
      <c r="J828" s="17"/>
      <c r="K828" s="17"/>
      <c r="L828" s="17"/>
      <c r="M828" s="17"/>
      <c r="N828" s="17"/>
      <c r="O828" s="17"/>
      <c r="P828" s="17"/>
      <c r="Q828" s="17"/>
      <c r="R828" s="17"/>
      <c r="S828" s="205"/>
      <c r="T828" s="205"/>
      <c r="U828" s="205"/>
      <c r="V828" s="205"/>
      <c r="W828" s="17"/>
      <c r="X828" s="17"/>
      <c r="Y828" s="17"/>
      <c r="Z828" s="17"/>
      <c r="AA828" s="17"/>
      <c r="AB828" s="17"/>
    </row>
    <row r="829">
      <c r="A829" s="17"/>
      <c r="B829" s="17"/>
      <c r="C829" s="17"/>
      <c r="D829" s="17"/>
      <c r="E829" s="17"/>
      <c r="F829" s="301"/>
      <c r="G829" s="17"/>
      <c r="H829" s="17"/>
      <c r="I829" s="17"/>
      <c r="J829" s="17"/>
      <c r="K829" s="17"/>
      <c r="L829" s="17"/>
      <c r="M829" s="17"/>
      <c r="N829" s="17"/>
      <c r="O829" s="17"/>
      <c r="P829" s="17"/>
      <c r="Q829" s="17"/>
      <c r="R829" s="17"/>
      <c r="S829" s="205"/>
      <c r="T829" s="205"/>
      <c r="U829" s="205"/>
      <c r="V829" s="205"/>
      <c r="W829" s="17"/>
      <c r="X829" s="17"/>
      <c r="Y829" s="17"/>
      <c r="Z829" s="17"/>
      <c r="AA829" s="17"/>
      <c r="AB829" s="17"/>
    </row>
    <row r="830">
      <c r="A830" s="17"/>
      <c r="B830" s="17"/>
      <c r="C830" s="17"/>
      <c r="D830" s="17"/>
      <c r="E830" s="17"/>
      <c r="F830" s="301"/>
      <c r="G830" s="17"/>
      <c r="H830" s="17"/>
      <c r="I830" s="17"/>
      <c r="J830" s="17"/>
      <c r="K830" s="17"/>
      <c r="L830" s="17"/>
      <c r="M830" s="17"/>
      <c r="N830" s="17"/>
      <c r="O830" s="17"/>
      <c r="P830" s="17"/>
      <c r="Q830" s="17"/>
      <c r="R830" s="17"/>
      <c r="S830" s="205"/>
      <c r="T830" s="205"/>
      <c r="U830" s="205"/>
      <c r="V830" s="205"/>
      <c r="W830" s="17"/>
      <c r="X830" s="17"/>
      <c r="Y830" s="17"/>
      <c r="Z830" s="17"/>
      <c r="AA830" s="17"/>
      <c r="AB830" s="17"/>
    </row>
    <row r="831">
      <c r="A831" s="17"/>
      <c r="B831" s="17"/>
      <c r="C831" s="17"/>
      <c r="D831" s="17"/>
      <c r="E831" s="17"/>
      <c r="F831" s="301"/>
      <c r="G831" s="17"/>
      <c r="H831" s="17"/>
      <c r="I831" s="17"/>
      <c r="J831" s="17"/>
      <c r="K831" s="17"/>
      <c r="L831" s="17"/>
      <c r="M831" s="17"/>
      <c r="N831" s="17"/>
      <c r="O831" s="17"/>
      <c r="P831" s="17"/>
      <c r="Q831" s="17"/>
      <c r="R831" s="17"/>
      <c r="S831" s="205"/>
      <c r="T831" s="205"/>
      <c r="U831" s="205"/>
      <c r="V831" s="205"/>
      <c r="W831" s="17"/>
      <c r="X831" s="17"/>
      <c r="Y831" s="17"/>
      <c r="Z831" s="17"/>
      <c r="AA831" s="17"/>
      <c r="AB831" s="17"/>
    </row>
    <row r="832">
      <c r="A832" s="17"/>
      <c r="B832" s="17"/>
      <c r="C832" s="17"/>
      <c r="D832" s="17"/>
      <c r="E832" s="17"/>
      <c r="F832" s="301"/>
      <c r="G832" s="17"/>
      <c r="H832" s="17"/>
      <c r="I832" s="17"/>
      <c r="J832" s="17"/>
      <c r="K832" s="17"/>
      <c r="L832" s="17"/>
      <c r="M832" s="17"/>
      <c r="N832" s="17"/>
      <c r="O832" s="17"/>
      <c r="P832" s="17"/>
      <c r="Q832" s="17"/>
      <c r="R832" s="17"/>
      <c r="S832" s="205"/>
      <c r="T832" s="205"/>
      <c r="U832" s="205"/>
      <c r="V832" s="205"/>
      <c r="W832" s="17"/>
      <c r="X832" s="17"/>
      <c r="Y832" s="17"/>
      <c r="Z832" s="17"/>
      <c r="AA832" s="17"/>
      <c r="AB832" s="17"/>
    </row>
    <row r="833">
      <c r="A833" s="17"/>
      <c r="B833" s="17"/>
      <c r="C833" s="17"/>
      <c r="D833" s="17"/>
      <c r="E833" s="17"/>
      <c r="F833" s="301"/>
      <c r="G833" s="17"/>
      <c r="H833" s="17"/>
      <c r="I833" s="17"/>
      <c r="J833" s="17"/>
      <c r="K833" s="17"/>
      <c r="L833" s="17"/>
      <c r="M833" s="17"/>
      <c r="N833" s="17"/>
      <c r="O833" s="17"/>
      <c r="P833" s="17"/>
      <c r="Q833" s="17"/>
      <c r="R833" s="17"/>
      <c r="S833" s="205"/>
      <c r="T833" s="205"/>
      <c r="U833" s="205"/>
      <c r="V833" s="205"/>
      <c r="W833" s="17"/>
      <c r="X833" s="17"/>
      <c r="Y833" s="17"/>
      <c r="Z833" s="17"/>
      <c r="AA833" s="17"/>
      <c r="AB833" s="17"/>
    </row>
    <row r="834">
      <c r="A834" s="17"/>
      <c r="B834" s="17"/>
      <c r="C834" s="17"/>
      <c r="D834" s="17"/>
      <c r="E834" s="17"/>
      <c r="F834" s="301"/>
      <c r="G834" s="17"/>
      <c r="H834" s="17"/>
      <c r="I834" s="17"/>
      <c r="J834" s="17"/>
      <c r="K834" s="17"/>
      <c r="L834" s="17"/>
      <c r="M834" s="17"/>
      <c r="N834" s="17"/>
      <c r="O834" s="17"/>
      <c r="P834" s="17"/>
      <c r="Q834" s="17"/>
      <c r="R834" s="17"/>
      <c r="S834" s="205"/>
      <c r="T834" s="205"/>
      <c r="U834" s="205"/>
      <c r="V834" s="205"/>
      <c r="W834" s="17"/>
      <c r="X834" s="17"/>
      <c r="Y834" s="17"/>
      <c r="Z834" s="17"/>
      <c r="AA834" s="17"/>
      <c r="AB834" s="17"/>
    </row>
    <row r="835">
      <c r="A835" s="17"/>
      <c r="B835" s="17"/>
      <c r="C835" s="17"/>
      <c r="D835" s="17"/>
      <c r="E835" s="17"/>
      <c r="F835" s="301"/>
      <c r="G835" s="17"/>
      <c r="H835" s="17"/>
      <c r="I835" s="17"/>
      <c r="J835" s="17"/>
      <c r="K835" s="17"/>
      <c r="L835" s="17"/>
      <c r="M835" s="17"/>
      <c r="N835" s="17"/>
      <c r="O835" s="17"/>
      <c r="P835" s="17"/>
      <c r="Q835" s="17"/>
      <c r="R835" s="17"/>
      <c r="S835" s="205"/>
      <c r="T835" s="205"/>
      <c r="U835" s="205"/>
      <c r="V835" s="205"/>
      <c r="W835" s="17"/>
      <c r="X835" s="17"/>
      <c r="Y835" s="17"/>
      <c r="Z835" s="17"/>
      <c r="AA835" s="17"/>
      <c r="AB835" s="17"/>
    </row>
    <row r="836">
      <c r="A836" s="17"/>
      <c r="B836" s="17"/>
      <c r="C836" s="17"/>
      <c r="D836" s="17"/>
      <c r="E836" s="17"/>
      <c r="F836" s="301"/>
      <c r="G836" s="17"/>
      <c r="H836" s="17"/>
      <c r="I836" s="17"/>
      <c r="J836" s="17"/>
      <c r="K836" s="17"/>
      <c r="L836" s="17"/>
      <c r="M836" s="17"/>
      <c r="N836" s="17"/>
      <c r="O836" s="17"/>
      <c r="P836" s="17"/>
      <c r="Q836" s="17"/>
      <c r="R836" s="17"/>
      <c r="S836" s="205"/>
      <c r="T836" s="205"/>
      <c r="U836" s="205"/>
      <c r="V836" s="205"/>
      <c r="W836" s="17"/>
      <c r="X836" s="17"/>
      <c r="Y836" s="17"/>
      <c r="Z836" s="17"/>
      <c r="AA836" s="17"/>
      <c r="AB836" s="17"/>
    </row>
    <row r="837">
      <c r="A837" s="17"/>
      <c r="B837" s="17"/>
      <c r="C837" s="17"/>
      <c r="D837" s="17"/>
      <c r="E837" s="17"/>
      <c r="F837" s="301"/>
      <c r="G837" s="17"/>
      <c r="H837" s="17"/>
      <c r="I837" s="17"/>
      <c r="J837" s="17"/>
      <c r="K837" s="17"/>
      <c r="L837" s="17"/>
      <c r="M837" s="17"/>
      <c r="N837" s="17"/>
      <c r="O837" s="17"/>
      <c r="P837" s="17"/>
      <c r="Q837" s="17"/>
      <c r="R837" s="17"/>
      <c r="S837" s="205"/>
      <c r="T837" s="205"/>
      <c r="U837" s="205"/>
      <c r="V837" s="205"/>
      <c r="W837" s="17"/>
      <c r="X837" s="17"/>
      <c r="Y837" s="17"/>
      <c r="Z837" s="17"/>
      <c r="AA837" s="17"/>
      <c r="AB837" s="17"/>
    </row>
    <row r="838">
      <c r="A838" s="17"/>
      <c r="B838" s="17"/>
      <c r="C838" s="17"/>
      <c r="D838" s="17"/>
      <c r="E838" s="17"/>
      <c r="F838" s="301"/>
      <c r="G838" s="17"/>
      <c r="H838" s="17"/>
      <c r="I838" s="17"/>
      <c r="J838" s="17"/>
      <c r="K838" s="17"/>
      <c r="L838" s="17"/>
      <c r="M838" s="17"/>
      <c r="N838" s="17"/>
      <c r="O838" s="17"/>
      <c r="P838" s="17"/>
      <c r="Q838" s="17"/>
      <c r="R838" s="17"/>
      <c r="S838" s="205"/>
      <c r="T838" s="205"/>
      <c r="U838" s="205"/>
      <c r="V838" s="205"/>
      <c r="W838" s="17"/>
      <c r="X838" s="17"/>
      <c r="Y838" s="17"/>
      <c r="Z838" s="17"/>
      <c r="AA838" s="17"/>
      <c r="AB838" s="17"/>
    </row>
    <row r="839">
      <c r="A839" s="17"/>
      <c r="B839" s="17"/>
      <c r="C839" s="17"/>
      <c r="D839" s="17"/>
      <c r="E839" s="17"/>
      <c r="F839" s="301"/>
      <c r="G839" s="17"/>
      <c r="H839" s="17"/>
      <c r="I839" s="17"/>
      <c r="J839" s="17"/>
      <c r="K839" s="17"/>
      <c r="L839" s="17"/>
      <c r="M839" s="17"/>
      <c r="N839" s="17"/>
      <c r="O839" s="17"/>
      <c r="P839" s="17"/>
      <c r="Q839" s="17"/>
      <c r="R839" s="17"/>
      <c r="S839" s="205"/>
      <c r="T839" s="205"/>
      <c r="U839" s="205"/>
      <c r="V839" s="205"/>
      <c r="W839" s="17"/>
      <c r="X839" s="17"/>
      <c r="Y839" s="17"/>
      <c r="Z839" s="17"/>
      <c r="AA839" s="17"/>
      <c r="AB839" s="17"/>
    </row>
    <row r="840">
      <c r="A840" s="17"/>
      <c r="B840" s="17"/>
      <c r="C840" s="17"/>
      <c r="D840" s="17"/>
      <c r="E840" s="17"/>
      <c r="F840" s="301"/>
      <c r="G840" s="17"/>
      <c r="H840" s="17"/>
      <c r="I840" s="17"/>
      <c r="J840" s="17"/>
      <c r="K840" s="17"/>
      <c r="L840" s="17"/>
      <c r="M840" s="17"/>
      <c r="N840" s="17"/>
      <c r="O840" s="17"/>
      <c r="P840" s="17"/>
      <c r="Q840" s="17"/>
      <c r="R840" s="17"/>
      <c r="S840" s="205"/>
      <c r="T840" s="205"/>
      <c r="U840" s="205"/>
      <c r="V840" s="205"/>
      <c r="W840" s="17"/>
      <c r="X840" s="17"/>
      <c r="Y840" s="17"/>
      <c r="Z840" s="17"/>
      <c r="AA840" s="17"/>
      <c r="AB840" s="17"/>
    </row>
    <row r="841">
      <c r="A841" s="17"/>
      <c r="B841" s="17"/>
      <c r="C841" s="17"/>
      <c r="D841" s="17"/>
      <c r="E841" s="17"/>
      <c r="F841" s="301"/>
      <c r="G841" s="17"/>
      <c r="H841" s="17"/>
      <c r="I841" s="17"/>
      <c r="J841" s="17"/>
      <c r="K841" s="17"/>
      <c r="L841" s="17"/>
      <c r="M841" s="17"/>
      <c r="N841" s="17"/>
      <c r="O841" s="17"/>
      <c r="P841" s="17"/>
      <c r="Q841" s="17"/>
      <c r="R841" s="17"/>
      <c r="S841" s="205"/>
      <c r="T841" s="205"/>
      <c r="U841" s="205"/>
      <c r="V841" s="205"/>
      <c r="W841" s="17"/>
      <c r="X841" s="17"/>
      <c r="Y841" s="17"/>
      <c r="Z841" s="17"/>
      <c r="AA841" s="17"/>
      <c r="AB841" s="17"/>
    </row>
    <row r="842">
      <c r="A842" s="17"/>
      <c r="B842" s="17"/>
      <c r="C842" s="17"/>
      <c r="D842" s="17"/>
      <c r="E842" s="17"/>
      <c r="F842" s="301"/>
      <c r="G842" s="17"/>
      <c r="H842" s="17"/>
      <c r="I842" s="17"/>
      <c r="J842" s="17"/>
      <c r="K842" s="17"/>
      <c r="L842" s="17"/>
      <c r="M842" s="17"/>
      <c r="N842" s="17"/>
      <c r="O842" s="17"/>
      <c r="P842" s="17"/>
      <c r="Q842" s="17"/>
      <c r="R842" s="17"/>
      <c r="S842" s="205"/>
      <c r="T842" s="205"/>
      <c r="U842" s="205"/>
      <c r="V842" s="205"/>
      <c r="W842" s="17"/>
      <c r="X842" s="17"/>
      <c r="Y842" s="17"/>
      <c r="Z842" s="17"/>
      <c r="AA842" s="17"/>
      <c r="AB842" s="17"/>
    </row>
    <row r="843">
      <c r="A843" s="17"/>
      <c r="B843" s="17"/>
      <c r="C843" s="17"/>
      <c r="D843" s="17"/>
      <c r="E843" s="17"/>
      <c r="F843" s="301"/>
      <c r="G843" s="17"/>
      <c r="H843" s="17"/>
      <c r="I843" s="17"/>
      <c r="J843" s="17"/>
      <c r="K843" s="17"/>
      <c r="L843" s="17"/>
      <c r="M843" s="17"/>
      <c r="N843" s="17"/>
      <c r="O843" s="17"/>
      <c r="P843" s="17"/>
      <c r="Q843" s="17"/>
      <c r="R843" s="17"/>
      <c r="S843" s="205"/>
      <c r="T843" s="205"/>
      <c r="U843" s="205"/>
      <c r="V843" s="205"/>
      <c r="W843" s="17"/>
      <c r="X843" s="17"/>
      <c r="Y843" s="17"/>
      <c r="Z843" s="17"/>
      <c r="AA843" s="17"/>
      <c r="AB843" s="17"/>
    </row>
    <row r="844">
      <c r="A844" s="17"/>
      <c r="B844" s="17"/>
      <c r="C844" s="17"/>
      <c r="D844" s="17"/>
      <c r="E844" s="17"/>
      <c r="F844" s="301"/>
      <c r="G844" s="17"/>
      <c r="H844" s="17"/>
      <c r="I844" s="17"/>
      <c r="J844" s="17"/>
      <c r="K844" s="17"/>
      <c r="L844" s="17"/>
      <c r="M844" s="17"/>
      <c r="N844" s="17"/>
      <c r="O844" s="17"/>
      <c r="P844" s="17"/>
      <c r="Q844" s="17"/>
      <c r="R844" s="17"/>
      <c r="S844" s="205"/>
      <c r="T844" s="205"/>
      <c r="U844" s="205"/>
      <c r="V844" s="205"/>
      <c r="W844" s="17"/>
      <c r="X844" s="17"/>
      <c r="Y844" s="17"/>
      <c r="Z844" s="17"/>
      <c r="AA844" s="17"/>
      <c r="AB844" s="17"/>
    </row>
    <row r="845">
      <c r="A845" s="17"/>
      <c r="B845" s="17"/>
      <c r="C845" s="17"/>
      <c r="D845" s="17"/>
      <c r="E845" s="17"/>
      <c r="F845" s="301"/>
      <c r="G845" s="17"/>
      <c r="H845" s="17"/>
      <c r="I845" s="17"/>
      <c r="J845" s="17"/>
      <c r="K845" s="17"/>
      <c r="L845" s="17"/>
      <c r="M845" s="17"/>
      <c r="N845" s="17"/>
      <c r="O845" s="17"/>
      <c r="P845" s="17"/>
      <c r="Q845" s="17"/>
      <c r="R845" s="17"/>
      <c r="S845" s="205"/>
      <c r="T845" s="205"/>
      <c r="U845" s="205"/>
      <c r="V845" s="205"/>
      <c r="W845" s="17"/>
      <c r="X845" s="17"/>
      <c r="Y845" s="17"/>
      <c r="Z845" s="17"/>
      <c r="AA845" s="17"/>
      <c r="AB845" s="17"/>
    </row>
    <row r="846">
      <c r="A846" s="17"/>
      <c r="B846" s="17"/>
      <c r="C846" s="17"/>
      <c r="D846" s="17"/>
      <c r="E846" s="17"/>
      <c r="F846" s="301"/>
      <c r="G846" s="17"/>
      <c r="H846" s="17"/>
      <c r="I846" s="17"/>
      <c r="J846" s="17"/>
      <c r="K846" s="17"/>
      <c r="L846" s="17"/>
      <c r="M846" s="17"/>
      <c r="N846" s="17"/>
      <c r="O846" s="17"/>
      <c r="P846" s="17"/>
      <c r="Q846" s="17"/>
      <c r="R846" s="17"/>
      <c r="S846" s="205"/>
      <c r="T846" s="205"/>
      <c r="U846" s="205"/>
      <c r="V846" s="205"/>
      <c r="W846" s="17"/>
      <c r="X846" s="17"/>
      <c r="Y846" s="17"/>
      <c r="Z846" s="17"/>
      <c r="AA846" s="17"/>
      <c r="AB846" s="17"/>
    </row>
    <row r="847">
      <c r="A847" s="17"/>
      <c r="B847" s="17"/>
      <c r="C847" s="17"/>
      <c r="D847" s="17"/>
      <c r="E847" s="17"/>
      <c r="F847" s="301"/>
      <c r="G847" s="17"/>
      <c r="H847" s="17"/>
      <c r="I847" s="17"/>
      <c r="J847" s="17"/>
      <c r="K847" s="17"/>
      <c r="L847" s="17"/>
      <c r="M847" s="17"/>
      <c r="N847" s="17"/>
      <c r="O847" s="17"/>
      <c r="P847" s="17"/>
      <c r="Q847" s="17"/>
      <c r="R847" s="17"/>
      <c r="S847" s="205"/>
      <c r="T847" s="205"/>
      <c r="U847" s="205"/>
      <c r="V847" s="205"/>
      <c r="W847" s="17"/>
      <c r="X847" s="17"/>
      <c r="Y847" s="17"/>
      <c r="Z847" s="17"/>
      <c r="AA847" s="17"/>
      <c r="AB847" s="17"/>
    </row>
    <row r="848">
      <c r="A848" s="17"/>
      <c r="B848" s="17"/>
      <c r="C848" s="17"/>
      <c r="D848" s="17"/>
      <c r="E848" s="17"/>
      <c r="F848" s="301"/>
      <c r="G848" s="17"/>
      <c r="H848" s="17"/>
      <c r="I848" s="17"/>
      <c r="J848" s="17"/>
      <c r="K848" s="17"/>
      <c r="L848" s="17"/>
      <c r="M848" s="17"/>
      <c r="N848" s="17"/>
      <c r="O848" s="17"/>
      <c r="P848" s="17"/>
      <c r="Q848" s="17"/>
      <c r="R848" s="17"/>
      <c r="S848" s="205"/>
      <c r="T848" s="205"/>
      <c r="U848" s="205"/>
      <c r="V848" s="205"/>
      <c r="W848" s="17"/>
      <c r="X848" s="17"/>
      <c r="Y848" s="17"/>
      <c r="Z848" s="17"/>
      <c r="AA848" s="17"/>
      <c r="AB848" s="17"/>
    </row>
    <row r="849">
      <c r="A849" s="17"/>
      <c r="B849" s="17"/>
      <c r="C849" s="17"/>
      <c r="D849" s="17"/>
      <c r="E849" s="17"/>
      <c r="F849" s="301"/>
      <c r="G849" s="17"/>
      <c r="H849" s="17"/>
      <c r="I849" s="17"/>
      <c r="J849" s="17"/>
      <c r="K849" s="17"/>
      <c r="L849" s="17"/>
      <c r="M849" s="17"/>
      <c r="N849" s="17"/>
      <c r="O849" s="17"/>
      <c r="P849" s="17"/>
      <c r="Q849" s="17"/>
      <c r="R849" s="17"/>
      <c r="S849" s="205"/>
      <c r="T849" s="205"/>
      <c r="U849" s="205"/>
      <c r="V849" s="205"/>
      <c r="W849" s="17"/>
      <c r="X849" s="17"/>
      <c r="Y849" s="17"/>
      <c r="Z849" s="17"/>
      <c r="AA849" s="17"/>
      <c r="AB849" s="17"/>
    </row>
    <row r="850">
      <c r="A850" s="17"/>
      <c r="B850" s="17"/>
      <c r="C850" s="17"/>
      <c r="D850" s="17"/>
      <c r="E850" s="17"/>
      <c r="F850" s="301"/>
      <c r="G850" s="17"/>
      <c r="H850" s="17"/>
      <c r="I850" s="17"/>
      <c r="J850" s="17"/>
      <c r="K850" s="17"/>
      <c r="L850" s="17"/>
      <c r="M850" s="17"/>
      <c r="N850" s="17"/>
      <c r="O850" s="17"/>
      <c r="P850" s="17"/>
      <c r="Q850" s="17"/>
      <c r="R850" s="17"/>
      <c r="S850" s="205"/>
      <c r="T850" s="205"/>
      <c r="U850" s="205"/>
      <c r="V850" s="205"/>
      <c r="W850" s="17"/>
      <c r="X850" s="17"/>
      <c r="Y850" s="17"/>
      <c r="Z850" s="17"/>
      <c r="AA850" s="17"/>
      <c r="AB850" s="17"/>
    </row>
    <row r="851">
      <c r="A851" s="17"/>
      <c r="B851" s="17"/>
      <c r="C851" s="17"/>
      <c r="D851" s="17"/>
      <c r="E851" s="17"/>
      <c r="F851" s="301"/>
      <c r="G851" s="17"/>
      <c r="H851" s="17"/>
      <c r="I851" s="17"/>
      <c r="J851" s="17"/>
      <c r="K851" s="17"/>
      <c r="L851" s="17"/>
      <c r="M851" s="17"/>
      <c r="N851" s="17"/>
      <c r="O851" s="17"/>
      <c r="P851" s="17"/>
      <c r="Q851" s="17"/>
      <c r="R851" s="17"/>
      <c r="S851" s="205"/>
      <c r="T851" s="205"/>
      <c r="U851" s="205"/>
      <c r="V851" s="205"/>
      <c r="W851" s="17"/>
      <c r="X851" s="17"/>
      <c r="Y851" s="17"/>
      <c r="Z851" s="17"/>
      <c r="AA851" s="17"/>
      <c r="AB851" s="17"/>
    </row>
    <row r="852">
      <c r="A852" s="17"/>
      <c r="B852" s="17"/>
      <c r="C852" s="17"/>
      <c r="D852" s="17"/>
      <c r="E852" s="17"/>
      <c r="F852" s="301"/>
      <c r="G852" s="17"/>
      <c r="H852" s="17"/>
      <c r="I852" s="17"/>
      <c r="J852" s="17"/>
      <c r="K852" s="17"/>
      <c r="L852" s="17"/>
      <c r="M852" s="17"/>
      <c r="N852" s="17"/>
      <c r="O852" s="17"/>
      <c r="P852" s="17"/>
      <c r="Q852" s="17"/>
      <c r="R852" s="17"/>
      <c r="S852" s="205"/>
      <c r="T852" s="205"/>
      <c r="U852" s="205"/>
      <c r="V852" s="205"/>
      <c r="W852" s="17"/>
      <c r="X852" s="17"/>
      <c r="Y852" s="17"/>
      <c r="Z852" s="17"/>
      <c r="AA852" s="17"/>
      <c r="AB852" s="17"/>
    </row>
    <row r="853">
      <c r="A853" s="17"/>
      <c r="B853" s="17"/>
      <c r="C853" s="17"/>
      <c r="D853" s="17"/>
      <c r="E853" s="17"/>
      <c r="F853" s="301"/>
      <c r="G853" s="17"/>
      <c r="H853" s="17"/>
      <c r="I853" s="17"/>
      <c r="J853" s="17"/>
      <c r="K853" s="17"/>
      <c r="L853" s="17"/>
      <c r="M853" s="17"/>
      <c r="N853" s="17"/>
      <c r="O853" s="17"/>
      <c r="P853" s="17"/>
      <c r="Q853" s="17"/>
      <c r="R853" s="17"/>
      <c r="S853" s="205"/>
      <c r="T853" s="205"/>
      <c r="U853" s="205"/>
      <c r="V853" s="205"/>
      <c r="W853" s="17"/>
      <c r="X853" s="17"/>
      <c r="Y853" s="17"/>
      <c r="Z853" s="17"/>
      <c r="AA853" s="17"/>
      <c r="AB853" s="17"/>
    </row>
    <row r="854">
      <c r="A854" s="17"/>
      <c r="B854" s="17"/>
      <c r="C854" s="17"/>
      <c r="D854" s="17"/>
      <c r="E854" s="17"/>
      <c r="F854" s="301"/>
      <c r="G854" s="17"/>
      <c r="H854" s="17"/>
      <c r="I854" s="17"/>
      <c r="J854" s="17"/>
      <c r="K854" s="17"/>
      <c r="L854" s="17"/>
      <c r="M854" s="17"/>
      <c r="N854" s="17"/>
      <c r="O854" s="17"/>
      <c r="P854" s="17"/>
      <c r="Q854" s="17"/>
      <c r="R854" s="17"/>
      <c r="S854" s="205"/>
      <c r="T854" s="205"/>
      <c r="U854" s="205"/>
      <c r="V854" s="205"/>
      <c r="W854" s="17"/>
      <c r="X854" s="17"/>
      <c r="Y854" s="17"/>
      <c r="Z854" s="17"/>
      <c r="AA854" s="17"/>
      <c r="AB854" s="17"/>
    </row>
    <row r="855">
      <c r="A855" s="17"/>
      <c r="B855" s="17"/>
      <c r="C855" s="17"/>
      <c r="D855" s="17"/>
      <c r="E855" s="17"/>
      <c r="F855" s="301"/>
      <c r="G855" s="17"/>
      <c r="H855" s="17"/>
      <c r="I855" s="17"/>
      <c r="J855" s="17"/>
      <c r="K855" s="17"/>
      <c r="L855" s="17"/>
      <c r="M855" s="17"/>
      <c r="N855" s="17"/>
      <c r="O855" s="17"/>
      <c r="P855" s="17"/>
      <c r="Q855" s="17"/>
      <c r="R855" s="17"/>
      <c r="S855" s="205"/>
      <c r="T855" s="205"/>
      <c r="U855" s="205"/>
      <c r="V855" s="205"/>
      <c r="W855" s="17"/>
      <c r="X855" s="17"/>
      <c r="Y855" s="17"/>
      <c r="Z855" s="17"/>
      <c r="AA855" s="17"/>
      <c r="AB855" s="17"/>
    </row>
    <row r="856">
      <c r="A856" s="17"/>
      <c r="B856" s="17"/>
      <c r="C856" s="17"/>
      <c r="D856" s="17"/>
      <c r="E856" s="17"/>
      <c r="F856" s="301"/>
      <c r="G856" s="17"/>
      <c r="H856" s="17"/>
      <c r="I856" s="17"/>
      <c r="J856" s="17"/>
      <c r="K856" s="17"/>
      <c r="L856" s="17"/>
      <c r="M856" s="17"/>
      <c r="N856" s="17"/>
      <c r="O856" s="17"/>
      <c r="P856" s="17"/>
      <c r="Q856" s="17"/>
      <c r="R856" s="17"/>
      <c r="S856" s="205"/>
      <c r="T856" s="205"/>
      <c r="U856" s="205"/>
      <c r="V856" s="205"/>
      <c r="W856" s="17"/>
      <c r="X856" s="17"/>
      <c r="Y856" s="17"/>
      <c r="Z856" s="17"/>
      <c r="AA856" s="17"/>
      <c r="AB856" s="17"/>
    </row>
    <row r="857">
      <c r="A857" s="17"/>
      <c r="B857" s="17"/>
      <c r="C857" s="17"/>
      <c r="D857" s="17"/>
      <c r="E857" s="17"/>
      <c r="F857" s="301"/>
      <c r="G857" s="17"/>
      <c r="H857" s="17"/>
      <c r="I857" s="17"/>
      <c r="J857" s="17"/>
      <c r="K857" s="17"/>
      <c r="L857" s="17"/>
      <c r="M857" s="17"/>
      <c r="N857" s="17"/>
      <c r="O857" s="17"/>
      <c r="P857" s="17"/>
      <c r="Q857" s="17"/>
      <c r="R857" s="17"/>
      <c r="S857" s="205"/>
      <c r="T857" s="205"/>
      <c r="U857" s="205"/>
      <c r="V857" s="205"/>
      <c r="W857" s="17"/>
      <c r="X857" s="17"/>
      <c r="Y857" s="17"/>
      <c r="Z857" s="17"/>
      <c r="AA857" s="17"/>
      <c r="AB857" s="17"/>
    </row>
    <row r="858">
      <c r="A858" s="17"/>
      <c r="B858" s="17"/>
      <c r="C858" s="17"/>
      <c r="D858" s="17"/>
      <c r="E858" s="17"/>
      <c r="F858" s="301"/>
      <c r="G858" s="17"/>
      <c r="H858" s="17"/>
      <c r="I858" s="17"/>
      <c r="J858" s="17"/>
      <c r="K858" s="17"/>
      <c r="L858" s="17"/>
      <c r="M858" s="17"/>
      <c r="N858" s="17"/>
      <c r="O858" s="17"/>
      <c r="P858" s="17"/>
      <c r="Q858" s="17"/>
      <c r="R858" s="17"/>
      <c r="S858" s="205"/>
      <c r="T858" s="205"/>
      <c r="U858" s="205"/>
      <c r="V858" s="205"/>
      <c r="W858" s="17"/>
      <c r="X858" s="17"/>
      <c r="Y858" s="17"/>
      <c r="Z858" s="17"/>
      <c r="AA858" s="17"/>
      <c r="AB858" s="17"/>
    </row>
    <row r="859">
      <c r="A859" s="17"/>
      <c r="B859" s="17"/>
      <c r="C859" s="17"/>
      <c r="D859" s="17"/>
      <c r="E859" s="17"/>
      <c r="F859" s="301"/>
      <c r="G859" s="17"/>
      <c r="H859" s="17"/>
      <c r="I859" s="17"/>
      <c r="J859" s="17"/>
      <c r="K859" s="17"/>
      <c r="L859" s="17"/>
      <c r="M859" s="17"/>
      <c r="N859" s="17"/>
      <c r="O859" s="17"/>
      <c r="P859" s="17"/>
      <c r="Q859" s="17"/>
      <c r="R859" s="17"/>
      <c r="S859" s="205"/>
      <c r="T859" s="205"/>
      <c r="U859" s="205"/>
      <c r="V859" s="205"/>
      <c r="W859" s="17"/>
      <c r="X859" s="17"/>
      <c r="Y859" s="17"/>
      <c r="Z859" s="17"/>
      <c r="AA859" s="17"/>
      <c r="AB859" s="17"/>
    </row>
    <row r="860">
      <c r="A860" s="17"/>
      <c r="B860" s="17"/>
      <c r="C860" s="17"/>
      <c r="D860" s="17"/>
      <c r="E860" s="17"/>
      <c r="F860" s="301"/>
      <c r="G860" s="17"/>
      <c r="H860" s="17"/>
      <c r="I860" s="17"/>
      <c r="J860" s="17"/>
      <c r="K860" s="17"/>
      <c r="L860" s="17"/>
      <c r="M860" s="17"/>
      <c r="N860" s="17"/>
      <c r="O860" s="17"/>
      <c r="P860" s="17"/>
      <c r="Q860" s="17"/>
      <c r="R860" s="17"/>
      <c r="S860" s="205"/>
      <c r="T860" s="205"/>
      <c r="U860" s="205"/>
      <c r="V860" s="205"/>
      <c r="W860" s="17"/>
      <c r="X860" s="17"/>
      <c r="Y860" s="17"/>
      <c r="Z860" s="17"/>
      <c r="AA860" s="17"/>
      <c r="AB860" s="17"/>
    </row>
    <row r="861">
      <c r="A861" s="17"/>
      <c r="B861" s="17"/>
      <c r="C861" s="17"/>
      <c r="D861" s="17"/>
      <c r="E861" s="17"/>
      <c r="F861" s="301"/>
      <c r="G861" s="17"/>
      <c r="H861" s="17"/>
      <c r="I861" s="17"/>
      <c r="J861" s="17"/>
      <c r="K861" s="17"/>
      <c r="L861" s="17"/>
      <c r="M861" s="17"/>
      <c r="N861" s="17"/>
      <c r="O861" s="17"/>
      <c r="P861" s="17"/>
      <c r="Q861" s="17"/>
      <c r="R861" s="17"/>
      <c r="S861" s="205"/>
      <c r="T861" s="205"/>
      <c r="U861" s="205"/>
      <c r="V861" s="205"/>
      <c r="W861" s="17"/>
      <c r="X861" s="17"/>
      <c r="Y861" s="17"/>
      <c r="Z861" s="17"/>
      <c r="AA861" s="17"/>
      <c r="AB861" s="17"/>
    </row>
    <row r="862">
      <c r="A862" s="17"/>
      <c r="B862" s="17"/>
      <c r="C862" s="17"/>
      <c r="D862" s="17"/>
      <c r="E862" s="17"/>
      <c r="F862" s="301"/>
      <c r="G862" s="17"/>
      <c r="H862" s="17"/>
      <c r="I862" s="17"/>
      <c r="J862" s="17"/>
      <c r="K862" s="17"/>
      <c r="L862" s="17"/>
      <c r="M862" s="17"/>
      <c r="N862" s="17"/>
      <c r="O862" s="17"/>
      <c r="P862" s="17"/>
      <c r="Q862" s="17"/>
      <c r="R862" s="17"/>
      <c r="S862" s="205"/>
      <c r="T862" s="205"/>
      <c r="U862" s="205"/>
      <c r="V862" s="205"/>
      <c r="W862" s="17"/>
      <c r="X862" s="17"/>
      <c r="Y862" s="17"/>
      <c r="Z862" s="17"/>
      <c r="AA862" s="17"/>
      <c r="AB862" s="17"/>
    </row>
    <row r="863">
      <c r="A863" s="17"/>
      <c r="B863" s="17"/>
      <c r="C863" s="17"/>
      <c r="D863" s="17"/>
      <c r="E863" s="17"/>
      <c r="F863" s="301"/>
      <c r="G863" s="17"/>
      <c r="H863" s="17"/>
      <c r="I863" s="17"/>
      <c r="J863" s="17"/>
      <c r="K863" s="17"/>
      <c r="L863" s="17"/>
      <c r="M863" s="17"/>
      <c r="N863" s="17"/>
      <c r="O863" s="17"/>
      <c r="P863" s="17"/>
      <c r="Q863" s="17"/>
      <c r="R863" s="17"/>
      <c r="S863" s="205"/>
      <c r="T863" s="205"/>
      <c r="U863" s="205"/>
      <c r="V863" s="205"/>
      <c r="W863" s="17"/>
      <c r="X863" s="17"/>
      <c r="Y863" s="17"/>
      <c r="Z863" s="17"/>
      <c r="AA863" s="17"/>
      <c r="AB863" s="17"/>
    </row>
    <row r="864">
      <c r="A864" s="17"/>
      <c r="B864" s="17"/>
      <c r="C864" s="17"/>
      <c r="D864" s="17"/>
      <c r="E864" s="17"/>
      <c r="F864" s="301"/>
      <c r="G864" s="17"/>
      <c r="H864" s="17"/>
      <c r="I864" s="17"/>
      <c r="J864" s="17"/>
      <c r="K864" s="17"/>
      <c r="L864" s="17"/>
      <c r="M864" s="17"/>
      <c r="N864" s="17"/>
      <c r="O864" s="17"/>
      <c r="P864" s="17"/>
      <c r="Q864" s="17"/>
      <c r="R864" s="17"/>
      <c r="S864" s="205"/>
      <c r="T864" s="205"/>
      <c r="U864" s="205"/>
      <c r="V864" s="205"/>
      <c r="W864" s="17"/>
      <c r="X864" s="17"/>
      <c r="Y864" s="17"/>
      <c r="Z864" s="17"/>
      <c r="AA864" s="17"/>
      <c r="AB864" s="17"/>
    </row>
    <row r="865">
      <c r="A865" s="17"/>
      <c r="B865" s="17"/>
      <c r="C865" s="17"/>
      <c r="D865" s="17"/>
      <c r="E865" s="17"/>
      <c r="F865" s="301"/>
      <c r="G865" s="17"/>
      <c r="H865" s="17"/>
      <c r="I865" s="17"/>
      <c r="J865" s="17"/>
      <c r="K865" s="17"/>
      <c r="L865" s="17"/>
      <c r="M865" s="17"/>
      <c r="N865" s="17"/>
      <c r="O865" s="17"/>
      <c r="P865" s="17"/>
      <c r="Q865" s="17"/>
      <c r="R865" s="17"/>
      <c r="S865" s="205"/>
      <c r="T865" s="205"/>
      <c r="U865" s="205"/>
      <c r="V865" s="205"/>
      <c r="W865" s="17"/>
      <c r="X865" s="17"/>
      <c r="Y865" s="17"/>
      <c r="Z865" s="17"/>
      <c r="AA865" s="17"/>
      <c r="AB865" s="17"/>
    </row>
    <row r="866">
      <c r="A866" s="17"/>
      <c r="B866" s="17"/>
      <c r="C866" s="17"/>
      <c r="D866" s="17"/>
      <c r="E866" s="17"/>
      <c r="F866" s="301"/>
      <c r="G866" s="17"/>
      <c r="H866" s="17"/>
      <c r="I866" s="17"/>
      <c r="J866" s="17"/>
      <c r="K866" s="17"/>
      <c r="L866" s="17"/>
      <c r="M866" s="17"/>
      <c r="N866" s="17"/>
      <c r="O866" s="17"/>
      <c r="P866" s="17"/>
      <c r="Q866" s="17"/>
      <c r="R866" s="17"/>
      <c r="S866" s="205"/>
      <c r="T866" s="205"/>
      <c r="U866" s="205"/>
      <c r="V866" s="205"/>
      <c r="W866" s="17"/>
      <c r="X866" s="17"/>
      <c r="Y866" s="17"/>
      <c r="Z866" s="17"/>
      <c r="AA866" s="17"/>
      <c r="AB866" s="17"/>
    </row>
    <row r="867">
      <c r="A867" s="17"/>
      <c r="B867" s="17"/>
      <c r="C867" s="17"/>
      <c r="D867" s="17"/>
      <c r="E867" s="17"/>
      <c r="F867" s="301"/>
      <c r="G867" s="17"/>
      <c r="H867" s="17"/>
      <c r="I867" s="17"/>
      <c r="J867" s="17"/>
      <c r="K867" s="17"/>
      <c r="L867" s="17"/>
      <c r="M867" s="17"/>
      <c r="N867" s="17"/>
      <c r="O867" s="17"/>
      <c r="P867" s="17"/>
      <c r="Q867" s="17"/>
      <c r="R867" s="17"/>
      <c r="S867" s="205"/>
      <c r="T867" s="205"/>
      <c r="U867" s="205"/>
      <c r="V867" s="205"/>
      <c r="W867" s="17"/>
      <c r="X867" s="17"/>
      <c r="Y867" s="17"/>
      <c r="Z867" s="17"/>
      <c r="AA867" s="17"/>
      <c r="AB867" s="17"/>
    </row>
    <row r="868">
      <c r="A868" s="17"/>
      <c r="B868" s="17"/>
      <c r="C868" s="17"/>
      <c r="D868" s="17"/>
      <c r="E868" s="17"/>
      <c r="F868" s="301"/>
      <c r="G868" s="17"/>
      <c r="H868" s="17"/>
      <c r="I868" s="17"/>
      <c r="J868" s="17"/>
      <c r="K868" s="17"/>
      <c r="L868" s="17"/>
      <c r="M868" s="17"/>
      <c r="N868" s="17"/>
      <c r="O868" s="17"/>
      <c r="P868" s="17"/>
      <c r="Q868" s="17"/>
      <c r="R868" s="17"/>
      <c r="S868" s="205"/>
      <c r="T868" s="205"/>
      <c r="U868" s="205"/>
      <c r="V868" s="205"/>
      <c r="W868" s="17"/>
      <c r="X868" s="17"/>
      <c r="Y868" s="17"/>
      <c r="Z868" s="17"/>
      <c r="AA868" s="17"/>
      <c r="AB868" s="17"/>
    </row>
    <row r="869">
      <c r="A869" s="17"/>
      <c r="B869" s="17"/>
      <c r="C869" s="17"/>
      <c r="D869" s="17"/>
      <c r="E869" s="17"/>
      <c r="F869" s="301"/>
      <c r="G869" s="17"/>
      <c r="H869" s="17"/>
      <c r="I869" s="17"/>
      <c r="J869" s="17"/>
      <c r="K869" s="17"/>
      <c r="L869" s="17"/>
      <c r="M869" s="17"/>
      <c r="N869" s="17"/>
      <c r="O869" s="17"/>
      <c r="P869" s="17"/>
      <c r="Q869" s="17"/>
      <c r="R869" s="17"/>
      <c r="S869" s="205"/>
      <c r="T869" s="205"/>
      <c r="U869" s="205"/>
      <c r="V869" s="205"/>
      <c r="W869" s="17"/>
      <c r="X869" s="17"/>
      <c r="Y869" s="17"/>
      <c r="Z869" s="17"/>
      <c r="AA869" s="17"/>
      <c r="AB869" s="17"/>
    </row>
    <row r="870">
      <c r="A870" s="17"/>
      <c r="B870" s="17"/>
      <c r="C870" s="17"/>
      <c r="D870" s="17"/>
      <c r="E870" s="17"/>
      <c r="F870" s="301"/>
      <c r="G870" s="17"/>
      <c r="H870" s="17"/>
      <c r="I870" s="17"/>
      <c r="J870" s="17"/>
      <c r="K870" s="17"/>
      <c r="L870" s="17"/>
      <c r="M870" s="17"/>
      <c r="N870" s="17"/>
      <c r="O870" s="17"/>
      <c r="P870" s="17"/>
      <c r="Q870" s="17"/>
      <c r="R870" s="17"/>
      <c r="S870" s="205"/>
      <c r="T870" s="205"/>
      <c r="U870" s="205"/>
      <c r="V870" s="205"/>
      <c r="W870" s="17"/>
      <c r="X870" s="17"/>
      <c r="Y870" s="17"/>
      <c r="Z870" s="17"/>
      <c r="AA870" s="17"/>
      <c r="AB870" s="17"/>
    </row>
    <row r="871">
      <c r="A871" s="17"/>
      <c r="B871" s="17"/>
      <c r="C871" s="17"/>
      <c r="D871" s="17"/>
      <c r="E871" s="17"/>
      <c r="F871" s="301"/>
      <c r="G871" s="17"/>
      <c r="H871" s="17"/>
      <c r="I871" s="17"/>
      <c r="J871" s="17"/>
      <c r="K871" s="17"/>
      <c r="L871" s="17"/>
      <c r="M871" s="17"/>
      <c r="N871" s="17"/>
      <c r="O871" s="17"/>
      <c r="P871" s="17"/>
      <c r="Q871" s="17"/>
      <c r="R871" s="17"/>
      <c r="S871" s="205"/>
      <c r="T871" s="205"/>
      <c r="U871" s="205"/>
      <c r="V871" s="205"/>
      <c r="W871" s="17"/>
      <c r="X871" s="17"/>
      <c r="Y871" s="17"/>
      <c r="Z871" s="17"/>
      <c r="AA871" s="17"/>
      <c r="AB871" s="17"/>
    </row>
    <row r="872">
      <c r="A872" s="17"/>
      <c r="B872" s="17"/>
      <c r="C872" s="17"/>
      <c r="D872" s="17"/>
      <c r="E872" s="17"/>
      <c r="F872" s="301"/>
      <c r="G872" s="17"/>
      <c r="H872" s="17"/>
      <c r="I872" s="17"/>
      <c r="J872" s="17"/>
      <c r="K872" s="17"/>
      <c r="L872" s="17"/>
      <c r="M872" s="17"/>
      <c r="N872" s="17"/>
      <c r="O872" s="17"/>
      <c r="P872" s="17"/>
      <c r="Q872" s="17"/>
      <c r="R872" s="17"/>
      <c r="S872" s="205"/>
      <c r="T872" s="205"/>
      <c r="U872" s="205"/>
      <c r="V872" s="205"/>
      <c r="W872" s="17"/>
      <c r="X872" s="17"/>
      <c r="Y872" s="17"/>
      <c r="Z872" s="17"/>
      <c r="AA872" s="17"/>
      <c r="AB872" s="17"/>
    </row>
    <row r="873">
      <c r="A873" s="17"/>
      <c r="B873" s="17"/>
      <c r="C873" s="17"/>
      <c r="D873" s="17"/>
      <c r="E873" s="17"/>
      <c r="F873" s="301"/>
      <c r="G873" s="17"/>
      <c r="H873" s="17"/>
      <c r="I873" s="17"/>
      <c r="J873" s="17"/>
      <c r="K873" s="17"/>
      <c r="L873" s="17"/>
      <c r="M873" s="17"/>
      <c r="N873" s="17"/>
      <c r="O873" s="17"/>
      <c r="P873" s="17"/>
      <c r="Q873" s="17"/>
      <c r="R873" s="17"/>
      <c r="S873" s="205"/>
      <c r="T873" s="205"/>
      <c r="U873" s="205"/>
      <c r="V873" s="205"/>
      <c r="W873" s="17"/>
      <c r="X873" s="17"/>
      <c r="Y873" s="17"/>
      <c r="Z873" s="17"/>
      <c r="AA873" s="17"/>
      <c r="AB873" s="17"/>
    </row>
    <row r="874">
      <c r="A874" s="17"/>
      <c r="B874" s="17"/>
      <c r="C874" s="17"/>
      <c r="D874" s="17"/>
      <c r="E874" s="17"/>
      <c r="F874" s="301"/>
      <c r="G874" s="17"/>
      <c r="H874" s="17"/>
      <c r="I874" s="17"/>
      <c r="J874" s="17"/>
      <c r="K874" s="17"/>
      <c r="L874" s="17"/>
      <c r="M874" s="17"/>
      <c r="N874" s="17"/>
      <c r="O874" s="17"/>
      <c r="P874" s="17"/>
      <c r="Q874" s="17"/>
      <c r="R874" s="17"/>
      <c r="S874" s="205"/>
      <c r="T874" s="205"/>
      <c r="U874" s="205"/>
      <c r="V874" s="205"/>
      <c r="W874" s="17"/>
      <c r="X874" s="17"/>
      <c r="Y874" s="17"/>
      <c r="Z874" s="17"/>
      <c r="AA874" s="17"/>
      <c r="AB874" s="17"/>
    </row>
    <row r="875">
      <c r="A875" s="17"/>
      <c r="B875" s="17"/>
      <c r="C875" s="17"/>
      <c r="D875" s="17"/>
      <c r="E875" s="17"/>
      <c r="F875" s="301"/>
      <c r="G875" s="17"/>
      <c r="H875" s="17"/>
      <c r="I875" s="17"/>
      <c r="J875" s="17"/>
      <c r="K875" s="17"/>
      <c r="L875" s="17"/>
      <c r="M875" s="17"/>
      <c r="N875" s="17"/>
      <c r="O875" s="17"/>
      <c r="P875" s="17"/>
      <c r="Q875" s="17"/>
      <c r="R875" s="17"/>
      <c r="S875" s="205"/>
      <c r="T875" s="205"/>
      <c r="U875" s="205"/>
      <c r="V875" s="205"/>
      <c r="W875" s="17"/>
      <c r="X875" s="17"/>
      <c r="Y875" s="17"/>
      <c r="Z875" s="17"/>
      <c r="AA875" s="17"/>
      <c r="AB875" s="17"/>
    </row>
    <row r="876">
      <c r="A876" s="17"/>
      <c r="B876" s="17"/>
      <c r="C876" s="17"/>
      <c r="D876" s="17"/>
      <c r="E876" s="17"/>
      <c r="F876" s="301"/>
      <c r="G876" s="17"/>
      <c r="H876" s="17"/>
      <c r="I876" s="17"/>
      <c r="J876" s="17"/>
      <c r="K876" s="17"/>
      <c r="L876" s="17"/>
      <c r="M876" s="17"/>
      <c r="N876" s="17"/>
      <c r="O876" s="17"/>
      <c r="P876" s="17"/>
      <c r="Q876" s="17"/>
      <c r="R876" s="17"/>
      <c r="S876" s="205"/>
      <c r="T876" s="205"/>
      <c r="U876" s="205"/>
      <c r="V876" s="205"/>
      <c r="W876" s="17"/>
      <c r="X876" s="17"/>
      <c r="Y876" s="17"/>
      <c r="Z876" s="17"/>
      <c r="AA876" s="17"/>
      <c r="AB876" s="17"/>
    </row>
    <row r="877">
      <c r="A877" s="17"/>
      <c r="B877" s="17"/>
      <c r="C877" s="17"/>
      <c r="D877" s="17"/>
      <c r="E877" s="17"/>
      <c r="F877" s="301"/>
      <c r="G877" s="17"/>
      <c r="H877" s="17"/>
      <c r="I877" s="17"/>
      <c r="J877" s="17"/>
      <c r="K877" s="17"/>
      <c r="L877" s="17"/>
      <c r="M877" s="17"/>
      <c r="N877" s="17"/>
      <c r="O877" s="17"/>
      <c r="P877" s="17"/>
      <c r="Q877" s="17"/>
      <c r="R877" s="17"/>
      <c r="S877" s="205"/>
      <c r="T877" s="205"/>
      <c r="U877" s="205"/>
      <c r="V877" s="205"/>
      <c r="W877" s="17"/>
      <c r="X877" s="17"/>
      <c r="Y877" s="17"/>
      <c r="Z877" s="17"/>
      <c r="AA877" s="17"/>
      <c r="AB877" s="17"/>
    </row>
    <row r="878">
      <c r="A878" s="17"/>
      <c r="B878" s="17"/>
      <c r="C878" s="17"/>
      <c r="D878" s="17"/>
      <c r="E878" s="17"/>
      <c r="F878" s="301"/>
      <c r="G878" s="17"/>
      <c r="H878" s="17"/>
      <c r="I878" s="17"/>
      <c r="J878" s="17"/>
      <c r="K878" s="17"/>
      <c r="L878" s="17"/>
      <c r="M878" s="17"/>
      <c r="N878" s="17"/>
      <c r="O878" s="17"/>
      <c r="P878" s="17"/>
      <c r="Q878" s="17"/>
      <c r="R878" s="17"/>
      <c r="S878" s="205"/>
      <c r="T878" s="205"/>
      <c r="U878" s="205"/>
      <c r="V878" s="205"/>
      <c r="W878" s="17"/>
      <c r="X878" s="17"/>
      <c r="Y878" s="17"/>
      <c r="Z878" s="17"/>
      <c r="AA878" s="17"/>
      <c r="AB878" s="17"/>
    </row>
    <row r="879">
      <c r="A879" s="17"/>
      <c r="B879" s="17"/>
      <c r="C879" s="17"/>
      <c r="D879" s="17"/>
      <c r="E879" s="17"/>
      <c r="F879" s="301"/>
      <c r="G879" s="17"/>
      <c r="H879" s="17"/>
      <c r="I879" s="17"/>
      <c r="J879" s="17"/>
      <c r="K879" s="17"/>
      <c r="L879" s="17"/>
      <c r="M879" s="17"/>
      <c r="N879" s="17"/>
      <c r="O879" s="17"/>
      <c r="P879" s="17"/>
      <c r="Q879" s="17"/>
      <c r="R879" s="17"/>
      <c r="S879" s="205"/>
      <c r="T879" s="205"/>
      <c r="U879" s="205"/>
      <c r="V879" s="205"/>
      <c r="W879" s="17"/>
      <c r="X879" s="17"/>
      <c r="Y879" s="17"/>
      <c r="Z879" s="17"/>
      <c r="AA879" s="17"/>
      <c r="AB879" s="17"/>
    </row>
    <row r="880">
      <c r="A880" s="17"/>
      <c r="B880" s="17"/>
      <c r="C880" s="17"/>
      <c r="D880" s="17"/>
      <c r="E880" s="17"/>
      <c r="F880" s="301"/>
      <c r="G880" s="17"/>
      <c r="H880" s="17"/>
      <c r="I880" s="17"/>
      <c r="J880" s="17"/>
      <c r="K880" s="17"/>
      <c r="L880" s="17"/>
      <c r="M880" s="17"/>
      <c r="N880" s="17"/>
      <c r="O880" s="17"/>
      <c r="P880" s="17"/>
      <c r="Q880" s="17"/>
      <c r="R880" s="17"/>
      <c r="S880" s="205"/>
      <c r="T880" s="205"/>
      <c r="U880" s="205"/>
      <c r="V880" s="205"/>
      <c r="W880" s="17"/>
      <c r="X880" s="17"/>
      <c r="Y880" s="17"/>
      <c r="Z880" s="17"/>
      <c r="AA880" s="17"/>
      <c r="AB880" s="17"/>
    </row>
    <row r="881">
      <c r="A881" s="17"/>
      <c r="B881" s="17"/>
      <c r="C881" s="17"/>
      <c r="D881" s="17"/>
      <c r="E881" s="17"/>
      <c r="F881" s="301"/>
      <c r="G881" s="17"/>
      <c r="H881" s="17"/>
      <c r="I881" s="17"/>
      <c r="J881" s="17"/>
      <c r="K881" s="17"/>
      <c r="L881" s="17"/>
      <c r="M881" s="17"/>
      <c r="N881" s="17"/>
      <c r="O881" s="17"/>
      <c r="P881" s="17"/>
      <c r="Q881" s="17"/>
      <c r="R881" s="17"/>
      <c r="S881" s="205"/>
      <c r="T881" s="205"/>
      <c r="U881" s="205"/>
      <c r="V881" s="205"/>
      <c r="W881" s="17"/>
      <c r="X881" s="17"/>
      <c r="Y881" s="17"/>
      <c r="Z881" s="17"/>
      <c r="AA881" s="17"/>
      <c r="AB881" s="17"/>
    </row>
    <row r="882">
      <c r="A882" s="17"/>
      <c r="B882" s="17"/>
      <c r="C882" s="17"/>
      <c r="D882" s="17"/>
      <c r="E882" s="17"/>
      <c r="F882" s="301"/>
      <c r="G882" s="17"/>
      <c r="H882" s="17"/>
      <c r="I882" s="17"/>
      <c r="J882" s="17"/>
      <c r="K882" s="17"/>
      <c r="L882" s="17"/>
      <c r="M882" s="17"/>
      <c r="N882" s="17"/>
      <c r="O882" s="17"/>
      <c r="P882" s="17"/>
      <c r="Q882" s="17"/>
      <c r="R882" s="17"/>
      <c r="S882" s="205"/>
      <c r="T882" s="205"/>
      <c r="U882" s="205"/>
      <c r="V882" s="205"/>
      <c r="W882" s="17"/>
      <c r="X882" s="17"/>
      <c r="Y882" s="17"/>
      <c r="Z882" s="17"/>
      <c r="AA882" s="17"/>
      <c r="AB882" s="17"/>
    </row>
    <row r="883">
      <c r="A883" s="17"/>
      <c r="B883" s="17"/>
      <c r="C883" s="17"/>
      <c r="D883" s="17"/>
      <c r="E883" s="17"/>
      <c r="F883" s="301"/>
      <c r="G883" s="17"/>
      <c r="H883" s="17"/>
      <c r="I883" s="17"/>
      <c r="J883" s="17"/>
      <c r="K883" s="17"/>
      <c r="L883" s="17"/>
      <c r="M883" s="17"/>
      <c r="N883" s="17"/>
      <c r="O883" s="17"/>
      <c r="P883" s="17"/>
      <c r="Q883" s="17"/>
      <c r="R883" s="17"/>
      <c r="S883" s="205"/>
      <c r="T883" s="205"/>
      <c r="U883" s="205"/>
      <c r="V883" s="205"/>
      <c r="W883" s="17"/>
      <c r="X883" s="17"/>
      <c r="Y883" s="17"/>
      <c r="Z883" s="17"/>
      <c r="AA883" s="17"/>
      <c r="AB883" s="17"/>
    </row>
    <row r="884">
      <c r="A884" s="17"/>
      <c r="B884" s="17"/>
      <c r="C884" s="17"/>
      <c r="D884" s="17"/>
      <c r="E884" s="17"/>
      <c r="F884" s="301"/>
      <c r="G884" s="17"/>
      <c r="H884" s="17"/>
      <c r="I884" s="17"/>
      <c r="J884" s="17"/>
      <c r="K884" s="17"/>
      <c r="L884" s="17"/>
      <c r="M884" s="17"/>
      <c r="N884" s="17"/>
      <c r="O884" s="17"/>
      <c r="P884" s="17"/>
      <c r="Q884" s="17"/>
      <c r="R884" s="17"/>
      <c r="S884" s="205"/>
      <c r="T884" s="205"/>
      <c r="U884" s="205"/>
      <c r="V884" s="205"/>
      <c r="W884" s="17"/>
      <c r="X884" s="17"/>
      <c r="Y884" s="17"/>
      <c r="Z884" s="17"/>
      <c r="AA884" s="17"/>
      <c r="AB884" s="17"/>
    </row>
    <row r="885">
      <c r="A885" s="17"/>
      <c r="B885" s="17"/>
      <c r="C885" s="17"/>
      <c r="D885" s="17"/>
      <c r="E885" s="17"/>
      <c r="F885" s="301"/>
      <c r="G885" s="17"/>
      <c r="H885" s="17"/>
      <c r="I885" s="17"/>
      <c r="J885" s="17"/>
      <c r="K885" s="17"/>
      <c r="L885" s="17"/>
      <c r="M885" s="17"/>
      <c r="N885" s="17"/>
      <c r="O885" s="17"/>
      <c r="P885" s="17"/>
      <c r="Q885" s="17"/>
      <c r="R885" s="17"/>
      <c r="S885" s="205"/>
      <c r="T885" s="205"/>
      <c r="U885" s="205"/>
      <c r="V885" s="205"/>
      <c r="W885" s="17"/>
      <c r="X885" s="17"/>
      <c r="Y885" s="17"/>
      <c r="Z885" s="17"/>
      <c r="AA885" s="17"/>
      <c r="AB885" s="17"/>
    </row>
    <row r="886">
      <c r="A886" s="17"/>
      <c r="B886" s="17"/>
      <c r="C886" s="17"/>
      <c r="D886" s="17"/>
      <c r="E886" s="17"/>
      <c r="F886" s="301"/>
      <c r="G886" s="17"/>
      <c r="H886" s="17"/>
      <c r="I886" s="17"/>
      <c r="J886" s="17"/>
      <c r="K886" s="17"/>
      <c r="L886" s="17"/>
      <c r="M886" s="17"/>
      <c r="N886" s="17"/>
      <c r="O886" s="17"/>
      <c r="P886" s="17"/>
      <c r="Q886" s="17"/>
      <c r="R886" s="17"/>
      <c r="S886" s="205"/>
      <c r="T886" s="205"/>
      <c r="U886" s="205"/>
      <c r="V886" s="205"/>
      <c r="W886" s="17"/>
      <c r="X886" s="17"/>
      <c r="Y886" s="17"/>
      <c r="Z886" s="17"/>
      <c r="AA886" s="17"/>
      <c r="AB886" s="17"/>
    </row>
    <row r="887">
      <c r="A887" s="17"/>
      <c r="B887" s="17"/>
      <c r="C887" s="17"/>
      <c r="D887" s="17"/>
      <c r="E887" s="17"/>
      <c r="F887" s="301"/>
      <c r="G887" s="17"/>
      <c r="H887" s="17"/>
      <c r="I887" s="17"/>
      <c r="J887" s="17"/>
      <c r="K887" s="17"/>
      <c r="L887" s="17"/>
      <c r="M887" s="17"/>
      <c r="N887" s="17"/>
      <c r="O887" s="17"/>
      <c r="P887" s="17"/>
      <c r="Q887" s="17"/>
      <c r="R887" s="17"/>
      <c r="S887" s="205"/>
      <c r="T887" s="205"/>
      <c r="U887" s="205"/>
      <c r="V887" s="205"/>
      <c r="W887" s="17"/>
      <c r="X887" s="17"/>
      <c r="Y887" s="17"/>
      <c r="Z887" s="17"/>
      <c r="AA887" s="17"/>
      <c r="AB887" s="17"/>
    </row>
    <row r="888">
      <c r="A888" s="17"/>
      <c r="B888" s="17"/>
      <c r="C888" s="17"/>
      <c r="D888" s="17"/>
      <c r="E888" s="17"/>
      <c r="F888" s="301"/>
      <c r="G888" s="17"/>
      <c r="H888" s="17"/>
      <c r="I888" s="17"/>
      <c r="J888" s="17"/>
      <c r="K888" s="17"/>
      <c r="L888" s="17"/>
      <c r="M888" s="17"/>
      <c r="N888" s="17"/>
      <c r="O888" s="17"/>
      <c r="P888" s="17"/>
      <c r="Q888" s="17"/>
      <c r="R888" s="17"/>
      <c r="S888" s="205"/>
      <c r="T888" s="205"/>
      <c r="U888" s="205"/>
      <c r="V888" s="205"/>
      <c r="W888" s="17"/>
      <c r="X888" s="17"/>
      <c r="Y888" s="17"/>
      <c r="Z888" s="17"/>
      <c r="AA888" s="17"/>
      <c r="AB888" s="17"/>
    </row>
    <row r="889">
      <c r="A889" s="17"/>
      <c r="B889" s="17"/>
      <c r="C889" s="17"/>
      <c r="D889" s="17"/>
      <c r="E889" s="17"/>
      <c r="F889" s="301"/>
      <c r="G889" s="17"/>
      <c r="H889" s="17"/>
      <c r="I889" s="17"/>
      <c r="J889" s="17"/>
      <c r="K889" s="17"/>
      <c r="L889" s="17"/>
      <c r="M889" s="17"/>
      <c r="N889" s="17"/>
      <c r="O889" s="17"/>
      <c r="P889" s="17"/>
      <c r="Q889" s="17"/>
      <c r="R889" s="17"/>
      <c r="S889" s="205"/>
      <c r="T889" s="205"/>
      <c r="U889" s="205"/>
      <c r="V889" s="205"/>
      <c r="W889" s="17"/>
      <c r="X889" s="17"/>
      <c r="Y889" s="17"/>
      <c r="Z889" s="17"/>
      <c r="AA889" s="17"/>
      <c r="AB889" s="17"/>
    </row>
    <row r="890">
      <c r="A890" s="17"/>
      <c r="B890" s="17"/>
      <c r="C890" s="17"/>
      <c r="D890" s="17"/>
      <c r="E890" s="17"/>
      <c r="F890" s="301"/>
      <c r="G890" s="17"/>
      <c r="H890" s="17"/>
      <c r="I890" s="17"/>
      <c r="J890" s="17"/>
      <c r="K890" s="17"/>
      <c r="L890" s="17"/>
      <c r="M890" s="17"/>
      <c r="N890" s="17"/>
      <c r="O890" s="17"/>
      <c r="P890" s="17"/>
      <c r="Q890" s="17"/>
      <c r="R890" s="17"/>
      <c r="S890" s="205"/>
      <c r="T890" s="205"/>
      <c r="U890" s="205"/>
      <c r="V890" s="205"/>
      <c r="W890" s="17"/>
      <c r="X890" s="17"/>
      <c r="Y890" s="17"/>
      <c r="Z890" s="17"/>
      <c r="AA890" s="17"/>
      <c r="AB890" s="17"/>
    </row>
    <row r="891">
      <c r="A891" s="17"/>
      <c r="B891" s="17"/>
      <c r="C891" s="17"/>
      <c r="D891" s="17"/>
      <c r="E891" s="17"/>
      <c r="F891" s="301"/>
      <c r="G891" s="17"/>
      <c r="H891" s="17"/>
      <c r="I891" s="17"/>
      <c r="J891" s="17"/>
      <c r="K891" s="17"/>
      <c r="L891" s="17"/>
      <c r="M891" s="17"/>
      <c r="N891" s="17"/>
      <c r="O891" s="17"/>
      <c r="P891" s="17"/>
      <c r="Q891" s="17"/>
      <c r="R891" s="17"/>
      <c r="S891" s="205"/>
      <c r="T891" s="205"/>
      <c r="U891" s="205"/>
      <c r="V891" s="205"/>
      <c r="W891" s="17"/>
      <c r="X891" s="17"/>
      <c r="Y891" s="17"/>
      <c r="Z891" s="17"/>
      <c r="AA891" s="17"/>
      <c r="AB891" s="17"/>
    </row>
    <row r="892">
      <c r="A892" s="17"/>
      <c r="B892" s="17"/>
      <c r="C892" s="17"/>
      <c r="D892" s="17"/>
      <c r="E892" s="17"/>
      <c r="F892" s="301"/>
      <c r="G892" s="17"/>
      <c r="H892" s="17"/>
      <c r="I892" s="17"/>
      <c r="J892" s="17"/>
      <c r="K892" s="17"/>
      <c r="L892" s="17"/>
      <c r="M892" s="17"/>
      <c r="N892" s="17"/>
      <c r="O892" s="17"/>
      <c r="P892" s="17"/>
      <c r="Q892" s="17"/>
      <c r="R892" s="17"/>
      <c r="S892" s="205"/>
      <c r="T892" s="205"/>
      <c r="U892" s="205"/>
      <c r="V892" s="205"/>
      <c r="W892" s="17"/>
      <c r="X892" s="17"/>
      <c r="Y892" s="17"/>
      <c r="Z892" s="17"/>
      <c r="AA892" s="17"/>
      <c r="AB892" s="17"/>
    </row>
    <row r="893">
      <c r="A893" s="17"/>
      <c r="B893" s="17"/>
      <c r="C893" s="17"/>
      <c r="D893" s="17"/>
      <c r="E893" s="17"/>
      <c r="F893" s="301"/>
      <c r="G893" s="17"/>
      <c r="H893" s="17"/>
      <c r="I893" s="17"/>
      <c r="J893" s="17"/>
      <c r="K893" s="17"/>
      <c r="L893" s="17"/>
      <c r="M893" s="17"/>
      <c r="N893" s="17"/>
      <c r="O893" s="17"/>
      <c r="P893" s="17"/>
      <c r="Q893" s="17"/>
      <c r="R893" s="17"/>
      <c r="S893" s="205"/>
      <c r="T893" s="205"/>
      <c r="U893" s="205"/>
      <c r="V893" s="205"/>
      <c r="W893" s="17"/>
      <c r="X893" s="17"/>
      <c r="Y893" s="17"/>
      <c r="Z893" s="17"/>
      <c r="AA893" s="17"/>
      <c r="AB893" s="17"/>
    </row>
    <row r="894">
      <c r="A894" s="17"/>
      <c r="B894" s="17"/>
      <c r="C894" s="17"/>
      <c r="D894" s="17"/>
      <c r="E894" s="17"/>
      <c r="F894" s="301"/>
      <c r="G894" s="17"/>
      <c r="H894" s="17"/>
      <c r="I894" s="17"/>
      <c r="J894" s="17"/>
      <c r="K894" s="17"/>
      <c r="L894" s="17"/>
      <c r="M894" s="17"/>
      <c r="N894" s="17"/>
      <c r="O894" s="17"/>
      <c r="P894" s="17"/>
      <c r="Q894" s="17"/>
      <c r="R894" s="17"/>
      <c r="S894" s="205"/>
      <c r="T894" s="205"/>
      <c r="U894" s="205"/>
      <c r="V894" s="205"/>
      <c r="W894" s="17"/>
      <c r="X894" s="17"/>
      <c r="Y894" s="17"/>
      <c r="Z894" s="17"/>
      <c r="AA894" s="17"/>
      <c r="AB894" s="17"/>
    </row>
    <row r="895">
      <c r="A895" s="17"/>
      <c r="B895" s="17"/>
      <c r="C895" s="17"/>
      <c r="D895" s="17"/>
      <c r="E895" s="17"/>
      <c r="F895" s="301"/>
      <c r="G895" s="17"/>
      <c r="H895" s="17"/>
      <c r="I895" s="17"/>
      <c r="J895" s="17"/>
      <c r="K895" s="17"/>
      <c r="L895" s="17"/>
      <c r="M895" s="17"/>
      <c r="N895" s="17"/>
      <c r="O895" s="17"/>
      <c r="P895" s="17"/>
      <c r="Q895" s="17"/>
      <c r="R895" s="17"/>
      <c r="S895" s="205"/>
      <c r="T895" s="205"/>
      <c r="U895" s="205"/>
      <c r="V895" s="205"/>
      <c r="W895" s="17"/>
      <c r="X895" s="17"/>
      <c r="Y895" s="17"/>
      <c r="Z895" s="17"/>
      <c r="AA895" s="17"/>
      <c r="AB895" s="17"/>
    </row>
    <row r="896">
      <c r="A896" s="17"/>
      <c r="B896" s="17"/>
      <c r="C896" s="17"/>
      <c r="D896" s="17"/>
      <c r="E896" s="17"/>
      <c r="F896" s="301"/>
      <c r="G896" s="17"/>
      <c r="H896" s="17"/>
      <c r="I896" s="17"/>
      <c r="J896" s="17"/>
      <c r="K896" s="17"/>
      <c r="L896" s="17"/>
      <c r="M896" s="17"/>
      <c r="N896" s="17"/>
      <c r="O896" s="17"/>
      <c r="P896" s="17"/>
      <c r="Q896" s="17"/>
      <c r="R896" s="17"/>
      <c r="S896" s="205"/>
      <c r="T896" s="205"/>
      <c r="U896" s="205"/>
      <c r="V896" s="205"/>
      <c r="W896" s="17"/>
      <c r="X896" s="17"/>
      <c r="Y896" s="17"/>
      <c r="Z896" s="17"/>
      <c r="AA896" s="17"/>
      <c r="AB896" s="17"/>
    </row>
    <row r="897">
      <c r="A897" s="17"/>
      <c r="B897" s="17"/>
      <c r="C897" s="17"/>
      <c r="D897" s="17"/>
      <c r="E897" s="17"/>
      <c r="F897" s="301"/>
      <c r="G897" s="17"/>
      <c r="H897" s="17"/>
      <c r="I897" s="17"/>
      <c r="J897" s="17"/>
      <c r="K897" s="17"/>
      <c r="L897" s="17"/>
      <c r="M897" s="17"/>
      <c r="N897" s="17"/>
      <c r="O897" s="17"/>
      <c r="P897" s="17"/>
      <c r="Q897" s="17"/>
      <c r="R897" s="17"/>
      <c r="S897" s="205"/>
      <c r="T897" s="205"/>
      <c r="U897" s="205"/>
      <c r="V897" s="205"/>
      <c r="W897" s="17"/>
      <c r="X897" s="17"/>
      <c r="Y897" s="17"/>
      <c r="Z897" s="17"/>
      <c r="AA897" s="17"/>
      <c r="AB897" s="17"/>
    </row>
    <row r="898">
      <c r="A898" s="17"/>
      <c r="B898" s="17"/>
      <c r="C898" s="17"/>
      <c r="D898" s="17"/>
      <c r="E898" s="17"/>
      <c r="F898" s="301"/>
      <c r="G898" s="17"/>
      <c r="H898" s="17"/>
      <c r="I898" s="17"/>
      <c r="J898" s="17"/>
      <c r="K898" s="17"/>
      <c r="L898" s="17"/>
      <c r="M898" s="17"/>
      <c r="N898" s="17"/>
      <c r="O898" s="17"/>
      <c r="P898" s="17"/>
      <c r="Q898" s="17"/>
      <c r="R898" s="17"/>
      <c r="S898" s="205"/>
      <c r="T898" s="205"/>
      <c r="U898" s="205"/>
      <c r="V898" s="205"/>
      <c r="W898" s="17"/>
      <c r="X898" s="17"/>
      <c r="Y898" s="17"/>
      <c r="Z898" s="17"/>
      <c r="AA898" s="17"/>
      <c r="AB898" s="17"/>
    </row>
    <row r="899">
      <c r="A899" s="17"/>
      <c r="B899" s="17"/>
      <c r="C899" s="17"/>
      <c r="D899" s="17"/>
      <c r="E899" s="17"/>
      <c r="F899" s="301"/>
      <c r="G899" s="17"/>
      <c r="H899" s="17"/>
      <c r="I899" s="17"/>
      <c r="J899" s="17"/>
      <c r="K899" s="17"/>
      <c r="L899" s="17"/>
      <c r="M899" s="17"/>
      <c r="N899" s="17"/>
      <c r="O899" s="17"/>
      <c r="P899" s="17"/>
      <c r="Q899" s="17"/>
      <c r="R899" s="17"/>
      <c r="S899" s="205"/>
      <c r="T899" s="205"/>
      <c r="U899" s="205"/>
      <c r="V899" s="205"/>
      <c r="W899" s="17"/>
      <c r="X899" s="17"/>
      <c r="Y899" s="17"/>
      <c r="Z899" s="17"/>
      <c r="AA899" s="17"/>
      <c r="AB899" s="17"/>
    </row>
    <row r="900">
      <c r="A900" s="17"/>
      <c r="B900" s="17"/>
      <c r="C900" s="17"/>
      <c r="D900" s="17"/>
      <c r="E900" s="17"/>
      <c r="F900" s="301"/>
      <c r="G900" s="17"/>
      <c r="H900" s="17"/>
      <c r="I900" s="17"/>
      <c r="J900" s="17"/>
      <c r="K900" s="17"/>
      <c r="L900" s="17"/>
      <c r="M900" s="17"/>
      <c r="N900" s="17"/>
      <c r="O900" s="17"/>
      <c r="P900" s="17"/>
      <c r="Q900" s="17"/>
      <c r="R900" s="17"/>
      <c r="S900" s="205"/>
      <c r="T900" s="205"/>
      <c r="U900" s="205"/>
      <c r="V900" s="205"/>
      <c r="W900" s="17"/>
      <c r="X900" s="17"/>
      <c r="Y900" s="17"/>
      <c r="Z900" s="17"/>
      <c r="AA900" s="17"/>
      <c r="AB900" s="17"/>
    </row>
    <row r="901">
      <c r="A901" s="17"/>
      <c r="B901" s="17"/>
      <c r="C901" s="17"/>
      <c r="D901" s="17"/>
      <c r="E901" s="17"/>
      <c r="F901" s="301"/>
      <c r="G901" s="17"/>
      <c r="H901" s="17"/>
      <c r="I901" s="17"/>
      <c r="J901" s="17"/>
      <c r="K901" s="17"/>
      <c r="L901" s="17"/>
      <c r="M901" s="17"/>
      <c r="N901" s="17"/>
      <c r="O901" s="17"/>
      <c r="P901" s="17"/>
      <c r="Q901" s="17"/>
      <c r="R901" s="17"/>
      <c r="S901" s="205"/>
      <c r="T901" s="205"/>
      <c r="U901" s="205"/>
      <c r="V901" s="205"/>
      <c r="W901" s="17"/>
      <c r="X901" s="17"/>
      <c r="Y901" s="17"/>
      <c r="Z901" s="17"/>
      <c r="AA901" s="17"/>
      <c r="AB901" s="17"/>
    </row>
    <row r="902">
      <c r="A902" s="17"/>
      <c r="B902" s="17"/>
      <c r="C902" s="17"/>
      <c r="D902" s="17"/>
      <c r="E902" s="17"/>
      <c r="F902" s="301"/>
      <c r="G902" s="17"/>
      <c r="H902" s="17"/>
      <c r="I902" s="17"/>
      <c r="J902" s="17"/>
      <c r="K902" s="17"/>
      <c r="L902" s="17"/>
      <c r="M902" s="17"/>
      <c r="N902" s="17"/>
      <c r="O902" s="17"/>
      <c r="P902" s="17"/>
      <c r="Q902" s="17"/>
      <c r="R902" s="17"/>
      <c r="S902" s="205"/>
      <c r="T902" s="205"/>
      <c r="U902" s="205"/>
      <c r="V902" s="205"/>
      <c r="W902" s="17"/>
      <c r="X902" s="17"/>
      <c r="Y902" s="17"/>
      <c r="Z902" s="17"/>
      <c r="AA902" s="17"/>
      <c r="AB902" s="17"/>
    </row>
    <row r="903">
      <c r="A903" s="17"/>
      <c r="B903" s="17"/>
      <c r="C903" s="17"/>
      <c r="D903" s="17"/>
      <c r="E903" s="17"/>
      <c r="F903" s="301"/>
      <c r="G903" s="17"/>
      <c r="H903" s="17"/>
      <c r="I903" s="17"/>
      <c r="J903" s="17"/>
      <c r="K903" s="17"/>
      <c r="L903" s="17"/>
      <c r="M903" s="17"/>
      <c r="N903" s="17"/>
      <c r="O903" s="17"/>
      <c r="P903" s="17"/>
      <c r="Q903" s="17"/>
      <c r="R903" s="17"/>
      <c r="S903" s="205"/>
      <c r="T903" s="205"/>
      <c r="U903" s="205"/>
      <c r="V903" s="205"/>
      <c r="W903" s="17"/>
      <c r="X903" s="17"/>
      <c r="Y903" s="17"/>
      <c r="Z903" s="17"/>
      <c r="AA903" s="17"/>
      <c r="AB903" s="17"/>
    </row>
    <row r="904">
      <c r="A904" s="17"/>
      <c r="B904" s="17"/>
      <c r="C904" s="17"/>
      <c r="D904" s="17"/>
      <c r="E904" s="17"/>
      <c r="F904" s="301"/>
      <c r="G904" s="17"/>
      <c r="H904" s="17"/>
      <c r="I904" s="17"/>
      <c r="J904" s="17"/>
      <c r="K904" s="17"/>
      <c r="L904" s="17"/>
      <c r="M904" s="17"/>
      <c r="N904" s="17"/>
      <c r="O904" s="17"/>
      <c r="P904" s="17"/>
      <c r="Q904" s="17"/>
      <c r="R904" s="17"/>
      <c r="S904" s="205"/>
      <c r="T904" s="205"/>
      <c r="U904" s="205"/>
      <c r="V904" s="205"/>
      <c r="W904" s="17"/>
      <c r="X904" s="17"/>
      <c r="Y904" s="17"/>
      <c r="Z904" s="17"/>
      <c r="AA904" s="17"/>
      <c r="AB904" s="17"/>
    </row>
    <row r="905">
      <c r="A905" s="17"/>
      <c r="B905" s="17"/>
      <c r="C905" s="17"/>
      <c r="D905" s="17"/>
      <c r="E905" s="17"/>
      <c r="F905" s="301"/>
      <c r="G905" s="17"/>
      <c r="H905" s="17"/>
      <c r="I905" s="17"/>
      <c r="J905" s="17"/>
      <c r="K905" s="17"/>
      <c r="L905" s="17"/>
      <c r="M905" s="17"/>
      <c r="N905" s="17"/>
      <c r="O905" s="17"/>
      <c r="P905" s="17"/>
      <c r="Q905" s="17"/>
      <c r="R905" s="17"/>
      <c r="S905" s="205"/>
      <c r="T905" s="205"/>
      <c r="U905" s="205"/>
      <c r="V905" s="205"/>
      <c r="W905" s="17"/>
      <c r="X905" s="17"/>
      <c r="Y905" s="17"/>
      <c r="Z905" s="17"/>
      <c r="AA905" s="17"/>
      <c r="AB905" s="17"/>
    </row>
    <row r="906">
      <c r="A906" s="17"/>
      <c r="B906" s="17"/>
      <c r="C906" s="17"/>
      <c r="D906" s="17"/>
      <c r="E906" s="17"/>
      <c r="F906" s="301"/>
      <c r="G906" s="17"/>
      <c r="H906" s="17"/>
      <c r="I906" s="17"/>
      <c r="J906" s="17"/>
      <c r="K906" s="17"/>
      <c r="L906" s="17"/>
      <c r="M906" s="17"/>
      <c r="N906" s="17"/>
      <c r="O906" s="17"/>
      <c r="P906" s="17"/>
      <c r="Q906" s="17"/>
      <c r="R906" s="17"/>
      <c r="S906" s="205"/>
      <c r="T906" s="205"/>
      <c r="U906" s="205"/>
      <c r="V906" s="205"/>
      <c r="W906" s="17"/>
      <c r="X906" s="17"/>
      <c r="Y906" s="17"/>
      <c r="Z906" s="17"/>
      <c r="AA906" s="17"/>
      <c r="AB906" s="17"/>
    </row>
    <row r="907">
      <c r="A907" s="17"/>
      <c r="B907" s="17"/>
      <c r="C907" s="17"/>
      <c r="D907" s="17"/>
      <c r="E907" s="17"/>
      <c r="F907" s="301"/>
      <c r="G907" s="17"/>
      <c r="H907" s="17"/>
      <c r="I907" s="17"/>
      <c r="J907" s="17"/>
      <c r="K907" s="17"/>
      <c r="L907" s="17"/>
      <c r="M907" s="17"/>
      <c r="N907" s="17"/>
      <c r="O907" s="17"/>
      <c r="P907" s="17"/>
      <c r="Q907" s="17"/>
      <c r="R907" s="17"/>
      <c r="S907" s="205"/>
      <c r="T907" s="205"/>
      <c r="U907" s="205"/>
      <c r="V907" s="205"/>
      <c r="W907" s="17"/>
      <c r="X907" s="17"/>
      <c r="Y907" s="17"/>
      <c r="Z907" s="17"/>
      <c r="AA907" s="17"/>
      <c r="AB907" s="17"/>
    </row>
    <row r="908">
      <c r="A908" s="17"/>
      <c r="B908" s="17"/>
      <c r="C908" s="17"/>
      <c r="D908" s="17"/>
      <c r="E908" s="17"/>
      <c r="F908" s="301"/>
      <c r="G908" s="17"/>
      <c r="H908" s="17"/>
      <c r="I908" s="17"/>
      <c r="J908" s="17"/>
      <c r="K908" s="17"/>
      <c r="L908" s="17"/>
      <c r="M908" s="17"/>
      <c r="N908" s="17"/>
      <c r="O908" s="17"/>
      <c r="P908" s="17"/>
      <c r="Q908" s="17"/>
      <c r="R908" s="17"/>
      <c r="S908" s="205"/>
      <c r="T908" s="205"/>
      <c r="U908" s="205"/>
      <c r="V908" s="205"/>
      <c r="W908" s="17"/>
      <c r="X908" s="17"/>
      <c r="Y908" s="17"/>
      <c r="Z908" s="17"/>
      <c r="AA908" s="17"/>
      <c r="AB908" s="17"/>
    </row>
    <row r="909">
      <c r="A909" s="17"/>
      <c r="B909" s="17"/>
      <c r="C909" s="17"/>
      <c r="D909" s="17"/>
      <c r="E909" s="17"/>
      <c r="F909" s="301"/>
      <c r="G909" s="17"/>
      <c r="H909" s="17"/>
      <c r="I909" s="17"/>
      <c r="J909" s="17"/>
      <c r="K909" s="17"/>
      <c r="L909" s="17"/>
      <c r="M909" s="17"/>
      <c r="N909" s="17"/>
      <c r="O909" s="17"/>
      <c r="P909" s="17"/>
      <c r="Q909" s="17"/>
      <c r="R909" s="17"/>
      <c r="S909" s="205"/>
      <c r="T909" s="205"/>
      <c r="U909" s="205"/>
      <c r="V909" s="205"/>
      <c r="W909" s="17"/>
      <c r="X909" s="17"/>
      <c r="Y909" s="17"/>
      <c r="Z909" s="17"/>
      <c r="AA909" s="17"/>
      <c r="AB909" s="17"/>
    </row>
    <row r="910">
      <c r="A910" s="17"/>
      <c r="B910" s="17"/>
      <c r="C910" s="17"/>
      <c r="D910" s="17"/>
      <c r="E910" s="17"/>
      <c r="F910" s="301"/>
      <c r="G910" s="17"/>
      <c r="H910" s="17"/>
      <c r="I910" s="17"/>
      <c r="J910" s="17"/>
      <c r="K910" s="17"/>
      <c r="L910" s="17"/>
      <c r="M910" s="17"/>
      <c r="N910" s="17"/>
      <c r="O910" s="17"/>
      <c r="P910" s="17"/>
      <c r="Q910" s="17"/>
      <c r="R910" s="17"/>
      <c r="S910" s="205"/>
      <c r="T910" s="205"/>
      <c r="U910" s="205"/>
      <c r="V910" s="205"/>
      <c r="W910" s="17"/>
      <c r="X910" s="17"/>
      <c r="Y910" s="17"/>
      <c r="Z910" s="17"/>
      <c r="AA910" s="17"/>
      <c r="AB910" s="17"/>
    </row>
    <row r="911">
      <c r="A911" s="17"/>
      <c r="B911" s="17"/>
      <c r="C911" s="17"/>
      <c r="D911" s="17"/>
      <c r="E911" s="17"/>
      <c r="F911" s="301"/>
      <c r="G911" s="17"/>
      <c r="H911" s="17"/>
      <c r="I911" s="17"/>
      <c r="J911" s="17"/>
      <c r="K911" s="17"/>
      <c r="L911" s="17"/>
      <c r="M911" s="17"/>
      <c r="N911" s="17"/>
      <c r="O911" s="17"/>
      <c r="P911" s="17"/>
      <c r="Q911" s="17"/>
      <c r="R911" s="17"/>
      <c r="S911" s="205"/>
      <c r="T911" s="205"/>
      <c r="U911" s="205"/>
      <c r="V911" s="205"/>
      <c r="W911" s="17"/>
      <c r="X911" s="17"/>
      <c r="Y911" s="17"/>
      <c r="Z911" s="17"/>
      <c r="AA911" s="17"/>
      <c r="AB911" s="17"/>
    </row>
    <row r="912">
      <c r="A912" s="17"/>
      <c r="B912" s="17"/>
      <c r="C912" s="17"/>
      <c r="D912" s="17"/>
      <c r="E912" s="17"/>
      <c r="F912" s="301"/>
      <c r="G912" s="17"/>
      <c r="H912" s="17"/>
      <c r="I912" s="17"/>
      <c r="J912" s="17"/>
      <c r="K912" s="17"/>
      <c r="L912" s="17"/>
      <c r="M912" s="17"/>
      <c r="N912" s="17"/>
      <c r="O912" s="17"/>
      <c r="P912" s="17"/>
      <c r="Q912" s="17"/>
      <c r="R912" s="17"/>
      <c r="S912" s="205"/>
      <c r="T912" s="205"/>
      <c r="U912" s="205"/>
      <c r="V912" s="205"/>
      <c r="W912" s="17"/>
      <c r="X912" s="17"/>
      <c r="Y912" s="17"/>
      <c r="Z912" s="17"/>
      <c r="AA912" s="17"/>
      <c r="AB912" s="17"/>
    </row>
    <row r="913">
      <c r="A913" s="17"/>
      <c r="B913" s="17"/>
      <c r="C913" s="17"/>
      <c r="D913" s="17"/>
      <c r="E913" s="17"/>
      <c r="F913" s="301"/>
      <c r="G913" s="17"/>
      <c r="H913" s="17"/>
      <c r="I913" s="17"/>
      <c r="J913" s="17"/>
      <c r="K913" s="17"/>
      <c r="L913" s="17"/>
      <c r="M913" s="17"/>
      <c r="N913" s="17"/>
      <c r="O913" s="17"/>
      <c r="P913" s="17"/>
      <c r="Q913" s="17"/>
      <c r="R913" s="17"/>
      <c r="S913" s="205"/>
      <c r="T913" s="205"/>
      <c r="U913" s="205"/>
      <c r="V913" s="205"/>
      <c r="W913" s="17"/>
      <c r="X913" s="17"/>
      <c r="Y913" s="17"/>
      <c r="Z913" s="17"/>
      <c r="AA913" s="17"/>
      <c r="AB913" s="17"/>
    </row>
    <row r="914">
      <c r="A914" s="17"/>
      <c r="B914" s="17"/>
      <c r="C914" s="17"/>
      <c r="D914" s="17"/>
      <c r="E914" s="17"/>
      <c r="F914" s="301"/>
      <c r="G914" s="17"/>
      <c r="H914" s="17"/>
      <c r="I914" s="17"/>
      <c r="J914" s="17"/>
      <c r="K914" s="17"/>
      <c r="L914" s="17"/>
      <c r="M914" s="17"/>
      <c r="N914" s="17"/>
      <c r="O914" s="17"/>
      <c r="P914" s="17"/>
      <c r="Q914" s="17"/>
      <c r="R914" s="17"/>
      <c r="S914" s="205"/>
      <c r="T914" s="205"/>
      <c r="U914" s="205"/>
      <c r="V914" s="205"/>
      <c r="W914" s="17"/>
      <c r="X914" s="17"/>
      <c r="Y914" s="17"/>
      <c r="Z914" s="17"/>
      <c r="AA914" s="17"/>
      <c r="AB914" s="17"/>
    </row>
    <row r="915">
      <c r="A915" s="17"/>
      <c r="B915" s="17"/>
      <c r="C915" s="17"/>
      <c r="D915" s="17"/>
      <c r="E915" s="17"/>
      <c r="F915" s="301"/>
      <c r="G915" s="17"/>
      <c r="H915" s="17"/>
      <c r="I915" s="17"/>
      <c r="J915" s="17"/>
      <c r="K915" s="17"/>
      <c r="L915" s="17"/>
      <c r="M915" s="17"/>
      <c r="N915" s="17"/>
      <c r="O915" s="17"/>
      <c r="P915" s="17"/>
      <c r="Q915" s="17"/>
      <c r="R915" s="17"/>
      <c r="S915" s="205"/>
      <c r="T915" s="205"/>
      <c r="U915" s="205"/>
      <c r="V915" s="205"/>
      <c r="W915" s="17"/>
      <c r="X915" s="17"/>
      <c r="Y915" s="17"/>
      <c r="Z915" s="17"/>
      <c r="AA915" s="17"/>
      <c r="AB915" s="17"/>
    </row>
    <row r="916">
      <c r="A916" s="17"/>
      <c r="B916" s="17"/>
      <c r="C916" s="17"/>
      <c r="D916" s="17"/>
      <c r="E916" s="17"/>
      <c r="F916" s="301"/>
      <c r="G916" s="17"/>
      <c r="H916" s="17"/>
      <c r="I916" s="17"/>
      <c r="J916" s="17"/>
      <c r="K916" s="17"/>
      <c r="L916" s="17"/>
      <c r="M916" s="17"/>
      <c r="N916" s="17"/>
      <c r="O916" s="17"/>
      <c r="P916" s="17"/>
      <c r="Q916" s="17"/>
      <c r="R916" s="17"/>
      <c r="S916" s="205"/>
      <c r="T916" s="205"/>
      <c r="U916" s="205"/>
      <c r="V916" s="205"/>
      <c r="W916" s="17"/>
      <c r="X916" s="17"/>
      <c r="Y916" s="17"/>
      <c r="Z916" s="17"/>
      <c r="AA916" s="17"/>
      <c r="AB916" s="17"/>
    </row>
    <row r="917">
      <c r="A917" s="17"/>
      <c r="B917" s="17"/>
      <c r="C917" s="17"/>
      <c r="D917" s="17"/>
      <c r="E917" s="17"/>
      <c r="F917" s="301"/>
      <c r="G917" s="17"/>
      <c r="H917" s="17"/>
      <c r="I917" s="17"/>
      <c r="J917" s="17"/>
      <c r="K917" s="17"/>
      <c r="L917" s="17"/>
      <c r="M917" s="17"/>
      <c r="N917" s="17"/>
      <c r="O917" s="17"/>
      <c r="P917" s="17"/>
      <c r="Q917" s="17"/>
      <c r="R917" s="17"/>
      <c r="S917" s="205"/>
      <c r="T917" s="205"/>
      <c r="U917" s="205"/>
      <c r="V917" s="205"/>
      <c r="W917" s="17"/>
      <c r="X917" s="17"/>
      <c r="Y917" s="17"/>
      <c r="Z917" s="17"/>
      <c r="AA917" s="17"/>
      <c r="AB917" s="17"/>
    </row>
    <row r="918">
      <c r="A918" s="17"/>
      <c r="B918" s="17"/>
      <c r="C918" s="17"/>
      <c r="D918" s="17"/>
      <c r="E918" s="17"/>
      <c r="F918" s="301"/>
      <c r="G918" s="17"/>
      <c r="H918" s="17"/>
      <c r="I918" s="17"/>
      <c r="J918" s="17"/>
      <c r="K918" s="17"/>
      <c r="L918" s="17"/>
      <c r="M918" s="17"/>
      <c r="N918" s="17"/>
      <c r="O918" s="17"/>
      <c r="P918" s="17"/>
      <c r="Q918" s="17"/>
      <c r="R918" s="17"/>
      <c r="S918" s="205"/>
      <c r="T918" s="205"/>
      <c r="U918" s="205"/>
      <c r="V918" s="205"/>
      <c r="W918" s="17"/>
      <c r="X918" s="17"/>
      <c r="Y918" s="17"/>
      <c r="Z918" s="17"/>
      <c r="AA918" s="17"/>
      <c r="AB918" s="17"/>
    </row>
    <row r="919">
      <c r="A919" s="17"/>
      <c r="B919" s="17"/>
      <c r="C919" s="17"/>
      <c r="D919" s="17"/>
      <c r="E919" s="17"/>
      <c r="F919" s="301"/>
      <c r="G919" s="17"/>
      <c r="H919" s="17"/>
      <c r="I919" s="17"/>
      <c r="J919" s="17"/>
      <c r="K919" s="17"/>
      <c r="L919" s="17"/>
      <c r="M919" s="17"/>
      <c r="N919" s="17"/>
      <c r="O919" s="17"/>
      <c r="P919" s="17"/>
      <c r="Q919" s="17"/>
      <c r="R919" s="17"/>
      <c r="S919" s="205"/>
      <c r="T919" s="205"/>
      <c r="U919" s="205"/>
      <c r="V919" s="205"/>
      <c r="W919" s="17"/>
      <c r="X919" s="17"/>
      <c r="Y919" s="17"/>
      <c r="Z919" s="17"/>
      <c r="AA919" s="17"/>
      <c r="AB919" s="17"/>
    </row>
    <row r="920">
      <c r="A920" s="17"/>
      <c r="B920" s="17"/>
      <c r="C920" s="17"/>
      <c r="D920" s="17"/>
      <c r="E920" s="17"/>
      <c r="F920" s="301"/>
      <c r="G920" s="17"/>
      <c r="H920" s="17"/>
      <c r="I920" s="17"/>
      <c r="J920" s="17"/>
      <c r="K920" s="17"/>
      <c r="L920" s="17"/>
      <c r="M920" s="17"/>
      <c r="N920" s="17"/>
      <c r="O920" s="17"/>
      <c r="P920" s="17"/>
      <c r="Q920" s="17"/>
      <c r="R920" s="17"/>
      <c r="S920" s="205"/>
      <c r="T920" s="205"/>
      <c r="U920" s="205"/>
      <c r="V920" s="205"/>
      <c r="W920" s="17"/>
      <c r="X920" s="17"/>
      <c r="Y920" s="17"/>
      <c r="Z920" s="17"/>
      <c r="AA920" s="17"/>
      <c r="AB920" s="17"/>
    </row>
    <row r="921">
      <c r="A921" s="17"/>
      <c r="B921" s="17"/>
      <c r="C921" s="17"/>
      <c r="D921" s="17"/>
      <c r="E921" s="17"/>
      <c r="F921" s="301"/>
      <c r="G921" s="17"/>
      <c r="H921" s="17"/>
      <c r="I921" s="17"/>
      <c r="J921" s="17"/>
      <c r="K921" s="17"/>
      <c r="L921" s="17"/>
      <c r="M921" s="17"/>
      <c r="N921" s="17"/>
      <c r="O921" s="17"/>
      <c r="P921" s="17"/>
      <c r="Q921" s="17"/>
      <c r="R921" s="17"/>
      <c r="S921" s="205"/>
      <c r="T921" s="205"/>
      <c r="U921" s="205"/>
      <c r="V921" s="205"/>
      <c r="W921" s="17"/>
      <c r="X921" s="17"/>
      <c r="Y921" s="17"/>
      <c r="Z921" s="17"/>
      <c r="AA921" s="17"/>
      <c r="AB921" s="17"/>
    </row>
    <row r="922">
      <c r="A922" s="17"/>
      <c r="B922" s="17"/>
      <c r="C922" s="17"/>
      <c r="D922" s="17"/>
      <c r="E922" s="17"/>
      <c r="F922" s="301"/>
      <c r="G922" s="17"/>
      <c r="H922" s="17"/>
      <c r="I922" s="17"/>
      <c r="J922" s="17"/>
      <c r="K922" s="17"/>
      <c r="L922" s="17"/>
      <c r="M922" s="17"/>
      <c r="N922" s="17"/>
      <c r="O922" s="17"/>
      <c r="P922" s="17"/>
      <c r="Q922" s="17"/>
      <c r="R922" s="17"/>
      <c r="S922" s="205"/>
      <c r="T922" s="205"/>
      <c r="U922" s="205"/>
      <c r="V922" s="205"/>
      <c r="W922" s="17"/>
      <c r="X922" s="17"/>
      <c r="Y922" s="17"/>
      <c r="Z922" s="17"/>
      <c r="AA922" s="17"/>
      <c r="AB922" s="17"/>
    </row>
    <row r="923">
      <c r="A923" s="17"/>
      <c r="B923" s="17"/>
      <c r="C923" s="17"/>
      <c r="D923" s="17"/>
      <c r="E923" s="17"/>
      <c r="F923" s="301"/>
      <c r="G923" s="17"/>
      <c r="H923" s="17"/>
      <c r="I923" s="17"/>
      <c r="J923" s="17"/>
      <c r="K923" s="17"/>
      <c r="L923" s="17"/>
      <c r="M923" s="17"/>
      <c r="N923" s="17"/>
      <c r="O923" s="17"/>
      <c r="P923" s="17"/>
      <c r="Q923" s="17"/>
      <c r="R923" s="17"/>
      <c r="S923" s="205"/>
      <c r="T923" s="205"/>
      <c r="U923" s="205"/>
      <c r="V923" s="205"/>
      <c r="W923" s="17"/>
      <c r="X923" s="17"/>
      <c r="Y923" s="17"/>
      <c r="Z923" s="17"/>
      <c r="AA923" s="17"/>
      <c r="AB923" s="17"/>
    </row>
    <row r="924">
      <c r="A924" s="17"/>
      <c r="B924" s="17"/>
      <c r="C924" s="17"/>
      <c r="D924" s="17"/>
      <c r="E924" s="17"/>
      <c r="F924" s="301"/>
      <c r="G924" s="17"/>
      <c r="H924" s="17"/>
      <c r="I924" s="17"/>
      <c r="J924" s="17"/>
      <c r="K924" s="17"/>
      <c r="L924" s="17"/>
      <c r="M924" s="17"/>
      <c r="N924" s="17"/>
      <c r="O924" s="17"/>
      <c r="P924" s="17"/>
      <c r="Q924" s="17"/>
      <c r="R924" s="17"/>
      <c r="S924" s="205"/>
      <c r="T924" s="205"/>
      <c r="U924" s="205"/>
      <c r="V924" s="205"/>
      <c r="W924" s="17"/>
      <c r="X924" s="17"/>
      <c r="Y924" s="17"/>
      <c r="Z924" s="17"/>
      <c r="AA924" s="17"/>
      <c r="AB924" s="17"/>
    </row>
    <row r="925">
      <c r="A925" s="17"/>
      <c r="B925" s="17"/>
      <c r="C925" s="17"/>
      <c r="D925" s="17"/>
      <c r="E925" s="17"/>
      <c r="F925" s="301"/>
      <c r="G925" s="17"/>
      <c r="H925" s="17"/>
      <c r="I925" s="17"/>
      <c r="J925" s="17"/>
      <c r="K925" s="17"/>
      <c r="L925" s="17"/>
      <c r="M925" s="17"/>
      <c r="N925" s="17"/>
      <c r="O925" s="17"/>
      <c r="P925" s="17"/>
      <c r="Q925" s="17"/>
      <c r="R925" s="17"/>
      <c r="S925" s="205"/>
      <c r="T925" s="205"/>
      <c r="U925" s="205"/>
      <c r="V925" s="205"/>
      <c r="W925" s="17"/>
      <c r="X925" s="17"/>
      <c r="Y925" s="17"/>
      <c r="Z925" s="17"/>
      <c r="AA925" s="17"/>
      <c r="AB925" s="17"/>
    </row>
    <row r="926">
      <c r="A926" s="17"/>
      <c r="B926" s="17"/>
      <c r="C926" s="17"/>
      <c r="D926" s="17"/>
      <c r="E926" s="17"/>
      <c r="F926" s="301"/>
      <c r="G926" s="17"/>
      <c r="H926" s="17"/>
      <c r="I926" s="17"/>
      <c r="J926" s="17"/>
      <c r="K926" s="17"/>
      <c r="L926" s="17"/>
      <c r="M926" s="17"/>
      <c r="N926" s="17"/>
      <c r="O926" s="17"/>
      <c r="P926" s="17"/>
      <c r="Q926" s="17"/>
      <c r="R926" s="17"/>
      <c r="S926" s="205"/>
      <c r="T926" s="205"/>
      <c r="U926" s="205"/>
      <c r="V926" s="205"/>
      <c r="W926" s="17"/>
      <c r="X926" s="17"/>
      <c r="Y926" s="17"/>
      <c r="Z926" s="17"/>
      <c r="AA926" s="17"/>
      <c r="AB926" s="17"/>
    </row>
    <row r="927">
      <c r="A927" s="17"/>
      <c r="B927" s="17"/>
      <c r="C927" s="17"/>
      <c r="D927" s="17"/>
      <c r="E927" s="17"/>
      <c r="F927" s="301"/>
      <c r="G927" s="17"/>
      <c r="H927" s="17"/>
      <c r="I927" s="17"/>
      <c r="J927" s="17"/>
      <c r="K927" s="17"/>
      <c r="L927" s="17"/>
      <c r="M927" s="17"/>
      <c r="N927" s="17"/>
      <c r="O927" s="17"/>
      <c r="P927" s="17"/>
      <c r="Q927" s="17"/>
      <c r="R927" s="17"/>
      <c r="S927" s="205"/>
      <c r="T927" s="205"/>
      <c r="U927" s="205"/>
      <c r="V927" s="205"/>
      <c r="W927" s="17"/>
      <c r="X927" s="17"/>
      <c r="Y927" s="17"/>
      <c r="Z927" s="17"/>
      <c r="AA927" s="17"/>
      <c r="AB927" s="17"/>
    </row>
    <row r="928">
      <c r="A928" s="17"/>
      <c r="B928" s="17"/>
      <c r="C928" s="17"/>
      <c r="D928" s="17"/>
      <c r="E928" s="17"/>
      <c r="F928" s="301"/>
      <c r="G928" s="17"/>
      <c r="H928" s="17"/>
      <c r="I928" s="17"/>
      <c r="J928" s="17"/>
      <c r="K928" s="17"/>
      <c r="L928" s="17"/>
      <c r="M928" s="17"/>
      <c r="N928" s="17"/>
      <c r="O928" s="17"/>
      <c r="P928" s="17"/>
      <c r="Q928" s="17"/>
      <c r="R928" s="17"/>
      <c r="S928" s="205"/>
      <c r="T928" s="205"/>
      <c r="U928" s="205"/>
      <c r="V928" s="205"/>
      <c r="W928" s="17"/>
      <c r="X928" s="17"/>
      <c r="Y928" s="17"/>
      <c r="Z928" s="17"/>
      <c r="AA928" s="17"/>
      <c r="AB928" s="17"/>
    </row>
    <row r="929">
      <c r="A929" s="17"/>
      <c r="B929" s="17"/>
      <c r="C929" s="17"/>
      <c r="D929" s="17"/>
      <c r="E929" s="17"/>
      <c r="F929" s="301"/>
      <c r="G929" s="17"/>
      <c r="H929" s="17"/>
      <c r="I929" s="17"/>
      <c r="J929" s="17"/>
      <c r="K929" s="17"/>
      <c r="L929" s="17"/>
      <c r="M929" s="17"/>
      <c r="N929" s="17"/>
      <c r="O929" s="17"/>
      <c r="P929" s="17"/>
      <c r="Q929" s="17"/>
      <c r="R929" s="17"/>
      <c r="S929" s="205"/>
      <c r="T929" s="205"/>
      <c r="U929" s="205"/>
      <c r="V929" s="205"/>
      <c r="W929" s="17"/>
      <c r="X929" s="17"/>
      <c r="Y929" s="17"/>
      <c r="Z929" s="17"/>
      <c r="AA929" s="17"/>
      <c r="AB929" s="17"/>
    </row>
    <row r="930">
      <c r="A930" s="17"/>
      <c r="B930" s="17"/>
      <c r="C930" s="17"/>
      <c r="D930" s="17"/>
      <c r="E930" s="17"/>
      <c r="F930" s="301"/>
      <c r="G930" s="17"/>
      <c r="H930" s="17"/>
      <c r="I930" s="17"/>
      <c r="J930" s="17"/>
      <c r="K930" s="17"/>
      <c r="L930" s="17"/>
      <c r="M930" s="17"/>
      <c r="N930" s="17"/>
      <c r="O930" s="17"/>
      <c r="P930" s="17"/>
      <c r="Q930" s="17"/>
      <c r="R930" s="17"/>
      <c r="S930" s="205"/>
      <c r="T930" s="205"/>
      <c r="U930" s="205"/>
      <c r="V930" s="205"/>
      <c r="W930" s="17"/>
      <c r="X930" s="17"/>
      <c r="Y930" s="17"/>
      <c r="Z930" s="17"/>
      <c r="AA930" s="17"/>
      <c r="AB930" s="17"/>
    </row>
    <row r="931">
      <c r="A931" s="17"/>
      <c r="B931" s="17"/>
      <c r="C931" s="17"/>
      <c r="D931" s="17"/>
      <c r="E931" s="17"/>
      <c r="F931" s="301"/>
      <c r="G931" s="17"/>
      <c r="H931" s="17"/>
      <c r="I931" s="17"/>
      <c r="J931" s="17"/>
      <c r="K931" s="17"/>
      <c r="L931" s="17"/>
      <c r="M931" s="17"/>
      <c r="N931" s="17"/>
      <c r="O931" s="17"/>
      <c r="P931" s="17"/>
      <c r="Q931" s="17"/>
      <c r="R931" s="17"/>
      <c r="S931" s="205"/>
      <c r="T931" s="205"/>
      <c r="U931" s="205"/>
      <c r="V931" s="205"/>
      <c r="W931" s="17"/>
      <c r="X931" s="17"/>
      <c r="Y931" s="17"/>
      <c r="Z931" s="17"/>
      <c r="AA931" s="17"/>
      <c r="AB931" s="17"/>
    </row>
    <row r="932">
      <c r="A932" s="17"/>
      <c r="B932" s="17"/>
      <c r="C932" s="17"/>
      <c r="D932" s="17"/>
      <c r="E932" s="17"/>
      <c r="F932" s="301"/>
      <c r="G932" s="17"/>
      <c r="H932" s="17"/>
      <c r="I932" s="17"/>
      <c r="J932" s="17"/>
      <c r="K932" s="17"/>
      <c r="L932" s="17"/>
      <c r="M932" s="17"/>
      <c r="N932" s="17"/>
      <c r="O932" s="17"/>
      <c r="P932" s="17"/>
      <c r="Q932" s="17"/>
      <c r="R932" s="17"/>
      <c r="S932" s="205"/>
      <c r="T932" s="205"/>
      <c r="U932" s="205"/>
      <c r="V932" s="205"/>
      <c r="W932" s="17"/>
      <c r="X932" s="17"/>
      <c r="Y932" s="17"/>
      <c r="Z932" s="17"/>
      <c r="AA932" s="17"/>
      <c r="AB932" s="17"/>
    </row>
    <row r="933">
      <c r="A933" s="17"/>
      <c r="B933" s="17"/>
      <c r="C933" s="17"/>
      <c r="D933" s="17"/>
      <c r="E933" s="17"/>
      <c r="F933" s="301"/>
      <c r="G933" s="17"/>
      <c r="H933" s="17"/>
      <c r="I933" s="17"/>
      <c r="J933" s="17"/>
      <c r="K933" s="17"/>
      <c r="L933" s="17"/>
      <c r="M933" s="17"/>
      <c r="N933" s="17"/>
      <c r="O933" s="17"/>
      <c r="P933" s="17"/>
      <c r="Q933" s="17"/>
      <c r="R933" s="17"/>
      <c r="S933" s="205"/>
      <c r="T933" s="205"/>
      <c r="U933" s="205"/>
      <c r="V933" s="205"/>
      <c r="W933" s="17"/>
      <c r="X933" s="17"/>
      <c r="Y933" s="17"/>
      <c r="Z933" s="17"/>
      <c r="AA933" s="17"/>
      <c r="AB933" s="17"/>
    </row>
    <row r="934">
      <c r="A934" s="17"/>
      <c r="B934" s="17"/>
      <c r="C934" s="17"/>
      <c r="D934" s="17"/>
      <c r="E934" s="17"/>
      <c r="F934" s="301"/>
      <c r="G934" s="17"/>
      <c r="H934" s="17"/>
      <c r="I934" s="17"/>
      <c r="J934" s="17"/>
      <c r="K934" s="17"/>
      <c r="L934" s="17"/>
      <c r="M934" s="17"/>
      <c r="N934" s="17"/>
      <c r="O934" s="17"/>
      <c r="P934" s="17"/>
      <c r="Q934" s="17"/>
      <c r="R934" s="17"/>
      <c r="S934" s="205"/>
      <c r="T934" s="205"/>
      <c r="U934" s="205"/>
      <c r="V934" s="205"/>
      <c r="W934" s="17"/>
      <c r="X934" s="17"/>
      <c r="Y934" s="17"/>
      <c r="Z934" s="17"/>
      <c r="AA934" s="17"/>
      <c r="AB934" s="17"/>
    </row>
    <row r="935">
      <c r="A935" s="17"/>
      <c r="B935" s="17"/>
      <c r="C935" s="17"/>
      <c r="D935" s="17"/>
      <c r="E935" s="17"/>
      <c r="F935" s="301"/>
      <c r="G935" s="17"/>
      <c r="H935" s="17"/>
      <c r="I935" s="17"/>
      <c r="J935" s="17"/>
      <c r="K935" s="17"/>
      <c r="L935" s="17"/>
      <c r="M935" s="17"/>
      <c r="N935" s="17"/>
      <c r="O935" s="17"/>
      <c r="P935" s="17"/>
      <c r="Q935" s="17"/>
      <c r="R935" s="17"/>
      <c r="S935" s="205"/>
      <c r="T935" s="205"/>
      <c r="U935" s="205"/>
      <c r="V935" s="205"/>
      <c r="W935" s="17"/>
      <c r="X935" s="17"/>
      <c r="Y935" s="17"/>
      <c r="Z935" s="17"/>
      <c r="AA935" s="17"/>
      <c r="AB935" s="17"/>
    </row>
    <row r="936">
      <c r="A936" s="17"/>
      <c r="B936" s="17"/>
      <c r="C936" s="17"/>
      <c r="D936" s="17"/>
      <c r="E936" s="17"/>
      <c r="F936" s="301"/>
      <c r="G936" s="17"/>
      <c r="H936" s="17"/>
      <c r="I936" s="17"/>
      <c r="J936" s="17"/>
      <c r="K936" s="17"/>
      <c r="L936" s="17"/>
      <c r="M936" s="17"/>
      <c r="N936" s="17"/>
      <c r="O936" s="17"/>
      <c r="P936" s="17"/>
      <c r="Q936" s="17"/>
      <c r="R936" s="17"/>
      <c r="S936" s="205"/>
      <c r="T936" s="205"/>
      <c r="U936" s="205"/>
      <c r="V936" s="205"/>
      <c r="W936" s="17"/>
      <c r="X936" s="17"/>
      <c r="Y936" s="17"/>
      <c r="Z936" s="17"/>
      <c r="AA936" s="17"/>
      <c r="AB936" s="17"/>
    </row>
    <row r="937">
      <c r="A937" s="17"/>
      <c r="B937" s="17"/>
      <c r="C937" s="17"/>
      <c r="D937" s="17"/>
      <c r="E937" s="17"/>
      <c r="F937" s="301"/>
      <c r="G937" s="17"/>
      <c r="H937" s="17"/>
      <c r="I937" s="17"/>
      <c r="J937" s="17"/>
      <c r="K937" s="17"/>
      <c r="L937" s="17"/>
      <c r="M937" s="17"/>
      <c r="N937" s="17"/>
      <c r="O937" s="17"/>
      <c r="P937" s="17"/>
      <c r="Q937" s="17"/>
      <c r="R937" s="17"/>
      <c r="S937" s="205"/>
      <c r="T937" s="205"/>
      <c r="U937" s="205"/>
      <c r="V937" s="205"/>
      <c r="W937" s="17"/>
      <c r="X937" s="17"/>
      <c r="Y937" s="17"/>
      <c r="Z937" s="17"/>
      <c r="AA937" s="17"/>
      <c r="AB937" s="17"/>
    </row>
    <row r="938">
      <c r="A938" s="17"/>
      <c r="B938" s="17"/>
      <c r="C938" s="17"/>
      <c r="D938" s="17"/>
      <c r="E938" s="17"/>
      <c r="F938" s="301"/>
      <c r="G938" s="17"/>
      <c r="H938" s="17"/>
      <c r="I938" s="17"/>
      <c r="J938" s="17"/>
      <c r="K938" s="17"/>
      <c r="L938" s="17"/>
      <c r="M938" s="17"/>
      <c r="N938" s="17"/>
      <c r="O938" s="17"/>
      <c r="P938" s="17"/>
      <c r="Q938" s="17"/>
      <c r="R938" s="17"/>
      <c r="S938" s="205"/>
      <c r="T938" s="205"/>
      <c r="U938" s="205"/>
      <c r="V938" s="205"/>
      <c r="W938" s="17"/>
      <c r="X938" s="17"/>
      <c r="Y938" s="17"/>
      <c r="Z938" s="17"/>
      <c r="AA938" s="17"/>
      <c r="AB938" s="17"/>
    </row>
    <row r="939">
      <c r="A939" s="17"/>
      <c r="B939" s="17"/>
      <c r="C939" s="17"/>
      <c r="D939" s="17"/>
      <c r="E939" s="17"/>
      <c r="F939" s="301"/>
      <c r="G939" s="17"/>
      <c r="H939" s="17"/>
      <c r="I939" s="17"/>
      <c r="J939" s="17"/>
      <c r="K939" s="17"/>
      <c r="L939" s="17"/>
      <c r="M939" s="17"/>
      <c r="N939" s="17"/>
      <c r="O939" s="17"/>
      <c r="P939" s="17"/>
      <c r="Q939" s="17"/>
      <c r="R939" s="17"/>
      <c r="S939" s="205"/>
      <c r="T939" s="205"/>
      <c r="U939" s="205"/>
      <c r="V939" s="205"/>
      <c r="W939" s="17"/>
      <c r="X939" s="17"/>
      <c r="Y939" s="17"/>
      <c r="Z939" s="17"/>
      <c r="AA939" s="17"/>
      <c r="AB939" s="17"/>
    </row>
    <row r="940">
      <c r="A940" s="17"/>
      <c r="B940" s="17"/>
      <c r="C940" s="17"/>
      <c r="D940" s="17"/>
      <c r="E940" s="17"/>
      <c r="F940" s="301"/>
      <c r="G940" s="17"/>
      <c r="H940" s="17"/>
      <c r="I940" s="17"/>
      <c r="J940" s="17"/>
      <c r="K940" s="17"/>
      <c r="L940" s="17"/>
      <c r="M940" s="17"/>
      <c r="N940" s="17"/>
      <c r="O940" s="17"/>
      <c r="P940" s="17"/>
      <c r="Q940" s="17"/>
      <c r="R940" s="17"/>
      <c r="S940" s="205"/>
      <c r="T940" s="205"/>
      <c r="U940" s="205"/>
      <c r="V940" s="205"/>
      <c r="W940" s="17"/>
      <c r="X940" s="17"/>
      <c r="Y940" s="17"/>
      <c r="Z940" s="17"/>
      <c r="AA940" s="17"/>
      <c r="AB940" s="17"/>
    </row>
    <row r="941">
      <c r="A941" s="17"/>
      <c r="B941" s="17"/>
      <c r="C941" s="17"/>
      <c r="D941" s="17"/>
      <c r="E941" s="17"/>
      <c r="F941" s="301"/>
      <c r="G941" s="17"/>
      <c r="H941" s="17"/>
      <c r="I941" s="17"/>
      <c r="J941" s="17"/>
      <c r="K941" s="17"/>
      <c r="L941" s="17"/>
      <c r="M941" s="17"/>
      <c r="N941" s="17"/>
      <c r="O941" s="17"/>
      <c r="P941" s="17"/>
      <c r="Q941" s="17"/>
      <c r="R941" s="17"/>
      <c r="S941" s="205"/>
      <c r="T941" s="205"/>
      <c r="U941" s="205"/>
      <c r="V941" s="205"/>
      <c r="W941" s="17"/>
      <c r="X941" s="17"/>
      <c r="Y941" s="17"/>
      <c r="Z941" s="17"/>
      <c r="AA941" s="17"/>
      <c r="AB941" s="17"/>
    </row>
    <row r="942">
      <c r="A942" s="17"/>
      <c r="B942" s="17"/>
      <c r="C942" s="17"/>
      <c r="D942" s="17"/>
      <c r="E942" s="17"/>
      <c r="F942" s="301"/>
      <c r="G942" s="17"/>
      <c r="H942" s="17"/>
      <c r="I942" s="17"/>
      <c r="J942" s="17"/>
      <c r="K942" s="17"/>
      <c r="L942" s="17"/>
      <c r="M942" s="17"/>
      <c r="N942" s="17"/>
      <c r="O942" s="17"/>
      <c r="P942" s="17"/>
      <c r="Q942" s="17"/>
      <c r="R942" s="17"/>
      <c r="S942" s="205"/>
      <c r="T942" s="205"/>
      <c r="U942" s="205"/>
      <c r="V942" s="205"/>
      <c r="W942" s="17"/>
      <c r="X942" s="17"/>
      <c r="Y942" s="17"/>
      <c r="Z942" s="17"/>
      <c r="AA942" s="17"/>
      <c r="AB942" s="17"/>
    </row>
    <row r="943">
      <c r="A943" s="17"/>
      <c r="B943" s="17"/>
      <c r="C943" s="17"/>
      <c r="D943" s="17"/>
      <c r="E943" s="17"/>
      <c r="F943" s="301"/>
      <c r="G943" s="17"/>
      <c r="H943" s="17"/>
      <c r="I943" s="17"/>
      <c r="J943" s="17"/>
      <c r="K943" s="17"/>
      <c r="L943" s="17"/>
      <c r="M943" s="17"/>
      <c r="N943" s="17"/>
      <c r="O943" s="17"/>
      <c r="P943" s="17"/>
      <c r="Q943" s="17"/>
      <c r="R943" s="17"/>
      <c r="S943" s="205"/>
      <c r="T943" s="205"/>
      <c r="U943" s="205"/>
      <c r="V943" s="205"/>
      <c r="W943" s="17"/>
      <c r="X943" s="17"/>
      <c r="Y943" s="17"/>
      <c r="Z943" s="17"/>
      <c r="AA943" s="17"/>
      <c r="AB943" s="17"/>
    </row>
    <row r="944">
      <c r="A944" s="17"/>
      <c r="B944" s="17"/>
      <c r="C944" s="17"/>
      <c r="D944" s="17"/>
      <c r="E944" s="17"/>
      <c r="F944" s="301"/>
      <c r="G944" s="17"/>
      <c r="H944" s="17"/>
      <c r="I944" s="17"/>
      <c r="J944" s="17"/>
      <c r="K944" s="17"/>
      <c r="L944" s="17"/>
      <c r="M944" s="17"/>
      <c r="N944" s="17"/>
      <c r="O944" s="17"/>
      <c r="P944" s="17"/>
      <c r="Q944" s="17"/>
      <c r="R944" s="17"/>
      <c r="S944" s="205"/>
      <c r="T944" s="205"/>
      <c r="U944" s="205"/>
      <c r="V944" s="205"/>
      <c r="W944" s="17"/>
      <c r="X944" s="17"/>
      <c r="Y944" s="17"/>
      <c r="Z944" s="17"/>
      <c r="AA944" s="17"/>
      <c r="AB944" s="17"/>
    </row>
    <row r="945">
      <c r="A945" s="17"/>
      <c r="B945" s="17"/>
      <c r="C945" s="17"/>
      <c r="D945" s="17"/>
      <c r="E945" s="17"/>
      <c r="F945" s="301"/>
      <c r="G945" s="17"/>
      <c r="H945" s="17"/>
      <c r="I945" s="17"/>
      <c r="J945" s="17"/>
      <c r="K945" s="17"/>
      <c r="L945" s="17"/>
      <c r="M945" s="17"/>
      <c r="N945" s="17"/>
      <c r="O945" s="17"/>
      <c r="P945" s="17"/>
      <c r="Q945" s="17"/>
      <c r="R945" s="17"/>
      <c r="S945" s="205"/>
      <c r="T945" s="205"/>
      <c r="U945" s="205"/>
      <c r="V945" s="205"/>
      <c r="W945" s="17"/>
      <c r="X945" s="17"/>
      <c r="Y945" s="17"/>
      <c r="Z945" s="17"/>
      <c r="AA945" s="17"/>
      <c r="AB945" s="17"/>
    </row>
    <row r="946">
      <c r="A946" s="17"/>
      <c r="B946" s="17"/>
      <c r="C946" s="17"/>
      <c r="D946" s="17"/>
      <c r="E946" s="17"/>
      <c r="F946" s="301"/>
      <c r="G946" s="17"/>
      <c r="H946" s="17"/>
      <c r="I946" s="17"/>
      <c r="J946" s="17"/>
      <c r="K946" s="17"/>
      <c r="L946" s="17"/>
      <c r="M946" s="17"/>
      <c r="N946" s="17"/>
      <c r="O946" s="17"/>
      <c r="P946" s="17"/>
      <c r="Q946" s="17"/>
      <c r="R946" s="17"/>
      <c r="S946" s="205"/>
      <c r="T946" s="205"/>
      <c r="U946" s="205"/>
      <c r="V946" s="205"/>
      <c r="W946" s="17"/>
      <c r="X946" s="17"/>
      <c r="Y946" s="17"/>
      <c r="Z946" s="17"/>
      <c r="AA946" s="17"/>
      <c r="AB946" s="17"/>
    </row>
    <row r="947">
      <c r="A947" s="17"/>
      <c r="B947" s="17"/>
      <c r="C947" s="17"/>
      <c r="D947" s="17"/>
      <c r="E947" s="17"/>
      <c r="F947" s="301"/>
      <c r="G947" s="17"/>
      <c r="H947" s="17"/>
      <c r="I947" s="17"/>
      <c r="J947" s="17"/>
      <c r="K947" s="17"/>
      <c r="L947" s="17"/>
      <c r="M947" s="17"/>
      <c r="N947" s="17"/>
      <c r="O947" s="17"/>
      <c r="P947" s="17"/>
      <c r="Q947" s="17"/>
      <c r="R947" s="17"/>
      <c r="S947" s="205"/>
      <c r="T947" s="205"/>
      <c r="U947" s="205"/>
      <c r="V947" s="205"/>
      <c r="W947" s="17"/>
      <c r="X947" s="17"/>
      <c r="Y947" s="17"/>
      <c r="Z947" s="17"/>
      <c r="AA947" s="17"/>
      <c r="AB947" s="17"/>
    </row>
    <row r="948">
      <c r="A948" s="17"/>
      <c r="B948" s="17"/>
      <c r="C948" s="17"/>
      <c r="D948" s="17"/>
      <c r="E948" s="17"/>
      <c r="F948" s="301"/>
      <c r="G948" s="17"/>
      <c r="H948" s="17"/>
      <c r="I948" s="17"/>
      <c r="J948" s="17"/>
      <c r="K948" s="17"/>
      <c r="L948" s="17"/>
      <c r="M948" s="17"/>
      <c r="N948" s="17"/>
      <c r="O948" s="17"/>
      <c r="P948" s="17"/>
      <c r="Q948" s="17"/>
      <c r="R948" s="17"/>
      <c r="S948" s="205"/>
      <c r="T948" s="205"/>
      <c r="U948" s="205"/>
      <c r="V948" s="205"/>
      <c r="W948" s="17"/>
      <c r="X948" s="17"/>
      <c r="Y948" s="17"/>
      <c r="Z948" s="17"/>
      <c r="AA948" s="17"/>
      <c r="AB948" s="17"/>
    </row>
    <row r="949">
      <c r="A949" s="17"/>
      <c r="B949" s="17"/>
      <c r="C949" s="17"/>
      <c r="D949" s="17"/>
      <c r="E949" s="17"/>
      <c r="F949" s="301"/>
      <c r="G949" s="17"/>
      <c r="H949" s="17"/>
      <c r="I949" s="17"/>
      <c r="J949" s="17"/>
      <c r="K949" s="17"/>
      <c r="L949" s="17"/>
      <c r="M949" s="17"/>
      <c r="N949" s="17"/>
      <c r="O949" s="17"/>
      <c r="P949" s="17"/>
      <c r="Q949" s="17"/>
      <c r="R949" s="17"/>
      <c r="S949" s="205"/>
      <c r="T949" s="205"/>
      <c r="U949" s="205"/>
      <c r="V949" s="205"/>
      <c r="W949" s="17"/>
      <c r="X949" s="17"/>
      <c r="Y949" s="17"/>
      <c r="Z949" s="17"/>
      <c r="AA949" s="17"/>
      <c r="AB949" s="17"/>
    </row>
    <row r="950">
      <c r="A950" s="17"/>
      <c r="B950" s="17"/>
      <c r="C950" s="17"/>
      <c r="D950" s="17"/>
      <c r="E950" s="17"/>
      <c r="F950" s="301"/>
      <c r="G950" s="17"/>
      <c r="H950" s="17"/>
      <c r="I950" s="17"/>
      <c r="J950" s="17"/>
      <c r="K950" s="17"/>
      <c r="L950" s="17"/>
      <c r="M950" s="17"/>
      <c r="N950" s="17"/>
      <c r="O950" s="17"/>
      <c r="P950" s="17"/>
      <c r="Q950" s="17"/>
      <c r="R950" s="17"/>
      <c r="S950" s="205"/>
      <c r="T950" s="205"/>
      <c r="U950" s="205"/>
      <c r="V950" s="205"/>
      <c r="W950" s="17"/>
      <c r="X950" s="17"/>
      <c r="Y950" s="17"/>
      <c r="Z950" s="17"/>
      <c r="AA950" s="17"/>
      <c r="AB950" s="17"/>
    </row>
    <row r="951">
      <c r="A951" s="17"/>
      <c r="B951" s="17"/>
      <c r="C951" s="17"/>
      <c r="D951" s="17"/>
      <c r="E951" s="17"/>
      <c r="F951" s="301"/>
      <c r="G951" s="17"/>
      <c r="H951" s="17"/>
      <c r="I951" s="17"/>
      <c r="J951" s="17"/>
      <c r="K951" s="17"/>
      <c r="L951" s="17"/>
      <c r="M951" s="17"/>
      <c r="N951" s="17"/>
      <c r="O951" s="17"/>
      <c r="P951" s="17"/>
      <c r="Q951" s="17"/>
      <c r="R951" s="17"/>
      <c r="S951" s="205"/>
      <c r="T951" s="205"/>
      <c r="U951" s="205"/>
      <c r="V951" s="205"/>
      <c r="W951" s="17"/>
      <c r="X951" s="17"/>
      <c r="Y951" s="17"/>
      <c r="Z951" s="17"/>
      <c r="AA951" s="17"/>
      <c r="AB951" s="17"/>
    </row>
    <row r="952">
      <c r="A952" s="17"/>
      <c r="B952" s="17"/>
      <c r="C952" s="17"/>
      <c r="D952" s="17"/>
      <c r="E952" s="17"/>
      <c r="F952" s="301"/>
      <c r="G952" s="17"/>
      <c r="H952" s="17"/>
      <c r="I952" s="17"/>
      <c r="J952" s="17"/>
      <c r="K952" s="17"/>
      <c r="L952" s="17"/>
      <c r="M952" s="17"/>
      <c r="N952" s="17"/>
      <c r="O952" s="17"/>
      <c r="P952" s="17"/>
      <c r="Q952" s="17"/>
      <c r="R952" s="17"/>
      <c r="S952" s="205"/>
      <c r="T952" s="205"/>
      <c r="U952" s="205"/>
      <c r="V952" s="205"/>
      <c r="W952" s="17"/>
      <c r="X952" s="17"/>
      <c r="Y952" s="17"/>
      <c r="Z952" s="17"/>
      <c r="AA952" s="17"/>
      <c r="AB952" s="17"/>
    </row>
    <row r="953">
      <c r="A953" s="17"/>
      <c r="B953" s="17"/>
      <c r="C953" s="17"/>
      <c r="D953" s="17"/>
      <c r="E953" s="17"/>
      <c r="F953" s="301"/>
      <c r="G953" s="17"/>
      <c r="H953" s="17"/>
      <c r="I953" s="17"/>
      <c r="J953" s="17"/>
      <c r="K953" s="17"/>
      <c r="L953" s="17"/>
      <c r="M953" s="17"/>
      <c r="N953" s="17"/>
      <c r="O953" s="17"/>
      <c r="P953" s="17"/>
      <c r="Q953" s="17"/>
      <c r="R953" s="17"/>
      <c r="S953" s="205"/>
      <c r="T953" s="205"/>
      <c r="U953" s="205"/>
      <c r="V953" s="205"/>
      <c r="W953" s="17"/>
      <c r="X953" s="17"/>
      <c r="Y953" s="17"/>
      <c r="Z953" s="17"/>
      <c r="AA953" s="17"/>
      <c r="AB953" s="17"/>
    </row>
    <row r="954">
      <c r="A954" s="17"/>
      <c r="B954" s="17"/>
      <c r="C954" s="17"/>
      <c r="D954" s="17"/>
      <c r="E954" s="17"/>
      <c r="F954" s="301"/>
      <c r="G954" s="17"/>
      <c r="H954" s="17"/>
      <c r="I954" s="17"/>
      <c r="J954" s="17"/>
      <c r="K954" s="17"/>
      <c r="L954" s="17"/>
      <c r="M954" s="17"/>
      <c r="N954" s="17"/>
      <c r="O954" s="17"/>
      <c r="P954" s="17"/>
      <c r="Q954" s="17"/>
      <c r="R954" s="17"/>
      <c r="S954" s="205"/>
      <c r="T954" s="205"/>
      <c r="U954" s="205"/>
      <c r="V954" s="205"/>
      <c r="W954" s="17"/>
      <c r="X954" s="17"/>
      <c r="Y954" s="17"/>
      <c r="Z954" s="17"/>
      <c r="AA954" s="17"/>
      <c r="AB954" s="17"/>
    </row>
    <row r="955">
      <c r="A955" s="17"/>
      <c r="B955" s="17"/>
      <c r="C955" s="17"/>
      <c r="D955" s="17"/>
      <c r="E955" s="17"/>
      <c r="F955" s="301"/>
      <c r="G955" s="17"/>
      <c r="H955" s="17"/>
      <c r="I955" s="17"/>
      <c r="J955" s="17"/>
      <c r="K955" s="17"/>
      <c r="L955" s="17"/>
      <c r="M955" s="17"/>
      <c r="N955" s="17"/>
      <c r="O955" s="17"/>
      <c r="P955" s="17"/>
      <c r="Q955" s="17"/>
      <c r="R955" s="17"/>
      <c r="S955" s="205"/>
      <c r="T955" s="205"/>
      <c r="U955" s="205"/>
      <c r="V955" s="205"/>
      <c r="W955" s="17"/>
      <c r="X955" s="17"/>
      <c r="Y955" s="17"/>
      <c r="Z955" s="17"/>
      <c r="AA955" s="17"/>
      <c r="AB955" s="17"/>
    </row>
    <row r="956">
      <c r="A956" s="17"/>
      <c r="B956" s="17"/>
      <c r="C956" s="17"/>
      <c r="D956" s="17"/>
      <c r="E956" s="17"/>
      <c r="F956" s="301"/>
      <c r="G956" s="17"/>
      <c r="H956" s="17"/>
      <c r="I956" s="17"/>
      <c r="J956" s="17"/>
      <c r="K956" s="17"/>
      <c r="L956" s="17"/>
      <c r="M956" s="17"/>
      <c r="N956" s="17"/>
      <c r="O956" s="17"/>
      <c r="P956" s="17"/>
      <c r="Q956" s="17"/>
      <c r="R956" s="17"/>
      <c r="S956" s="205"/>
      <c r="T956" s="205"/>
      <c r="U956" s="205"/>
      <c r="V956" s="205"/>
      <c r="W956" s="17"/>
      <c r="X956" s="17"/>
      <c r="Y956" s="17"/>
      <c r="Z956" s="17"/>
      <c r="AA956" s="17"/>
      <c r="AB956" s="17"/>
    </row>
    <row r="957">
      <c r="A957" s="17"/>
      <c r="B957" s="17"/>
      <c r="C957" s="17"/>
      <c r="D957" s="17"/>
      <c r="E957" s="17"/>
      <c r="F957" s="301"/>
      <c r="G957" s="17"/>
      <c r="H957" s="17"/>
      <c r="I957" s="17"/>
      <c r="J957" s="17"/>
      <c r="K957" s="17"/>
      <c r="L957" s="17"/>
      <c r="M957" s="17"/>
      <c r="N957" s="17"/>
      <c r="O957" s="17"/>
      <c r="P957" s="17"/>
      <c r="Q957" s="17"/>
      <c r="R957" s="17"/>
      <c r="S957" s="205"/>
      <c r="T957" s="205"/>
      <c r="U957" s="205"/>
      <c r="V957" s="205"/>
      <c r="W957" s="17"/>
      <c r="X957" s="17"/>
      <c r="Y957" s="17"/>
      <c r="Z957" s="17"/>
      <c r="AA957" s="17"/>
      <c r="AB957" s="17"/>
    </row>
    <row r="958">
      <c r="A958" s="17"/>
      <c r="B958" s="17"/>
      <c r="C958" s="17"/>
      <c r="D958" s="17"/>
      <c r="E958" s="17"/>
      <c r="F958" s="301"/>
      <c r="G958" s="17"/>
      <c r="H958" s="17"/>
      <c r="I958" s="17"/>
      <c r="J958" s="17"/>
      <c r="K958" s="17"/>
      <c r="L958" s="17"/>
      <c r="M958" s="17"/>
      <c r="N958" s="17"/>
      <c r="O958" s="17"/>
      <c r="P958" s="17"/>
      <c r="Q958" s="17"/>
      <c r="R958" s="17"/>
      <c r="S958" s="205"/>
      <c r="T958" s="205"/>
      <c r="U958" s="205"/>
      <c r="V958" s="205"/>
      <c r="W958" s="17"/>
      <c r="X958" s="17"/>
      <c r="Y958" s="17"/>
      <c r="Z958" s="17"/>
      <c r="AA958" s="17"/>
      <c r="AB958" s="17"/>
    </row>
    <row r="959">
      <c r="A959" s="17"/>
      <c r="B959" s="17"/>
      <c r="C959" s="17"/>
      <c r="D959" s="17"/>
      <c r="E959" s="17"/>
      <c r="F959" s="301"/>
      <c r="G959" s="17"/>
      <c r="H959" s="17"/>
      <c r="I959" s="17"/>
      <c r="J959" s="17"/>
      <c r="K959" s="17"/>
      <c r="L959" s="17"/>
      <c r="M959" s="17"/>
      <c r="N959" s="17"/>
      <c r="O959" s="17"/>
      <c r="P959" s="17"/>
      <c r="Q959" s="17"/>
      <c r="R959" s="17"/>
      <c r="S959" s="205"/>
      <c r="T959" s="205"/>
      <c r="U959" s="205"/>
      <c r="V959" s="205"/>
      <c r="W959" s="17"/>
      <c r="X959" s="17"/>
      <c r="Y959" s="17"/>
      <c r="Z959" s="17"/>
      <c r="AA959" s="17"/>
      <c r="AB959" s="17"/>
    </row>
    <row r="960">
      <c r="A960" s="17"/>
      <c r="B960" s="17"/>
      <c r="C960" s="17"/>
      <c r="D960" s="17"/>
      <c r="E960" s="17"/>
      <c r="F960" s="301"/>
      <c r="G960" s="17"/>
      <c r="H960" s="17"/>
      <c r="I960" s="17"/>
      <c r="J960" s="17"/>
      <c r="K960" s="17"/>
      <c r="L960" s="17"/>
      <c r="M960" s="17"/>
      <c r="N960" s="17"/>
      <c r="O960" s="17"/>
      <c r="P960" s="17"/>
      <c r="Q960" s="17"/>
      <c r="R960" s="17"/>
      <c r="S960" s="205"/>
      <c r="T960" s="205"/>
      <c r="U960" s="205"/>
      <c r="V960" s="205"/>
      <c r="W960" s="17"/>
      <c r="X960" s="17"/>
      <c r="Y960" s="17"/>
      <c r="Z960" s="17"/>
      <c r="AA960" s="17"/>
      <c r="AB960" s="17"/>
    </row>
    <row r="961">
      <c r="A961" s="17"/>
      <c r="B961" s="17"/>
      <c r="C961" s="17"/>
      <c r="D961" s="17"/>
      <c r="E961" s="17"/>
      <c r="F961" s="301"/>
      <c r="G961" s="17"/>
      <c r="H961" s="17"/>
      <c r="I961" s="17"/>
      <c r="J961" s="17"/>
      <c r="K961" s="17"/>
      <c r="L961" s="17"/>
      <c r="M961" s="17"/>
      <c r="N961" s="17"/>
      <c r="O961" s="17"/>
      <c r="P961" s="17"/>
      <c r="Q961" s="17"/>
      <c r="R961" s="17"/>
      <c r="S961" s="205"/>
      <c r="T961" s="205"/>
      <c r="U961" s="205"/>
      <c r="V961" s="205"/>
      <c r="W961" s="17"/>
      <c r="X961" s="17"/>
      <c r="Y961" s="17"/>
      <c r="Z961" s="17"/>
      <c r="AA961" s="17"/>
      <c r="AB961" s="17"/>
    </row>
    <row r="962">
      <c r="A962" s="17"/>
      <c r="B962" s="17"/>
      <c r="C962" s="17"/>
      <c r="D962" s="17"/>
      <c r="E962" s="17"/>
      <c r="F962" s="301"/>
      <c r="G962" s="17"/>
      <c r="H962" s="17"/>
      <c r="I962" s="17"/>
      <c r="J962" s="17"/>
      <c r="K962" s="17"/>
      <c r="L962" s="17"/>
      <c r="M962" s="17"/>
      <c r="N962" s="17"/>
      <c r="O962" s="17"/>
      <c r="P962" s="17"/>
      <c r="Q962" s="17"/>
      <c r="R962" s="17"/>
      <c r="S962" s="205"/>
      <c r="T962" s="205"/>
      <c r="U962" s="205"/>
      <c r="V962" s="205"/>
      <c r="W962" s="17"/>
      <c r="X962" s="17"/>
      <c r="Y962" s="17"/>
      <c r="Z962" s="17"/>
      <c r="AA962" s="17"/>
      <c r="AB962" s="17"/>
    </row>
    <row r="963">
      <c r="A963" s="17"/>
      <c r="B963" s="17"/>
      <c r="C963" s="17"/>
      <c r="D963" s="17"/>
      <c r="E963" s="17"/>
      <c r="F963" s="301"/>
      <c r="G963" s="17"/>
      <c r="H963" s="17"/>
      <c r="I963" s="17"/>
      <c r="J963" s="17"/>
      <c r="K963" s="17"/>
      <c r="L963" s="17"/>
      <c r="M963" s="17"/>
      <c r="N963" s="17"/>
      <c r="O963" s="17"/>
      <c r="P963" s="17"/>
      <c r="Q963" s="17"/>
      <c r="R963" s="17"/>
      <c r="S963" s="205"/>
      <c r="T963" s="205"/>
      <c r="U963" s="205"/>
      <c r="V963" s="205"/>
      <c r="W963" s="17"/>
      <c r="X963" s="17"/>
      <c r="Y963" s="17"/>
      <c r="Z963" s="17"/>
      <c r="AA963" s="17"/>
      <c r="AB963" s="17"/>
    </row>
    <row r="964">
      <c r="A964" s="17"/>
      <c r="B964" s="17"/>
      <c r="C964" s="17"/>
      <c r="D964" s="17"/>
      <c r="E964" s="17"/>
      <c r="F964" s="301"/>
      <c r="G964" s="17"/>
      <c r="H964" s="17"/>
      <c r="I964" s="17"/>
      <c r="J964" s="17"/>
      <c r="K964" s="17"/>
      <c r="L964" s="17"/>
      <c r="M964" s="17"/>
      <c r="N964" s="17"/>
      <c r="O964" s="17"/>
      <c r="P964" s="17"/>
      <c r="Q964" s="17"/>
      <c r="R964" s="17"/>
      <c r="S964" s="205"/>
      <c r="T964" s="205"/>
      <c r="U964" s="205"/>
      <c r="V964" s="205"/>
      <c r="W964" s="17"/>
      <c r="X964" s="17"/>
      <c r="Y964" s="17"/>
      <c r="Z964" s="17"/>
      <c r="AA964" s="17"/>
      <c r="AB964" s="17"/>
    </row>
    <row r="965">
      <c r="A965" s="17"/>
      <c r="B965" s="17"/>
      <c r="C965" s="17"/>
      <c r="D965" s="17"/>
      <c r="E965" s="17"/>
      <c r="F965" s="301"/>
      <c r="G965" s="17"/>
      <c r="H965" s="17"/>
      <c r="I965" s="17"/>
      <c r="J965" s="17"/>
      <c r="K965" s="17"/>
      <c r="L965" s="17"/>
      <c r="M965" s="17"/>
      <c r="N965" s="17"/>
      <c r="O965" s="17"/>
      <c r="P965" s="17"/>
      <c r="Q965" s="17"/>
      <c r="R965" s="17"/>
      <c r="S965" s="205"/>
      <c r="T965" s="205"/>
      <c r="U965" s="205"/>
      <c r="V965" s="205"/>
      <c r="W965" s="17"/>
      <c r="X965" s="17"/>
      <c r="Y965" s="17"/>
      <c r="Z965" s="17"/>
      <c r="AA965" s="17"/>
      <c r="AB965" s="17"/>
    </row>
    <row r="966">
      <c r="A966" s="17"/>
      <c r="B966" s="17"/>
      <c r="C966" s="17"/>
      <c r="D966" s="17"/>
      <c r="E966" s="17"/>
      <c r="F966" s="301"/>
      <c r="G966" s="17"/>
      <c r="H966" s="17"/>
      <c r="I966" s="17"/>
      <c r="J966" s="17"/>
      <c r="K966" s="17"/>
      <c r="L966" s="17"/>
      <c r="M966" s="17"/>
      <c r="N966" s="17"/>
      <c r="O966" s="17"/>
      <c r="P966" s="17"/>
      <c r="Q966" s="17"/>
      <c r="R966" s="17"/>
      <c r="S966" s="205"/>
      <c r="T966" s="205"/>
      <c r="U966" s="205"/>
      <c r="V966" s="205"/>
      <c r="W966" s="17"/>
      <c r="X966" s="17"/>
      <c r="Y966" s="17"/>
      <c r="Z966" s="17"/>
      <c r="AA966" s="17"/>
      <c r="AB966" s="17"/>
    </row>
    <row r="967">
      <c r="A967" s="17"/>
      <c r="B967" s="17"/>
      <c r="C967" s="17"/>
      <c r="D967" s="17"/>
      <c r="E967" s="17"/>
      <c r="F967" s="301"/>
      <c r="G967" s="17"/>
      <c r="H967" s="17"/>
      <c r="I967" s="17"/>
      <c r="J967" s="17"/>
      <c r="K967" s="17"/>
      <c r="L967" s="17"/>
      <c r="M967" s="17"/>
      <c r="N967" s="17"/>
      <c r="O967" s="17"/>
      <c r="P967" s="17"/>
      <c r="Q967" s="17"/>
      <c r="R967" s="17"/>
      <c r="S967" s="205"/>
      <c r="T967" s="205"/>
      <c r="U967" s="205"/>
      <c r="V967" s="205"/>
      <c r="W967" s="17"/>
      <c r="X967" s="17"/>
      <c r="Y967" s="17"/>
      <c r="Z967" s="17"/>
      <c r="AA967" s="17"/>
      <c r="AB967" s="17"/>
    </row>
    <row r="968">
      <c r="A968" s="17"/>
      <c r="B968" s="17"/>
      <c r="C968" s="17"/>
      <c r="D968" s="17"/>
      <c r="E968" s="17"/>
      <c r="F968" s="301"/>
      <c r="G968" s="17"/>
      <c r="H968" s="17"/>
      <c r="I968" s="17"/>
      <c r="J968" s="17"/>
      <c r="K968" s="17"/>
      <c r="L968" s="17"/>
      <c r="M968" s="17"/>
      <c r="N968" s="17"/>
      <c r="O968" s="17"/>
      <c r="P968" s="17"/>
      <c r="Q968" s="17"/>
      <c r="R968" s="17"/>
      <c r="S968" s="205"/>
      <c r="T968" s="205"/>
      <c r="U968" s="205"/>
      <c r="V968" s="205"/>
      <c r="W968" s="17"/>
      <c r="X968" s="17"/>
      <c r="Y968" s="17"/>
      <c r="Z968" s="17"/>
      <c r="AA968" s="17"/>
      <c r="AB968" s="17"/>
    </row>
    <row r="969">
      <c r="A969" s="17"/>
      <c r="B969" s="17"/>
      <c r="C969" s="17"/>
      <c r="D969" s="17"/>
      <c r="E969" s="17"/>
      <c r="F969" s="301"/>
      <c r="G969" s="17"/>
      <c r="H969" s="17"/>
      <c r="I969" s="17"/>
      <c r="J969" s="17"/>
      <c r="K969" s="17"/>
      <c r="L969" s="17"/>
      <c r="M969" s="17"/>
      <c r="N969" s="17"/>
      <c r="O969" s="17"/>
      <c r="P969" s="17"/>
      <c r="Q969" s="17"/>
      <c r="R969" s="17"/>
      <c r="S969" s="205"/>
      <c r="T969" s="205"/>
      <c r="U969" s="205"/>
      <c r="V969" s="205"/>
      <c r="W969" s="17"/>
      <c r="X969" s="17"/>
      <c r="Y969" s="17"/>
      <c r="Z969" s="17"/>
      <c r="AA969" s="17"/>
      <c r="AB969" s="17"/>
    </row>
    <row r="970">
      <c r="A970" s="17"/>
      <c r="B970" s="17"/>
      <c r="C970" s="17"/>
      <c r="D970" s="17"/>
      <c r="E970" s="17"/>
      <c r="F970" s="301"/>
      <c r="G970" s="17"/>
      <c r="H970" s="17"/>
      <c r="I970" s="17"/>
      <c r="J970" s="17"/>
      <c r="K970" s="17"/>
      <c r="L970" s="17"/>
      <c r="M970" s="17"/>
      <c r="N970" s="17"/>
      <c r="O970" s="17"/>
      <c r="P970" s="17"/>
      <c r="Q970" s="17"/>
      <c r="R970" s="17"/>
      <c r="S970" s="205"/>
      <c r="T970" s="205"/>
      <c r="U970" s="205"/>
      <c r="V970" s="205"/>
      <c r="W970" s="17"/>
      <c r="X970" s="17"/>
      <c r="Y970" s="17"/>
      <c r="Z970" s="17"/>
      <c r="AA970" s="17"/>
      <c r="AB970" s="17"/>
    </row>
    <row r="971">
      <c r="A971" s="17"/>
      <c r="B971" s="17"/>
      <c r="C971" s="17"/>
      <c r="D971" s="17"/>
      <c r="E971" s="17"/>
      <c r="F971" s="301"/>
      <c r="G971" s="17"/>
      <c r="H971" s="17"/>
      <c r="I971" s="17"/>
      <c r="J971" s="17"/>
      <c r="K971" s="17"/>
      <c r="L971" s="17"/>
      <c r="M971" s="17"/>
      <c r="N971" s="17"/>
      <c r="O971" s="17"/>
      <c r="P971" s="17"/>
      <c r="Q971" s="17"/>
      <c r="R971" s="17"/>
      <c r="S971" s="205"/>
      <c r="T971" s="205"/>
      <c r="U971" s="205"/>
      <c r="V971" s="205"/>
      <c r="W971" s="17"/>
      <c r="X971" s="17"/>
      <c r="Y971" s="17"/>
      <c r="Z971" s="17"/>
      <c r="AA971" s="17"/>
      <c r="AB971" s="17"/>
    </row>
    <row r="972">
      <c r="A972" s="17"/>
      <c r="B972" s="17"/>
      <c r="C972" s="17"/>
      <c r="D972" s="17"/>
      <c r="E972" s="17"/>
      <c r="F972" s="301"/>
      <c r="G972" s="17"/>
      <c r="H972" s="17"/>
      <c r="I972" s="17"/>
      <c r="J972" s="17"/>
      <c r="K972" s="17"/>
      <c r="L972" s="17"/>
      <c r="M972" s="17"/>
      <c r="N972" s="17"/>
      <c r="O972" s="17"/>
      <c r="P972" s="17"/>
      <c r="Q972" s="17"/>
      <c r="R972" s="17"/>
      <c r="S972" s="205"/>
      <c r="T972" s="205"/>
      <c r="U972" s="205"/>
      <c r="V972" s="205"/>
      <c r="W972" s="17"/>
      <c r="X972" s="17"/>
      <c r="Y972" s="17"/>
      <c r="Z972" s="17"/>
      <c r="AA972" s="17"/>
      <c r="AB972" s="17"/>
    </row>
    <row r="973">
      <c r="A973" s="17"/>
      <c r="B973" s="17"/>
      <c r="C973" s="17"/>
      <c r="D973" s="17"/>
      <c r="E973" s="17"/>
      <c r="F973" s="301"/>
      <c r="G973" s="17"/>
      <c r="H973" s="17"/>
      <c r="I973" s="17"/>
      <c r="J973" s="17"/>
      <c r="K973" s="17"/>
      <c r="L973" s="17"/>
      <c r="M973" s="17"/>
      <c r="N973" s="17"/>
      <c r="O973" s="17"/>
      <c r="P973" s="17"/>
      <c r="Q973" s="17"/>
      <c r="R973" s="17"/>
      <c r="S973" s="205"/>
      <c r="T973" s="205"/>
      <c r="U973" s="205"/>
      <c r="V973" s="205"/>
      <c r="W973" s="17"/>
      <c r="X973" s="17"/>
      <c r="Y973" s="17"/>
      <c r="Z973" s="17"/>
      <c r="AA973" s="17"/>
      <c r="AB973" s="17"/>
    </row>
    <row r="974">
      <c r="A974" s="17"/>
      <c r="B974" s="17"/>
      <c r="C974" s="17"/>
      <c r="D974" s="17"/>
      <c r="E974" s="17"/>
      <c r="F974" s="301"/>
      <c r="G974" s="17"/>
      <c r="H974" s="17"/>
      <c r="I974" s="17"/>
      <c r="J974" s="17"/>
      <c r="K974" s="17"/>
      <c r="L974" s="17"/>
      <c r="M974" s="17"/>
      <c r="N974" s="17"/>
      <c r="O974" s="17"/>
      <c r="P974" s="17"/>
      <c r="Q974" s="17"/>
      <c r="R974" s="17"/>
      <c r="S974" s="205"/>
      <c r="T974" s="205"/>
      <c r="U974" s="205"/>
      <c r="V974" s="205"/>
      <c r="W974" s="17"/>
      <c r="X974" s="17"/>
      <c r="Y974" s="17"/>
      <c r="Z974" s="17"/>
      <c r="AA974" s="17"/>
      <c r="AB974" s="17"/>
    </row>
    <row r="975">
      <c r="A975" s="17"/>
      <c r="B975" s="17"/>
      <c r="C975" s="17"/>
      <c r="D975" s="17"/>
      <c r="E975" s="17"/>
      <c r="F975" s="301"/>
      <c r="G975" s="17"/>
      <c r="H975" s="17"/>
      <c r="I975" s="17"/>
      <c r="J975" s="17"/>
      <c r="K975" s="17"/>
      <c r="L975" s="17"/>
      <c r="M975" s="17"/>
      <c r="N975" s="17"/>
      <c r="O975" s="17"/>
      <c r="P975" s="17"/>
      <c r="Q975" s="17"/>
      <c r="R975" s="17"/>
      <c r="S975" s="205"/>
      <c r="T975" s="205"/>
      <c r="U975" s="205"/>
      <c r="V975" s="205"/>
      <c r="W975" s="17"/>
      <c r="X975" s="17"/>
      <c r="Y975" s="17"/>
      <c r="Z975" s="17"/>
      <c r="AA975" s="17"/>
      <c r="AB975" s="17"/>
    </row>
    <row r="976">
      <c r="A976" s="17"/>
      <c r="B976" s="17"/>
      <c r="C976" s="17"/>
      <c r="D976" s="17"/>
      <c r="E976" s="17"/>
      <c r="F976" s="301"/>
      <c r="G976" s="17"/>
      <c r="H976" s="17"/>
      <c r="I976" s="17"/>
      <c r="J976" s="17"/>
      <c r="K976" s="17"/>
      <c r="L976" s="17"/>
      <c r="M976" s="17"/>
      <c r="N976" s="17"/>
      <c r="O976" s="17"/>
      <c r="P976" s="17"/>
      <c r="Q976" s="17"/>
      <c r="R976" s="17"/>
      <c r="S976" s="205"/>
      <c r="T976" s="205"/>
      <c r="U976" s="205"/>
      <c r="V976" s="205"/>
      <c r="W976" s="17"/>
      <c r="X976" s="17"/>
      <c r="Y976" s="17"/>
      <c r="Z976" s="17"/>
      <c r="AA976" s="17"/>
      <c r="AB976" s="17"/>
    </row>
    <row r="977">
      <c r="A977" s="17"/>
      <c r="B977" s="17"/>
      <c r="C977" s="17"/>
      <c r="D977" s="17"/>
      <c r="E977" s="17"/>
      <c r="F977" s="301"/>
      <c r="G977" s="17"/>
      <c r="H977" s="17"/>
      <c r="I977" s="17"/>
      <c r="J977" s="17"/>
      <c r="K977" s="17"/>
      <c r="L977" s="17"/>
      <c r="M977" s="17"/>
      <c r="N977" s="17"/>
      <c r="O977" s="17"/>
      <c r="P977" s="17"/>
      <c r="Q977" s="17"/>
      <c r="R977" s="17"/>
      <c r="S977" s="205"/>
      <c r="T977" s="205"/>
      <c r="U977" s="205"/>
      <c r="V977" s="205"/>
      <c r="W977" s="17"/>
      <c r="X977" s="17"/>
      <c r="Y977" s="17"/>
      <c r="Z977" s="17"/>
      <c r="AA977" s="17"/>
      <c r="AB977" s="17"/>
    </row>
    <row r="978">
      <c r="A978" s="17"/>
      <c r="B978" s="17"/>
      <c r="C978" s="17"/>
      <c r="D978" s="17"/>
      <c r="E978" s="17"/>
      <c r="F978" s="301"/>
      <c r="G978" s="17"/>
      <c r="H978" s="17"/>
      <c r="I978" s="17"/>
      <c r="J978" s="17"/>
      <c r="K978" s="17"/>
      <c r="L978" s="17"/>
      <c r="M978" s="17"/>
      <c r="N978" s="17"/>
      <c r="O978" s="17"/>
      <c r="P978" s="17"/>
      <c r="Q978" s="17"/>
      <c r="R978" s="17"/>
      <c r="S978" s="205"/>
      <c r="T978" s="205"/>
      <c r="U978" s="205"/>
      <c r="V978" s="205"/>
      <c r="W978" s="17"/>
      <c r="X978" s="17"/>
      <c r="Y978" s="17"/>
      <c r="Z978" s="17"/>
      <c r="AA978" s="17"/>
      <c r="AB978" s="17"/>
    </row>
    <row r="979">
      <c r="A979" s="17"/>
      <c r="B979" s="17"/>
      <c r="C979" s="17"/>
      <c r="D979" s="17"/>
      <c r="E979" s="17"/>
      <c r="F979" s="301"/>
      <c r="G979" s="17"/>
      <c r="H979" s="17"/>
      <c r="I979" s="17"/>
      <c r="J979" s="17"/>
      <c r="K979" s="17"/>
      <c r="L979" s="17"/>
      <c r="M979" s="17"/>
      <c r="N979" s="17"/>
      <c r="O979" s="17"/>
      <c r="P979" s="17"/>
      <c r="Q979" s="17"/>
      <c r="R979" s="17"/>
      <c r="S979" s="205"/>
      <c r="T979" s="205"/>
      <c r="U979" s="205"/>
      <c r="V979" s="205"/>
      <c r="W979" s="17"/>
      <c r="X979" s="17"/>
      <c r="Y979" s="17"/>
      <c r="Z979" s="17"/>
      <c r="AA979" s="17"/>
      <c r="AB979" s="17"/>
    </row>
    <row r="980">
      <c r="A980" s="17"/>
      <c r="B980" s="17"/>
      <c r="C980" s="17"/>
      <c r="D980" s="17"/>
      <c r="E980" s="17"/>
      <c r="F980" s="301"/>
      <c r="G980" s="17"/>
      <c r="H980" s="17"/>
      <c r="I980" s="17"/>
      <c r="J980" s="17"/>
      <c r="K980" s="17"/>
      <c r="L980" s="17"/>
      <c r="M980" s="17"/>
      <c r="N980" s="17"/>
      <c r="O980" s="17"/>
      <c r="P980" s="17"/>
      <c r="Q980" s="17"/>
      <c r="R980" s="17"/>
      <c r="S980" s="205"/>
      <c r="T980" s="205"/>
      <c r="U980" s="205"/>
      <c r="V980" s="205"/>
      <c r="W980" s="17"/>
      <c r="X980" s="17"/>
      <c r="Y980" s="17"/>
      <c r="Z980" s="17"/>
      <c r="AA980" s="17"/>
      <c r="AB980" s="17"/>
    </row>
    <row r="981">
      <c r="A981" s="17"/>
      <c r="B981" s="17"/>
      <c r="C981" s="17"/>
      <c r="D981" s="17"/>
      <c r="E981" s="17"/>
      <c r="F981" s="301"/>
      <c r="G981" s="17"/>
      <c r="H981" s="17"/>
      <c r="I981" s="17"/>
      <c r="J981" s="17"/>
      <c r="K981" s="17"/>
      <c r="L981" s="17"/>
      <c r="M981" s="17"/>
      <c r="N981" s="17"/>
      <c r="O981" s="17"/>
      <c r="P981" s="17"/>
      <c r="Q981" s="17"/>
      <c r="R981" s="17"/>
      <c r="S981" s="205"/>
      <c r="T981" s="205"/>
      <c r="U981" s="205"/>
      <c r="V981" s="205"/>
      <c r="W981" s="17"/>
      <c r="X981" s="17"/>
      <c r="Y981" s="17"/>
      <c r="Z981" s="17"/>
      <c r="AA981" s="17"/>
      <c r="AB981" s="17"/>
    </row>
    <row r="982">
      <c r="A982" s="17"/>
      <c r="B982" s="17"/>
      <c r="C982" s="17"/>
      <c r="D982" s="17"/>
      <c r="E982" s="17"/>
      <c r="F982" s="301"/>
      <c r="G982" s="17"/>
      <c r="H982" s="17"/>
      <c r="I982" s="17"/>
      <c r="J982" s="17"/>
      <c r="K982" s="17"/>
      <c r="L982" s="17"/>
      <c r="M982" s="17"/>
      <c r="N982" s="17"/>
      <c r="O982" s="17"/>
      <c r="P982" s="17"/>
      <c r="Q982" s="17"/>
      <c r="R982" s="17"/>
      <c r="S982" s="205"/>
      <c r="T982" s="205"/>
      <c r="U982" s="205"/>
      <c r="V982" s="205"/>
      <c r="W982" s="17"/>
      <c r="X982" s="17"/>
      <c r="Y982" s="17"/>
      <c r="Z982" s="17"/>
      <c r="AA982" s="17"/>
      <c r="AB982" s="17"/>
    </row>
    <row r="983">
      <c r="A983" s="17"/>
      <c r="B983" s="17"/>
      <c r="C983" s="17"/>
      <c r="D983" s="17"/>
      <c r="E983" s="17"/>
      <c r="F983" s="301"/>
      <c r="G983" s="17"/>
      <c r="H983" s="17"/>
      <c r="I983" s="17"/>
      <c r="J983" s="17"/>
      <c r="K983" s="17"/>
      <c r="L983" s="17"/>
      <c r="M983" s="17"/>
      <c r="N983" s="17"/>
      <c r="O983" s="17"/>
      <c r="P983" s="17"/>
      <c r="Q983" s="17"/>
      <c r="R983" s="17"/>
      <c r="S983" s="205"/>
      <c r="T983" s="205"/>
      <c r="U983" s="205"/>
      <c r="V983" s="205"/>
      <c r="W983" s="17"/>
      <c r="X983" s="17"/>
      <c r="Y983" s="17"/>
      <c r="Z983" s="17"/>
      <c r="AA983" s="17"/>
      <c r="AB983" s="17"/>
    </row>
    <row r="984">
      <c r="A984" s="17"/>
      <c r="B984" s="17"/>
      <c r="C984" s="17"/>
      <c r="D984" s="17"/>
      <c r="E984" s="17"/>
      <c r="F984" s="301"/>
      <c r="G984" s="17"/>
      <c r="H984" s="17"/>
      <c r="I984" s="17"/>
      <c r="J984" s="17"/>
      <c r="K984" s="17"/>
      <c r="L984" s="17"/>
      <c r="M984" s="17"/>
      <c r="N984" s="17"/>
      <c r="O984" s="17"/>
      <c r="P984" s="17"/>
      <c r="Q984" s="17"/>
      <c r="R984" s="17"/>
      <c r="S984" s="205"/>
      <c r="T984" s="205"/>
      <c r="U984" s="205"/>
      <c r="V984" s="205"/>
      <c r="W984" s="17"/>
      <c r="X984" s="17"/>
      <c r="Y984" s="17"/>
      <c r="Z984" s="17"/>
      <c r="AA984" s="17"/>
      <c r="AB984" s="17"/>
    </row>
    <row r="985">
      <c r="A985" s="17"/>
      <c r="B985" s="17"/>
      <c r="C985" s="17"/>
      <c r="D985" s="17"/>
      <c r="E985" s="17"/>
      <c r="F985" s="301"/>
      <c r="G985" s="17"/>
      <c r="H985" s="17"/>
      <c r="I985" s="17"/>
      <c r="J985" s="17"/>
      <c r="K985" s="17"/>
      <c r="L985" s="17"/>
      <c r="M985" s="17"/>
      <c r="N985" s="17"/>
      <c r="O985" s="17"/>
      <c r="P985" s="17"/>
      <c r="Q985" s="17"/>
      <c r="R985" s="17"/>
      <c r="S985" s="205"/>
      <c r="T985" s="205"/>
      <c r="U985" s="205"/>
      <c r="V985" s="205"/>
      <c r="W985" s="17"/>
      <c r="X985" s="17"/>
      <c r="Y985" s="17"/>
      <c r="Z985" s="17"/>
      <c r="AA985" s="17"/>
      <c r="AB985" s="17"/>
    </row>
    <row r="986">
      <c r="A986" s="17"/>
      <c r="B986" s="17"/>
      <c r="C986" s="17"/>
      <c r="D986" s="17"/>
      <c r="E986" s="17"/>
      <c r="F986" s="301"/>
      <c r="G986" s="17"/>
      <c r="H986" s="17"/>
      <c r="I986" s="17"/>
      <c r="J986" s="17"/>
      <c r="K986" s="17"/>
      <c r="L986" s="17"/>
      <c r="M986" s="17"/>
      <c r="N986" s="17"/>
      <c r="O986" s="17"/>
      <c r="P986" s="17"/>
      <c r="Q986" s="17"/>
      <c r="R986" s="17"/>
      <c r="S986" s="205"/>
      <c r="T986" s="205"/>
      <c r="U986" s="205"/>
      <c r="V986" s="205"/>
      <c r="W986" s="17"/>
      <c r="X986" s="17"/>
      <c r="Y986" s="17"/>
      <c r="Z986" s="17"/>
      <c r="AA986" s="17"/>
      <c r="AB986" s="17"/>
    </row>
    <row r="987">
      <c r="A987" s="17"/>
      <c r="B987" s="17"/>
      <c r="C987" s="17"/>
      <c r="D987" s="17"/>
      <c r="E987" s="17"/>
      <c r="F987" s="301"/>
      <c r="G987" s="17"/>
      <c r="H987" s="17"/>
      <c r="I987" s="17"/>
      <c r="J987" s="17"/>
      <c r="K987" s="17"/>
      <c r="L987" s="17"/>
      <c r="M987" s="17"/>
      <c r="N987" s="17"/>
      <c r="O987" s="17"/>
      <c r="P987" s="17"/>
      <c r="Q987" s="17"/>
      <c r="R987" s="17"/>
      <c r="S987" s="205"/>
      <c r="T987" s="205"/>
      <c r="U987" s="205"/>
      <c r="V987" s="205"/>
      <c r="W987" s="17"/>
      <c r="X987" s="17"/>
      <c r="Y987" s="17"/>
      <c r="Z987" s="17"/>
      <c r="AA987" s="17"/>
      <c r="AB987" s="17"/>
    </row>
    <row r="988">
      <c r="A988" s="302"/>
      <c r="B988" s="17"/>
      <c r="C988" s="17"/>
      <c r="D988" s="17"/>
      <c r="E988" s="17"/>
      <c r="F988" s="301"/>
      <c r="G988" s="17"/>
      <c r="H988" s="17"/>
      <c r="I988" s="17"/>
      <c r="J988" s="17"/>
      <c r="K988" s="17"/>
      <c r="L988" s="17"/>
      <c r="M988" s="17"/>
      <c r="N988" s="17"/>
      <c r="O988" s="17"/>
      <c r="P988" s="17"/>
      <c r="Q988" s="17"/>
      <c r="R988" s="17"/>
      <c r="S988" s="205"/>
      <c r="T988" s="205"/>
      <c r="U988" s="205"/>
      <c r="V988" s="205"/>
      <c r="W988" s="17"/>
      <c r="X988" s="17"/>
      <c r="Y988" s="17"/>
      <c r="Z988" s="17"/>
      <c r="AA988" s="17"/>
      <c r="AB988" s="17"/>
    </row>
    <row r="989">
      <c r="A989" s="303"/>
      <c r="B989" s="17"/>
      <c r="C989" s="17"/>
      <c r="D989" s="17"/>
      <c r="E989" s="17"/>
      <c r="F989" s="301"/>
      <c r="G989" s="17"/>
      <c r="H989" s="17"/>
      <c r="I989" s="17"/>
      <c r="J989" s="17"/>
      <c r="K989" s="17"/>
      <c r="L989" s="17"/>
      <c r="M989" s="17"/>
      <c r="N989" s="17"/>
      <c r="O989" s="17"/>
      <c r="P989" s="17"/>
      <c r="Q989" s="17"/>
      <c r="R989" s="17"/>
      <c r="S989" s="205"/>
      <c r="T989" s="205"/>
      <c r="U989" s="205"/>
      <c r="V989" s="205"/>
      <c r="W989" s="17"/>
      <c r="X989" s="17"/>
      <c r="Y989" s="17"/>
      <c r="Z989" s="17"/>
      <c r="AA989" s="17"/>
      <c r="AB989" s="17"/>
    </row>
    <row r="990">
      <c r="A990" s="303"/>
      <c r="B990" s="17"/>
      <c r="C990" s="17"/>
      <c r="D990" s="17"/>
      <c r="E990" s="17"/>
      <c r="F990" s="301"/>
      <c r="G990" s="17"/>
      <c r="H990" s="17"/>
      <c r="I990" s="17"/>
      <c r="J990" s="17"/>
      <c r="K990" s="17"/>
      <c r="L990" s="17"/>
      <c r="M990" s="17"/>
      <c r="N990" s="17"/>
      <c r="O990" s="17"/>
      <c r="P990" s="17"/>
      <c r="Q990" s="17"/>
      <c r="R990" s="17"/>
      <c r="S990" s="205"/>
      <c r="T990" s="205"/>
      <c r="U990" s="205"/>
      <c r="V990" s="205"/>
      <c r="W990" s="17"/>
      <c r="X990" s="17"/>
      <c r="Y990" s="17"/>
      <c r="Z990" s="17"/>
      <c r="AA990" s="17"/>
      <c r="AB990" s="17"/>
    </row>
    <row r="991">
      <c r="A991" s="303"/>
      <c r="B991" s="17"/>
      <c r="C991" s="17"/>
      <c r="D991" s="17"/>
      <c r="E991" s="17"/>
      <c r="F991" s="301"/>
      <c r="G991" s="17"/>
      <c r="H991" s="17"/>
      <c r="I991" s="17"/>
      <c r="J991" s="17"/>
      <c r="K991" s="17"/>
      <c r="L991" s="17"/>
      <c r="M991" s="17"/>
      <c r="N991" s="17"/>
      <c r="O991" s="17"/>
      <c r="P991" s="17"/>
      <c r="Q991" s="17"/>
      <c r="R991" s="17"/>
      <c r="S991" s="205"/>
      <c r="T991" s="205"/>
      <c r="U991" s="205"/>
      <c r="V991" s="205"/>
      <c r="W991" s="17"/>
      <c r="X991" s="17"/>
      <c r="Y991" s="17"/>
      <c r="Z991" s="17"/>
      <c r="AA991" s="17"/>
      <c r="AB991" s="17"/>
    </row>
    <row r="992">
      <c r="A992" s="303"/>
      <c r="B992" s="17"/>
      <c r="C992" s="17"/>
      <c r="D992" s="17"/>
      <c r="E992" s="17"/>
      <c r="F992" s="301"/>
      <c r="G992" s="17"/>
      <c r="H992" s="17"/>
      <c r="I992" s="17"/>
      <c r="J992" s="17"/>
      <c r="K992" s="17"/>
      <c r="L992" s="17"/>
      <c r="M992" s="17"/>
      <c r="N992" s="17"/>
      <c r="O992" s="17"/>
      <c r="P992" s="17"/>
      <c r="Q992" s="17"/>
      <c r="R992" s="17"/>
      <c r="S992" s="205"/>
      <c r="T992" s="205"/>
      <c r="U992" s="205"/>
      <c r="V992" s="205"/>
      <c r="W992" s="17"/>
      <c r="X992" s="17"/>
      <c r="Y992" s="17"/>
      <c r="Z992" s="17"/>
      <c r="AA992" s="17"/>
      <c r="AB992" s="17"/>
    </row>
    <row r="993">
      <c r="A993" s="303"/>
      <c r="B993" s="17"/>
      <c r="C993" s="17"/>
      <c r="D993" s="17"/>
      <c r="E993" s="17"/>
      <c r="F993" s="301"/>
      <c r="G993" s="17"/>
      <c r="H993" s="17"/>
      <c r="I993" s="17"/>
      <c r="J993" s="17"/>
      <c r="K993" s="17"/>
      <c r="L993" s="17"/>
      <c r="M993" s="17"/>
      <c r="N993" s="17"/>
      <c r="O993" s="17"/>
      <c r="P993" s="17"/>
      <c r="Q993" s="17"/>
      <c r="R993" s="17"/>
      <c r="S993" s="205"/>
      <c r="T993" s="205"/>
      <c r="U993" s="205"/>
      <c r="V993" s="205"/>
      <c r="W993" s="17"/>
      <c r="X993" s="17"/>
      <c r="Y993" s="17"/>
      <c r="Z993" s="17"/>
      <c r="AA993" s="17"/>
      <c r="AB993" s="17"/>
    </row>
    <row r="994">
      <c r="A994" s="303"/>
      <c r="B994" s="17"/>
      <c r="C994" s="17"/>
      <c r="D994" s="17"/>
      <c r="E994" s="17"/>
      <c r="F994" s="301"/>
      <c r="G994" s="17"/>
      <c r="H994" s="17"/>
      <c r="I994" s="17"/>
      <c r="J994" s="17"/>
      <c r="K994" s="17"/>
      <c r="L994" s="17"/>
      <c r="M994" s="17"/>
      <c r="N994" s="17"/>
      <c r="O994" s="17"/>
      <c r="P994" s="17"/>
      <c r="Q994" s="17"/>
      <c r="R994" s="17"/>
      <c r="S994" s="205"/>
      <c r="T994" s="205"/>
      <c r="U994" s="205"/>
      <c r="V994" s="205"/>
      <c r="W994" s="17"/>
      <c r="X994" s="17"/>
      <c r="Y994" s="17"/>
      <c r="Z994" s="17"/>
      <c r="AA994" s="17"/>
      <c r="AB994" s="17"/>
    </row>
    <row r="995">
      <c r="A995" s="303"/>
      <c r="B995" s="17"/>
      <c r="C995" s="17"/>
      <c r="D995" s="17"/>
      <c r="E995" s="17"/>
      <c r="F995" s="301"/>
      <c r="G995" s="17"/>
      <c r="H995" s="17"/>
      <c r="I995" s="17"/>
      <c r="J995" s="17"/>
      <c r="K995" s="17"/>
      <c r="L995" s="17"/>
      <c r="M995" s="17"/>
      <c r="N995" s="17"/>
      <c r="O995" s="17"/>
      <c r="P995" s="17"/>
      <c r="Q995" s="17"/>
      <c r="R995" s="17"/>
      <c r="S995" s="205"/>
      <c r="T995" s="205"/>
      <c r="U995" s="205"/>
      <c r="V995" s="205"/>
      <c r="W995" s="17"/>
      <c r="X995" s="17"/>
      <c r="Y995" s="17"/>
      <c r="Z995" s="17"/>
      <c r="AA995" s="17"/>
      <c r="AB995" s="17"/>
    </row>
    <row r="996">
      <c r="A996" s="303"/>
      <c r="B996" s="17"/>
      <c r="C996" s="17"/>
      <c r="D996" s="17"/>
      <c r="E996" s="17"/>
      <c r="F996" s="301"/>
      <c r="G996" s="17"/>
      <c r="H996" s="17"/>
      <c r="I996" s="17"/>
      <c r="J996" s="17"/>
      <c r="K996" s="17"/>
      <c r="L996" s="17"/>
      <c r="M996" s="17"/>
      <c r="N996" s="17"/>
      <c r="O996" s="17"/>
      <c r="P996" s="17"/>
      <c r="Q996" s="17"/>
      <c r="R996" s="17"/>
      <c r="S996" s="205"/>
      <c r="T996" s="205"/>
      <c r="U996" s="205"/>
      <c r="V996" s="205"/>
      <c r="W996" s="17"/>
      <c r="X996" s="17"/>
      <c r="Y996" s="17"/>
      <c r="Z996" s="17"/>
      <c r="AA996" s="17"/>
      <c r="AB996" s="17"/>
    </row>
    <row r="997">
      <c r="A997" s="303"/>
      <c r="B997" s="17"/>
      <c r="C997" s="17"/>
      <c r="D997" s="17"/>
      <c r="E997" s="17"/>
      <c r="F997" s="301"/>
      <c r="G997" s="17"/>
      <c r="H997" s="17"/>
      <c r="I997" s="17"/>
      <c r="J997" s="17"/>
      <c r="K997" s="17"/>
      <c r="L997" s="17"/>
      <c r="M997" s="17"/>
      <c r="N997" s="17"/>
      <c r="O997" s="17"/>
      <c r="P997" s="17"/>
      <c r="Q997" s="17"/>
      <c r="R997" s="17"/>
      <c r="S997" s="205"/>
      <c r="T997" s="205"/>
      <c r="U997" s="205"/>
      <c r="V997" s="205"/>
      <c r="W997" s="17"/>
      <c r="X997" s="17"/>
      <c r="Y997" s="17"/>
      <c r="Z997" s="17"/>
      <c r="AA997" s="17"/>
      <c r="AB997" s="17"/>
    </row>
    <row r="998">
      <c r="A998" s="303"/>
      <c r="B998" s="17"/>
      <c r="C998" s="17"/>
      <c r="D998" s="17"/>
      <c r="E998" s="17"/>
      <c r="F998" s="301"/>
      <c r="G998" s="17"/>
      <c r="H998" s="17"/>
      <c r="I998" s="17"/>
      <c r="J998" s="17"/>
      <c r="K998" s="17"/>
      <c r="L998" s="17"/>
      <c r="M998" s="17"/>
      <c r="N998" s="17"/>
      <c r="O998" s="17"/>
      <c r="P998" s="17"/>
      <c r="Q998" s="17"/>
      <c r="R998" s="17"/>
      <c r="S998" s="205"/>
      <c r="T998" s="205"/>
      <c r="U998" s="205"/>
      <c r="V998" s="205"/>
      <c r="W998" s="17"/>
      <c r="X998" s="17"/>
      <c r="Y998" s="17"/>
      <c r="Z998" s="17"/>
      <c r="AA998" s="17"/>
      <c r="AB998" s="17"/>
    </row>
    <row r="999">
      <c r="A999" s="303"/>
      <c r="B999" s="17"/>
      <c r="C999" s="17"/>
      <c r="D999" s="17"/>
      <c r="E999" s="17"/>
      <c r="F999" s="301"/>
      <c r="G999" s="17"/>
      <c r="H999" s="17"/>
      <c r="I999" s="17"/>
      <c r="J999" s="17"/>
      <c r="K999" s="17"/>
      <c r="L999" s="17"/>
      <c r="M999" s="17"/>
      <c r="N999" s="17"/>
      <c r="O999" s="17"/>
      <c r="P999" s="17"/>
      <c r="Q999" s="17"/>
      <c r="R999" s="17"/>
      <c r="S999" s="205"/>
      <c r="T999" s="205"/>
      <c r="U999" s="205"/>
      <c r="V999" s="205"/>
      <c r="W999" s="17"/>
      <c r="X999" s="17"/>
      <c r="Y999" s="17"/>
      <c r="Z999" s="17"/>
      <c r="AA999" s="17"/>
      <c r="AB999" s="17"/>
    </row>
    <row r="1000">
      <c r="A1000" s="303"/>
      <c r="B1000" s="17"/>
      <c r="C1000" s="17"/>
      <c r="D1000" s="17"/>
      <c r="E1000" s="17"/>
      <c r="F1000" s="301"/>
      <c r="G1000" s="17"/>
      <c r="H1000" s="17"/>
      <c r="I1000" s="17"/>
      <c r="J1000" s="17"/>
      <c r="K1000" s="17"/>
      <c r="L1000" s="17"/>
      <c r="M1000" s="17"/>
      <c r="N1000" s="17"/>
      <c r="O1000" s="17"/>
      <c r="P1000" s="17"/>
      <c r="Q1000" s="17"/>
      <c r="R1000" s="17"/>
      <c r="S1000" s="205"/>
      <c r="T1000" s="205"/>
      <c r="U1000" s="205"/>
      <c r="V1000" s="205"/>
      <c r="W1000" s="17"/>
      <c r="X1000" s="17"/>
      <c r="Y1000" s="17"/>
      <c r="Z1000" s="17"/>
      <c r="AA1000" s="17"/>
      <c r="AB1000" s="17"/>
    </row>
    <row r="1001">
      <c r="A1001" s="303"/>
      <c r="B1001" s="17"/>
      <c r="C1001" s="17"/>
      <c r="D1001" s="17"/>
      <c r="E1001" s="17"/>
      <c r="F1001" s="301"/>
      <c r="G1001" s="17"/>
      <c r="H1001" s="17"/>
      <c r="I1001" s="17"/>
      <c r="J1001" s="17"/>
      <c r="K1001" s="17"/>
      <c r="L1001" s="17"/>
      <c r="M1001" s="17"/>
      <c r="N1001" s="17"/>
      <c r="O1001" s="17"/>
      <c r="P1001" s="17"/>
      <c r="Q1001" s="17"/>
      <c r="R1001" s="17"/>
      <c r="S1001" s="205"/>
      <c r="T1001" s="205"/>
      <c r="U1001" s="205"/>
      <c r="V1001" s="205"/>
      <c r="W1001" s="17"/>
      <c r="X1001" s="17"/>
      <c r="Y1001" s="17"/>
      <c r="Z1001" s="17"/>
      <c r="AA1001" s="17"/>
      <c r="AB1001" s="17"/>
    </row>
    <row r="1002">
      <c r="A1002" s="303"/>
      <c r="B1002" s="17"/>
      <c r="C1002" s="17"/>
      <c r="D1002" s="17"/>
      <c r="E1002" s="17"/>
      <c r="F1002" s="301"/>
      <c r="G1002" s="17"/>
      <c r="H1002" s="17"/>
      <c r="I1002" s="17"/>
      <c r="J1002" s="17"/>
      <c r="K1002" s="17"/>
      <c r="L1002" s="17"/>
      <c r="M1002" s="17"/>
      <c r="N1002" s="17"/>
      <c r="O1002" s="17"/>
      <c r="P1002" s="17"/>
      <c r="Q1002" s="17"/>
      <c r="R1002" s="17"/>
      <c r="S1002" s="205"/>
      <c r="T1002" s="205"/>
      <c r="U1002" s="205"/>
      <c r="V1002" s="205"/>
      <c r="W1002" s="17"/>
      <c r="X1002" s="17"/>
      <c r="Y1002" s="17"/>
      <c r="Z1002" s="17"/>
      <c r="AA1002" s="17"/>
      <c r="AB1002" s="17"/>
    </row>
    <row r="1003">
      <c r="A1003" s="303"/>
      <c r="B1003" s="17"/>
      <c r="C1003" s="17"/>
      <c r="D1003" s="17"/>
      <c r="E1003" s="17"/>
      <c r="F1003" s="301"/>
      <c r="G1003" s="17"/>
      <c r="H1003" s="17"/>
      <c r="I1003" s="17"/>
      <c r="J1003" s="17"/>
      <c r="K1003" s="17"/>
      <c r="L1003" s="17"/>
      <c r="M1003" s="17"/>
      <c r="N1003" s="17"/>
      <c r="O1003" s="17"/>
      <c r="P1003" s="17"/>
      <c r="Q1003" s="17"/>
      <c r="R1003" s="17"/>
      <c r="S1003" s="205"/>
      <c r="T1003" s="205"/>
      <c r="U1003" s="205"/>
      <c r="V1003" s="205"/>
      <c r="W1003" s="17"/>
      <c r="X1003" s="17"/>
      <c r="Y1003" s="17"/>
      <c r="Z1003" s="17"/>
      <c r="AA1003" s="17"/>
      <c r="AB1003" s="17"/>
    </row>
    <row r="1004">
      <c r="A1004" s="303"/>
      <c r="B1004" s="17"/>
      <c r="C1004" s="17"/>
      <c r="D1004" s="17"/>
      <c r="E1004" s="17"/>
      <c r="F1004" s="301"/>
      <c r="G1004" s="17"/>
      <c r="H1004" s="17"/>
      <c r="I1004" s="17"/>
      <c r="J1004" s="17"/>
      <c r="K1004" s="17"/>
      <c r="L1004" s="17"/>
      <c r="M1004" s="17"/>
      <c r="N1004" s="17"/>
      <c r="O1004" s="17"/>
      <c r="P1004" s="17"/>
      <c r="Q1004" s="17"/>
      <c r="R1004" s="17"/>
      <c r="S1004" s="205"/>
      <c r="T1004" s="205"/>
      <c r="U1004" s="205"/>
      <c r="V1004" s="205"/>
      <c r="W1004" s="17"/>
      <c r="X1004" s="17"/>
      <c r="Y1004" s="17"/>
      <c r="Z1004" s="17"/>
      <c r="AA1004" s="17"/>
      <c r="AB1004" s="17"/>
    </row>
    <row r="1005">
      <c r="A1005" s="303"/>
      <c r="B1005" s="17"/>
      <c r="C1005" s="17"/>
      <c r="D1005" s="17"/>
      <c r="E1005" s="17"/>
      <c r="F1005" s="301"/>
      <c r="G1005" s="17"/>
      <c r="H1005" s="17"/>
      <c r="I1005" s="17"/>
      <c r="J1005" s="17"/>
      <c r="K1005" s="17"/>
      <c r="L1005" s="17"/>
      <c r="M1005" s="17"/>
      <c r="N1005" s="17"/>
      <c r="O1005" s="17"/>
      <c r="P1005" s="17"/>
      <c r="Q1005" s="17"/>
      <c r="R1005" s="17"/>
      <c r="S1005" s="205"/>
      <c r="T1005" s="205"/>
      <c r="U1005" s="205"/>
      <c r="V1005" s="205"/>
      <c r="W1005" s="17"/>
      <c r="X1005" s="17"/>
      <c r="Y1005" s="17"/>
      <c r="Z1005" s="17"/>
      <c r="AA1005" s="17"/>
      <c r="AB1005" s="17"/>
    </row>
    <row r="1006">
      <c r="A1006" s="303"/>
      <c r="B1006" s="17"/>
      <c r="C1006" s="17"/>
      <c r="D1006" s="17"/>
      <c r="E1006" s="17"/>
      <c r="F1006" s="301"/>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303"/>
      <c r="B1007" s="17"/>
      <c r="C1007" s="17"/>
      <c r="D1007" s="17"/>
      <c r="E1007" s="17"/>
      <c r="F1007" s="301"/>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303"/>
      <c r="B1008" s="17"/>
      <c r="C1008" s="17"/>
      <c r="D1008" s="17"/>
      <c r="E1008" s="17"/>
      <c r="F1008" s="301"/>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303"/>
      <c r="B1009" s="17"/>
      <c r="C1009" s="17"/>
      <c r="D1009" s="17"/>
      <c r="E1009" s="17"/>
      <c r="F1009" s="301"/>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303"/>
      <c r="B1010" s="17"/>
      <c r="C1010" s="17"/>
      <c r="D1010" s="17"/>
      <c r="E1010" s="17"/>
      <c r="F1010" s="301"/>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303"/>
      <c r="B1011" s="17"/>
      <c r="C1011" s="17"/>
      <c r="D1011" s="17"/>
      <c r="E1011" s="17"/>
      <c r="F1011" s="301"/>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303"/>
      <c r="B1012" s="17"/>
      <c r="C1012" s="17"/>
      <c r="D1012" s="17"/>
      <c r="E1012" s="17"/>
      <c r="F1012" s="301"/>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303"/>
      <c r="B1013" s="17"/>
      <c r="C1013" s="17"/>
      <c r="D1013" s="17"/>
      <c r="E1013" s="17"/>
      <c r="F1013" s="301"/>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303"/>
      <c r="B1014" s="17"/>
      <c r="C1014" s="17"/>
      <c r="D1014" s="17"/>
      <c r="E1014" s="17"/>
      <c r="F1014" s="301"/>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303"/>
      <c r="B1015" s="17"/>
      <c r="C1015" s="17"/>
      <c r="D1015" s="17"/>
      <c r="E1015" s="17"/>
      <c r="F1015" s="301"/>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303"/>
      <c r="B1016" s="17"/>
      <c r="C1016" s="17"/>
      <c r="D1016" s="17"/>
      <c r="E1016" s="17"/>
      <c r="F1016" s="301"/>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213</v>
      </c>
      <c r="D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G1" s="57" t="s">
        <v>214</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30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P1" s="304"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S1" s="30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V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Y1" s="305" t="s">
        <v>3841</v>
      </c>
      <c r="AB1" s="306"/>
      <c r="AC1" s="306"/>
      <c r="AD1" s="306"/>
      <c r="AE1" s="306"/>
    </row>
    <row r="2" ht="41.25" customHeight="1">
      <c r="AB2" s="306"/>
      <c r="AC2" s="306"/>
      <c r="AD2" s="306"/>
      <c r="AE2" s="306"/>
    </row>
    <row r="3" ht="88.5" customHeight="1">
      <c r="A3" s="70" t="s">
        <v>3842</v>
      </c>
      <c r="B3" s="307" t="s">
        <v>3843</v>
      </c>
      <c r="C3" s="308" t="s">
        <v>3844</v>
      </c>
      <c r="D3" s="67" t="str">
        <f>IFERROR(__xludf.DUMMYFUNCTION("GOOGLETRANSLATE(A3,""zh-tw"",""ja"")"),"プロジェクト")</f>
        <v>プロジェクト</v>
      </c>
      <c r="E3" s="309"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310" t="str">
        <f>IFERROR(__xludf.DUMMYFUNCTION("GOOGLETRANSLATE(C3,""zh-tw"",""ja"")"),"述べる")</f>
        <v>述べる</v>
      </c>
      <c r="G3" s="70" t="s">
        <v>3845</v>
      </c>
      <c r="H3" s="307" t="s">
        <v>3846</v>
      </c>
      <c r="I3" s="310" t="str">
        <f>IFERROR(__xludf.DUMMYFUNCTION("GOOGLETRANSLATE(C3,""zh-tw"",""en"")"),"Remark")</f>
        <v>Remark</v>
      </c>
      <c r="J3" s="67" t="str">
        <f>IFERROR(__xludf.DUMMYFUNCTION("GOOGLETRANSLATE(A3,""zh-tw"",""zh"")"),"项目")</f>
        <v>项目</v>
      </c>
      <c r="K3" s="309" t="str">
        <f>IFERROR(__xludf.DUMMYFUNCTION("GOOGLETRANSLATE(B3,""zh-tw"",""zh"")"),"特殊掉落
P.S.通用掉落物不列入
(泛用型白.蓝品质装备和消耗道具)")</f>
        <v>特殊掉落
P.S.通用掉落物不列入
(泛用型白.蓝品质装备和消耗道具)</v>
      </c>
      <c r="L3" s="310" t="str">
        <f>IFERROR(__xludf.DUMMYFUNCTION("GOOGLETRANSLATE(C3,""zh-tw"",""zh"")"),"备注")</f>
        <v>备注</v>
      </c>
      <c r="M3" s="311" t="str">
        <f>IFERROR(__xludf.DUMMYFUNCTION("GOOGLETRANSLATE(A3,""zh-tw"",""es-MX"")"),"proyecto")</f>
        <v>proyecto</v>
      </c>
      <c r="N3" s="312" t="str">
        <f>IFERROR(__xludf.DUMMYFUNCTION("GOOGLETRANSLATE(B3,""zh-tw"",""es-MX"")"),"Artículos especiales
Nota: Los artículos generales no están incluidos.
(Equipamiento y consumibles universales de calidad blanca y azul)")</f>
        <v>Artículos especiales
Nota: Los artículos generales no están incluidos.
(Equipamiento y consumibles universales de calidad blanca y azul)</v>
      </c>
      <c r="O3" s="313" t="str">
        <f>IFERROR(__xludf.DUMMYFUNCTION("GOOGLETRANSLATE(C3,""zh-tw"",""es-MX"")"),"Observación")</f>
        <v>Observación</v>
      </c>
      <c r="P3" s="311" t="str">
        <f>IFERROR(__xludf.DUMMYFUNCTION("GOOGLETRANSLATE(A3,""zh-tw"",""KO"")"),"프로젝트")</f>
        <v>프로젝트</v>
      </c>
      <c r="Q3" s="309"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13" t="str">
        <f>IFERROR(__xludf.DUMMYFUNCTION("GOOGLETRANSLATE(C3,""zh-tw"",""KO"")"),"주목")</f>
        <v>주목</v>
      </c>
      <c r="S3" s="311"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13" t="str">
        <f>IFERROR(__xludf.DUMMYFUNCTION("GOOGLETRANSLATE(C3,""zh-tw"",""ru"")"),"Замечание")</f>
        <v>Замечание</v>
      </c>
      <c r="V3" s="314" t="s">
        <v>3847</v>
      </c>
      <c r="W3" s="14" t="s">
        <v>3848</v>
      </c>
      <c r="X3" s="315" t="s">
        <v>3849</v>
      </c>
      <c r="Y3" s="150" t="s">
        <v>3850</v>
      </c>
      <c r="Z3" s="316" t="s">
        <v>3851</v>
      </c>
      <c r="AA3" s="317" t="s">
        <v>3852</v>
      </c>
      <c r="AB3" s="318"/>
      <c r="AC3" s="318"/>
      <c r="AD3" s="318"/>
      <c r="AE3" s="318"/>
    </row>
    <row r="4">
      <c r="A4" s="153" t="s">
        <v>3853</v>
      </c>
      <c r="B4" s="167" t="s">
        <v>3854</v>
      </c>
      <c r="C4" s="319" t="s">
        <v>724</v>
      </c>
      <c r="D4" s="320" t="str">
        <f>IFERROR(__xludf.DUMMYFUNCTION("GOOGLETRANSLATE(A4,""zh-tw"",""ja"")"),"バナナの妖精")</f>
        <v>バナナの妖精</v>
      </c>
      <c r="E4" s="321" t="str">
        <f>IFERROR(__xludf.DUMMYFUNCTION("GOOGLETRANSLATE(B4,""zh-tw"",""ja"")"),"バナナの妖精/バナナ？")</f>
        <v>バナナの妖精/バナナ？</v>
      </c>
      <c r="F4" s="322" t="str">
        <f>IFERROR(__xludf.DUMMYFUNCTION("GOOGLETRANSLATE(C4,""zh-tw"",""ja"")"),"-")</f>
        <v>-</v>
      </c>
      <c r="G4" s="179" t="s">
        <v>3855</v>
      </c>
      <c r="H4" s="323" t="s">
        <v>3856</v>
      </c>
      <c r="I4" s="322" t="str">
        <f>IFERROR(__xludf.DUMMYFUNCTION("GOOGLETRANSLATE(C4,""zh-tw"",""en"")"),"-")</f>
        <v>-</v>
      </c>
      <c r="J4" s="320" t="str">
        <f>IFERROR(__xludf.DUMMYFUNCTION("GOOGLETRANSLATE(A4,""zh-tw"",""zh"")"),"香蕉妖精")</f>
        <v>香蕉妖精</v>
      </c>
      <c r="K4" s="321" t="str">
        <f>IFERROR(__xludf.DUMMYFUNCTION("GOOGLETRANSLATE(B4,""zh-tw"",""zh"")"),"香蕉妖精/香蕉?")</f>
        <v>香蕉妖精/香蕉?</v>
      </c>
      <c r="L4" s="322" t="str">
        <f>IFERROR(__xludf.DUMMYFUNCTION("GOOGLETRANSLATE(C4,""zh-tw"",""zh"")"),"-")</f>
        <v>-</v>
      </c>
      <c r="M4" s="154" t="str">
        <f>IFERROR(__xludf.DUMMYFUNCTION("GOOGLETRANSLATE(A4,""zh-tw"",""es-MX"")"),"Hada del plátano")</f>
        <v>Hada del plátano</v>
      </c>
      <c r="N4" s="168" t="str">
        <f>IFERROR(__xludf.DUMMYFUNCTION("GOOGLETRANSLATE(B4,""zh-tw"",""es-MX"")"),"Hada del plátano/¿Plátano?")</f>
        <v>Hada del plátano/¿Plátano?</v>
      </c>
      <c r="O4" s="324" t="str">
        <f>IFERROR(__xludf.DUMMYFUNCTION("GOOGLETRANSLATE(C4,""zh-tw"",""es-MX"")"),"-")</f>
        <v>-</v>
      </c>
      <c r="P4" s="154" t="str">
        <f>IFERROR(__xludf.DUMMYFUNCTION("GOOGLETRANSLATE(A4,""zh-tw"",""KO"")"),"바나나 요정")</f>
        <v>바나나 요정</v>
      </c>
      <c r="Q4" s="168" t="str">
        <f>IFERROR(__xludf.DUMMYFUNCTION("GOOGLETRANSLATE(B4,""zh-tw"",""KO"")"),"바나나 요정/바나나?")</f>
        <v>바나나 요정/바나나?</v>
      </c>
      <c r="R4" s="324" t="str">
        <f>IFERROR(__xludf.DUMMYFUNCTION("GOOGLETRANSLATE(C4,""zh-tw"",""KO"")"),"-")</f>
        <v>-</v>
      </c>
      <c r="S4" s="320" t="str">
        <f>IFERROR(__xludf.DUMMYFUNCTION("GOOGLETRANSLATE(A4,""zh-tw"",""ru"")"),"Банановая фея")</f>
        <v>Банановая фея</v>
      </c>
      <c r="T4" s="321" t="str">
        <f>IFERROR(__xludf.DUMMYFUNCTION("GOOGLETRANSLATE(B4,""zh-tw"",""ru"")"),"Банановая Фея/Банан?")</f>
        <v>Банановая Фея/Банан?</v>
      </c>
      <c r="U4" s="322" t="str">
        <f>IFERROR(__xludf.DUMMYFUNCTION("GOOGLETRANSLATE(C4,""zh-tw"",""ru"")"),"-")</f>
        <v>-</v>
      </c>
      <c r="V4" s="179" t="s">
        <v>3857</v>
      </c>
      <c r="W4" s="323" t="s">
        <v>3858</v>
      </c>
      <c r="X4" s="325" t="s">
        <v>3859</v>
      </c>
      <c r="Y4" s="160" t="s">
        <v>3860</v>
      </c>
      <c r="Z4" s="170" t="s">
        <v>3861</v>
      </c>
      <c r="AA4" s="326" t="s">
        <v>724</v>
      </c>
      <c r="AB4" s="17"/>
      <c r="AC4" s="17"/>
      <c r="AD4" s="17"/>
      <c r="AE4" s="17"/>
    </row>
    <row r="5">
      <c r="A5" s="153" t="s">
        <v>3862</v>
      </c>
      <c r="B5" s="167" t="s">
        <v>3863</v>
      </c>
      <c r="C5" s="319" t="s">
        <v>724</v>
      </c>
      <c r="D5" s="320" t="str">
        <f>IFERROR(__xludf.DUMMYFUNCTION("GOOGLETRANSLATE(A5,""zh-tw"",""ja"")"),"リンゴの妖精")</f>
        <v>リンゴの妖精</v>
      </c>
      <c r="E5" s="321" t="str">
        <f>IFERROR(__xludf.DUMMYFUNCTION("GOOGLETRANSLATE(B5,""zh-tw"",""ja"")"),"リンゴの妖精/リンゴのヘッドギア")</f>
        <v>リンゴの妖精/リンゴのヘッドギア</v>
      </c>
      <c r="F5" s="322" t="str">
        <f>IFERROR(__xludf.DUMMYFUNCTION("GOOGLETRANSLATE(C5,""zh-tw"",""ja"")"),"-")</f>
        <v>-</v>
      </c>
      <c r="G5" s="179" t="s">
        <v>3864</v>
      </c>
      <c r="H5" s="323" t="s">
        <v>3865</v>
      </c>
      <c r="I5" s="322" t="str">
        <f>IFERROR(__xludf.DUMMYFUNCTION("GOOGLETRANSLATE(C5,""zh-tw"",""en"")"),"-")</f>
        <v>-</v>
      </c>
      <c r="J5" s="320" t="str">
        <f>IFERROR(__xludf.DUMMYFUNCTION("GOOGLETRANSLATE(A5,""zh-tw"",""zh"")"),"苹果妖精")</f>
        <v>苹果妖精</v>
      </c>
      <c r="K5" s="321" t="str">
        <f>IFERROR(__xludf.DUMMYFUNCTION("GOOGLETRANSLATE(B5,""zh-tw"",""zh"")"),"苹果妖精/苹果头套")</f>
        <v>苹果妖精/苹果头套</v>
      </c>
      <c r="L5" s="322" t="str">
        <f>IFERROR(__xludf.DUMMYFUNCTION("GOOGLETRANSLATE(C5,""zh-tw"",""zh"")"),"-")</f>
        <v>-</v>
      </c>
      <c r="M5" s="154" t="str">
        <f>IFERROR(__xludf.DUMMYFUNCTION("GOOGLETRANSLATE(A5,""zh-tw"",""es-MX"")"),"Hada de la manzana")</f>
        <v>Hada de la manzana</v>
      </c>
      <c r="N5" s="168" t="str">
        <f>IFERROR(__xludf.DUMMYFUNCTION("GOOGLETRANSLATE(B5,""zh-tw"",""es-MX"")"),"Hada de la manzana/Tocado de manzana")</f>
        <v>Hada de la manzana/Tocado de manzana</v>
      </c>
      <c r="O5" s="324" t="str">
        <f>IFERROR(__xludf.DUMMYFUNCTION("GOOGLETRANSLATE(C5,""zh-tw"",""es-MX"")"),"-")</f>
        <v>-</v>
      </c>
      <c r="P5" s="153" t="s">
        <v>3866</v>
      </c>
      <c r="Q5" s="167" t="s">
        <v>3867</v>
      </c>
      <c r="R5" s="324" t="str">
        <f>IFERROR(__xludf.DUMMYFUNCTION("GOOGLETRANSLATE(C5,""zh-tw"",""KO"")"),"-")</f>
        <v>-</v>
      </c>
      <c r="S5" s="320" t="str">
        <f>IFERROR(__xludf.DUMMYFUNCTION("GOOGLETRANSLATE(A5,""zh-tw"",""ru"")"),"Яблочная Фея")</f>
        <v>Яблочная Фея</v>
      </c>
      <c r="T5" s="321" t="str">
        <f>IFERROR(__xludf.DUMMYFUNCTION("GOOGLETRANSLATE(B5,""zh-tw"",""ru"")"),"Яблочная Фея/Головной убор Яблока")</f>
        <v>Яблочная Фея/Головной убор Яблока</v>
      </c>
      <c r="U5" s="322" t="str">
        <f>IFERROR(__xludf.DUMMYFUNCTION("GOOGLETRANSLATE(C5,""zh-tw"",""ru"")"),"-")</f>
        <v>-</v>
      </c>
      <c r="V5" s="179" t="s">
        <v>3868</v>
      </c>
      <c r="W5" s="323" t="s">
        <v>3869</v>
      </c>
      <c r="X5" s="325" t="s">
        <v>3859</v>
      </c>
      <c r="Y5" s="160" t="s">
        <v>3870</v>
      </c>
      <c r="Z5" s="170" t="s">
        <v>3871</v>
      </c>
      <c r="AA5" s="326" t="s">
        <v>724</v>
      </c>
      <c r="AB5" s="17"/>
      <c r="AC5" s="17"/>
      <c r="AD5" s="17"/>
      <c r="AE5" s="17"/>
    </row>
    <row r="6">
      <c r="A6" s="153" t="s">
        <v>3872</v>
      </c>
      <c r="B6" s="167" t="s">
        <v>3873</v>
      </c>
      <c r="C6" s="319" t="s">
        <v>724</v>
      </c>
      <c r="D6" s="320" t="str">
        <f>IFERROR(__xludf.DUMMYFUNCTION("GOOGLETRANSLATE(A6,""zh-tw"",""ja"")"),"猫スライム")</f>
        <v>猫スライム</v>
      </c>
      <c r="E6" s="323" t="s">
        <v>3874</v>
      </c>
      <c r="F6" s="322" t="str">
        <f>IFERROR(__xludf.DUMMYFUNCTION("GOOGLETRANSLATE(C6,""zh-tw"",""ja"")"),"-")</f>
        <v>-</v>
      </c>
      <c r="G6" s="179" t="s">
        <v>3875</v>
      </c>
      <c r="H6" s="323" t="s">
        <v>3876</v>
      </c>
      <c r="I6" s="322" t="str">
        <f>IFERROR(__xludf.DUMMYFUNCTION("GOOGLETRANSLATE(C6,""zh-tw"",""en"")"),"-")</f>
        <v>-</v>
      </c>
      <c r="J6" s="320" t="str">
        <f>IFERROR(__xludf.DUMMYFUNCTION("GOOGLETRANSLATE(A6,""zh-tw"",""zh"")"),"猫咪史莱姆")</f>
        <v>猫咪史莱姆</v>
      </c>
      <c r="K6" s="321" t="str">
        <f>IFERROR(__xludf.DUMMYFUNCTION("GOOGLETRANSLATE(B6,""zh-tw"",""zh"")"),"史莱姆的黏液/借来的猫爪/招财猫")</f>
        <v>史莱姆的黏液/借来的猫爪/招财猫</v>
      </c>
      <c r="L6" s="322" t="str">
        <f>IFERROR(__xludf.DUMMYFUNCTION("GOOGLETRANSLATE(C6,""zh-tw"",""zh"")"),"-")</f>
        <v>-</v>
      </c>
      <c r="M6" s="154" t="str">
        <f>IFERROR(__xludf.DUMMYFUNCTION("GOOGLETRANSLATE(A6,""zh-tw"",""es-MX"")"),"Baba de gato")</f>
        <v>Baba de gato</v>
      </c>
      <c r="N6" s="168" t="str">
        <f>IFERROR(__xludf.DUMMYFUNCTION("GOOGLETRANSLATE(B6,""zh-tw"",""es-MX"")"),"Slime's Slime/Pata de gato prestada/Gato de la suerte")</f>
        <v>Slime's Slime/Pata de gato prestada/Gato de la suerte</v>
      </c>
      <c r="O6" s="324" t="str">
        <f>IFERROR(__xludf.DUMMYFUNCTION("GOOGLETRANSLATE(C6,""zh-tw"",""es-MX"")"),"-")</f>
        <v>-</v>
      </c>
      <c r="P6" s="154" t="str">
        <f>IFERROR(__xludf.DUMMYFUNCTION("GOOGLETRANSLATE(A6,""zh-tw"",""KO"")"),"고양이 슬라임")</f>
        <v>고양이 슬라임</v>
      </c>
      <c r="Q6" s="167" t="s">
        <v>3877</v>
      </c>
      <c r="R6" s="324" t="str">
        <f>IFERROR(__xludf.DUMMYFUNCTION("GOOGLETRANSLATE(C6,""zh-tw"",""KO"")"),"-")</f>
        <v>-</v>
      </c>
      <c r="S6" s="320" t="str">
        <f>IFERROR(__xludf.DUMMYFUNCTION("GOOGLETRANSLATE(A6,""zh-tw"",""ru"")"),"Кошачья слизь")</f>
        <v>Кошачья слизь</v>
      </c>
      <c r="T6" s="321" t="str">
        <f>IFERROR(__xludf.DUMMYFUNCTION("GOOGLETRANSLATE(B6,""zh-tw"",""ru"")"),"Слизь слизи/Кошачья лапка взаймы/Счастливый кот")</f>
        <v>Слизь слизи/Кошачья лапка взаймы/Счастливый кот</v>
      </c>
      <c r="U6" s="322" t="str">
        <f>IFERROR(__xludf.DUMMYFUNCTION("GOOGLETRANSLATE(C6,""zh-tw"",""ru"")"),"-")</f>
        <v>-</v>
      </c>
      <c r="V6" s="179" t="s">
        <v>3878</v>
      </c>
      <c r="W6" s="323" t="s">
        <v>3879</v>
      </c>
      <c r="X6" s="325" t="s">
        <v>3859</v>
      </c>
      <c r="Y6" s="160" t="s">
        <v>3880</v>
      </c>
      <c r="Z6" s="170" t="s">
        <v>3881</v>
      </c>
      <c r="AA6" s="326" t="s">
        <v>724</v>
      </c>
      <c r="AB6" s="17"/>
      <c r="AC6" s="17"/>
      <c r="AD6" s="17"/>
      <c r="AE6" s="17"/>
    </row>
    <row r="7">
      <c r="A7" s="153" t="s">
        <v>3882</v>
      </c>
      <c r="B7" s="167" t="s">
        <v>3883</v>
      </c>
      <c r="C7" s="319" t="s">
        <v>724</v>
      </c>
      <c r="D7" s="320" t="str">
        <f>IFERROR(__xludf.DUMMYFUNCTION("GOOGLETRANSLATE(A7,""zh-tw"",""ja"")"),"草食スライム")</f>
        <v>草食スライム</v>
      </c>
      <c r="E7" s="323" t="s">
        <v>3884</v>
      </c>
      <c r="F7" s="322" t="str">
        <f>IFERROR(__xludf.DUMMYFUNCTION("GOOGLETRANSLATE(C7,""zh-tw"",""ja"")"),"-")</f>
        <v>-</v>
      </c>
      <c r="G7" s="179" t="s">
        <v>3885</v>
      </c>
      <c r="H7" s="323" t="s">
        <v>3886</v>
      </c>
      <c r="I7" s="322" t="str">
        <f>IFERROR(__xludf.DUMMYFUNCTION("GOOGLETRANSLATE(C7,""zh-tw"",""en"")"),"-")</f>
        <v>-</v>
      </c>
      <c r="J7" s="320" t="str">
        <f>IFERROR(__xludf.DUMMYFUNCTION("GOOGLETRANSLATE(A7,""zh-tw"",""zh"")"),"草食史莱姆")</f>
        <v>草食史莱姆</v>
      </c>
      <c r="K7" s="321" t="str">
        <f>IFERROR(__xludf.DUMMYFUNCTION("GOOGLETRANSLATE(B7,""zh-tw"",""zh"")"),"斩裂剑提尔锋/史莱姆的黏液/硬木棒/硬木剑")</f>
        <v>斩裂剑提尔锋/史莱姆的黏液/硬木棒/硬木剑</v>
      </c>
      <c r="L7" s="322" t="str">
        <f>IFERROR(__xludf.DUMMYFUNCTION("GOOGLETRANSLATE(C7,""zh-tw"",""zh"")"),"-")</f>
        <v>-</v>
      </c>
      <c r="M7" s="154" t="str">
        <f>IFERROR(__xludf.DUMMYFUNCTION("GOOGLETRANSLATE(A7,""zh-tw"",""es-MX"")"),"Limo herbívoro")</f>
        <v>Limo herbívoro</v>
      </c>
      <c r="N7" s="168" t="str">
        <f>IFERROR(__xludf.DUMMYFUNCTION("GOOGLETRANSLATE(B7,""zh-tw"",""es-MX"")"),"Espada cortante Filo de Tyr / Limo Limo / Maza de madera dura / Espada de madera dura")</f>
        <v>Espada cortante Filo de Tyr / Limo Limo / Maza de madera dura / Espada de madera dura</v>
      </c>
      <c r="O7" s="324" t="str">
        <f>IFERROR(__xludf.DUMMYFUNCTION("GOOGLETRANSLATE(C7,""zh-tw"",""es-MX"")"),"-")</f>
        <v>-</v>
      </c>
      <c r="P7" s="153" t="s">
        <v>3887</v>
      </c>
      <c r="Q7" s="167" t="s">
        <v>3888</v>
      </c>
      <c r="R7" s="324" t="str">
        <f>IFERROR(__xludf.DUMMYFUNCTION("GOOGLETRANSLATE(C7,""zh-tw"",""KO"")"),"-")</f>
        <v>-</v>
      </c>
      <c r="S7" s="320" t="str">
        <f>IFERROR(__xludf.DUMMYFUNCTION("GOOGLETRANSLATE(A7,""zh-tw"",""ru"")"),"Травоядная слизь")</f>
        <v>Травоядная слизь</v>
      </c>
      <c r="T7" s="321" t="str">
        <f>IFERROR(__xludf.DUMMYFUNCTION("GOOGLETRANSLATE(B7,""zh-tw"",""ru"")"),"Режущий меч, Лезвие Тира / Слизь, слизь / Дубинка из твёрдой древесины / Меч из твёрдой древесины")</f>
        <v>Режущий меч, Лезвие Тира / Слизь, слизь / Дубинка из твёрдой древесины / Меч из твёрдой древесины</v>
      </c>
      <c r="U7" s="322" t="str">
        <f>IFERROR(__xludf.DUMMYFUNCTION("GOOGLETRANSLATE(C7,""zh-tw"",""ru"")"),"-")</f>
        <v>-</v>
      </c>
      <c r="V7" s="179" t="s">
        <v>3889</v>
      </c>
      <c r="W7" s="323" t="s">
        <v>3890</v>
      </c>
      <c r="X7" s="325" t="s">
        <v>3859</v>
      </c>
      <c r="Y7" s="160" t="s">
        <v>3891</v>
      </c>
      <c r="Z7" s="170" t="s">
        <v>3892</v>
      </c>
      <c r="AA7" s="326" t="s">
        <v>724</v>
      </c>
      <c r="AB7" s="17"/>
      <c r="AC7" s="17"/>
      <c r="AD7" s="17"/>
      <c r="AE7" s="17"/>
    </row>
    <row r="8">
      <c r="A8" s="153" t="s">
        <v>3893</v>
      </c>
      <c r="B8" s="167" t="s">
        <v>3894</v>
      </c>
      <c r="C8" s="319" t="s">
        <v>724</v>
      </c>
      <c r="D8" s="179" t="s">
        <v>3895</v>
      </c>
      <c r="E8" s="323" t="s">
        <v>3896</v>
      </c>
      <c r="F8" s="322" t="str">
        <f>IFERROR(__xludf.DUMMYFUNCTION("GOOGLETRANSLATE(C8,""zh-tw"",""ja"")"),"-")</f>
        <v>-</v>
      </c>
      <c r="G8" s="179" t="s">
        <v>3897</v>
      </c>
      <c r="H8" s="323" t="s">
        <v>3898</v>
      </c>
      <c r="I8" s="322" t="str">
        <f>IFERROR(__xludf.DUMMYFUNCTION("GOOGLETRANSLATE(C8,""zh-tw"",""en"")"),"-")</f>
        <v>-</v>
      </c>
      <c r="J8" s="320" t="str">
        <f>IFERROR(__xludf.DUMMYFUNCTION("GOOGLETRANSLATE(A8,""zh-tw"",""zh"")"),"急冻史莱姆")</f>
        <v>急冻史莱姆</v>
      </c>
      <c r="K8" s="321" t="str">
        <f>IFERROR(__xludf.DUMMYFUNCTION("GOOGLETRANSLATE(B8,""zh-tw"",""zh"")"),"雪见/寒冰杖/魔力晶簇/史莱姆的黏液/塔罗牌")</f>
        <v>雪见/寒冰杖/魔力晶簇/史莱姆的黏液/塔罗牌</v>
      </c>
      <c r="L8" s="322" t="str">
        <f>IFERROR(__xludf.DUMMYFUNCTION("GOOGLETRANSLATE(C8,""zh-tw"",""zh"")"),"-")</f>
        <v>-</v>
      </c>
      <c r="M8" s="154" t="str">
        <f>IFERROR(__xludf.DUMMYFUNCTION("GOOGLETRANSLATE(A8,""zh-tw"",""es-MX"")"),"Limo congelado")</f>
        <v>Limo congelado</v>
      </c>
      <c r="N8" s="168" t="str">
        <f>IFERROR(__xludf.DUMMYFUNCTION("GOOGLETRANSLATE(B8,""zh-tw"",""es-MX"")"),"Observación de la nieve / Bastón de hielo / Racimo de cristales mágicos / Slime Slime / Cartas del Tarot")</f>
        <v>Observación de la nieve / Bastón de hielo / Racimo de cristales mágicos / Slime Slime / Cartas del Tarot</v>
      </c>
      <c r="O8" s="324" t="str">
        <f>IFERROR(__xludf.DUMMYFUNCTION("GOOGLETRANSLATE(C8,""zh-tw"",""es-MX"")"),"-")</f>
        <v>-</v>
      </c>
      <c r="P8" s="153" t="s">
        <v>3899</v>
      </c>
      <c r="Q8" s="167" t="s">
        <v>3900</v>
      </c>
      <c r="R8" s="324" t="str">
        <f>IFERROR(__xludf.DUMMYFUNCTION("GOOGLETRANSLATE(C8,""zh-tw"",""KO"")"),"-")</f>
        <v>-</v>
      </c>
      <c r="S8" s="320" t="str">
        <f>IFERROR(__xludf.DUMMYFUNCTION("GOOGLETRANSLATE(A8,""zh-tw"",""ru"")"),"Замороженная слизь")</f>
        <v>Замороженная слизь</v>
      </c>
      <c r="T8" s="321" t="str">
        <f>IFERROR(__xludf.DUMMYFUNCTION("GOOGLETRANSLATE(B8,""zh-tw"",""ru"")"),"Снежный пейзаж / Ледяной посох / Магический кристалл / Слизь / Карты Таро")</f>
        <v>Снежный пейзаж / Ледяной посох / Магический кристалл / Слизь / Карты Таро</v>
      </c>
      <c r="U8" s="322" t="str">
        <f>IFERROR(__xludf.DUMMYFUNCTION("GOOGLETRANSLATE(C8,""zh-tw"",""ru"")"),"-")</f>
        <v>-</v>
      </c>
      <c r="V8" s="179" t="s">
        <v>3901</v>
      </c>
      <c r="W8" s="323" t="s">
        <v>3902</v>
      </c>
      <c r="X8" s="325" t="s">
        <v>3859</v>
      </c>
      <c r="Y8" s="160" t="s">
        <v>3903</v>
      </c>
      <c r="Z8" s="170" t="s">
        <v>3904</v>
      </c>
      <c r="AA8" s="326" t="s">
        <v>724</v>
      </c>
      <c r="AB8" s="17"/>
      <c r="AC8" s="17"/>
      <c r="AD8" s="17"/>
      <c r="AE8" s="17"/>
    </row>
    <row r="9">
      <c r="A9" s="153" t="s">
        <v>3905</v>
      </c>
      <c r="B9" s="167" t="s">
        <v>3906</v>
      </c>
      <c r="C9" s="319" t="s">
        <v>724</v>
      </c>
      <c r="D9" s="320" t="str">
        <f>IFERROR(__xludf.DUMMYFUNCTION("GOOGLETRANSLATE(A9,""zh-tw"",""ja"")"),"ジャックスライム")</f>
        <v>ジャックスライム</v>
      </c>
      <c r="E9" s="323" t="s">
        <v>3907</v>
      </c>
      <c r="F9" s="322" t="str">
        <f>IFERROR(__xludf.DUMMYFUNCTION("GOOGLETRANSLATE(C9,""zh-tw"",""ja"")"),"-")</f>
        <v>-</v>
      </c>
      <c r="G9" s="179" t="s">
        <v>3908</v>
      </c>
      <c r="H9" s="323" t="s">
        <v>3909</v>
      </c>
      <c r="I9" s="325" t="s">
        <v>724</v>
      </c>
      <c r="J9" s="320" t="str">
        <f>IFERROR(__xludf.DUMMYFUNCTION("GOOGLETRANSLATE(A9,""zh-tw"",""zh"")"),"杰克史莱姆")</f>
        <v>杰克史莱姆</v>
      </c>
      <c r="K9" s="321" t="str">
        <f>IFERROR(__xludf.DUMMYFUNCTION("GOOGLETRANSLATE(B9,""zh-tw"",""zh"")"),"杰克爆弹/史莱姆的黏液/炸弹魔之魂")</f>
        <v>杰克爆弹/史莱姆的黏液/炸弹魔之魂</v>
      </c>
      <c r="L9" s="322" t="str">
        <f>IFERROR(__xludf.DUMMYFUNCTION("GOOGLETRANSLATE(C9,""zh-tw"",""zh"")"),"-")</f>
        <v>-</v>
      </c>
      <c r="M9" s="154" t="str">
        <f>IFERROR(__xludf.DUMMYFUNCTION("GOOGLETRANSLATE(A9,""zh-tw"",""es-MX"")"),"Jack Slime")</f>
        <v>Jack Slime</v>
      </c>
      <c r="N9" s="168" t="str">
        <f>IFERROR(__xludf.DUMMYFUNCTION("GOOGLETRANSLATE(B9,""zh-tw"",""es-MX"")"),"Jack la Bomba / La Baba de Slime / El Alma del Bombardero")</f>
        <v>Jack la Bomba / La Baba de Slime / El Alma del Bombardero</v>
      </c>
      <c r="O9" s="324" t="str">
        <f>IFERROR(__xludf.DUMMYFUNCTION("GOOGLETRANSLATE(C9,""zh-tw"",""es-MX"")"),"-")</f>
        <v>-</v>
      </c>
      <c r="P9" s="154" t="str">
        <f>IFERROR(__xludf.DUMMYFUNCTION("GOOGLETRANSLATE(A9,""zh-tw"",""KO"")"),"잭 슬라임")</f>
        <v>잭 슬라임</v>
      </c>
      <c r="Q9" s="167" t="s">
        <v>3910</v>
      </c>
      <c r="R9" s="324" t="str">
        <f>IFERROR(__xludf.DUMMYFUNCTION("GOOGLETRANSLATE(C9,""zh-tw"",""KO"")"),"-")</f>
        <v>-</v>
      </c>
      <c r="S9" s="320" t="str">
        <f>IFERROR(__xludf.DUMMYFUNCTION("GOOGLETRANSLATE(A9,""zh-tw"",""ru"")"),"Джек Слайм")</f>
        <v>Джек Слайм</v>
      </c>
      <c r="T9" s="321" t="str">
        <f>IFERROR(__xludf.DUMMYFUNCTION("GOOGLETRANSLATE(B9,""zh-tw"",""ru"")"),"Джек Бомба / Слизь Слайма / Душа Бомбардира")</f>
        <v>Джек Бомба / Слизь Слайма / Душа Бомбардира</v>
      </c>
      <c r="U9" s="322" t="str">
        <f>IFERROR(__xludf.DUMMYFUNCTION("GOOGLETRANSLATE(C9,""zh-tw"",""ru"")"),"-")</f>
        <v>-</v>
      </c>
      <c r="V9" s="179" t="s">
        <v>3911</v>
      </c>
      <c r="W9" s="323" t="s">
        <v>3912</v>
      </c>
      <c r="X9" s="325" t="s">
        <v>3859</v>
      </c>
      <c r="Y9" s="160" t="s">
        <v>3913</v>
      </c>
      <c r="Z9" s="170" t="s">
        <v>3914</v>
      </c>
      <c r="AA9" s="326" t="s">
        <v>724</v>
      </c>
      <c r="AB9" s="17"/>
      <c r="AC9" s="17"/>
      <c r="AD9" s="17"/>
      <c r="AE9" s="17"/>
    </row>
    <row r="10" ht="41.25" customHeight="1">
      <c r="A10" s="153" t="s">
        <v>3915</v>
      </c>
      <c r="B10" s="167" t="s">
        <v>3916</v>
      </c>
      <c r="C10" s="319" t="s">
        <v>724</v>
      </c>
      <c r="D10" s="179" t="s">
        <v>3917</v>
      </c>
      <c r="E10" s="323" t="s">
        <v>3918</v>
      </c>
      <c r="F10" s="322" t="str">
        <f>IFERROR(__xludf.DUMMYFUNCTION("GOOGLETRANSLATE(C10,""zh-tw"",""ja"")"),"-")</f>
        <v>-</v>
      </c>
      <c r="G10" s="179" t="s">
        <v>3919</v>
      </c>
      <c r="H10" s="323" t="s">
        <v>3920</v>
      </c>
      <c r="I10" s="325" t="s">
        <v>724</v>
      </c>
      <c r="J10" s="320" t="str">
        <f>IFERROR(__xludf.DUMMYFUNCTION("GOOGLETRANSLATE(A10,""zh-tw"",""zh"")"),"恶灵史莱姆")</f>
        <v>恶灵史莱姆</v>
      </c>
      <c r="K10" s="321" t="str">
        <f>IFERROR(__xludf.DUMMYFUNCTION("GOOGLETRANSLATE(B10,""zh-tw"",""zh"")"),"来自地狱/史莱姆的黏液/堕落法师的手套/魔力晶簇/史莱姆的黏液")</f>
        <v>来自地狱/史莱姆的黏液/堕落法师的手套/魔力晶簇/史莱姆的黏液</v>
      </c>
      <c r="L10" s="322" t="str">
        <f>IFERROR(__xludf.DUMMYFUNCTION("GOOGLETRANSLATE(C10,""zh-tw"",""zh"")"),"-")</f>
        <v>-</v>
      </c>
      <c r="M10" s="154" t="str">
        <f>IFERROR(__xludf.DUMMYFUNCTION("GOOGLETRANSLATE(A10,""zh-tw"",""es-MX"")"),"Slime malvado")</f>
        <v>Slime malvado</v>
      </c>
      <c r="N10" s="168" t="str">
        <f>IFERROR(__xludf.DUMMYFUNCTION("GOOGLETRANSLATE(B10,""zh-tw"",""es-MX"")"),"Desde el infierno / Limo Limo / Guantes de mago caído / Racimo de cristal mágico / Limo Limo")</f>
        <v>Desde el infierno / Limo Limo / Guantes de mago caído / Racimo de cristal mágico / Limo Limo</v>
      </c>
      <c r="O10" s="324" t="str">
        <f>IFERROR(__xludf.DUMMYFUNCTION("GOOGLETRANSLATE(C10,""zh-tw"",""es-MX"")"),"-")</f>
        <v>-</v>
      </c>
      <c r="P10" s="153" t="s">
        <v>3921</v>
      </c>
      <c r="Q10" s="167" t="s">
        <v>3922</v>
      </c>
      <c r="R10" s="324" t="str">
        <f>IFERROR(__xludf.DUMMYFUNCTION("GOOGLETRANSLATE(C10,""zh-tw"",""KO"")"),"-")</f>
        <v>-</v>
      </c>
      <c r="S10" s="320" t="str">
        <f>IFERROR(__xludf.DUMMYFUNCTION("GOOGLETRANSLATE(A10,""zh-tw"",""ru"")"),"Злая слизь")</f>
        <v>Злая слизь</v>
      </c>
      <c r="T10" s="321" t="str">
        <f>IFERROR(__xludf.DUMMYFUNCTION("GOOGLETRANSLATE(B10,""zh-tw"",""ru"")"),"Из ада / Слизь Слизь / Перчатки падшего мага / Скопление магических кристаллов / Слизь Слизь")</f>
        <v>Из ада / Слизь Слизь / Перчатки падшего мага / Скопление магических кристаллов / Слизь Слизь</v>
      </c>
      <c r="U10" s="322" t="str">
        <f>IFERROR(__xludf.DUMMYFUNCTION("GOOGLETRANSLATE(C10,""zh-tw"",""ru"")"),"-")</f>
        <v>-</v>
      </c>
      <c r="V10" s="179" t="s">
        <v>3923</v>
      </c>
      <c r="W10" s="323" t="s">
        <v>3924</v>
      </c>
      <c r="X10" s="325" t="s">
        <v>3859</v>
      </c>
      <c r="Y10" s="160" t="s">
        <v>3925</v>
      </c>
      <c r="Z10" s="170" t="s">
        <v>3926</v>
      </c>
      <c r="AA10" s="326" t="s">
        <v>724</v>
      </c>
      <c r="AB10" s="17"/>
      <c r="AC10" s="17"/>
      <c r="AD10" s="17"/>
      <c r="AE10" s="17"/>
    </row>
    <row r="11">
      <c r="A11" s="153" t="s">
        <v>3927</v>
      </c>
      <c r="B11" s="167" t="s">
        <v>3928</v>
      </c>
      <c r="C11" s="319" t="s">
        <v>724</v>
      </c>
      <c r="D11" s="320" t="str">
        <f>IFERROR(__xludf.DUMMYFUNCTION("GOOGLETRANSLATE(A11,""zh-tw"",""ja"")"),"ビリビリスライム")</f>
        <v>ビリビリスライム</v>
      </c>
      <c r="E11" s="323" t="s">
        <v>3929</v>
      </c>
      <c r="F11" s="322" t="str">
        <f>IFERROR(__xludf.DUMMYFUNCTION("GOOGLETRANSLATE(C11,""zh-tw"",""ja"")"),"-")</f>
        <v>-</v>
      </c>
      <c r="G11" s="179" t="s">
        <v>3930</v>
      </c>
      <c r="H11" s="323" t="s">
        <v>3931</v>
      </c>
      <c r="I11" s="322" t="str">
        <f>IFERROR(__xludf.DUMMYFUNCTION("GOOGLETRANSLATE(C11,""zh-tw"",""en"")"),"-")</f>
        <v>-</v>
      </c>
      <c r="J11" s="320" t="str">
        <f>IFERROR(__xludf.DUMMYFUNCTION("GOOGLETRANSLATE(A11,""zh-tw"",""zh"")"),"哔哩哔哩史莱姆")</f>
        <v>哔哩哔哩史莱姆</v>
      </c>
      <c r="K11" s="321" t="str">
        <f>IFERROR(__xludf.DUMMYFUNCTION("GOOGLETRANSLATE(B11,""zh-tw"",""zh"")"),"千鸟/史莱姆的黏液/塔罗牌")</f>
        <v>千鸟/史莱姆的黏液/塔罗牌</v>
      </c>
      <c r="L11" s="322" t="str">
        <f>IFERROR(__xludf.DUMMYFUNCTION("GOOGLETRANSLATE(C11,""zh-tw"",""zh"")"),"-")</f>
        <v>-</v>
      </c>
      <c r="M11" s="154" t="str">
        <f>IFERROR(__xludf.DUMMYFUNCTION("GOOGLETRANSLATE(A11,""zh-tw"",""es-MX"")"),"Bilibili Slime")</f>
        <v>Bilibili Slime</v>
      </c>
      <c r="N11" s="168" t="str">
        <f>IFERROR(__xludf.DUMMYFUNCTION("GOOGLETRANSLATE(B11,""zh-tw"",""es-MX"")"),"Chidori/Baba de Slime/Cartas del Tarot")</f>
        <v>Chidori/Baba de Slime/Cartas del Tarot</v>
      </c>
      <c r="O11" s="324" t="str">
        <f>IFERROR(__xludf.DUMMYFUNCTION("GOOGLETRANSLATE(C11,""zh-tw"",""es-MX"")"),"-")</f>
        <v>-</v>
      </c>
      <c r="P11" s="153" t="s">
        <v>3932</v>
      </c>
      <c r="Q11" s="167" t="s">
        <v>3933</v>
      </c>
      <c r="R11" s="324" t="str">
        <f>IFERROR(__xludf.DUMMYFUNCTION("GOOGLETRANSLATE(C11,""zh-tw"",""KO"")"),"-")</f>
        <v>-</v>
      </c>
      <c r="S11" s="320" t="str">
        <f>IFERROR(__xludf.DUMMYFUNCTION("GOOGLETRANSLATE(A11,""zh-tw"",""ru"")"),"Билибили Слайм")</f>
        <v>Билибили Слайм</v>
      </c>
      <c r="T11" s="321" t="str">
        <f>IFERROR(__xludf.DUMMYFUNCTION("GOOGLETRANSLATE(B11,""zh-tw"",""ru"")"),"Чидори/Слизь Слизи/Карты Таро")</f>
        <v>Чидори/Слизь Слизи/Карты Таро</v>
      </c>
      <c r="U11" s="322" t="str">
        <f>IFERROR(__xludf.DUMMYFUNCTION("GOOGLETRANSLATE(C11,""zh-tw"",""ru"")"),"-")</f>
        <v>-</v>
      </c>
      <c r="V11" s="179" t="s">
        <v>3934</v>
      </c>
      <c r="W11" s="323" t="s">
        <v>3935</v>
      </c>
      <c r="X11" s="325" t="s">
        <v>3859</v>
      </c>
      <c r="Y11" s="160" t="s">
        <v>3936</v>
      </c>
      <c r="Z11" s="170" t="s">
        <v>3937</v>
      </c>
      <c r="AA11" s="326" t="s">
        <v>724</v>
      </c>
      <c r="AB11" s="17"/>
      <c r="AC11" s="17"/>
      <c r="AD11" s="17"/>
      <c r="AE11" s="17"/>
    </row>
    <row r="12">
      <c r="A12" s="153" t="s">
        <v>3938</v>
      </c>
      <c r="B12" s="167" t="s">
        <v>3939</v>
      </c>
      <c r="C12" s="319" t="s">
        <v>724</v>
      </c>
      <c r="D12" s="179" t="s">
        <v>3940</v>
      </c>
      <c r="E12" s="323" t="s">
        <v>3941</v>
      </c>
      <c r="F12" s="322" t="str">
        <f>IFERROR(__xludf.DUMMYFUNCTION("GOOGLETRANSLATE(C12,""zh-tw"",""ja"")"),"-")</f>
        <v>-</v>
      </c>
      <c r="G12" s="179" t="s">
        <v>3942</v>
      </c>
      <c r="H12" s="323" t="s">
        <v>3943</v>
      </c>
      <c r="I12" s="322" t="str">
        <f>IFERROR(__xludf.DUMMYFUNCTION("GOOGLETRANSLATE(C12,""zh-tw"",""en"")"),"-")</f>
        <v>-</v>
      </c>
      <c r="J12" s="320" t="str">
        <f>IFERROR(__xludf.DUMMYFUNCTION("GOOGLETRANSLATE(A12,""zh-tw"",""zh"")"),"初级兽人")</f>
        <v>初级兽人</v>
      </c>
      <c r="K12" s="323" t="s">
        <v>3944</v>
      </c>
      <c r="L12" s="322" t="str">
        <f>IFERROR(__xludf.DUMMYFUNCTION("GOOGLETRANSLATE(C12,""zh-tw"",""zh"")"),"-")</f>
        <v>-</v>
      </c>
      <c r="M12" s="154" t="str">
        <f>IFERROR(__xludf.DUMMYFUNCTION("GOOGLETRANSLATE(A12,""zh-tw"",""es-MX"")"),"Principiantes")</f>
        <v>Principiantes</v>
      </c>
      <c r="N12" s="168" t="str">
        <f>IFERROR(__xludf.DUMMYFUNCTION("GOOGLETRANSLATE(B12,""zh-tw"",""es-MX"")"),"Carne de animales pequeños / Carne de animales grandes / Cacerola de hueso de orco")</f>
        <v>Carne de animales pequeños / Carne de animales grandes / Cacerola de hueso de orco</v>
      </c>
      <c r="O12" s="324" t="str">
        <f>IFERROR(__xludf.DUMMYFUNCTION("GOOGLETRANSLATE(C12,""zh-tw"",""es-MX"")"),"-")</f>
        <v>-</v>
      </c>
      <c r="P12" s="179" t="s">
        <v>3945</v>
      </c>
      <c r="Q12" s="167" t="s">
        <v>3946</v>
      </c>
      <c r="R12" s="324" t="str">
        <f>IFERROR(__xludf.DUMMYFUNCTION("GOOGLETRANSLATE(C12,""zh-tw"",""KO"")"),"-")</f>
        <v>-</v>
      </c>
      <c r="S12" s="320" t="str">
        <f>IFERROR(__xludf.DUMMYFUNCTION("GOOGLETRANSLATE(A12,""zh-tw"",""ru"")"),"Новички")</f>
        <v>Новички</v>
      </c>
      <c r="T12" s="321" t="str">
        <f>IFERROR(__xludf.DUMMYFUNCTION("GOOGLETRANSLATE(B12,""zh-tw"",""ru"")"),"Мясо мелкого животного / Мясо крупного животного / Горшок с косточкой орка")</f>
        <v>Мясо мелкого животного / Мясо крупного животного / Горшок с косточкой орка</v>
      </c>
      <c r="U12" s="322" t="str">
        <f>IFERROR(__xludf.DUMMYFUNCTION("GOOGLETRANSLATE(C12,""zh-tw"",""ru"")"),"-")</f>
        <v>-</v>
      </c>
      <c r="V12" s="179" t="s">
        <v>3947</v>
      </c>
      <c r="W12" s="323" t="s">
        <v>3948</v>
      </c>
      <c r="X12" s="325" t="s">
        <v>3859</v>
      </c>
      <c r="Y12" s="160" t="s">
        <v>3949</v>
      </c>
      <c r="Z12" s="170" t="s">
        <v>3950</v>
      </c>
      <c r="AA12" s="326" t="s">
        <v>724</v>
      </c>
      <c r="AB12" s="17"/>
      <c r="AC12" s="17"/>
      <c r="AD12" s="17"/>
      <c r="AE12" s="17"/>
    </row>
    <row r="13">
      <c r="A13" s="153" t="s">
        <v>3951</v>
      </c>
      <c r="B13" s="167" t="s">
        <v>3952</v>
      </c>
      <c r="C13" s="319" t="s">
        <v>724</v>
      </c>
      <c r="D13" s="179" t="s">
        <v>3951</v>
      </c>
      <c r="E13" s="323" t="s">
        <v>3953</v>
      </c>
      <c r="F13" s="322" t="str">
        <f>IFERROR(__xludf.DUMMYFUNCTION("GOOGLETRANSLATE(C13,""zh-tw"",""ja"")"),"-")</f>
        <v>-</v>
      </c>
      <c r="G13" s="179" t="s">
        <v>3954</v>
      </c>
      <c r="H13" s="323" t="s">
        <v>3955</v>
      </c>
      <c r="I13" s="322" t="str">
        <f>IFERROR(__xludf.DUMMYFUNCTION("GOOGLETRANSLATE(C13,""zh-tw"",""en"")"),"-")</f>
        <v>-</v>
      </c>
      <c r="J13" s="320" t="str">
        <f>IFERROR(__xludf.DUMMYFUNCTION("GOOGLETRANSLATE(A13,""zh-tw"",""zh"")"),"怪鸟")</f>
        <v>怪鸟</v>
      </c>
      <c r="K13" s="321" t="str">
        <f>IFERROR(__xludf.DUMMYFUNCTION("GOOGLETRANSLATE(B13,""zh-tw"",""zh"")"),"鸡腿/怪鸟的羽毛")</f>
        <v>鸡腿/怪鸟的羽毛</v>
      </c>
      <c r="L13" s="322" t="str">
        <f>IFERROR(__xludf.DUMMYFUNCTION("GOOGLETRANSLATE(C13,""zh-tw"",""zh"")"),"-")</f>
        <v>-</v>
      </c>
      <c r="M13" s="154" t="str">
        <f>IFERROR(__xludf.DUMMYFUNCTION("GOOGLETRANSLATE(A13,""zh-tw"",""es-MX"")"),"Pájaro extraño")</f>
        <v>Pájaro extraño</v>
      </c>
      <c r="N13" s="168" t="str">
        <f>IFERROR(__xludf.DUMMYFUNCTION("GOOGLETRANSLATE(B13,""zh-tw"",""es-MX"")"),"patas de pollo/plumas de aves extrañas")</f>
        <v>patas de pollo/plumas de aves extrañas</v>
      </c>
      <c r="O13" s="324" t="str">
        <f>IFERROR(__xludf.DUMMYFUNCTION("GOOGLETRANSLATE(C13,""zh-tw"",""es-MX"")"),"-")</f>
        <v>-</v>
      </c>
      <c r="P13" s="153" t="s">
        <v>3956</v>
      </c>
      <c r="Q13" s="167" t="s">
        <v>3957</v>
      </c>
      <c r="R13" s="324" t="str">
        <f>IFERROR(__xludf.DUMMYFUNCTION("GOOGLETRANSLATE(C13,""zh-tw"",""KO"")"),"-")</f>
        <v>-</v>
      </c>
      <c r="S13" s="320" t="str">
        <f>IFERROR(__xludf.DUMMYFUNCTION("GOOGLETRANSLATE(A13,""zh-tw"",""ru"")"),"Странная птица")</f>
        <v>Странная птица</v>
      </c>
      <c r="T13" s="321" t="str">
        <f>IFERROR(__xludf.DUMMYFUNCTION("GOOGLETRANSLATE(B13,""zh-tw"",""ru"")"),"Куриные ножки/странные птичьи перья")</f>
        <v>Куриные ножки/странные птичьи перья</v>
      </c>
      <c r="U13" s="322" t="str">
        <f>IFERROR(__xludf.DUMMYFUNCTION("GOOGLETRANSLATE(C13,""zh-tw"",""ru"")"),"-")</f>
        <v>-</v>
      </c>
      <c r="V13" s="179" t="s">
        <v>3958</v>
      </c>
      <c r="W13" s="323" t="s">
        <v>3959</v>
      </c>
      <c r="X13" s="325" t="s">
        <v>3859</v>
      </c>
      <c r="Y13" s="160" t="s">
        <v>3960</v>
      </c>
      <c r="Z13" s="170" t="s">
        <v>3961</v>
      </c>
      <c r="AA13" s="326" t="s">
        <v>724</v>
      </c>
      <c r="AB13" s="17"/>
      <c r="AC13" s="17"/>
      <c r="AD13" s="17"/>
      <c r="AE13" s="17"/>
    </row>
    <row r="14">
      <c r="A14" s="153" t="s">
        <v>3962</v>
      </c>
      <c r="B14" s="167" t="s">
        <v>3963</v>
      </c>
      <c r="C14" s="319" t="s">
        <v>724</v>
      </c>
      <c r="D14" s="179" t="s">
        <v>3964</v>
      </c>
      <c r="E14" s="323" t="s">
        <v>3965</v>
      </c>
      <c r="F14" s="322" t="str">
        <f>IFERROR(__xludf.DUMMYFUNCTION("GOOGLETRANSLATE(C14,""zh-tw"",""ja"")"),"-")</f>
        <v>-</v>
      </c>
      <c r="G14" s="179" t="s">
        <v>3966</v>
      </c>
      <c r="H14" s="323" t="s">
        <v>3967</v>
      </c>
      <c r="I14" s="322" t="str">
        <f>IFERROR(__xludf.DUMMYFUNCTION("GOOGLETRANSLATE(C14,""zh-tw"",""en"")"),"-")</f>
        <v>-</v>
      </c>
      <c r="J14" s="320" t="str">
        <f>IFERROR(__xludf.DUMMYFUNCTION("GOOGLETRANSLATE(A14,""zh-tw"",""zh"")"),"走路菇")</f>
        <v>走路菇</v>
      </c>
      <c r="K14" s="321" t="str">
        <f>IFERROR(__xludf.DUMMYFUNCTION("GOOGLETRANSLATE(B14,""zh-tw"",""zh"")"),"走路菇/毒孢针")</f>
        <v>走路菇/毒孢针</v>
      </c>
      <c r="L14" s="322" t="str">
        <f>IFERROR(__xludf.DUMMYFUNCTION("GOOGLETRANSLATE(C14,""zh-tw"",""zh"")"),"-")</f>
        <v>-</v>
      </c>
      <c r="M14" s="154" t="str">
        <f>IFERROR(__xludf.DUMMYFUNCTION("GOOGLETRANSLATE(A14,""zh-tw"",""es-MX"")"),"Hongo caminante")</f>
        <v>Hongo caminante</v>
      </c>
      <c r="N14" s="168" t="str">
        <f>IFERROR(__xludf.DUMMYFUNCTION("GOOGLETRANSLATE(B14,""zh-tw"",""es-MX"")"),"Hongo caminante/Aguja de esporas tóxicas")</f>
        <v>Hongo caminante/Aguja de esporas tóxicas</v>
      </c>
      <c r="O14" s="324" t="str">
        <f>IFERROR(__xludf.DUMMYFUNCTION("GOOGLETRANSLATE(C14,""zh-tw"",""es-MX"")"),"-")</f>
        <v>-</v>
      </c>
      <c r="P14" s="154" t="str">
        <f>IFERROR(__xludf.DUMMYFUNCTION("GOOGLETRANSLATE(A14,""zh-tw"",""KO"")"),"걷는 버섯")</f>
        <v>걷는 버섯</v>
      </c>
      <c r="Q14" s="168" t="str">
        <f>IFERROR(__xludf.DUMMYFUNCTION("GOOGLETRANSLATE(B14,""zh-tw"",""KO"")"),"걷는 버섯/독성 포자 바늘")</f>
        <v>걷는 버섯/독성 포자 바늘</v>
      </c>
      <c r="R14" s="324" t="str">
        <f>IFERROR(__xludf.DUMMYFUNCTION("GOOGLETRANSLATE(C14,""zh-tw"",""KO"")"),"-")</f>
        <v>-</v>
      </c>
      <c r="S14" s="320" t="str">
        <f>IFERROR(__xludf.DUMMYFUNCTION("GOOGLETRANSLATE(A14,""zh-tw"",""ru"")"),"Ходячий гриб")</f>
        <v>Ходячий гриб</v>
      </c>
      <c r="T14" s="321" t="str">
        <f>IFERROR(__xludf.DUMMYFUNCTION("GOOGLETRANSLATE(B14,""zh-tw"",""ru"")"),"Ходячий гриб/Игла с токсичными спорами")</f>
        <v>Ходячий гриб/Игла с токсичными спорами</v>
      </c>
      <c r="U14" s="322" t="str">
        <f>IFERROR(__xludf.DUMMYFUNCTION("GOOGLETRANSLATE(C14,""zh-tw"",""ru"")"),"-")</f>
        <v>-</v>
      </c>
      <c r="V14" s="179" t="s">
        <v>3968</v>
      </c>
      <c r="W14" s="323" t="s">
        <v>3969</v>
      </c>
      <c r="X14" s="325" t="s">
        <v>3859</v>
      </c>
      <c r="Y14" s="160" t="s">
        <v>3970</v>
      </c>
      <c r="Z14" s="170" t="s">
        <v>3971</v>
      </c>
      <c r="AA14" s="326" t="s">
        <v>724</v>
      </c>
      <c r="AB14" s="17"/>
      <c r="AC14" s="17"/>
      <c r="AD14" s="17"/>
      <c r="AE14" s="17"/>
    </row>
    <row r="15">
      <c r="A15" s="153" t="s">
        <v>3972</v>
      </c>
      <c r="B15" s="167" t="s">
        <v>3973</v>
      </c>
      <c r="C15" s="319" t="s">
        <v>724</v>
      </c>
      <c r="D15" s="179" t="s">
        <v>3972</v>
      </c>
      <c r="E15" s="323" t="s">
        <v>3974</v>
      </c>
      <c r="F15" s="322" t="str">
        <f>IFERROR(__xludf.DUMMYFUNCTION("GOOGLETRANSLATE(C15,""zh-tw"",""ja"")"),"-")</f>
        <v>-</v>
      </c>
      <c r="G15" s="179" t="s">
        <v>3975</v>
      </c>
      <c r="H15" s="323" t="s">
        <v>3976</v>
      </c>
      <c r="I15" s="322" t="str">
        <f>IFERROR(__xludf.DUMMYFUNCTION("GOOGLETRANSLATE(C15,""zh-tw"",""en"")"),"-")</f>
        <v>-</v>
      </c>
      <c r="J15" s="320" t="str">
        <f>IFERROR(__xludf.DUMMYFUNCTION("GOOGLETRANSLATE(A15,""zh-tw"",""zh"")"),"水怪")</f>
        <v>水怪</v>
      </c>
      <c r="K15" s="321" t="str">
        <f>IFERROR(__xludf.DUMMYFUNCTION("GOOGLETRANSLATE(B15,""zh-tw"",""zh"")"),"水怪黏液/魔力晶簇/精神凝聚头环/潮汐之诗")</f>
        <v>水怪黏液/魔力晶簇/精神凝聚头环/潮汐之诗</v>
      </c>
      <c r="L15" s="322" t="str">
        <f>IFERROR(__xludf.DUMMYFUNCTION("GOOGLETRANSLATE(C15,""zh-tw"",""zh"")"),"-")</f>
        <v>-</v>
      </c>
      <c r="M15" s="154" t="str">
        <f>IFERROR(__xludf.DUMMYFUNCTION("GOOGLETRANSLATE(A15,""zh-tw"",""es-MX"")"),"Monstruo de agua")</f>
        <v>Monstruo de agua</v>
      </c>
      <c r="N15" s="168"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24" t="str">
        <f>IFERROR(__xludf.DUMMYFUNCTION("GOOGLETRANSLATE(C15,""zh-tw"",""es-MX"")"),"-")</f>
        <v>-</v>
      </c>
      <c r="P15" s="153" t="s">
        <v>3977</v>
      </c>
      <c r="Q15" s="167" t="s">
        <v>3978</v>
      </c>
      <c r="R15" s="324" t="str">
        <f>IFERROR(__xludf.DUMMYFUNCTION("GOOGLETRANSLATE(C15,""zh-tw"",""KO"")"),"-")</f>
        <v>-</v>
      </c>
      <c r="S15" s="320" t="str">
        <f>IFERROR(__xludf.DUMMYFUNCTION("GOOGLETRANSLATE(A15,""zh-tw"",""ru"")"),"Водный монстр")</f>
        <v>Водный монстр</v>
      </c>
      <c r="T15" s="321"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22" t="str">
        <f>IFERROR(__xludf.DUMMYFUNCTION("GOOGLETRANSLATE(C15,""zh-tw"",""ru"")"),"-")</f>
        <v>-</v>
      </c>
      <c r="V15" s="179" t="s">
        <v>3979</v>
      </c>
      <c r="W15" s="323" t="s">
        <v>3980</v>
      </c>
      <c r="X15" s="325" t="s">
        <v>3859</v>
      </c>
      <c r="Y15" s="160" t="s">
        <v>3981</v>
      </c>
      <c r="Z15" s="170" t="s">
        <v>3982</v>
      </c>
      <c r="AA15" s="326" t="s">
        <v>724</v>
      </c>
      <c r="AB15" s="17"/>
      <c r="AC15" s="17"/>
      <c r="AD15" s="17"/>
      <c r="AE15" s="17"/>
    </row>
    <row r="16">
      <c r="A16" s="153" t="s">
        <v>3983</v>
      </c>
      <c r="B16" s="167" t="s">
        <v>3984</v>
      </c>
      <c r="C16" s="319" t="s">
        <v>724</v>
      </c>
      <c r="D16" s="179" t="s">
        <v>3985</v>
      </c>
      <c r="E16" s="323" t="s">
        <v>3986</v>
      </c>
      <c r="F16" s="322" t="str">
        <f>IFERROR(__xludf.DUMMYFUNCTION("GOOGLETRANSLATE(C16,""zh-tw"",""ja"")"),"-")</f>
        <v>-</v>
      </c>
      <c r="G16" s="179" t="s">
        <v>3987</v>
      </c>
      <c r="H16" s="323" t="s">
        <v>3988</v>
      </c>
      <c r="I16" s="322" t="str">
        <f>IFERROR(__xludf.DUMMYFUNCTION("GOOGLETRANSLATE(C16,""zh-tw"",""en"")"),"-")</f>
        <v>-</v>
      </c>
      <c r="J16" s="320" t="str">
        <f>IFERROR(__xludf.DUMMYFUNCTION("GOOGLETRANSLATE(A16,""zh-tw"",""zh"")"),"小红怪")</f>
        <v>小红怪</v>
      </c>
      <c r="K16" s="321" t="str">
        <f>IFERROR(__xludf.DUMMYFUNCTION("GOOGLETRANSLATE(B16,""zh-tw"",""zh"")"),"来自地狱/受诅胎体/塔罗牌")</f>
        <v>来自地狱/受诅胎体/塔罗牌</v>
      </c>
      <c r="L16" s="322" t="str">
        <f>IFERROR(__xludf.DUMMYFUNCTION("GOOGLETRANSLATE(C16,""zh-tw"",""zh"")"),"-")</f>
        <v>-</v>
      </c>
      <c r="M16" s="154" t="str">
        <f>IFERROR(__xludf.DUMMYFUNCTION("GOOGLETRANSLATE(A16,""zh-tw"",""es-MX"")"),"Monstruito Rojo")</f>
        <v>Monstruito Rojo</v>
      </c>
      <c r="N16" s="168" t="str">
        <f>IFERROR(__xludf.DUMMYFUNCTION("GOOGLETRANSLATE(B16,""zh-tw"",""es-MX"")"),"Hecho en el infierno/Útero maldito/Tarot")</f>
        <v>Hecho en el infierno/Útero maldito/Tarot</v>
      </c>
      <c r="O16" s="324" t="str">
        <f>IFERROR(__xludf.DUMMYFUNCTION("GOOGLETRANSLATE(C16,""zh-tw"",""es-MX"")"),"-")</f>
        <v>-</v>
      </c>
      <c r="P16" s="153" t="s">
        <v>3989</v>
      </c>
      <c r="Q16" s="323" t="s">
        <v>3990</v>
      </c>
      <c r="R16" s="324" t="str">
        <f>IFERROR(__xludf.DUMMYFUNCTION("GOOGLETRANSLATE(C16,""zh-tw"",""KO"")"),"-")</f>
        <v>-</v>
      </c>
      <c r="S16" s="320" t="str">
        <f>IFERROR(__xludf.DUMMYFUNCTION("GOOGLETRANSLATE(A16,""zh-tw"",""ru"")"),"Маленький Красный Монстр")</f>
        <v>Маленький Красный Монстр</v>
      </c>
      <c r="T16" s="321" t="str">
        <f>IFERROR(__xludf.DUMMYFUNCTION("GOOGLETRANSLATE(B16,""zh-tw"",""ru"")"),"Созданный в аду/Проклятая утроба/Таро")</f>
        <v>Созданный в аду/Проклятая утроба/Таро</v>
      </c>
      <c r="U16" s="322" t="str">
        <f>IFERROR(__xludf.DUMMYFUNCTION("GOOGLETRANSLATE(C16,""zh-tw"",""ru"")"),"-")</f>
        <v>-</v>
      </c>
      <c r="V16" s="179" t="s">
        <v>3991</v>
      </c>
      <c r="W16" s="323" t="s">
        <v>3992</v>
      </c>
      <c r="X16" s="325" t="s">
        <v>3859</v>
      </c>
      <c r="Y16" s="160" t="s">
        <v>3993</v>
      </c>
      <c r="Z16" s="170" t="s">
        <v>3994</v>
      </c>
      <c r="AA16" s="326" t="s">
        <v>724</v>
      </c>
      <c r="AB16" s="17"/>
      <c r="AC16" s="17"/>
      <c r="AD16" s="17"/>
      <c r="AE16" s="17"/>
    </row>
    <row r="17">
      <c r="A17" s="153" t="s">
        <v>3995</v>
      </c>
      <c r="B17" s="167" t="s">
        <v>3996</v>
      </c>
      <c r="C17" s="319" t="s">
        <v>724</v>
      </c>
      <c r="D17" s="179" t="s">
        <v>3997</v>
      </c>
      <c r="E17" s="321" t="str">
        <f>IFERROR(__xludf.DUMMYFUNCTION("GOOGLETRANSLATE(B17,""zh-tw"",""ja"")"),"ナイトソード")</f>
        <v>ナイトソード</v>
      </c>
      <c r="F17" s="322" t="str">
        <f>IFERROR(__xludf.DUMMYFUNCTION("GOOGLETRANSLATE(C17,""zh-tw"",""ja"")"),"-")</f>
        <v>-</v>
      </c>
      <c r="G17" s="179" t="s">
        <v>3998</v>
      </c>
      <c r="H17" s="323" t="s">
        <v>3999</v>
      </c>
      <c r="I17" s="322" t="str">
        <f>IFERROR(__xludf.DUMMYFUNCTION("GOOGLETRANSLATE(C17,""zh-tw"",""en"")"),"-")</f>
        <v>-</v>
      </c>
      <c r="J17" s="320" t="str">
        <f>IFERROR(__xludf.DUMMYFUNCTION("GOOGLETRANSLATE(A17,""zh-tw"",""zh"")"),"石中剑")</f>
        <v>石中剑</v>
      </c>
      <c r="K17" s="321" t="str">
        <f>IFERROR(__xludf.DUMMYFUNCTION("GOOGLETRANSLATE(B17,""zh-tw"",""zh"")"),"骑士剑")</f>
        <v>骑士剑</v>
      </c>
      <c r="L17" s="322" t="str">
        <f>IFERROR(__xludf.DUMMYFUNCTION("GOOGLETRANSLATE(C17,""zh-tw"",""zh"")"),"-")</f>
        <v>-</v>
      </c>
      <c r="M17" s="154" t="str">
        <f>IFERROR(__xludf.DUMMYFUNCTION("GOOGLETRANSLATE(A17,""zh-tw"",""es-MX"")"),"La espada en la piedra")</f>
        <v>La espada en la piedra</v>
      </c>
      <c r="N17" s="168" t="str">
        <f>IFERROR(__xludf.DUMMYFUNCTION("GOOGLETRANSLATE(B17,""zh-tw"",""es-MX"")"),"Espada de caballero")</f>
        <v>Espada de caballero</v>
      </c>
      <c r="O17" s="324" t="str">
        <f>IFERROR(__xludf.DUMMYFUNCTION("GOOGLETRANSLATE(C17,""zh-tw"",""es-MX"")"),"-")</f>
        <v>-</v>
      </c>
      <c r="P17" s="153" t="s">
        <v>4000</v>
      </c>
      <c r="Q17" s="167" t="s">
        <v>4001</v>
      </c>
      <c r="R17" s="324" t="str">
        <f>IFERROR(__xludf.DUMMYFUNCTION("GOOGLETRANSLATE(C17,""zh-tw"",""KO"")"),"-")</f>
        <v>-</v>
      </c>
      <c r="S17" s="320" t="str">
        <f>IFERROR(__xludf.DUMMYFUNCTION("GOOGLETRANSLATE(A17,""zh-tw"",""ru"")"),"Меч в камне")</f>
        <v>Меч в камне</v>
      </c>
      <c r="T17" s="321" t="str">
        <f>IFERROR(__xludf.DUMMYFUNCTION("GOOGLETRANSLATE(B17,""zh-tw"",""ru"")"),"Рыцарский Меч")</f>
        <v>Рыцарский Меч</v>
      </c>
      <c r="U17" s="322" t="str">
        <f>IFERROR(__xludf.DUMMYFUNCTION("GOOGLETRANSLATE(C17,""zh-tw"",""ru"")"),"-")</f>
        <v>-</v>
      </c>
      <c r="V17" s="179" t="s">
        <v>4002</v>
      </c>
      <c r="W17" s="323" t="s">
        <v>4003</v>
      </c>
      <c r="X17" s="325" t="s">
        <v>4004</v>
      </c>
      <c r="Y17" s="160" t="s">
        <v>4005</v>
      </c>
      <c r="Z17" s="170" t="s">
        <v>4006</v>
      </c>
      <c r="AA17" s="326" t="s">
        <v>724</v>
      </c>
      <c r="AB17" s="17"/>
      <c r="AC17" s="17"/>
      <c r="AD17" s="17"/>
      <c r="AE17" s="17"/>
    </row>
    <row r="18">
      <c r="A18" s="153" t="s">
        <v>4007</v>
      </c>
      <c r="B18" s="167" t="s">
        <v>4007</v>
      </c>
      <c r="C18" s="319" t="s">
        <v>4008</v>
      </c>
      <c r="D18" s="320" t="str">
        <f>IFERROR(__xludf.DUMMYFUNCTION("GOOGLETRANSLATE(A18,""zh-tw"",""ja"")"),"とても大きな卵")</f>
        <v>とても大きな卵</v>
      </c>
      <c r="E18" s="321" t="str">
        <f>IFERROR(__xludf.DUMMYFUNCTION("GOOGLETRANSLATE(B18,""zh-tw"",""ja"")"),"とても大きな卵")</f>
        <v>とても大きな卵</v>
      </c>
      <c r="F18" s="325" t="s">
        <v>4009</v>
      </c>
      <c r="G18" s="179" t="s">
        <v>4010</v>
      </c>
      <c r="H18" s="323" t="s">
        <v>4010</v>
      </c>
      <c r="I18" s="325" t="s">
        <v>4011</v>
      </c>
      <c r="J18" s="320" t="str">
        <f>IFERROR(__xludf.DUMMYFUNCTION("GOOGLETRANSLATE(A18,""zh-tw"",""zh"")"),"很大的蛋")</f>
        <v>很大的蛋</v>
      </c>
      <c r="K18" s="321" t="str">
        <f>IFERROR(__xludf.DUMMYFUNCTION("GOOGLETRANSLATE(B18,""zh-tw"",""zh"")"),"很大的蛋")</f>
        <v>很大的蛋</v>
      </c>
      <c r="L18" s="322" t="str">
        <f>IFERROR(__xludf.DUMMYFUNCTION("GOOGLETRANSLATE(C18,""zh-tw"",""zh"")"),"于遗迹底层捡取(不可以打破)")</f>
        <v>于遗迹底层捡取(不可以打破)</v>
      </c>
      <c r="M18" s="154" t="str">
        <f>IFERROR(__xludf.DUMMYFUNCTION("GOOGLETRANSLATE(A18,""zh-tw"",""es-MX"")"),"Un huevo muy grande")</f>
        <v>Un huevo muy grande</v>
      </c>
      <c r="N18" s="168" t="str">
        <f>IFERROR(__xludf.DUMMYFUNCTION("GOOGLETRANSLATE(B18,""zh-tw"",""es-MX"")"),"Un huevo muy grande")</f>
        <v>Un huevo muy grande</v>
      </c>
      <c r="O18" s="324" t="str">
        <f>IFERROR(__xludf.DUMMYFUNCTION("GOOGLETRANSLATE(C18,""zh-tw"",""es-MX"")"),"Recógelo del fondo de las ruinas (no lo rompas).")</f>
        <v>Recógelo del fondo de las ruinas (no lo rompas).</v>
      </c>
      <c r="P18" s="153" t="s">
        <v>4012</v>
      </c>
      <c r="Q18" s="167" t="s">
        <v>4012</v>
      </c>
      <c r="R18" s="319" t="s">
        <v>4013</v>
      </c>
      <c r="S18" s="320" t="str">
        <f>IFERROR(__xludf.DUMMYFUNCTION("GOOGLETRANSLATE(A18,""zh-tw"",""ru"")"),"Очень большое яйцо")</f>
        <v>Очень большое яйцо</v>
      </c>
      <c r="T18" s="321" t="str">
        <f>IFERROR(__xludf.DUMMYFUNCTION("GOOGLETRANSLATE(B18,""zh-tw"",""ru"")"),"Очень большое яйцо")</f>
        <v>Очень большое яйцо</v>
      </c>
      <c r="U18" s="322" t="str">
        <f>IFERROR(__xludf.DUMMYFUNCTION("GOOGLETRANSLATE(C18,""zh-tw"",""ru"")"),"Поднимите его со дна руин (не разбивайте).")</f>
        <v>Поднимите его со дна руин (не разбивайте).</v>
      </c>
      <c r="V18" s="179" t="s">
        <v>4014</v>
      </c>
      <c r="W18" s="323" t="s">
        <v>4015</v>
      </c>
      <c r="X18" s="325" t="s">
        <v>4016</v>
      </c>
      <c r="Y18" s="160" t="s">
        <v>4017</v>
      </c>
      <c r="Z18" s="170" t="s">
        <v>4017</v>
      </c>
      <c r="AA18" s="326" t="s">
        <v>4018</v>
      </c>
      <c r="AB18" s="17"/>
      <c r="AC18" s="17"/>
      <c r="AD18" s="17"/>
      <c r="AE18" s="17"/>
    </row>
    <row r="19">
      <c r="A19" s="153" t="s">
        <v>4019</v>
      </c>
      <c r="B19" s="167" t="s">
        <v>4020</v>
      </c>
      <c r="C19" s="319" t="s">
        <v>4021</v>
      </c>
      <c r="D19" s="179" t="s">
        <v>4022</v>
      </c>
      <c r="E19" s="321" t="str">
        <f>IFERROR(__xludf.DUMMYFUNCTION("GOOGLETRANSLATE(B19,""zh-tw"",""ja"")"),"キノコ")</f>
        <v>キノコ</v>
      </c>
      <c r="F19" s="325" t="s">
        <v>4023</v>
      </c>
      <c r="G19" s="179" t="s">
        <v>4024</v>
      </c>
      <c r="H19" s="323" t="s">
        <v>4025</v>
      </c>
      <c r="I19" s="325" t="s">
        <v>4026</v>
      </c>
      <c r="J19" s="320" t="str">
        <f>IFERROR(__xludf.DUMMYFUNCTION("GOOGLETRANSLATE(A19,""zh-tw"",""zh"")"),"迷雾森林菇类")</f>
        <v>迷雾森林菇类</v>
      </c>
      <c r="K19" s="321" t="str">
        <f>IFERROR(__xludf.DUMMYFUNCTION("GOOGLETRANSLATE(B19,""zh-tw"",""zh"")"),"香菇")</f>
        <v>香菇</v>
      </c>
      <c r="L19" s="322" t="str">
        <f>IFERROR(__xludf.DUMMYFUNCTION("GOOGLETRANSLATE(C19,""zh-tw"",""zh"")"),"于前往迷雾森林的通道中捡取")</f>
        <v>于前往迷雾森林的通道中捡取</v>
      </c>
      <c r="M19" s="154" t="str">
        <f>IFERROR(__xludf.DUMMYFUNCTION("GOOGLETRANSLATE(A19,""zh-tw"",""es-MX"")"),"Hongos del bosque brumoso")</f>
        <v>Hongos del bosque brumoso</v>
      </c>
      <c r="N19" s="168" t="str">
        <f>IFERROR(__xludf.DUMMYFUNCTION("GOOGLETRANSLATE(B19,""zh-tw"",""es-MX"")"),"champiñón")</f>
        <v>champiñón</v>
      </c>
      <c r="O19" s="324" t="str">
        <f>IFERROR(__xludf.DUMMYFUNCTION("GOOGLETRANSLATE(C19,""zh-tw"",""es-MX"")"),"Recogido en el pasaje que conduce al Bosque Brumoso.")</f>
        <v>Recogido en el pasaje que conduce al Bosque Brumoso.</v>
      </c>
      <c r="P19" s="153" t="s">
        <v>4027</v>
      </c>
      <c r="Q19" s="168" t="str">
        <f>IFERROR(__xludf.DUMMYFUNCTION("GOOGLETRANSLATE(B19,""zh-tw"",""KO"")"),"버섯")</f>
        <v>버섯</v>
      </c>
      <c r="R19" s="319" t="s">
        <v>4028</v>
      </c>
      <c r="S19" s="320" t="str">
        <f>IFERROR(__xludf.DUMMYFUNCTION("GOOGLETRANSLATE(A19,""zh-tw"",""ru"")"),"Туманные лесные грибы")</f>
        <v>Туманные лесные грибы</v>
      </c>
      <c r="T19" s="321" t="str">
        <f>IFERROR(__xludf.DUMMYFUNCTION("GOOGLETRANSLATE(B19,""zh-tw"",""ru"")"),"гриб")</f>
        <v>гриб</v>
      </c>
      <c r="U19" s="322" t="str">
        <f>IFERROR(__xludf.DUMMYFUNCTION("GOOGLETRANSLATE(C19,""zh-tw"",""ru"")"),"Подобрано в проходе, ведущем в Туманный лес.")</f>
        <v>Подобрано в проходе, ведущем в Туманный лес.</v>
      </c>
      <c r="V19" s="179" t="s">
        <v>4029</v>
      </c>
      <c r="W19" s="323" t="s">
        <v>4030</v>
      </c>
      <c r="X19" s="325" t="s">
        <v>4031</v>
      </c>
      <c r="Y19" s="160" t="s">
        <v>4032</v>
      </c>
      <c r="Z19" s="170" t="s">
        <v>4033</v>
      </c>
      <c r="AA19" s="326" t="s">
        <v>4034</v>
      </c>
      <c r="AB19" s="17"/>
      <c r="AC19" s="17"/>
      <c r="AD19" s="17"/>
      <c r="AE19" s="17"/>
    </row>
    <row r="20">
      <c r="A20" s="153" t="s">
        <v>4035</v>
      </c>
      <c r="B20" s="167" t="s">
        <v>4036</v>
      </c>
      <c r="C20" s="319" t="s">
        <v>4037</v>
      </c>
      <c r="D20" s="179" t="s">
        <v>4038</v>
      </c>
      <c r="E20" s="321" t="str">
        <f>IFERROR(__xludf.DUMMYFUNCTION("GOOGLETRANSLATE(B20,""zh-tw"",""ja"")"),"椎茸 / ヒラタケ / カニタケ / キノコ")</f>
        <v>椎茸 / ヒラタケ / カニタケ / キノコ</v>
      </c>
      <c r="F20" s="325" t="s">
        <v>4039</v>
      </c>
      <c r="G20" s="179" t="s">
        <v>4040</v>
      </c>
      <c r="H20" s="323" t="s">
        <v>4041</v>
      </c>
      <c r="I20" s="325" t="s">
        <v>4042</v>
      </c>
      <c r="J20" s="320" t="str">
        <f>IFERROR(__xludf.DUMMYFUNCTION("GOOGLETRANSLATE(A20,""zh-tw"",""zh"")"),"遗迹菇类")</f>
        <v>遗迹菇类</v>
      </c>
      <c r="K20" s="321" t="str">
        <f>IFERROR(__xludf.DUMMYFUNCTION("GOOGLETRANSLATE(B20,""zh-tw"",""zh"")"),"香菇/平菇/蟹味菇/月夜茸")</f>
        <v>香菇/平菇/蟹味菇/月夜茸</v>
      </c>
      <c r="L20" s="322" t="str">
        <f>IFERROR(__xludf.DUMMYFUNCTION("GOOGLETRANSLATE(C20,""zh-tw"",""zh"")"),"于遗迹打地面上的蘑菇")</f>
        <v>于遗迹打地面上的蘑菇</v>
      </c>
      <c r="M20" s="154" t="str">
        <f>IFERROR(__xludf.DUMMYFUNCTION("GOOGLETRANSLATE(A20,""zh-tw"",""es-MX"")"),"setas reliquia")</f>
        <v>setas reliquia</v>
      </c>
      <c r="N20" s="168" t="str">
        <f>IFERROR(__xludf.DUMMYFUNCTION("GOOGLETRANSLATE(B20,""zh-tw"",""es-MX"")"),"Champiñones shiitake / Champiñones ostra / Champiñones cangrejo / Champiñones")</f>
        <v>Champiñones shiitake / Champiñones ostra / Champiñones cangrejo / Champiñones</v>
      </c>
      <c r="O20" s="324" t="str">
        <f>IFERROR(__xludf.DUMMYFUNCTION("GOOGLETRANSLATE(C20,""zh-tw"",""es-MX"")"),"Golpea los hongos en el suelo en las ruinas.")</f>
        <v>Golpea los hongos en el suelo en las ruinas.</v>
      </c>
      <c r="P20" s="153" t="s">
        <v>4043</v>
      </c>
      <c r="Q20" s="167" t="s">
        <v>4044</v>
      </c>
      <c r="R20" s="319" t="s">
        <v>4045</v>
      </c>
      <c r="S20" s="320" t="str">
        <f>IFERROR(__xludf.DUMMYFUNCTION("GOOGLETRANSLATE(A20,""zh-tw"",""ru"")"),"Реликтовые грибы")</f>
        <v>Реликтовые грибы</v>
      </c>
      <c r="T20" s="321" t="str">
        <f>IFERROR(__xludf.DUMMYFUNCTION("GOOGLETRANSLATE(B20,""zh-tw"",""ru"")"),"Грибы шиитаке / Вёшенки / Крабовые грибы / Грибы")</f>
        <v>Грибы шиитаке / Вёшенки / Крабовые грибы / Грибы</v>
      </c>
      <c r="U20" s="322" t="str">
        <f>IFERROR(__xludf.DUMMYFUNCTION("GOOGLETRANSLATE(C20,""zh-tw"",""ru"")"),"Ударь по грибам на земле в руинах.")</f>
        <v>Ударь по грибам на земле в руинах.</v>
      </c>
      <c r="V20" s="179" t="s">
        <v>4046</v>
      </c>
      <c r="W20" s="323" t="s">
        <v>4047</v>
      </c>
      <c r="X20" s="325" t="s">
        <v>4048</v>
      </c>
      <c r="Y20" s="160" t="s">
        <v>4049</v>
      </c>
      <c r="Z20" s="170" t="s">
        <v>4050</v>
      </c>
      <c r="AA20" s="326" t="s">
        <v>4051</v>
      </c>
      <c r="AB20" s="17"/>
      <c r="AC20" s="17"/>
      <c r="AD20" s="17"/>
      <c r="AE20" s="17"/>
    </row>
    <row r="21">
      <c r="A21" s="153" t="s">
        <v>4052</v>
      </c>
      <c r="B21" s="167" t="s">
        <v>4053</v>
      </c>
      <c r="C21" s="319" t="s">
        <v>4054</v>
      </c>
      <c r="D21" s="179" t="s">
        <v>4055</v>
      </c>
      <c r="E21" s="321" t="str">
        <f>IFERROR(__xludf.DUMMYFUNCTION("GOOGLETRANSLATE(B21,""zh-tw"",""ja"")"),"火の鳥の羽")</f>
        <v>火の鳥の羽</v>
      </c>
      <c r="F21" s="325" t="s">
        <v>4056</v>
      </c>
      <c r="G21" s="179" t="s">
        <v>4057</v>
      </c>
      <c r="H21" s="323" t="s">
        <v>4058</v>
      </c>
      <c r="I21" s="325" t="s">
        <v>4059</v>
      </c>
      <c r="J21" s="320" t="str">
        <f>IFERROR(__xludf.DUMMYFUNCTION("GOOGLETRANSLATE(A21,""zh-tw"",""zh"")"),"红花")</f>
        <v>红花</v>
      </c>
      <c r="K21" s="321" t="str">
        <f>IFERROR(__xludf.DUMMYFUNCTION("GOOGLETRANSLATE(B21,""zh-tw"",""zh"")"),"火鸟的羽毛")</f>
        <v>火鸟的羽毛</v>
      </c>
      <c r="L21" s="322" t="str">
        <f>IFERROR(__xludf.DUMMYFUNCTION("GOOGLETRANSLATE(C21,""zh-tw"",""zh"")"),"于遗迹打地面上的红花")</f>
        <v>于遗迹打地面上的红花</v>
      </c>
      <c r="M21" s="154" t="str">
        <f>IFERROR(__xludf.DUMMYFUNCTION("GOOGLETRANSLATE(A21,""zh-tw"",""es-MX"")"),"cártamo")</f>
        <v>cártamo</v>
      </c>
      <c r="N21" s="168" t="str">
        <f>IFERROR(__xludf.DUMMYFUNCTION("GOOGLETRANSLATE(B21,""zh-tw"",""es-MX"")"),"Plumas de pájaro de fuego")</f>
        <v>Plumas de pájaro de fuego</v>
      </c>
      <c r="O21" s="324" t="str">
        <f>IFERROR(__xludf.DUMMYFUNCTION("GOOGLETRANSLATE(C21,""zh-tw"",""es-MX"")"),"Golpea las flores rojas en el suelo en las ruinas.")</f>
        <v>Golpea las flores rojas en el suelo en las ruinas.</v>
      </c>
      <c r="P21" s="153" t="s">
        <v>4060</v>
      </c>
      <c r="Q21" s="167" t="s">
        <v>4061</v>
      </c>
      <c r="R21" s="319" t="s">
        <v>4062</v>
      </c>
      <c r="S21" s="320" t="str">
        <f>IFERROR(__xludf.DUMMYFUNCTION("GOOGLETRANSLATE(A21,""zh-tw"",""ru"")"),"сафлор")</f>
        <v>сафлор</v>
      </c>
      <c r="T21" s="321" t="str">
        <f>IFERROR(__xludf.DUMMYFUNCTION("GOOGLETRANSLATE(B21,""zh-tw"",""ru"")"),"Перья жар-птицы")</f>
        <v>Перья жар-птицы</v>
      </c>
      <c r="U21" s="322" t="str">
        <f>IFERROR(__xludf.DUMMYFUNCTION("GOOGLETRANSLATE(C21,""zh-tw"",""ru"")"),"Ударь красные цветы на земле среди руин.")</f>
        <v>Ударь красные цветы на земле среди руин.</v>
      </c>
      <c r="V21" s="179" t="s">
        <v>4063</v>
      </c>
      <c r="W21" s="323" t="s">
        <v>4064</v>
      </c>
      <c r="X21" s="325" t="s">
        <v>4065</v>
      </c>
      <c r="Y21" s="160" t="s">
        <v>4066</v>
      </c>
      <c r="Z21" s="170" t="s">
        <v>4067</v>
      </c>
      <c r="AA21" s="326" t="s">
        <v>4068</v>
      </c>
      <c r="AB21" s="17"/>
      <c r="AC21" s="17"/>
      <c r="AD21" s="17"/>
      <c r="AE21" s="17"/>
    </row>
    <row r="22">
      <c r="A22" s="153" t="s">
        <v>4069</v>
      </c>
      <c r="B22" s="167" t="s">
        <v>4070</v>
      </c>
      <c r="C22" s="319" t="s">
        <v>4071</v>
      </c>
      <c r="D22" s="179" t="s">
        <v>4072</v>
      </c>
      <c r="E22" s="321" t="str">
        <f>IFERROR(__xludf.DUMMYFUNCTION("GOOGLETRANSLATE(B22,""zh-tw"",""ja"")"),"白品質装備 / 青品質装備 / タロットカード / 汎用アイテム")</f>
        <v>白品質装備 / 青品質装備 / タロットカード / 汎用アイテム</v>
      </c>
      <c r="F22" s="322" t="str">
        <f>IFERROR(__xludf.DUMMYFUNCTION("GOOGLETRANSLATE(C22,""zh-tw"",""ja"")"),"遺跡には陶器の瓶、木の樽、墓石、石板などが含まれています。")</f>
        <v>遺跡には陶器の瓶、木の樽、墓石、石板などが含まれています。</v>
      </c>
      <c r="G22" s="179" t="s">
        <v>4073</v>
      </c>
      <c r="H22" s="323" t="s">
        <v>4074</v>
      </c>
      <c r="I22" s="325" t="s">
        <v>4075</v>
      </c>
      <c r="J22" s="320" t="str">
        <f>IFERROR(__xludf.DUMMYFUNCTION("GOOGLETRANSLATE(A22,""zh-tw"",""zh"")"),"场景物件")</f>
        <v>场景物件</v>
      </c>
      <c r="K22" s="321" t="str">
        <f>IFERROR(__xludf.DUMMYFUNCTION("GOOGLETRANSLATE(B22,""zh-tw"",""zh"")"),"白色品质装备/蓝色品质装备/塔罗牌/通用型道具")</f>
        <v>白色品质装备/蓝色品质装备/塔罗牌/通用型道具</v>
      </c>
      <c r="L22" s="322" t="str">
        <f>IFERROR(__xludf.DUMMYFUNCTION("GOOGLETRANSLATE(C22,""zh-tw"",""zh"")"),"遗迹陶瓶、木桶、墓碑、石板")</f>
        <v>遗迹陶瓶、木桶、墓碑、石板</v>
      </c>
      <c r="M22" s="154" t="str">
        <f>IFERROR(__xludf.DUMMYFUNCTION("GOOGLETRANSLATE(A22,""zh-tw"",""es-MX"")"),"Objetos de escena")</f>
        <v>Objetos de escena</v>
      </c>
      <c r="N22" s="168" t="str">
        <f>IFERROR(__xludf.DUMMYFUNCTION("GOOGLETRANSLATE(B22,""zh-tw"",""es-MX"")"),"Equipos de calidad blanca / Equipos de calidad azul / Cartas del tarot / Artículos de uso general")</f>
        <v>Equipos de calidad blanca / Equipos de calidad azul / Cartas del tarot / Artículos de uso general</v>
      </c>
      <c r="O22" s="324" t="str">
        <f>IFERROR(__xludf.DUMMYFUNCTION("GOOGLETRANSLATE(C22,""zh-tw"",""es-MX"")"),"Entre los restos se incluyen botellas de cerámica, barriles de madera, lápidas y losas de piedra.")</f>
        <v>Entre los restos se incluyen botellas de cerámica, barriles de madera, lápidas y losas de piedra.</v>
      </c>
      <c r="P22" s="153" t="s">
        <v>4076</v>
      </c>
      <c r="Q22" s="167" t="s">
        <v>4077</v>
      </c>
      <c r="R22" s="319" t="s">
        <v>4078</v>
      </c>
      <c r="S22" s="320" t="str">
        <f>IFERROR(__xludf.DUMMYFUNCTION("GOOGLETRANSLATE(A22,""zh-tw"",""ru"")"),"Объекты сцены")</f>
        <v>Объекты сцены</v>
      </c>
      <c r="T22" s="321" t="str">
        <f>IFERROR(__xludf.DUMMYFUNCTION("GOOGLETRANSLATE(B22,""zh-tw"",""ru"")"),"Оборудование белого качества / Оборудование синего качества / Карты Таро / Предметы общего назначения")</f>
        <v>Оборудование белого качества / Оборудование синего качества / Карты Таро / Предметы общего назначения</v>
      </c>
      <c r="U22" s="322" t="str">
        <f>IFERROR(__xludf.DUMMYFUNCTION("GOOGLETRANSLATE(C22,""zh-tw"",""ru"")"),"Среди находок были керамические бутылки, деревянные бочки, надгробия и каменные плиты.")</f>
        <v>Среди находок были керамические бутылки, деревянные бочки, надгробия и каменные плиты.</v>
      </c>
      <c r="V22" s="179" t="s">
        <v>4079</v>
      </c>
      <c r="W22" s="323" t="s">
        <v>4080</v>
      </c>
      <c r="X22" s="325" t="s">
        <v>4081</v>
      </c>
      <c r="Y22" s="160" t="s">
        <v>4082</v>
      </c>
      <c r="Z22" s="170" t="s">
        <v>4083</v>
      </c>
      <c r="AA22" s="326" t="s">
        <v>4084</v>
      </c>
      <c r="AB22" s="17"/>
      <c r="AC22" s="17"/>
      <c r="AD22" s="17"/>
      <c r="AE22" s="17"/>
    </row>
    <row r="23">
      <c r="A23" s="153" t="s">
        <v>4085</v>
      </c>
      <c r="B23" s="167" t="s">
        <v>4086</v>
      </c>
      <c r="C23" s="319" t="s">
        <v>4087</v>
      </c>
      <c r="D23" s="179" t="s">
        <v>4088</v>
      </c>
      <c r="E23" s="321" t="str">
        <f>IFERROR(__xludf.DUMMYFUNCTION("GOOGLETRANSLATE(B23,""zh-tw"",""ja"")"),"マグロ／イシダイ／サンマ／タイ／タコの足／甘エビ／ロブスター／ケガニ／サーモン／キングサーモン／カニの爪／アオウミガメの甲羅")</f>
        <v>マグロ／イシダイ／サンマ／タイ／タコの足／甘エビ／ロブスター／ケガニ／サーモン／キングサーモン／カニの爪／アオウミガメの甲羅</v>
      </c>
      <c r="F23" s="325" t="s">
        <v>4089</v>
      </c>
      <c r="G23" s="179" t="s">
        <v>4090</v>
      </c>
      <c r="H23" s="323" t="s">
        <v>4091</v>
      </c>
      <c r="I23" s="325" t="s">
        <v>4092</v>
      </c>
      <c r="J23" s="320" t="str">
        <f>IFERROR(__xludf.DUMMYFUNCTION("GOOGLETRANSLATE(A23,""zh-tw"",""zh"")"),"炸水面")</f>
        <v>炸水面</v>
      </c>
      <c r="K23" s="321" t="str">
        <f>IFERROR(__xludf.DUMMYFUNCTION("GOOGLETRANSLATE(B23,""zh-tw"",""zh"")"),"金枪鱼/条石鲷/秋刀鱼/鲷鱼/章鱼触手/甜虾/大龙虾/毛蟹/鲑鱼/帝王鲑/巨大蟹钳/绿龟壳")</f>
        <v>金枪鱼/条石鲷/秋刀鱼/鲷鱼/章鱼触手/甜虾/大龙虾/毛蟹/鲑鱼/帝王鲑/巨大蟹钳/绿龟壳</v>
      </c>
      <c r="L23" s="322" t="str">
        <f>IFERROR(__xludf.DUMMYFUNCTION("GOOGLETRANSLATE(C23,""zh-tw"",""zh"")"),"使用炸弹炸水面
透过喂食扭蛋机不良食品一次炸大量")</f>
        <v>使用炸弹炸水面
透过喂食扭蛋机不良食品一次炸大量</v>
      </c>
      <c r="M23" s="154" t="str">
        <f>IFERROR(__xludf.DUMMYFUNCTION("GOOGLETRANSLATE(A23,""zh-tw"",""es-MX"")"),"fideos fritos")</f>
        <v>fideos fritos</v>
      </c>
      <c r="N23" s="168" t="str">
        <f>IFERROR(__xludf.DUMMYFUNCTION("GOOGLETRANSLATE(B23,""zh-tw"",""es-MX"")"),"Atún/Pargo rayado/Patata/Dorada/Tentáculos de pulpo/Camarones dulces/Langosta/Cangrejo peludo/Salmón/Salmón real/Pinzas de cangrejo gigante/Caparazón de tortuga verde")</f>
        <v>Atún/Pargo rayado/Patata/Dorada/Tentáculos de pulpo/Camarones dulces/Langosta/Cangrejo peludo/Salmón/Salmón real/Pinzas de cangrejo gigante/Caparazón de tortuga verde</v>
      </c>
      <c r="O23" s="324" t="str">
        <f>IFERROR(__xludf.DUMMYFUNCTION("GOOGLETRANSLATE(C23,""zh-tw"",""es-MX"")"),"Utilizar bombas para hacer estallar la superficie del agua; freír grandes cantidades de comida de mala calidad a la vez utilizando máquinas gashapon.")</f>
        <v>Utilizar bombas para hacer estallar la superficie del agua; freír grandes cantidades de comida de mala calidad a la vez utilizando máquinas gashapon.</v>
      </c>
      <c r="P23" s="153" t="s">
        <v>4093</v>
      </c>
      <c r="Q23" s="167" t="s">
        <v>4094</v>
      </c>
      <c r="R23" s="319" t="s">
        <v>4095</v>
      </c>
      <c r="S23" s="320" t="str">
        <f>IFERROR(__xludf.DUMMYFUNCTION("GOOGLETRANSLATE(A23,""zh-tw"",""ru"")"),"Жареная лапша")</f>
        <v>Жареная лапша</v>
      </c>
      <c r="T23" s="321" t="str">
        <f>IFERROR(__xludf.DUMMYFUNCTION("GOOGLETRANSLATE(B23,""zh-tw"",""ru"")"),"Тунец/Полосатый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f>
        <v>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v>
      </c>
      <c r="U23" s="322" t="str">
        <f>IFERROR(__xludf.DUMMYFUNCTION("GOOGLETRANSLATE(C23,""zh-tw"",""ru"")"),"Использование бомб для взрыва поверхности воды; одновременная жарка большого количества некачественной пищи с помощью гасяпон-машин.")</f>
        <v>Использование бомб для взрыва поверхности воды; одновременная жарка большого количества некачественной пищи с помощью гасяпон-машин.</v>
      </c>
      <c r="V23" s="179" t="s">
        <v>4096</v>
      </c>
      <c r="W23" s="323" t="s">
        <v>4097</v>
      </c>
      <c r="X23" s="325" t="s">
        <v>4098</v>
      </c>
      <c r="Y23" s="160" t="s">
        <v>4099</v>
      </c>
      <c r="Z23" s="170" t="s">
        <v>4100</v>
      </c>
      <c r="AA23" s="326" t="s">
        <v>4101</v>
      </c>
      <c r="AB23" s="17"/>
      <c r="AC23" s="17"/>
      <c r="AD23" s="17"/>
      <c r="AE23" s="17"/>
    </row>
    <row r="24">
      <c r="A24" s="153" t="s">
        <v>4102</v>
      </c>
      <c r="B24" s="167" t="s">
        <v>4103</v>
      </c>
      <c r="C24" s="319" t="s">
        <v>724</v>
      </c>
      <c r="D24" s="179" t="s">
        <v>4104</v>
      </c>
      <c r="E24" s="321" t="str">
        <f>IFERROR(__xludf.DUMMYFUNCTION("GOOGLETRANSLATE(B24,""zh-tw"",""ja"")"),"星月夜/招き猫/タロットカード")</f>
        <v>星月夜/招き猫/タロットカード</v>
      </c>
      <c r="F24" s="322" t="str">
        <f>IFERROR(__xludf.DUMMYFUNCTION("GOOGLETRANSLATE(C24,""zh-tw"",""ja"")"),"-")</f>
        <v>-</v>
      </c>
      <c r="G24" s="179" t="s">
        <v>4105</v>
      </c>
      <c r="H24" s="323" t="s">
        <v>4106</v>
      </c>
      <c r="I24" s="322" t="str">
        <f>IFERROR(__xludf.DUMMYFUNCTION("GOOGLETRANSLATE(C24,""zh-tw"",""en"")"),"-")</f>
        <v>-</v>
      </c>
      <c r="J24" s="320" t="str">
        <f>IFERROR(__xludf.DUMMYFUNCTION("GOOGLETRANSLATE(A24,""zh-tw"",""zh"")"),"恶魔猫")</f>
        <v>恶魔猫</v>
      </c>
      <c r="K24" s="321" t="str">
        <f>IFERROR(__xludf.DUMMYFUNCTION("GOOGLETRANSLATE(B24,""zh-tw"",""zh"")"),"星月夜/招财猫/塔罗牌")</f>
        <v>星月夜/招财猫/塔罗牌</v>
      </c>
      <c r="L24" s="322" t="str">
        <f>IFERROR(__xludf.DUMMYFUNCTION("GOOGLETRANSLATE(C24,""zh-tw"",""zh"")"),"-")</f>
        <v>-</v>
      </c>
      <c r="M24" s="154" t="str">
        <f>IFERROR(__xludf.DUMMYFUNCTION("GOOGLETRANSLATE(A24,""zh-tw"",""es-MX"")"),"Gato Diablo")</f>
        <v>Gato Diablo</v>
      </c>
      <c r="N24" s="168" t="str">
        <f>IFERROR(__xludf.DUMMYFUNCTION("GOOGLETRANSLATE(B24,""zh-tw"",""es-MX"")"),"Noche estrellada/Gato de la suerte/Cartas del tarot")</f>
        <v>Noche estrellada/Gato de la suerte/Cartas del tarot</v>
      </c>
      <c r="O24" s="324" t="str">
        <f>IFERROR(__xludf.DUMMYFUNCTION("GOOGLETRANSLATE(C24,""zh-tw"",""es-MX"")"),"-")</f>
        <v>-</v>
      </c>
      <c r="P24" s="154" t="str">
        <f>IFERROR(__xludf.DUMMYFUNCTION("GOOGLETRANSLATE(A24,""zh-tw"",""KO"")"),"악마 고양이")</f>
        <v>악마 고양이</v>
      </c>
      <c r="Q24" s="167" t="s">
        <v>4107</v>
      </c>
      <c r="R24" s="324" t="str">
        <f>IFERROR(__xludf.DUMMYFUNCTION("GOOGLETRANSLATE(C24,""zh-tw"",""KO"")"),"-")</f>
        <v>-</v>
      </c>
      <c r="S24" s="320" t="str">
        <f>IFERROR(__xludf.DUMMYFUNCTION("GOOGLETRANSLATE(A24,""zh-tw"",""ru"")"),"Дьявольский кот")</f>
        <v>Дьявольский кот</v>
      </c>
      <c r="T24" s="321" t="str">
        <f>IFERROR(__xludf.DUMMYFUNCTION("GOOGLETRANSLATE(B24,""zh-tw"",""ru"")"),"Звездная ночь/Счастливый кот/Карты Таро")</f>
        <v>Звездная ночь/Счастливый кот/Карты Таро</v>
      </c>
      <c r="U24" s="322" t="str">
        <f>IFERROR(__xludf.DUMMYFUNCTION("GOOGLETRANSLATE(C24,""zh-tw"",""ru"")"),"-")</f>
        <v>-</v>
      </c>
      <c r="V24" s="179" t="s">
        <v>4108</v>
      </c>
      <c r="W24" s="323" t="s">
        <v>4109</v>
      </c>
      <c r="X24" s="325" t="s">
        <v>3859</v>
      </c>
      <c r="Y24" s="160" t="s">
        <v>4110</v>
      </c>
      <c r="Z24" s="170" t="s">
        <v>4111</v>
      </c>
      <c r="AA24" s="326" t="s">
        <v>724</v>
      </c>
      <c r="AB24" s="17"/>
      <c r="AC24" s="17"/>
      <c r="AD24" s="17"/>
      <c r="AE24" s="17"/>
    </row>
    <row r="25">
      <c r="A25" s="153" t="s">
        <v>4112</v>
      </c>
      <c r="B25" s="167" t="s">
        <v>4113</v>
      </c>
      <c r="C25" s="319" t="s">
        <v>724</v>
      </c>
      <c r="D25" s="320" t="str">
        <f>IFERROR(__xludf.DUMMYFUNCTION("GOOGLETRANSLATE(A25,""zh-tw"",""ja"")"),"怨霊")</f>
        <v>怨霊</v>
      </c>
      <c r="E25" s="321" t="str">
        <f>IFERROR(__xludf.DUMMYFUNCTION("GOOGLETRANSLATE(B25,""zh-tw"",""ja"")"),"堕落した魔術師の手袋 / タロットカード")</f>
        <v>堕落した魔術師の手袋 / タロットカード</v>
      </c>
      <c r="F25" s="322" t="str">
        <f>IFERROR(__xludf.DUMMYFUNCTION("GOOGLETRANSLATE(C25,""zh-tw"",""ja"")"),"-")</f>
        <v>-</v>
      </c>
      <c r="G25" s="179" t="s">
        <v>4114</v>
      </c>
      <c r="H25" s="323" t="s">
        <v>4115</v>
      </c>
      <c r="I25" s="322" t="str">
        <f>IFERROR(__xludf.DUMMYFUNCTION("GOOGLETRANSLATE(C25,""zh-tw"",""en"")"),"-")</f>
        <v>-</v>
      </c>
      <c r="J25" s="320" t="str">
        <f>IFERROR(__xludf.DUMMYFUNCTION("GOOGLETRANSLATE(A25,""zh-tw"",""zh"")"),"怨灵")</f>
        <v>怨灵</v>
      </c>
      <c r="K25" s="321" t="str">
        <f>IFERROR(__xludf.DUMMYFUNCTION("GOOGLETRANSLATE(B25,""zh-tw"",""zh"")"),"堕落法师的手套/塔罗牌")</f>
        <v>堕落法师的手套/塔罗牌</v>
      </c>
      <c r="L25" s="322" t="str">
        <f>IFERROR(__xludf.DUMMYFUNCTION("GOOGLETRANSLATE(C25,""zh-tw"",""zh"")"),"-")</f>
        <v>-</v>
      </c>
      <c r="M25" s="154" t="str">
        <f>IFERROR(__xludf.DUMMYFUNCTION("GOOGLETRANSLATE(A25,""zh-tw"",""es-MX"")"),"espíritu vengativo")</f>
        <v>espíritu vengativo</v>
      </c>
      <c r="N25" s="168" t="str">
        <f>IFERROR(__xludf.DUMMYFUNCTION("GOOGLETRANSLATE(B25,""zh-tw"",""es-MX"")"),"Los guantes del mago caído / Cartas del Tarot")</f>
        <v>Los guantes del mago caído / Cartas del Tarot</v>
      </c>
      <c r="O25" s="324" t="str">
        <f>IFERROR(__xludf.DUMMYFUNCTION("GOOGLETRANSLATE(C25,""zh-tw"",""es-MX"")"),"-")</f>
        <v>-</v>
      </c>
      <c r="P25" s="153" t="s">
        <v>4116</v>
      </c>
      <c r="Q25" s="168" t="str">
        <f>IFERROR(__xludf.DUMMYFUNCTION("GOOGLETRANSLATE(B25,""zh-tw"",""KO"")"),"타락한 마법사의 장갑 / 타로 카드")</f>
        <v>타락한 마법사의 장갑 / 타로 카드</v>
      </c>
      <c r="R25" s="324" t="str">
        <f>IFERROR(__xludf.DUMMYFUNCTION("GOOGLETRANSLATE(C25,""zh-tw"",""KO"")"),"-")</f>
        <v>-</v>
      </c>
      <c r="S25" s="320" t="str">
        <f>IFERROR(__xludf.DUMMYFUNCTION("GOOGLETRANSLATE(A25,""zh-tw"",""ru"")"),"мстительный дух")</f>
        <v>мстительный дух</v>
      </c>
      <c r="T25" s="321" t="str">
        <f>IFERROR(__xludf.DUMMYFUNCTION("GOOGLETRANSLATE(B25,""zh-tw"",""ru"")"),"Перчатки падшего мага / Карты Таро")</f>
        <v>Перчатки падшего мага / Карты Таро</v>
      </c>
      <c r="U25" s="322" t="str">
        <f>IFERROR(__xludf.DUMMYFUNCTION("GOOGLETRANSLATE(C25,""zh-tw"",""ru"")"),"-")</f>
        <v>-</v>
      </c>
      <c r="V25" s="179" t="s">
        <v>4117</v>
      </c>
      <c r="W25" s="323" t="s">
        <v>4118</v>
      </c>
      <c r="X25" s="325" t="s">
        <v>3859</v>
      </c>
      <c r="Y25" s="160" t="s">
        <v>4119</v>
      </c>
      <c r="Z25" s="170" t="s">
        <v>4120</v>
      </c>
      <c r="AA25" s="327" t="s">
        <v>724</v>
      </c>
      <c r="AB25" s="17"/>
      <c r="AC25" s="17"/>
      <c r="AD25" s="17"/>
      <c r="AE25" s="17"/>
    </row>
    <row r="26">
      <c r="A26" s="153" t="s">
        <v>4121</v>
      </c>
      <c r="B26" s="167" t="s">
        <v>4122</v>
      </c>
      <c r="C26" s="319" t="s">
        <v>724</v>
      </c>
      <c r="D26" s="320" t="str">
        <f>IFERROR(__xludf.DUMMYFUNCTION("GOOGLETRANSLATE(A26,""zh-tw"",""ja"")"),"ゾンビ")</f>
        <v>ゾンビ</v>
      </c>
      <c r="E26" s="321" t="str">
        <f>IFERROR(__xludf.DUMMYFUNCTION("GOOGLETRANSLATE(B26,""zh-tw"",""ja"")"),"ゴミ／臭い魚の骨／毒蛇の抱擁")</f>
        <v>ゴミ／臭い魚の骨／毒蛇の抱擁</v>
      </c>
      <c r="F26" s="322" t="str">
        <f>IFERROR(__xludf.DUMMYFUNCTION("GOOGLETRANSLATE(C26,""zh-tw"",""ja"")"),"-")</f>
        <v>-</v>
      </c>
      <c r="G26" s="179" t="s">
        <v>4123</v>
      </c>
      <c r="H26" s="323" t="s">
        <v>4124</v>
      </c>
      <c r="I26" s="322" t="str">
        <f>IFERROR(__xludf.DUMMYFUNCTION("GOOGLETRANSLATE(C26,""zh-tw"",""en"")"),"-")</f>
        <v>-</v>
      </c>
      <c r="J26" s="320" t="str">
        <f>IFERROR(__xludf.DUMMYFUNCTION("GOOGLETRANSLATE(A26,""zh-tw"",""zh"")"),"丧尸")</f>
        <v>丧尸</v>
      </c>
      <c r="K26" s="321" t="str">
        <f>IFERROR(__xludf.DUMMYFUNCTION("GOOGLETRANSLATE(B26,""zh-tw"",""zh"")"),"垃圾/臭鱼骨/毒蛇之拥")</f>
        <v>垃圾/臭鱼骨/毒蛇之拥</v>
      </c>
      <c r="L26" s="322" t="str">
        <f>IFERROR(__xludf.DUMMYFUNCTION("GOOGLETRANSLATE(C26,""zh-tw"",""zh"")"),"-")</f>
        <v>-</v>
      </c>
      <c r="M26" s="154" t="str">
        <f>IFERROR(__xludf.DUMMYFUNCTION("GOOGLETRANSLATE(A26,""zh-tw"",""es-MX"")"),"Zombis")</f>
        <v>Zombis</v>
      </c>
      <c r="N26" s="168" t="str">
        <f>IFERROR(__xludf.DUMMYFUNCTION("GOOGLETRANSLATE(B26,""zh-tw"",""es-MX"")"),"Basura/Espinas de pescado apestosas/Abrazo de una serpiente venenosa")</f>
        <v>Basura/Espinas de pescado apestosas/Abrazo de una serpiente venenosa</v>
      </c>
      <c r="O26" s="324" t="str">
        <f>IFERROR(__xludf.DUMMYFUNCTION("GOOGLETRANSLATE(C26,""zh-tw"",""es-MX"")"),"-")</f>
        <v>-</v>
      </c>
      <c r="P26" s="154" t="str">
        <f>IFERROR(__xludf.DUMMYFUNCTION("GOOGLETRANSLATE(A26,""zh-tw"",""KO"")"),"좀비")</f>
        <v>좀비</v>
      </c>
      <c r="Q26" s="167" t="s">
        <v>4125</v>
      </c>
      <c r="R26" s="324" t="str">
        <f>IFERROR(__xludf.DUMMYFUNCTION("GOOGLETRANSLATE(C26,""zh-tw"",""KO"")"),"-")</f>
        <v>-</v>
      </c>
      <c r="S26" s="320" t="str">
        <f>IFERROR(__xludf.DUMMYFUNCTION("GOOGLETRANSLATE(A26,""zh-tw"",""ru"")"),"Зомби")</f>
        <v>Зомби</v>
      </c>
      <c r="T26" s="321" t="str">
        <f>IFERROR(__xludf.DUMMYFUNCTION("GOOGLETRANSLATE(B26,""zh-tw"",""ru"")"),"Мусор/Вонючие рыбьи кости/Объятия ядовитой змеи")</f>
        <v>Мусор/Вонючие рыбьи кости/Объятия ядовитой змеи</v>
      </c>
      <c r="U26" s="322" t="str">
        <f>IFERROR(__xludf.DUMMYFUNCTION("GOOGLETRANSLATE(C26,""zh-tw"",""ru"")"),"-")</f>
        <v>-</v>
      </c>
      <c r="V26" s="179" t="s">
        <v>4126</v>
      </c>
      <c r="W26" s="323" t="s">
        <v>4127</v>
      </c>
      <c r="X26" s="325" t="s">
        <v>3859</v>
      </c>
      <c r="Y26" s="160" t="s">
        <v>4123</v>
      </c>
      <c r="Z26" s="170" t="s">
        <v>4128</v>
      </c>
      <c r="AA26" s="326" t="s">
        <v>724</v>
      </c>
      <c r="AB26" s="17"/>
      <c r="AC26" s="17"/>
      <c r="AD26" s="17"/>
      <c r="AE26" s="17"/>
    </row>
    <row r="27">
      <c r="A27" s="153" t="s">
        <v>4129</v>
      </c>
      <c r="B27" s="167" t="s">
        <v>4130</v>
      </c>
      <c r="C27" s="319" t="s">
        <v>724</v>
      </c>
      <c r="D27" s="179" t="s">
        <v>4131</v>
      </c>
      <c r="E27" s="323" t="s">
        <v>4132</v>
      </c>
      <c r="F27" s="322" t="str">
        <f>IFERROR(__xludf.DUMMYFUNCTION("GOOGLETRANSLATE(C27,""zh-tw"",""ja"")"),"-")</f>
        <v>-</v>
      </c>
      <c r="G27" s="320" t="str">
        <f>IFERROR(__xludf.DUMMYFUNCTION("GOOGLETRANSLATE(A27,""zh-tw"",""en"")"),"Maid Bunny")</f>
        <v>Maid Bunny</v>
      </c>
      <c r="H27" s="323" t="s">
        <v>4133</v>
      </c>
      <c r="I27" s="322" t="str">
        <f>IFERROR(__xludf.DUMMYFUNCTION("GOOGLETRANSLATE(C27,""zh-tw"",""en"")"),"-")</f>
        <v>-</v>
      </c>
      <c r="J27" s="320" t="str">
        <f>IFERROR(__xludf.DUMMYFUNCTION("GOOGLETRANSLATE(A27,""zh-tw"",""zh"")"),"女仆兔")</f>
        <v>女仆兔</v>
      </c>
      <c r="K27" s="321" t="str">
        <f>IFERROR(__xludf.DUMMYFUNCTION("GOOGLETRANSLATE(B27,""zh-tw"",""zh"")"),"萌萌兔耳/女仆制服/高额金币")</f>
        <v>萌萌兔耳/女仆制服/高额金币</v>
      </c>
      <c r="L27" s="322" t="str">
        <f>IFERROR(__xludf.DUMMYFUNCTION("GOOGLETRANSLATE(C27,""zh-tw"",""zh"")"),"-")</f>
        <v>-</v>
      </c>
      <c r="M27" s="154" t="str">
        <f>IFERROR(__xludf.DUMMYFUNCTION("GOOGLETRANSLATE(A27,""zh-tw"",""es-MX"")"),"Conejita sirvienta")</f>
        <v>Conejita sirvienta</v>
      </c>
      <c r="N27" s="168" t="str">
        <f>IFERROR(__xludf.DUMMYFUNCTION("GOOGLETRANSLATE(B27,""zh-tw"",""es-MX"")"),"Lindas orejas de conejo/uniforme de sirvienta/gran cantidad de monedas de oro")</f>
        <v>Lindas orejas de conejo/uniforme de sirvienta/gran cantidad de monedas de oro</v>
      </c>
      <c r="O27" s="324" t="str">
        <f>IFERROR(__xludf.DUMMYFUNCTION("GOOGLETRANSLATE(C27,""zh-tw"",""es-MX"")"),"-")</f>
        <v>-</v>
      </c>
      <c r="P27" s="154" t="str">
        <f>IFERROR(__xludf.DUMMYFUNCTION("GOOGLETRANSLATE(A27,""zh-tw"",""KO"")"),"메이드 버니")</f>
        <v>메이드 버니</v>
      </c>
      <c r="Q27" s="167" t="s">
        <v>4134</v>
      </c>
      <c r="R27" s="324" t="str">
        <f>IFERROR(__xludf.DUMMYFUNCTION("GOOGLETRANSLATE(C27,""zh-tw"",""KO"")"),"-")</f>
        <v>-</v>
      </c>
      <c r="S27" s="320" t="str">
        <f>IFERROR(__xludf.DUMMYFUNCTION("GOOGLETRANSLATE(A27,""zh-tw"",""ru"")"),"Кролик-горничная")</f>
        <v>Кролик-горничная</v>
      </c>
      <c r="T27" s="321" t="str">
        <f>IFERROR(__xludf.DUMMYFUNCTION("GOOGLETRANSLATE(B27,""zh-tw"",""ru"")"),"Милые ушки кролика/униформа горничной/большое количество золотых монет")</f>
        <v>Милые ушки кролика/униформа горничной/большое количество золотых монет</v>
      </c>
      <c r="U27" s="322" t="str">
        <f>IFERROR(__xludf.DUMMYFUNCTION("GOOGLETRANSLATE(C27,""zh-tw"",""ru"")"),"-")</f>
        <v>-</v>
      </c>
      <c r="V27" s="179" t="s">
        <v>4135</v>
      </c>
      <c r="W27" s="323" t="s">
        <v>4136</v>
      </c>
      <c r="X27" s="325" t="s">
        <v>4137</v>
      </c>
      <c r="Y27" s="160" t="s">
        <v>4138</v>
      </c>
      <c r="Z27" s="170" t="s">
        <v>4139</v>
      </c>
      <c r="AA27" s="326" t="s">
        <v>724</v>
      </c>
      <c r="AB27" s="17"/>
      <c r="AC27" s="17"/>
      <c r="AD27" s="17"/>
      <c r="AE27" s="17"/>
    </row>
    <row r="28">
      <c r="A28" s="153" t="s">
        <v>4140</v>
      </c>
      <c r="B28" s="167" t="s">
        <v>4141</v>
      </c>
      <c r="C28" s="319" t="s">
        <v>724</v>
      </c>
      <c r="D28" s="320" t="str">
        <f>IFERROR(__xludf.DUMMYFUNCTION("GOOGLETRANSLATE(A28,""zh-tw"",""ja"")"),"果樹")</f>
        <v>果樹</v>
      </c>
      <c r="E28" s="321" t="str">
        <f>IFERROR(__xludf.DUMMYFUNCTION("GOOGLETRANSLATE(B28,""zh-tw"",""ja"")"),"リンゴ/堅木の棒/堅木の剣/ランセット/古代の木の残骸")</f>
        <v>リンゴ/堅木の棒/堅木の剣/ランセット/古代の木の残骸</v>
      </c>
      <c r="F28" s="322" t="str">
        <f>IFERROR(__xludf.DUMMYFUNCTION("GOOGLETRANSLATE(C28,""zh-tw"",""ja"")"),"-")</f>
        <v>-</v>
      </c>
      <c r="G28" s="179" t="s">
        <v>4142</v>
      </c>
      <c r="H28" s="323" t="s">
        <v>4143</v>
      </c>
      <c r="I28" s="322" t="str">
        <f>IFERROR(__xludf.DUMMYFUNCTION("GOOGLETRANSLATE(C28,""zh-tw"",""en"")"),"-")</f>
        <v>-</v>
      </c>
      <c r="J28" s="320" t="str">
        <f>IFERROR(__xludf.DUMMYFUNCTION("GOOGLETRANSLATE(A28,""zh-tw"",""zh"")"),"果树")</f>
        <v>果树</v>
      </c>
      <c r="K28" s="321" t="str">
        <f>IFERROR(__xludf.DUMMYFUNCTION("GOOGLETRANSLATE(B28,""zh-tw"",""zh"")"),"苹果/硬木棒/硬木剑/柳叶刀/古树残骸")</f>
        <v>苹果/硬木棒/硬木剑/柳叶刀/古树残骸</v>
      </c>
      <c r="L28" s="322" t="str">
        <f>IFERROR(__xludf.DUMMYFUNCTION("GOOGLETRANSLATE(C28,""zh-tw"",""zh"")"),"-")</f>
        <v>-</v>
      </c>
      <c r="M28" s="154" t="str">
        <f>IFERROR(__xludf.DUMMYFUNCTION("GOOGLETRANSLATE(A28,""zh-tw"",""es-MX"")"),"árboles frutales")</f>
        <v>árboles frutales</v>
      </c>
      <c r="N28" s="168" t="str">
        <f>IFERROR(__xludf.DUMMYFUNCTION("GOOGLETRANSLATE(B28,""zh-tw"",""es-MX"")"),"Manzana/Palo de madera dura/Espada de madera dura/Lanceta/Restos de árbol antiguo")</f>
        <v>Manzana/Palo de madera dura/Espada de madera dura/Lanceta/Restos de árbol antiguo</v>
      </c>
      <c r="O28" s="324" t="str">
        <f>IFERROR(__xludf.DUMMYFUNCTION("GOOGLETRANSLATE(C28,""zh-tw"",""es-MX"")"),"-")</f>
        <v>-</v>
      </c>
      <c r="P28" s="153" t="s">
        <v>4144</v>
      </c>
      <c r="Q28" s="167" t="s">
        <v>4145</v>
      </c>
      <c r="R28" s="324" t="str">
        <f>IFERROR(__xludf.DUMMYFUNCTION("GOOGLETRANSLATE(C28,""zh-tw"",""KO"")"),"-")</f>
        <v>-</v>
      </c>
      <c r="S28" s="320" t="str">
        <f>IFERROR(__xludf.DUMMYFUNCTION("GOOGLETRANSLATE(A28,""zh-tw"",""ru"")"),"фруктовые деревья")</f>
        <v>фруктовые деревья</v>
      </c>
      <c r="T28" s="321" t="str">
        <f>IFERROR(__xludf.DUMMYFUNCTION("GOOGLETRANSLATE(B28,""zh-tw"",""ru"")"),"Яблоко/Деревянная палка/Деревянный меч/Ланцет/Остатки древнего дерева")</f>
        <v>Яблоко/Деревянная палка/Деревянный меч/Ланцет/Остатки древнего дерева</v>
      </c>
      <c r="U28" s="322" t="str">
        <f>IFERROR(__xludf.DUMMYFUNCTION("GOOGLETRANSLATE(C28,""zh-tw"",""ru"")"),"-")</f>
        <v>-</v>
      </c>
      <c r="V28" s="179" t="s">
        <v>4146</v>
      </c>
      <c r="W28" s="323" t="s">
        <v>4147</v>
      </c>
      <c r="X28" s="325" t="s">
        <v>4148</v>
      </c>
      <c r="Y28" s="160" t="s">
        <v>4149</v>
      </c>
      <c r="Z28" s="170" t="s">
        <v>4150</v>
      </c>
      <c r="AA28" s="326" t="s">
        <v>724</v>
      </c>
      <c r="AB28" s="17"/>
      <c r="AC28" s="17"/>
      <c r="AD28" s="17"/>
      <c r="AE28" s="17"/>
    </row>
    <row r="29">
      <c r="A29" s="153" t="s">
        <v>4151</v>
      </c>
      <c r="B29" s="167" t="s">
        <v>4152</v>
      </c>
      <c r="C29" s="319" t="s">
        <v>724</v>
      </c>
      <c r="D29" s="320" t="str">
        <f>IFERROR(__xludf.DUMMYFUNCTION("GOOGLETRANSLATE(A29,""zh-tw"",""ja"")"),"鉱石")</f>
        <v>鉱石</v>
      </c>
      <c r="E29" s="321"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22" t="str">
        <f>IFERROR(__xludf.DUMMYFUNCTION("GOOGLETRANSLATE(C29,""zh-tw"",""ja"")"),"-")</f>
        <v>-</v>
      </c>
      <c r="G29" s="179" t="s">
        <v>4153</v>
      </c>
      <c r="H29" s="323" t="s">
        <v>4154</v>
      </c>
      <c r="I29" s="322" t="str">
        <f>IFERROR(__xludf.DUMMYFUNCTION("GOOGLETRANSLATE(C29,""zh-tw"",""en"")"),"-")</f>
        <v>-</v>
      </c>
      <c r="J29" s="320" t="str">
        <f>IFERROR(__xludf.DUMMYFUNCTION("GOOGLETRANSLATE(A29,""zh-tw"",""zh"")"),"矿石")</f>
        <v>矿石</v>
      </c>
      <c r="K29" s="321" t="str">
        <f>IFERROR(__xludf.DUMMYFUNCTION("GOOGLETRANSLATE(B29,""zh-tw"",""zh"")"),"苹果头套/蓝辉石/魔力小凝胶/深邃魔力晶簇")</f>
        <v>苹果头套/蓝辉石/魔力小凝胶/深邃魔力晶簇</v>
      </c>
      <c r="L29" s="322" t="str">
        <f>IFERROR(__xludf.DUMMYFUNCTION("GOOGLETRANSLATE(C29,""zh-tw"",""zh"")"),"-")</f>
        <v>-</v>
      </c>
      <c r="M29" s="154" t="str">
        <f>IFERROR(__xludf.DUMMYFUNCTION("GOOGLETRANSLATE(A29,""zh-tw"",""es-MX"")"),"mineral")</f>
        <v>mineral</v>
      </c>
      <c r="N29" s="168" t="str">
        <f>IFERROR(__xludf.DUMMYFUNCTION("GOOGLETRANSLATE(B29,""zh-tw"",""es-MX"")"),"Diadema de manzana/Piroxeno azul/Gel mágico/Cristal de magia profunda")</f>
        <v>Diadema de manzana/Piroxeno azul/Gel mágico/Cristal de magia profunda</v>
      </c>
      <c r="O29" s="324" t="str">
        <f>IFERROR(__xludf.DUMMYFUNCTION("GOOGLETRANSLATE(C29,""zh-tw"",""es-MX"")"),"-")</f>
        <v>-</v>
      </c>
      <c r="P29" s="154" t="str">
        <f>IFERROR(__xludf.DUMMYFUNCTION("GOOGLETRANSLATE(A29,""zh-tw"",""KO"")"),"광석")</f>
        <v>광석</v>
      </c>
      <c r="Q29" s="167" t="s">
        <v>4155</v>
      </c>
      <c r="R29" s="324" t="str">
        <f>IFERROR(__xludf.DUMMYFUNCTION("GOOGLETRANSLATE(C29,""zh-tw"",""KO"")"),"-")</f>
        <v>-</v>
      </c>
      <c r="S29" s="320" t="str">
        <f>IFERROR(__xludf.DUMMYFUNCTION("GOOGLETRANSLATE(A29,""zh-tw"",""ru"")"),"руда")</f>
        <v>руда</v>
      </c>
      <c r="T29" s="321"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22" t="str">
        <f>IFERROR(__xludf.DUMMYFUNCTION("GOOGLETRANSLATE(C29,""zh-tw"",""ru"")"),"-")</f>
        <v>-</v>
      </c>
      <c r="V29" s="179" t="s">
        <v>4156</v>
      </c>
      <c r="W29" s="323" t="s">
        <v>4157</v>
      </c>
      <c r="X29" s="325" t="s">
        <v>4158</v>
      </c>
      <c r="Y29" s="160" t="s">
        <v>4159</v>
      </c>
      <c r="Z29" s="170" t="s">
        <v>4160</v>
      </c>
      <c r="AA29" s="326" t="s">
        <v>724</v>
      </c>
      <c r="AB29" s="17"/>
      <c r="AC29" s="17"/>
      <c r="AD29" s="17"/>
      <c r="AE29" s="17"/>
    </row>
    <row r="30">
      <c r="A30" s="153" t="s">
        <v>4161</v>
      </c>
      <c r="B30" s="167" t="s">
        <v>4162</v>
      </c>
      <c r="C30" s="319" t="s">
        <v>724</v>
      </c>
      <c r="D30" s="320" t="str">
        <f>IFERROR(__xludf.DUMMYFUNCTION("GOOGLETRANSLATE(A30,""zh-tw"",""ja"")"),"鉱石スライム")</f>
        <v>鉱石スライム</v>
      </c>
      <c r="E30" s="321" t="str">
        <f>IFERROR(__xludf.DUMMYFUNCTION("GOOGLETRANSLATE(B30,""zh-tw"",""ja"")"),"深淵の魔水晶群 / スライム / 汎用アイテム")</f>
        <v>深淵の魔水晶群 / スライム / 汎用アイテム</v>
      </c>
      <c r="F30" s="322" t="str">
        <f>IFERROR(__xludf.DUMMYFUNCTION("GOOGLETRANSLATE(C30,""zh-tw"",""ja"")"),"-")</f>
        <v>-</v>
      </c>
      <c r="G30" s="179" t="s">
        <v>4163</v>
      </c>
      <c r="H30" s="323" t="s">
        <v>4164</v>
      </c>
      <c r="I30" s="322" t="str">
        <f>IFERROR(__xludf.DUMMYFUNCTION("GOOGLETRANSLATE(C30,""zh-tw"",""en"")"),"-")</f>
        <v>-</v>
      </c>
      <c r="J30" s="320" t="str">
        <f>IFERROR(__xludf.DUMMYFUNCTION("GOOGLETRANSLATE(A30,""zh-tw"",""zh"")"),"矿石史莱姆")</f>
        <v>矿石史莱姆</v>
      </c>
      <c r="K30" s="321" t="str">
        <f>IFERROR(__xludf.DUMMYFUNCTION("GOOGLETRANSLATE(B30,""zh-tw"",""zh"")"),"深邃魔力晶簇/史莱姆的黏液/通用型道具")</f>
        <v>深邃魔力晶簇/史莱姆的黏液/通用型道具</v>
      </c>
      <c r="L30" s="322" t="str">
        <f>IFERROR(__xludf.DUMMYFUNCTION("GOOGLETRANSLATE(C30,""zh-tw"",""zh"")"),"-")</f>
        <v>-</v>
      </c>
      <c r="M30" s="154" t="str">
        <f>IFERROR(__xludf.DUMMYFUNCTION("GOOGLETRANSLATE(A30,""zh-tw"",""es-MX"")"),"Limo de mineral")</f>
        <v>Limo de mineral</v>
      </c>
      <c r="N30" s="168" t="str">
        <f>IFERROR(__xludf.DUMMYFUNCTION("GOOGLETRANSLATE(B30,""zh-tw"",""es-MX"")"),"Racimo de Cristal Mágico Profundo / Limo Limo / Objeto de Uso General")</f>
        <v>Racimo de Cristal Mágico Profundo / Limo Limo / Objeto de Uso General</v>
      </c>
      <c r="O30" s="324" t="str">
        <f>IFERROR(__xludf.DUMMYFUNCTION("GOOGLETRANSLATE(C30,""zh-tw"",""es-MX"")"),"-")</f>
        <v>-</v>
      </c>
      <c r="P30" s="154" t="str">
        <f>IFERROR(__xludf.DUMMYFUNCTION("GOOGLETRANSLATE(A30,""zh-tw"",""KO"")"),"광석 슬라임")</f>
        <v>광석 슬라임</v>
      </c>
      <c r="Q30" s="167" t="s">
        <v>4165</v>
      </c>
      <c r="R30" s="324" t="str">
        <f>IFERROR(__xludf.DUMMYFUNCTION("GOOGLETRANSLATE(C30,""zh-tw"",""KO"")"),"-")</f>
        <v>-</v>
      </c>
      <c r="S30" s="320" t="str">
        <f>IFERROR(__xludf.DUMMYFUNCTION("GOOGLETRANSLATE(A30,""zh-tw"",""ru"")"),"Рудный слайм")</f>
        <v>Рудный слайм</v>
      </c>
      <c r="T30" s="321" t="str">
        <f>IFERROR(__xludf.DUMMYFUNCTION("GOOGLETRANSLATE(B30,""zh-tw"",""ru"")"),"Кристаллический кластер глубокой магии / Слизь / Предмет общего назначения")</f>
        <v>Кристаллический кластер глубокой магии / Слизь / Предмет общего назначения</v>
      </c>
      <c r="U30" s="322" t="str">
        <f>IFERROR(__xludf.DUMMYFUNCTION("GOOGLETRANSLATE(C30,""zh-tw"",""ru"")"),"-")</f>
        <v>-</v>
      </c>
      <c r="V30" s="179" t="s">
        <v>4166</v>
      </c>
      <c r="W30" s="323" t="s">
        <v>4167</v>
      </c>
      <c r="X30" s="325" t="s">
        <v>3859</v>
      </c>
      <c r="Y30" s="160" t="s">
        <v>4168</v>
      </c>
      <c r="Z30" s="170" t="s">
        <v>4169</v>
      </c>
      <c r="AA30" s="326" t="s">
        <v>724</v>
      </c>
      <c r="AB30" s="17"/>
      <c r="AC30" s="17"/>
      <c r="AD30" s="17"/>
      <c r="AE30" s="17"/>
    </row>
    <row r="31">
      <c r="A31" s="153" t="s">
        <v>4170</v>
      </c>
      <c r="B31" s="167" t="s">
        <v>4171</v>
      </c>
      <c r="C31" s="319" t="s">
        <v>4172</v>
      </c>
      <c r="D31" s="320" t="str">
        <f>IFERROR(__xludf.DUMMYFUNCTION("GOOGLETRANSLATE(A31,""zh-tw"",""ja"")"),"狂乱の赤い獣")</f>
        <v>狂乱の赤い獣</v>
      </c>
      <c r="E31" s="323" t="s">
        <v>4173</v>
      </c>
      <c r="F31" s="325" t="s">
        <v>4174</v>
      </c>
      <c r="G31" s="179" t="s">
        <v>4175</v>
      </c>
      <c r="H31" s="323" t="s">
        <v>4176</v>
      </c>
      <c r="I31" s="325" t="s">
        <v>4177</v>
      </c>
      <c r="J31" s="320" t="str">
        <f>IFERROR(__xludf.DUMMYFUNCTION("GOOGLETRANSLATE(A31,""zh-tw"",""zh"")"),"狂乱的红兽")</f>
        <v>狂乱的红兽</v>
      </c>
      <c r="K31" s="321" t="str">
        <f>IFERROR(__xludf.DUMMYFUNCTION("GOOGLETRANSLATE(B31,""zh-tw"",""zh"")"),"寄坏剑/不幸的诞生/天上之石碎片")</f>
        <v>寄坏剑/不幸的诞生/天上之石碎片</v>
      </c>
      <c r="L31" s="322" t="str">
        <f>IFERROR(__xludf.DUMMYFUNCTION("GOOGLETRANSLATE(C31,""zh-tw"",""zh"")"),"遗迹BOSS 
弱点：毒")</f>
        <v>遗迹BOSS 
弱点：毒</v>
      </c>
      <c r="M31" s="154" t="str">
        <f>IFERROR(__xludf.DUMMYFUNCTION("GOOGLETRANSLATE(A31,""zh-tw"",""es-MX"")"),"La bestia roja enloquecida")</f>
        <v>La bestia roja enloquecida</v>
      </c>
      <c r="N31" s="168" t="str">
        <f>IFERROR(__xludf.DUMMYFUNCTION("GOOGLETRANSLATE(B31,""zh-tw"",""es-MX"")"),"La espada rota / El nacimiento desafortunado / Fragmentos de una piedra celestial")</f>
        <v>La espada rota / El nacimiento desafortunado / Fragmentos de una piedra celestial</v>
      </c>
      <c r="O31" s="324" t="str">
        <f>IFERROR(__xludf.DUMMYFUNCTION("GOOGLETRANSLATE(C31,""zh-tw"",""es-MX"")"),"Jefe de las Ruinas")</f>
        <v>Jefe de las Ruinas</v>
      </c>
      <c r="P31" s="154" t="str">
        <f>IFERROR(__xludf.DUMMYFUNCTION("GOOGLETRANSLATE(A31,""zh-tw"",""KO"")"),"광란의 붉은 짐승")</f>
        <v>광란의 붉은 짐승</v>
      </c>
      <c r="Q31" s="167" t="s">
        <v>4178</v>
      </c>
      <c r="R31" s="319" t="s">
        <v>4179</v>
      </c>
      <c r="S31" s="320" t="str">
        <f>IFERROR(__xludf.DUMMYFUNCTION("GOOGLETRANSLATE(A31,""zh-tw"",""ru"")"),"Бешеный Красный Зверь")</f>
        <v>Бешеный Красный Зверь</v>
      </c>
      <c r="T31" s="321" t="str">
        <f>IFERROR(__xludf.DUMMYFUNCTION("GOOGLETRANSLATE(B31,""zh-tw"",""ru"")"),"Сломанный меч / Несчастное рождение / Осколки небесного камня")</f>
        <v>Сломанный меч / Несчастное рождение / Осколки небесного камня</v>
      </c>
      <c r="U31" s="322" t="str">
        <f>IFERROR(__xludf.DUMMYFUNCTION("GOOGLETRANSLATE(C31,""zh-tw"",""ru"")"),"Босс Руин
Слабость: Яд")</f>
        <v>Босс Руин
Слабость: Яд</v>
      </c>
      <c r="V31" s="179" t="s">
        <v>4180</v>
      </c>
      <c r="W31" s="323" t="s">
        <v>4181</v>
      </c>
      <c r="X31" s="325" t="s">
        <v>4182</v>
      </c>
      <c r="Y31" s="160" t="s">
        <v>4183</v>
      </c>
      <c r="Z31" s="170" t="s">
        <v>4184</v>
      </c>
      <c r="AA31" s="326" t="s">
        <v>4185</v>
      </c>
      <c r="AB31" s="17"/>
      <c r="AC31" s="17"/>
      <c r="AD31" s="17"/>
      <c r="AE31" s="17"/>
    </row>
    <row r="32">
      <c r="A32" s="153" t="s">
        <v>4186</v>
      </c>
      <c r="B32" s="167" t="s">
        <v>4187</v>
      </c>
      <c r="C32" s="319" t="s">
        <v>724</v>
      </c>
      <c r="D32" s="320" t="str">
        <f>IFERROR(__xludf.DUMMYFUNCTION("GOOGLETRANSLATE(A32,""zh-tw"",""ja"")"),"イチゴの苗")</f>
        <v>イチゴの苗</v>
      </c>
      <c r="E32" s="321" t="str">
        <f>IFERROR(__xludf.DUMMYFUNCTION("GOOGLETRANSLATE(B32,""zh-tw"",""ja"")"),"いちご")</f>
        <v>いちご</v>
      </c>
      <c r="F32" s="322" t="str">
        <f>IFERROR(__xludf.DUMMYFUNCTION("GOOGLETRANSLATE(C32,""zh-tw"",""ja"")"),"-")</f>
        <v>-</v>
      </c>
      <c r="G32" s="179" t="s">
        <v>4188</v>
      </c>
      <c r="H32" s="323" t="s">
        <v>4189</v>
      </c>
      <c r="I32" s="322" t="str">
        <f>IFERROR(__xludf.DUMMYFUNCTION("GOOGLETRANSLATE(C32,""zh-tw"",""en"")"),"-")</f>
        <v>-</v>
      </c>
      <c r="J32" s="320" t="str">
        <f>IFERROR(__xludf.DUMMYFUNCTION("GOOGLETRANSLATE(A32,""zh-tw"",""zh"")"),"草莓苗")</f>
        <v>草莓苗</v>
      </c>
      <c r="K32" s="321" t="str">
        <f>IFERROR(__xludf.DUMMYFUNCTION("GOOGLETRANSLATE(B32,""zh-tw"",""zh"")"),"草莓")</f>
        <v>草莓</v>
      </c>
      <c r="L32" s="322" t="str">
        <f>IFERROR(__xludf.DUMMYFUNCTION("GOOGLETRANSLATE(C32,""zh-tw"",""zh"")"),"-")</f>
        <v>-</v>
      </c>
      <c r="M32" s="154" t="str">
        <f>IFERROR(__xludf.DUMMYFUNCTION("GOOGLETRANSLATE(A32,""zh-tw"",""es-MX"")"),"plántulas de fresa")</f>
        <v>plántulas de fresa</v>
      </c>
      <c r="N32" s="168" t="str">
        <f>IFERROR(__xludf.DUMMYFUNCTION("GOOGLETRANSLATE(B32,""zh-tw"",""es-MX"")"),"fresa")</f>
        <v>fresa</v>
      </c>
      <c r="O32" s="324" t="str">
        <f>IFERROR(__xludf.DUMMYFUNCTION("GOOGLETRANSLATE(C32,""zh-tw"",""es-MX"")"),"-")</f>
        <v>-</v>
      </c>
      <c r="P32" s="153" t="s">
        <v>4190</v>
      </c>
      <c r="Q32" s="168" t="str">
        <f>IFERROR(__xludf.DUMMYFUNCTION("GOOGLETRANSLATE(B32,""zh-tw"",""KO"")"),"딸기")</f>
        <v>딸기</v>
      </c>
      <c r="R32" s="324" t="str">
        <f>IFERROR(__xludf.DUMMYFUNCTION("GOOGLETRANSLATE(C32,""zh-tw"",""KO"")"),"-")</f>
        <v>-</v>
      </c>
      <c r="S32" s="320" t="str">
        <f>IFERROR(__xludf.DUMMYFUNCTION("GOOGLETRANSLATE(A32,""zh-tw"",""ru"")"),"рассада клубники")</f>
        <v>рассада клубники</v>
      </c>
      <c r="T32" s="321" t="str">
        <f>IFERROR(__xludf.DUMMYFUNCTION("GOOGLETRANSLATE(B32,""zh-tw"",""ru"")"),"клубника")</f>
        <v>клубника</v>
      </c>
      <c r="U32" s="322" t="str">
        <f>IFERROR(__xludf.DUMMYFUNCTION("GOOGLETRANSLATE(C32,""zh-tw"",""ru"")"),"-")</f>
        <v>-</v>
      </c>
      <c r="V32" s="179" t="s">
        <v>4191</v>
      </c>
      <c r="W32" s="323" t="s">
        <v>4192</v>
      </c>
      <c r="X32" s="325" t="s">
        <v>4193</v>
      </c>
      <c r="Y32" s="160" t="s">
        <v>4194</v>
      </c>
      <c r="Z32" s="170" t="s">
        <v>4195</v>
      </c>
      <c r="AA32" s="326" t="s">
        <v>724</v>
      </c>
      <c r="AB32" s="17"/>
      <c r="AC32" s="17"/>
      <c r="AD32" s="17"/>
      <c r="AE32" s="17"/>
    </row>
    <row r="33">
      <c r="A33" s="153" t="s">
        <v>4196</v>
      </c>
      <c r="B33" s="167" t="s">
        <v>4197</v>
      </c>
      <c r="C33" s="319" t="s">
        <v>724</v>
      </c>
      <c r="D33" s="320" t="str">
        <f>IFERROR(__xludf.DUMMYFUNCTION("GOOGLETRANSLATE(A33,""zh-tw"",""ja"")"),"ジャガイモの芽")</f>
        <v>ジャガイモの芽</v>
      </c>
      <c r="E33" s="321" t="str">
        <f>IFERROR(__xludf.DUMMYFUNCTION("GOOGLETRANSLATE(B33,""zh-tw"",""ja"")"),"じゃがいも")</f>
        <v>じゃがいも</v>
      </c>
      <c r="F33" s="322" t="str">
        <f>IFERROR(__xludf.DUMMYFUNCTION("GOOGLETRANSLATE(C33,""zh-tw"",""ja"")"),"-")</f>
        <v>-</v>
      </c>
      <c r="G33" s="179" t="s">
        <v>4198</v>
      </c>
      <c r="H33" s="323" t="s">
        <v>4199</v>
      </c>
      <c r="I33" s="322" t="str">
        <f>IFERROR(__xludf.DUMMYFUNCTION("GOOGLETRANSLATE(C33,""zh-tw"",""en"")"),"-")</f>
        <v>-</v>
      </c>
      <c r="J33" s="320" t="str">
        <f>IFERROR(__xludf.DUMMYFUNCTION("GOOGLETRANSLATE(A33,""zh-tw"",""zh"")"),"土豆苗")</f>
        <v>土豆苗</v>
      </c>
      <c r="K33" s="321" t="str">
        <f>IFERROR(__xludf.DUMMYFUNCTION("GOOGLETRANSLATE(B33,""zh-tw"",""zh"")"),"土豆")</f>
        <v>土豆</v>
      </c>
      <c r="L33" s="322" t="str">
        <f>IFERROR(__xludf.DUMMYFUNCTION("GOOGLETRANSLATE(C33,""zh-tw"",""zh"")"),"-")</f>
        <v>-</v>
      </c>
      <c r="M33" s="154" t="str">
        <f>IFERROR(__xludf.DUMMYFUNCTION("GOOGLETRANSLATE(A33,""zh-tw"",""es-MX"")"),"brotes de patata")</f>
        <v>brotes de patata</v>
      </c>
      <c r="N33" s="168" t="str">
        <f>IFERROR(__xludf.DUMMYFUNCTION("GOOGLETRANSLATE(B33,""zh-tw"",""es-MX"")"),"Papa")</f>
        <v>Papa</v>
      </c>
      <c r="O33" s="324" t="str">
        <f>IFERROR(__xludf.DUMMYFUNCTION("GOOGLETRANSLATE(C33,""zh-tw"",""es-MX"")"),"-")</f>
        <v>-</v>
      </c>
      <c r="P33" s="153" t="s">
        <v>4200</v>
      </c>
      <c r="Q33" s="168" t="str">
        <f>IFERROR(__xludf.DUMMYFUNCTION("GOOGLETRANSLATE(B33,""zh-tw"",""KO"")"),"감자")</f>
        <v>감자</v>
      </c>
      <c r="R33" s="324" t="str">
        <f>IFERROR(__xludf.DUMMYFUNCTION("GOOGLETRANSLATE(C33,""zh-tw"",""KO"")"),"-")</f>
        <v>-</v>
      </c>
      <c r="S33" s="320" t="str">
        <f>IFERROR(__xludf.DUMMYFUNCTION("GOOGLETRANSLATE(A33,""zh-tw"",""ru"")"),"ростки картофеля")</f>
        <v>ростки картофеля</v>
      </c>
      <c r="T33" s="321" t="str">
        <f>IFERROR(__xludf.DUMMYFUNCTION("GOOGLETRANSLATE(B33,""zh-tw"",""ru"")"),"Картофель")</f>
        <v>Картофель</v>
      </c>
      <c r="U33" s="322" t="str">
        <f>IFERROR(__xludf.DUMMYFUNCTION("GOOGLETRANSLATE(C33,""zh-tw"",""ru"")"),"-")</f>
        <v>-</v>
      </c>
      <c r="V33" s="179" t="s">
        <v>4201</v>
      </c>
      <c r="W33" s="323" t="s">
        <v>4202</v>
      </c>
      <c r="X33" s="325" t="s">
        <v>4193</v>
      </c>
      <c r="Y33" s="160" t="s">
        <v>4203</v>
      </c>
      <c r="Z33" s="170" t="s">
        <v>4204</v>
      </c>
      <c r="AA33" s="326" t="s">
        <v>724</v>
      </c>
      <c r="AB33" s="17"/>
      <c r="AC33" s="17"/>
      <c r="AD33" s="17"/>
      <c r="AE33" s="17"/>
    </row>
    <row r="34">
      <c r="A34" s="153" t="s">
        <v>4205</v>
      </c>
      <c r="B34" s="167" t="s">
        <v>4206</v>
      </c>
      <c r="C34" s="319" t="s">
        <v>724</v>
      </c>
      <c r="D34" s="320" t="str">
        <f>IFERROR(__xludf.DUMMYFUNCTION("GOOGLETRANSLATE(A34,""zh-tw"",""ja"")"),"トマトの苗")</f>
        <v>トマトの苗</v>
      </c>
      <c r="E34" s="321" t="str">
        <f>IFERROR(__xludf.DUMMYFUNCTION("GOOGLETRANSLATE(B34,""zh-tw"",""ja"")"),"トマト")</f>
        <v>トマト</v>
      </c>
      <c r="F34" s="322" t="str">
        <f>IFERROR(__xludf.DUMMYFUNCTION("GOOGLETRANSLATE(C34,""zh-tw"",""ja"")"),"-")</f>
        <v>-</v>
      </c>
      <c r="G34" s="179" t="s">
        <v>4207</v>
      </c>
      <c r="H34" s="323" t="s">
        <v>4208</v>
      </c>
      <c r="I34" s="322" t="str">
        <f>IFERROR(__xludf.DUMMYFUNCTION("GOOGLETRANSLATE(C34,""zh-tw"",""en"")"),"-")</f>
        <v>-</v>
      </c>
      <c r="J34" s="320" t="str">
        <f>IFERROR(__xludf.DUMMYFUNCTION("GOOGLETRANSLATE(A34,""zh-tw"",""zh"")"),"番茄苗")</f>
        <v>番茄苗</v>
      </c>
      <c r="K34" s="321" t="str">
        <f>IFERROR(__xludf.DUMMYFUNCTION("GOOGLETRANSLATE(B34,""zh-tw"",""zh"")"),"番茄")</f>
        <v>番茄</v>
      </c>
      <c r="L34" s="322" t="str">
        <f>IFERROR(__xludf.DUMMYFUNCTION("GOOGLETRANSLATE(C34,""zh-tw"",""zh"")"),"-")</f>
        <v>-</v>
      </c>
      <c r="M34" s="154" t="str">
        <f>IFERROR(__xludf.DUMMYFUNCTION("GOOGLETRANSLATE(A34,""zh-tw"",""es-MX"")"),"Plántulas de tomate")</f>
        <v>Plántulas de tomate</v>
      </c>
      <c r="N34" s="168" t="str">
        <f>IFERROR(__xludf.DUMMYFUNCTION("GOOGLETRANSLATE(B34,""zh-tw"",""es-MX"")"),"tomate")</f>
        <v>tomate</v>
      </c>
      <c r="O34" s="324" t="str">
        <f>IFERROR(__xludf.DUMMYFUNCTION("GOOGLETRANSLATE(C34,""zh-tw"",""es-MX"")"),"-")</f>
        <v>-</v>
      </c>
      <c r="P34" s="154" t="str">
        <f>IFERROR(__xludf.DUMMYFUNCTION("GOOGLETRANSLATE(A34,""zh-tw"",""KO"")"),"토마토 모종")</f>
        <v>토마토 모종</v>
      </c>
      <c r="Q34" s="168" t="str">
        <f>IFERROR(__xludf.DUMMYFUNCTION("GOOGLETRANSLATE(B34,""zh-tw"",""KO"")"),"토마토")</f>
        <v>토마토</v>
      </c>
      <c r="R34" s="324" t="str">
        <f>IFERROR(__xludf.DUMMYFUNCTION("GOOGLETRANSLATE(C34,""zh-tw"",""KO"")"),"-")</f>
        <v>-</v>
      </c>
      <c r="S34" s="320" t="str">
        <f>IFERROR(__xludf.DUMMYFUNCTION("GOOGLETRANSLATE(A34,""zh-tw"",""ru"")"),"Рассада томатов")</f>
        <v>Рассада томатов</v>
      </c>
      <c r="T34" s="321" t="str">
        <f>IFERROR(__xludf.DUMMYFUNCTION("GOOGLETRANSLATE(B34,""zh-tw"",""ru"")"),"помидор")</f>
        <v>помидор</v>
      </c>
      <c r="U34" s="322" t="str">
        <f>IFERROR(__xludf.DUMMYFUNCTION("GOOGLETRANSLATE(C34,""zh-tw"",""ru"")"),"-")</f>
        <v>-</v>
      </c>
      <c r="V34" s="179" t="s">
        <v>4209</v>
      </c>
      <c r="W34" s="323" t="s">
        <v>4210</v>
      </c>
      <c r="X34" s="325" t="s">
        <v>4193</v>
      </c>
      <c r="Y34" s="160" t="s">
        <v>4211</v>
      </c>
      <c r="Z34" s="170" t="s">
        <v>4212</v>
      </c>
      <c r="AA34" s="326" t="s">
        <v>724</v>
      </c>
      <c r="AB34" s="17"/>
      <c r="AC34" s="17"/>
      <c r="AD34" s="17"/>
      <c r="AE34" s="17"/>
    </row>
    <row r="35">
      <c r="A35" s="153" t="s">
        <v>4213</v>
      </c>
      <c r="B35" s="167" t="s">
        <v>4214</v>
      </c>
      <c r="C35" s="319" t="s">
        <v>724</v>
      </c>
      <c r="D35" s="320" t="str">
        <f>IFERROR(__xludf.DUMMYFUNCTION("GOOGLETRANSLATE(A35,""zh-tw"",""ja"")"),"唐辛子の苗")</f>
        <v>唐辛子の苗</v>
      </c>
      <c r="E35" s="321" t="str">
        <f>IFERROR(__xludf.DUMMYFUNCTION("GOOGLETRANSLATE(B35,""zh-tw"",""ja"")"),"チリ")</f>
        <v>チリ</v>
      </c>
      <c r="F35" s="322" t="str">
        <f>IFERROR(__xludf.DUMMYFUNCTION("GOOGLETRANSLATE(C35,""zh-tw"",""ja"")"),"-")</f>
        <v>-</v>
      </c>
      <c r="G35" s="179" t="s">
        <v>4215</v>
      </c>
      <c r="H35" s="323" t="s">
        <v>4216</v>
      </c>
      <c r="I35" s="322" t="str">
        <f>IFERROR(__xludf.DUMMYFUNCTION("GOOGLETRANSLATE(C35,""zh-tw"",""en"")"),"-")</f>
        <v>-</v>
      </c>
      <c r="J35" s="320" t="str">
        <f>IFERROR(__xludf.DUMMYFUNCTION("GOOGLETRANSLATE(A35,""zh-tw"",""zh"")"),"辣椒苗")</f>
        <v>辣椒苗</v>
      </c>
      <c r="K35" s="321" t="str">
        <f>IFERROR(__xludf.DUMMYFUNCTION("GOOGLETRANSLATE(B35,""zh-tw"",""zh"")"),"辣椒")</f>
        <v>辣椒</v>
      </c>
      <c r="L35" s="322" t="str">
        <f>IFERROR(__xludf.DUMMYFUNCTION("GOOGLETRANSLATE(C35,""zh-tw"",""zh"")"),"-")</f>
        <v>-</v>
      </c>
      <c r="M35" s="154" t="str">
        <f>IFERROR(__xludf.DUMMYFUNCTION("GOOGLETRANSLATE(A35,""zh-tw"",""es-MX"")"),"Plántulas de chile")</f>
        <v>Plántulas de chile</v>
      </c>
      <c r="N35" s="168" t="str">
        <f>IFERROR(__xludf.DUMMYFUNCTION("GOOGLETRANSLATE(B35,""zh-tw"",""es-MX"")"),"chile")</f>
        <v>chile</v>
      </c>
      <c r="O35" s="324" t="str">
        <f>IFERROR(__xludf.DUMMYFUNCTION("GOOGLETRANSLATE(C35,""zh-tw"",""es-MX"")"),"-")</f>
        <v>-</v>
      </c>
      <c r="P35" s="154" t="str">
        <f>IFERROR(__xludf.DUMMYFUNCTION("GOOGLETRANSLATE(A35,""zh-tw"",""KO"")"),"고추 모종")</f>
        <v>고추 모종</v>
      </c>
      <c r="Q35" s="168" t="str">
        <f>IFERROR(__xludf.DUMMYFUNCTION("GOOGLETRANSLATE(B35,""zh-tw"",""KO"")"),"칠리")</f>
        <v>칠리</v>
      </c>
      <c r="R35" s="324" t="str">
        <f>IFERROR(__xludf.DUMMYFUNCTION("GOOGLETRANSLATE(C35,""zh-tw"",""KO"")"),"-")</f>
        <v>-</v>
      </c>
      <c r="S35" s="320" t="str">
        <f>IFERROR(__xludf.DUMMYFUNCTION("GOOGLETRANSLATE(A35,""zh-tw"",""ru"")"),"Рассада чили")</f>
        <v>Рассада чили</v>
      </c>
      <c r="T35" s="321" t="str">
        <f>IFERROR(__xludf.DUMMYFUNCTION("GOOGLETRANSLATE(B35,""zh-tw"",""ru"")"),"чили")</f>
        <v>чили</v>
      </c>
      <c r="U35" s="322" t="str">
        <f>IFERROR(__xludf.DUMMYFUNCTION("GOOGLETRANSLATE(C35,""zh-tw"",""ru"")"),"-")</f>
        <v>-</v>
      </c>
      <c r="V35" s="179" t="s">
        <v>4217</v>
      </c>
      <c r="W35" s="323" t="s">
        <v>4218</v>
      </c>
      <c r="X35" s="325" t="s">
        <v>4193</v>
      </c>
      <c r="Y35" s="160" t="s">
        <v>4219</v>
      </c>
      <c r="Z35" s="170" t="s">
        <v>4220</v>
      </c>
      <c r="AA35" s="326" t="s">
        <v>724</v>
      </c>
      <c r="AB35" s="17"/>
      <c r="AC35" s="17"/>
      <c r="AD35" s="17"/>
      <c r="AE35" s="17"/>
    </row>
    <row r="36">
      <c r="A36" s="153" t="s">
        <v>4221</v>
      </c>
      <c r="B36" s="167" t="s">
        <v>4222</v>
      </c>
      <c r="C36" s="319" t="s">
        <v>724</v>
      </c>
      <c r="D36" s="320" t="str">
        <f>IFERROR(__xludf.DUMMYFUNCTION("GOOGLETRANSLATE(A36,""zh-tw"",""ja"")"),"角のあるウサギ")</f>
        <v>角のあるウサギ</v>
      </c>
      <c r="E36" s="323" t="s">
        <v>4223</v>
      </c>
      <c r="F36" s="322" t="str">
        <f>IFERROR(__xludf.DUMMYFUNCTION("GOOGLETRANSLATE(C36,""zh-tw"",""ja"")"),"-")</f>
        <v>-</v>
      </c>
      <c r="G36" s="179" t="s">
        <v>4224</v>
      </c>
      <c r="H36" s="323" t="s">
        <v>4225</v>
      </c>
      <c r="I36" s="322" t="str">
        <f>IFERROR(__xludf.DUMMYFUNCTION("GOOGLETRANSLATE(C36,""zh-tw"",""en"")"),"-")</f>
        <v>-</v>
      </c>
      <c r="J36" s="320" t="str">
        <f>IFERROR(__xludf.DUMMYFUNCTION("GOOGLETRANSLATE(A36,""zh-tw"",""zh"")"),"角兔")</f>
        <v>角兔</v>
      </c>
      <c r="K36" s="321" t="str">
        <f>IFERROR(__xludf.DUMMYFUNCTION("GOOGLETRANSLATE(B36,""zh-tw"",""zh"")"),"兽肉")</f>
        <v>兽肉</v>
      </c>
      <c r="L36" s="322" t="str">
        <f>IFERROR(__xludf.DUMMYFUNCTION("GOOGLETRANSLATE(C36,""zh-tw"",""zh"")"),"-")</f>
        <v>-</v>
      </c>
      <c r="M36" s="154" t="str">
        <f>IFERROR(__xludf.DUMMYFUNCTION("GOOGLETRANSLATE(A36,""zh-tw"",""es-MX"")"),"Conejo cornudo")</f>
        <v>Conejo cornudo</v>
      </c>
      <c r="N36" s="168" t="str">
        <f>IFERROR(__xludf.DUMMYFUNCTION("GOOGLETRANSLATE(B36,""zh-tw"",""es-MX"")"),"carne")</f>
        <v>carne</v>
      </c>
      <c r="O36" s="324" t="str">
        <f>IFERROR(__xludf.DUMMYFUNCTION("GOOGLETRANSLATE(C36,""zh-tw"",""es-MX"")"),"-")</f>
        <v>-</v>
      </c>
      <c r="P36" s="153" t="s">
        <v>4226</v>
      </c>
      <c r="Q36" s="167" t="s">
        <v>4227</v>
      </c>
      <c r="R36" s="324" t="str">
        <f>IFERROR(__xludf.DUMMYFUNCTION("GOOGLETRANSLATE(C36,""zh-tw"",""KO"")"),"-")</f>
        <v>-</v>
      </c>
      <c r="S36" s="320" t="str">
        <f>IFERROR(__xludf.DUMMYFUNCTION("GOOGLETRANSLATE(A36,""zh-tw"",""ru"")"),"Рогатый Кролик")</f>
        <v>Рогатый Кролик</v>
      </c>
      <c r="T36" s="321" t="str">
        <f>IFERROR(__xludf.DUMMYFUNCTION("GOOGLETRANSLATE(B36,""zh-tw"",""ru"")"),"мясо")</f>
        <v>мясо</v>
      </c>
      <c r="U36" s="322" t="str">
        <f>IFERROR(__xludf.DUMMYFUNCTION("GOOGLETRANSLATE(C36,""zh-tw"",""ru"")"),"-")</f>
        <v>-</v>
      </c>
      <c r="V36" s="179" t="s">
        <v>4228</v>
      </c>
      <c r="W36" s="323" t="s">
        <v>4229</v>
      </c>
      <c r="X36" s="325" t="s">
        <v>3859</v>
      </c>
      <c r="Y36" s="160" t="s">
        <v>4230</v>
      </c>
      <c r="Z36" s="170" t="s">
        <v>4231</v>
      </c>
      <c r="AA36" s="326" t="s">
        <v>724</v>
      </c>
      <c r="AB36" s="17"/>
      <c r="AC36" s="17"/>
      <c r="AD36" s="17"/>
      <c r="AE36" s="17"/>
    </row>
    <row r="37">
      <c r="A37" s="153" t="s">
        <v>2689</v>
      </c>
      <c r="B37" s="167" t="s">
        <v>4232</v>
      </c>
      <c r="C37" s="319" t="s">
        <v>4233</v>
      </c>
      <c r="D37" s="320" t="str">
        <f>IFERROR(__xludf.DUMMYFUNCTION("GOOGLETRANSLATE(A37,""zh-tw"",""ja"")"),"かかし")</f>
        <v>かかし</v>
      </c>
      <c r="E37" s="323" t="s">
        <v>4234</v>
      </c>
      <c r="F37" s="325" t="s">
        <v>4235</v>
      </c>
      <c r="G37" s="179" t="s">
        <v>2695</v>
      </c>
      <c r="H37" s="323" t="s">
        <v>4236</v>
      </c>
      <c r="I37" s="325" t="s">
        <v>4237</v>
      </c>
      <c r="J37" s="320" t="str">
        <f>IFERROR(__xludf.DUMMYFUNCTION("GOOGLETRANSLATE(A37,""zh-tw"",""zh"")"),"稻草人")</f>
        <v>稻草人</v>
      </c>
      <c r="K37" s="321" t="str">
        <f>IFERROR(__xludf.DUMMYFUNCTION("GOOGLETRANSLATE(B37,""zh-tw"",""zh"")"),"稻草人的心")</f>
        <v>稻草人的心</v>
      </c>
      <c r="L37" s="322" t="str">
        <f>IFERROR(__xludf.DUMMYFUNCTION("GOOGLETRANSLATE(C37,""zh-tw"",""zh"")"),"伤害测试")</f>
        <v>伤害测试</v>
      </c>
      <c r="M37" s="154" t="str">
        <f>IFERROR(__xludf.DUMMYFUNCTION("GOOGLETRANSLATE(A37,""zh-tw"",""es-MX"")"),"espantapájaros")</f>
        <v>espantapájaros</v>
      </c>
      <c r="N37" s="168" t="str">
        <f>IFERROR(__xludf.DUMMYFUNCTION("GOOGLETRANSLATE(B37,""zh-tw"",""es-MX"")"),"El corazón del espantapájaros")</f>
        <v>El corazón del espantapájaros</v>
      </c>
      <c r="O37" s="324" t="str">
        <f>IFERROR(__xludf.DUMMYFUNCTION("GOOGLETRANSLATE(C37,""zh-tw"",""es-MX"")"),"Prueba de daños")</f>
        <v>Prueba de daños</v>
      </c>
      <c r="P37" s="154" t="str">
        <f>IFERROR(__xludf.DUMMYFUNCTION("GOOGLETRANSLATE(A37,""zh-tw"",""KO"")"),"허수아비")</f>
        <v>허수아비</v>
      </c>
      <c r="Q37" s="167" t="s">
        <v>4238</v>
      </c>
      <c r="R37" s="319" t="s">
        <v>4239</v>
      </c>
      <c r="S37" s="320" t="str">
        <f>IFERROR(__xludf.DUMMYFUNCTION("GOOGLETRANSLATE(A37,""zh-tw"",""ru"")"),"пугало")</f>
        <v>пугало</v>
      </c>
      <c r="T37" s="321" t="str">
        <f>IFERROR(__xludf.DUMMYFUNCTION("GOOGLETRANSLATE(B37,""zh-tw"",""ru"")"),"Сердце пугала")</f>
        <v>Сердце пугала</v>
      </c>
      <c r="U37" s="322" t="str">
        <f>IFERROR(__xludf.DUMMYFUNCTION("GOOGLETRANSLATE(C37,""zh-tw"",""ru"")"),"Тест на повреждения")</f>
        <v>Тест на повреждения</v>
      </c>
      <c r="V37" s="179" t="s">
        <v>2698</v>
      </c>
      <c r="W37" s="323" t="s">
        <v>4240</v>
      </c>
      <c r="X37" s="325" t="s">
        <v>4241</v>
      </c>
      <c r="Y37" s="160" t="s">
        <v>2701</v>
      </c>
      <c r="Z37" s="170" t="s">
        <v>4242</v>
      </c>
      <c r="AA37" s="326" t="s">
        <v>4243</v>
      </c>
      <c r="AB37" s="17"/>
      <c r="AC37" s="17"/>
      <c r="AD37" s="17"/>
      <c r="AE37" s="17"/>
    </row>
    <row r="38">
      <c r="A38" s="153" t="s">
        <v>4244</v>
      </c>
      <c r="B38" s="167" t="s">
        <v>4245</v>
      </c>
      <c r="C38" s="319" t="s">
        <v>4246</v>
      </c>
      <c r="D38" s="320" t="str">
        <f>IFERROR(__xludf.DUMMYFUNCTION("GOOGLETRANSLATE(A38,""zh-tw"",""ja"")"),"浅羽")</f>
        <v>浅羽</v>
      </c>
      <c r="E38" s="323" t="s">
        <v>4247</v>
      </c>
      <c r="F38" s="325" t="s">
        <v>4248</v>
      </c>
      <c r="G38" s="179" t="s">
        <v>4249</v>
      </c>
      <c r="H38" s="323" t="s">
        <v>4250</v>
      </c>
      <c r="I38" s="325" t="s">
        <v>4251</v>
      </c>
      <c r="J38" s="320" t="str">
        <f>IFERROR(__xludf.DUMMYFUNCTION("GOOGLETRANSLATE(A38,""zh-tw"",""zh"")"),"浅羽")</f>
        <v>浅羽</v>
      </c>
      <c r="K38" s="321" t="str">
        <f>IFERROR(__xludf.DUMMYFUNCTION("GOOGLETRANSLATE(B38,""zh-tw"",""zh"")"),"猫爪")</f>
        <v>猫爪</v>
      </c>
      <c r="L38" s="322" t="str">
        <f>IFERROR(__xludf.DUMMYFUNCTION("GOOGLETRANSLATE(C38,""zh-tw"",""zh"")"),"猫娘商店车
弱点：雷")</f>
        <v>猫娘商店车
弱点：雷</v>
      </c>
      <c r="M38" s="154" t="str">
        <f>IFERROR(__xludf.DUMMYFUNCTION("GOOGLETRANSLATE(A38,""zh-tw"",""es-MX"")"),"Asaba")</f>
        <v>Asaba</v>
      </c>
      <c r="N38" s="168" t="str">
        <f>IFERROR(__xludf.DUMMYFUNCTION("GOOGLETRANSLATE(B38,""zh-tw"",""es-MX"")"),"pata de gato")</f>
        <v>pata de gato</v>
      </c>
      <c r="O38" s="324" t="str">
        <f>IFERROR(__xludf.DUMMYFUNCTION("GOOGLETRANSLATE(C38,""zh-tw"",""es-MX"")"),"Carrito de la tienda de la chica gato")</f>
        <v>Carrito de la tienda de la chica gato</v>
      </c>
      <c r="P38" s="154" t="str">
        <f>IFERROR(__xludf.DUMMYFUNCTION("GOOGLETRANSLATE(A38,""zh-tw"",""KO"")"),"아사바")</f>
        <v>아사바</v>
      </c>
      <c r="Q38" s="167" t="s">
        <v>4252</v>
      </c>
      <c r="R38" s="319" t="s">
        <v>4253</v>
      </c>
      <c r="S38" s="320" t="str">
        <f>IFERROR(__xludf.DUMMYFUNCTION("GOOGLETRANSLATE(A38,""zh-tw"",""ru"")"),"Асаба")</f>
        <v>Асаба</v>
      </c>
      <c r="T38" s="321" t="str">
        <f>IFERROR(__xludf.DUMMYFUNCTION("GOOGLETRANSLATE(B38,""zh-tw"",""ru"")"),"кошачья лапа")</f>
        <v>кошачья лапа</v>
      </c>
      <c r="U38" s="322" t="str">
        <f>IFERROR(__xludf.DUMMYFUNCTION("GOOGLETRANSLATE(C38,""zh-tw"",""ru"")"),"Корзина магазина Кошкодевочки
Слабость: Гром")</f>
        <v>Корзина магазина Кошкодевочки
Слабость: Гром</v>
      </c>
      <c r="V38" s="179" t="s">
        <v>4249</v>
      </c>
      <c r="W38" s="323" t="s">
        <v>4254</v>
      </c>
      <c r="X38" s="325" t="s">
        <v>4255</v>
      </c>
      <c r="Y38" s="160" t="s">
        <v>4249</v>
      </c>
      <c r="Z38" s="170" t="s">
        <v>4256</v>
      </c>
      <c r="AA38" s="326" t="s">
        <v>4257</v>
      </c>
      <c r="AB38" s="17"/>
      <c r="AC38" s="17"/>
      <c r="AD38" s="17"/>
      <c r="AE38" s="17"/>
    </row>
    <row r="39">
      <c r="A39" s="153" t="s">
        <v>4258</v>
      </c>
      <c r="B39" s="167" t="s">
        <v>4259</v>
      </c>
      <c r="C39" s="319" t="s">
        <v>724</v>
      </c>
      <c r="D39" s="153" t="s">
        <v>4260</v>
      </c>
      <c r="E39" s="167" t="s">
        <v>4261</v>
      </c>
      <c r="F39" s="322" t="str">
        <f>IFERROR(__xludf.DUMMYFUNCTION("GOOGLETRANSLATE(C39,""zh-tw"",""ja"")"),"-")</f>
        <v>-</v>
      </c>
      <c r="G39" s="153" t="s">
        <v>4262</v>
      </c>
      <c r="H39" s="167" t="s">
        <v>4263</v>
      </c>
      <c r="I39" s="324" t="str">
        <f>IFERROR(__xludf.DUMMYFUNCTION("GOOGLETRANSLATE(F39,""zh-tw"",""ja"")"),"-")</f>
        <v>-</v>
      </c>
      <c r="J39" s="320" t="str">
        <f>IFERROR(__xludf.DUMMYFUNCTION("GOOGLETRANSLATE(A39,""zh-tw"",""zh"")"),"火焰妖精")</f>
        <v>火焰妖精</v>
      </c>
      <c r="K39" s="321" t="str">
        <f>IFERROR(__xludf.DUMMYFUNCTION("GOOGLETRANSLATE(B39,""zh-tw"",""zh"")"),"熔岩杖")</f>
        <v>熔岩杖</v>
      </c>
      <c r="L39" s="322" t="str">
        <f>IFERROR(__xludf.DUMMYFUNCTION("GOOGLETRANSLATE(C39,""zh-tw"",""zh"")"),"-")</f>
        <v>-</v>
      </c>
      <c r="M39" s="154" t="str">
        <f>IFERROR(__xludf.DUMMYFUNCTION("GOOGLETRANSLATE(A39,""zh-tw"",""es-MX"")"),"Hada de la llama")</f>
        <v>Hada de la llama</v>
      </c>
      <c r="N39" s="168" t="str">
        <f>IFERROR(__xludf.DUMMYFUNCTION("GOOGLETRANSLATE(B39,""zh-tw"",""es-MX"")"),"Bastón de lava")</f>
        <v>Bastón de lava</v>
      </c>
      <c r="O39" s="324" t="str">
        <f>IFERROR(__xludf.DUMMYFUNCTION("GOOGLETRANSLATE(C39,""zh-tw"",""es-MX"")"),"-")</f>
        <v>-</v>
      </c>
      <c r="P39" s="154" t="str">
        <f>IFERROR(__xludf.DUMMYFUNCTION("GOOGLETRANSLATE(A39,""zh-tw"",""KO"")"),"불꽃 요정")</f>
        <v>불꽃 요정</v>
      </c>
      <c r="Q39" s="167" t="s">
        <v>4264</v>
      </c>
      <c r="R39" s="324" t="str">
        <f>IFERROR(__xludf.DUMMYFUNCTION("GOOGLETRANSLATE(C39,""zh-tw"",""KO"")"),"-")</f>
        <v>-</v>
      </c>
      <c r="S39" s="320" t="str">
        <f>IFERROR(__xludf.DUMMYFUNCTION("GOOGLETRANSLATE(A39,""zh-tw"",""ru"")"),"Фея Пламени")</f>
        <v>Фея Пламени</v>
      </c>
      <c r="T39" s="321" t="str">
        <f>IFERROR(__xludf.DUMMYFUNCTION("GOOGLETRANSLATE(B39,""zh-tw"",""ru"")"),"Лавовый посох")</f>
        <v>Лавовый посох</v>
      </c>
      <c r="U39" s="322" t="str">
        <f>IFERROR(__xludf.DUMMYFUNCTION("GOOGLETRANSLATE(C39,""zh-tw"",""ru"")"),"-")</f>
        <v>-</v>
      </c>
      <c r="V39" s="179" t="s">
        <v>4265</v>
      </c>
      <c r="W39" s="323" t="s">
        <v>4266</v>
      </c>
      <c r="X39" s="325" t="s">
        <v>3859</v>
      </c>
      <c r="Y39" s="160" t="s">
        <v>4267</v>
      </c>
      <c r="Z39" s="170" t="s">
        <v>4268</v>
      </c>
      <c r="AA39" s="326" t="s">
        <v>724</v>
      </c>
      <c r="AB39" s="17"/>
      <c r="AC39" s="17"/>
      <c r="AD39" s="17"/>
      <c r="AE39" s="17"/>
    </row>
    <row r="40">
      <c r="A40" s="153" t="s">
        <v>4269</v>
      </c>
      <c r="B40" s="167" t="s">
        <v>4270</v>
      </c>
      <c r="C40" s="319" t="s">
        <v>724</v>
      </c>
      <c r="D40" s="153" t="s">
        <v>4271</v>
      </c>
      <c r="E40" s="167" t="s">
        <v>4272</v>
      </c>
      <c r="F40" s="322" t="str">
        <f>IFERROR(__xludf.DUMMYFUNCTION("GOOGLETRANSLATE(C40,""zh-tw"",""ja"")"),"-")</f>
        <v>-</v>
      </c>
      <c r="G40" s="153" t="s">
        <v>4273</v>
      </c>
      <c r="H40" s="167" t="s">
        <v>4274</v>
      </c>
      <c r="I40" s="324" t="str">
        <f>IFERROR(__xludf.DUMMYFUNCTION("GOOGLETRANSLATE(F40,""zh-tw"",""ja"")"),"-")</f>
        <v>-</v>
      </c>
      <c r="J40" s="320" t="str">
        <f>IFERROR(__xludf.DUMMYFUNCTION("GOOGLETRANSLATE(A40,""zh-tw"",""zh"")"),"燃烧史莱姆")</f>
        <v>燃烧史莱姆</v>
      </c>
      <c r="K40" s="321" t="str">
        <f>IFERROR(__xludf.DUMMYFUNCTION("GOOGLETRANSLATE(B40,""zh-tw"",""zh"")"),"熔岩戒指")</f>
        <v>熔岩戒指</v>
      </c>
      <c r="L40" s="322" t="str">
        <f>IFERROR(__xludf.DUMMYFUNCTION("GOOGLETRANSLATE(C40,""zh-tw"",""zh"")"),"-")</f>
        <v>-</v>
      </c>
      <c r="M40" s="154" t="str">
        <f>IFERROR(__xludf.DUMMYFUNCTION("GOOGLETRANSLATE(A40,""zh-tw"",""es-MX"")"),"Slime ardiente")</f>
        <v>Slime ardiente</v>
      </c>
      <c r="N40" s="168" t="str">
        <f>IFERROR(__xludf.DUMMYFUNCTION("GOOGLETRANSLATE(B40,""zh-tw"",""es-MX"")"),"Anillo de lava")</f>
        <v>Anillo de lava</v>
      </c>
      <c r="O40" s="324" t="str">
        <f>IFERROR(__xludf.DUMMYFUNCTION("GOOGLETRANSLATE(C40,""zh-tw"",""es-MX"")"),"-")</f>
        <v>-</v>
      </c>
      <c r="P40" s="154" t="str">
        <f>IFERROR(__xludf.DUMMYFUNCTION("GOOGLETRANSLATE(A40,""zh-tw"",""KO"")"),"불타는 슬라임")</f>
        <v>불타는 슬라임</v>
      </c>
      <c r="Q40" s="167" t="s">
        <v>4275</v>
      </c>
      <c r="R40" s="324" t="str">
        <f>IFERROR(__xludf.DUMMYFUNCTION("GOOGLETRANSLATE(C40,""zh-tw"",""KO"")"),"-")</f>
        <v>-</v>
      </c>
      <c r="S40" s="320" t="str">
        <f>IFERROR(__xludf.DUMMYFUNCTION("GOOGLETRANSLATE(A40,""zh-tw"",""ru"")"),"Горящая слизь")</f>
        <v>Горящая слизь</v>
      </c>
      <c r="T40" s="321" t="str">
        <f>IFERROR(__xludf.DUMMYFUNCTION("GOOGLETRANSLATE(B40,""zh-tw"",""ru"")"),"Кольцо лавы")</f>
        <v>Кольцо лавы</v>
      </c>
      <c r="U40" s="322" t="str">
        <f>IFERROR(__xludf.DUMMYFUNCTION("GOOGLETRANSLATE(C40,""zh-tw"",""ru"")"),"-")</f>
        <v>-</v>
      </c>
      <c r="V40" s="179" t="s">
        <v>4276</v>
      </c>
      <c r="W40" s="323" t="s">
        <v>4277</v>
      </c>
      <c r="X40" s="325" t="s">
        <v>3859</v>
      </c>
      <c r="Y40" s="160" t="s">
        <v>4278</v>
      </c>
      <c r="Z40" s="170" t="s">
        <v>4279</v>
      </c>
      <c r="AA40" s="326" t="s">
        <v>724</v>
      </c>
      <c r="AB40" s="17"/>
      <c r="AC40" s="17"/>
      <c r="AD40" s="17"/>
      <c r="AE40" s="17"/>
    </row>
    <row r="41">
      <c r="A41" s="153" t="s">
        <v>4280</v>
      </c>
      <c r="B41" s="167" t="s">
        <v>4281</v>
      </c>
      <c r="C41" s="319" t="s">
        <v>724</v>
      </c>
      <c r="D41" s="153" t="s">
        <v>4280</v>
      </c>
      <c r="E41" s="167" t="s">
        <v>4282</v>
      </c>
      <c r="F41" s="322" t="str">
        <f>IFERROR(__xludf.DUMMYFUNCTION("GOOGLETRANSLATE(C41,""zh-tw"",""ja"")"),"-")</f>
        <v>-</v>
      </c>
      <c r="G41" s="153" t="s">
        <v>4283</v>
      </c>
      <c r="H41" s="167" t="s">
        <v>4284</v>
      </c>
      <c r="I41" s="324" t="str">
        <f>IFERROR(__xludf.DUMMYFUNCTION("GOOGLETRANSLATE(F41,""zh-tw"",""ja"")"),"-")</f>
        <v>-</v>
      </c>
      <c r="J41" s="320" t="str">
        <f>IFERROR(__xludf.DUMMYFUNCTION("GOOGLETRANSLATE(A41,""zh-tw"",""zh"")"),"炎魔")</f>
        <v>炎魔</v>
      </c>
      <c r="K41" s="321" t="str">
        <f>IFERROR(__xludf.DUMMYFUNCTION("GOOGLETRANSLATE(B41,""zh-tw"",""zh"")"),"熔岩杖/阳炎")</f>
        <v>熔岩杖/阳炎</v>
      </c>
      <c r="L41" s="322" t="str">
        <f>IFERROR(__xludf.DUMMYFUNCTION("GOOGLETRANSLATE(C41,""zh-tw"",""zh"")"),"-")</f>
        <v>-</v>
      </c>
      <c r="M41" s="154" t="str">
        <f>IFERROR(__xludf.DUMMYFUNCTION("GOOGLETRANSLATE(A41,""zh-tw"",""es-MX"")"),"Demonio de fuego")</f>
        <v>Demonio de fuego</v>
      </c>
      <c r="N41" s="168" t="str">
        <f>IFERROR(__xludf.DUMMYFUNCTION("GOOGLETRANSLATE(B41,""zh-tw"",""es-MX"")"),"Bastón de lava/Fuego solar")</f>
        <v>Bastón de lava/Fuego solar</v>
      </c>
      <c r="O41" s="324" t="str">
        <f>IFERROR(__xludf.DUMMYFUNCTION("GOOGLETRANSLATE(C41,""zh-tw"",""es-MX"")"),"-")</f>
        <v>-</v>
      </c>
      <c r="P41" s="154" t="str">
        <f>IFERROR(__xludf.DUMMYFUNCTION("GOOGLETRANSLATE(A41,""zh-tw"",""KO"")"),"불의 악마")</f>
        <v>불의 악마</v>
      </c>
      <c r="Q41" s="168" t="str">
        <f>IFERROR(__xludf.DUMMYFUNCTION("GOOGLETRANSLATE(B41,""zh-tw"",""KO"")"),"용암 지팡이/선파이어")</f>
        <v>용암 지팡이/선파이어</v>
      </c>
      <c r="R41" s="324" t="str">
        <f>IFERROR(__xludf.DUMMYFUNCTION("GOOGLETRANSLATE(C41,""zh-tw"",""KO"")"),"-")</f>
        <v>-</v>
      </c>
      <c r="S41" s="320" t="str">
        <f>IFERROR(__xludf.DUMMYFUNCTION("GOOGLETRANSLATE(A41,""zh-tw"",""ru"")"),"Огненный Демон")</f>
        <v>Огненный Демон</v>
      </c>
      <c r="T41" s="321" t="str">
        <f>IFERROR(__xludf.DUMMYFUNCTION("GOOGLETRANSLATE(B41,""zh-tw"",""ru"")"),"Лавовый посох/Солнечный огонь")</f>
        <v>Лавовый посох/Солнечный огонь</v>
      </c>
      <c r="U41" s="322" t="str">
        <f>IFERROR(__xludf.DUMMYFUNCTION("GOOGLETRANSLATE(C41,""zh-tw"",""ru"")"),"-")</f>
        <v>-</v>
      </c>
      <c r="V41" s="179" t="s">
        <v>4283</v>
      </c>
      <c r="W41" s="323" t="s">
        <v>4285</v>
      </c>
      <c r="X41" s="325" t="s">
        <v>3859</v>
      </c>
      <c r="Y41" s="160" t="s">
        <v>4283</v>
      </c>
      <c r="Z41" s="170" t="s">
        <v>4286</v>
      </c>
      <c r="AA41" s="326" t="s">
        <v>724</v>
      </c>
      <c r="AB41" s="17"/>
      <c r="AC41" s="17"/>
      <c r="AD41" s="17"/>
      <c r="AE41" s="17"/>
    </row>
    <row r="42">
      <c r="A42" s="154" t="s">
        <v>4287</v>
      </c>
      <c r="B42" s="167" t="s">
        <v>4288</v>
      </c>
      <c r="C42" s="319" t="s">
        <v>4289</v>
      </c>
      <c r="D42" s="154" t="s">
        <v>4290</v>
      </c>
      <c r="E42" s="167" t="s">
        <v>4291</v>
      </c>
      <c r="F42" s="322" t="str">
        <f>IFERROR(__xludf.DUMMYFUNCTION("GOOGLETRANSLATE(C42,""zh-tw"",""ja"")"),"赤い翡翠のペンダントは特別なドロップです。ドロップするには 10 体以上のモンスターを倒す必要があります。")</f>
        <v>赤い翡翠のペンダントは特別なドロップです。ドロップするには 10 体以上のモンスターを倒す必要があります。</v>
      </c>
      <c r="G42" s="154" t="s">
        <v>4292</v>
      </c>
      <c r="H42" s="167" t="s">
        <v>4293</v>
      </c>
      <c r="I42" s="319" t="s">
        <v>4294</v>
      </c>
      <c r="J42" s="320" t="str">
        <f>IFERROR(__xludf.DUMMYFUNCTION("GOOGLETRANSLATE(A42,""zh-tw"",""zh"")"),"堕落法师的断手")</f>
        <v>堕落法师的断手</v>
      </c>
      <c r="K42" s="321" t="str">
        <f>IFERROR(__xludf.DUMMYFUNCTION("GOOGLETRANSLATE(B42,""zh-tw"",""zh"")"),"谢里斯的诅咒之手/红髓玉吊坠")</f>
        <v>谢里斯的诅咒之手/红髓玉吊坠</v>
      </c>
      <c r="L42" s="322" t="str">
        <f>IFERROR(__xludf.DUMMYFUNCTION("GOOGLETRANSLATE(C42,""zh-tw"",""zh"")"),"红髓玉吊坠是特殊掉落，需要击杀10只以上才有可能掉落。")</f>
        <v>红髓玉吊坠是特殊掉落，需要击杀10只以上才有可能掉落。</v>
      </c>
      <c r="M42" s="154" t="str">
        <f>IFERROR(__xludf.DUMMYFUNCTION("GOOGLETRANSLATE(A42,""zh-tw"",""es-MX"")"),"La mano cercenada del mago caído")</f>
        <v>La mano cercenada del mago caído</v>
      </c>
      <c r="N42" s="168" t="str">
        <f>IFERROR(__xludf.DUMMYFUNCTION("GOOGLETRANSLATE(B42,""zh-tw"",""es-MX"")"),"La mano maldita de Sheris / Colgante de cornalina")</f>
        <v>La mano maldita de Sheris / Colgante de cornalina</v>
      </c>
      <c r="O42" s="324" t="str">
        <f>IFERROR(__xludf.DUMMYFUNCTION("GOOGLETRANSLATE(C42,""zh-tw"",""es-MX"")"),"El colgante de jade rojo es un objeto especial; necesitas matar a más de 10 monstruos para que aparezca.")</f>
        <v>El colgante de jade rojo es un objeto especial; necesitas matar a más de 10 monstruos para que aparezca.</v>
      </c>
      <c r="P42" s="154" t="str">
        <f>IFERROR(__xludf.DUMMYFUNCTION("GOOGLETRANSLATE(A42,""zh-tw"",""KO"")"),"타락한 마법사의 잘린 손")</f>
        <v>타락한 마법사의 잘린 손</v>
      </c>
      <c r="Q42" s="168" t="str">
        <f>IFERROR(__xludf.DUMMYFUNCTION("GOOGLETRANSLATE(B42,""zh-tw"",""KO"")"),"셰리스의 저주받은 손 / 카넬리안 펜던트")</f>
        <v>셰리스의 저주받은 손 / 카넬리안 펜던트</v>
      </c>
      <c r="R42" s="324" t="str">
        <f>IFERROR(__xludf.DUMMYFUNCTION("GOOGLETRANSLATE(C42,""zh-tw"",""KO"")"),"붉은 옥 펜던트는 특별한 아이템으로, 이를 얻으려면 몬스터 10마리 이상을 죽여야 합니다.")</f>
        <v>붉은 옥 펜던트는 특별한 아이템으로, 이를 얻으려면 몬스터 10마리 이상을 죽여야 합니다.</v>
      </c>
      <c r="S42" s="320" t="str">
        <f>IFERROR(__xludf.DUMMYFUNCTION("GOOGLETRANSLATE(A42,""zh-tw"",""ru"")"),"Отрубленная рука падшего мага")</f>
        <v>Отрубленная рука падшего мага</v>
      </c>
      <c r="T42" s="321" t="str">
        <f>IFERROR(__xludf.DUMMYFUNCTION("GOOGLETRANSLATE(B42,""zh-tw"",""ru"")"),"Проклятая рука Шерис / Подвеска из сердолика")</f>
        <v>Проклятая рука Шерис / Подвеска из сердолика</v>
      </c>
      <c r="U42" s="322" t="str">
        <f>IFERROR(__xludf.DUMMYFUNCTION("GOOGLETRANSLATE(C42,""zh-tw"",""ru"")"),"Подвеска из красного нефрита — это особый предмет, для его выпадения вам нужно убить более 10 монстров.")</f>
        <v>Подвеска из красного нефрита — это особый предмет, для его выпадения вам нужно убить более 10 монстров.</v>
      </c>
      <c r="V42" s="154" t="s">
        <v>4295</v>
      </c>
      <c r="W42" s="168" t="s">
        <v>4296</v>
      </c>
      <c r="X42" s="319" t="s">
        <v>724</v>
      </c>
      <c r="Y42" s="185" t="s">
        <v>4297</v>
      </c>
      <c r="Z42" s="170" t="s">
        <v>4298</v>
      </c>
      <c r="AA42" s="326" t="s">
        <v>4299</v>
      </c>
      <c r="AB42" s="205"/>
      <c r="AC42" s="205"/>
      <c r="AD42" s="205"/>
      <c r="AE42" s="205"/>
    </row>
    <row r="43">
      <c r="A43" s="153" t="s">
        <v>4300</v>
      </c>
      <c r="B43" s="167" t="s">
        <v>4301</v>
      </c>
      <c r="C43" s="319" t="s">
        <v>4302</v>
      </c>
      <c r="D43" s="153" t="s">
        <v>4300</v>
      </c>
      <c r="E43" s="167" t="s">
        <v>4303</v>
      </c>
      <c r="F43" s="319" t="s">
        <v>4304</v>
      </c>
      <c r="G43" s="153" t="s">
        <v>4300</v>
      </c>
      <c r="H43" s="167" t="s">
        <v>4305</v>
      </c>
      <c r="I43" s="319" t="s">
        <v>4306</v>
      </c>
      <c r="J43" s="320" t="str">
        <f>IFERROR(__xludf.DUMMYFUNCTION("GOOGLETRANSLATE(A43,""zh-tw"",""zh"")"),"ASABA")</f>
        <v>ASABA</v>
      </c>
      <c r="K43" s="321" t="str">
        <f>IFERROR(__xludf.DUMMYFUNCTION("GOOGLETRANSLATE(B43,""zh-tw"",""zh"")"),"ASAB的草莓")</f>
        <v>ASAB的草莓</v>
      </c>
      <c r="L43" s="322" t="str">
        <f>IFERROR(__xludf.DUMMYFUNCTION("GOOGLETRANSLATE(C43,""zh-tw"",""zh"")"),"浅羽Doro，会吃掉路边的草莓")</f>
        <v>浅羽Doro，会吃掉路边的草莓</v>
      </c>
      <c r="M43" s="154" t="str">
        <f>IFERROR(__xludf.DUMMYFUNCTION("GOOGLETRANSLATE(A43,""zh-tw"",""es-MX"")"),"ASABA")</f>
        <v>ASABA</v>
      </c>
      <c r="N43" s="168" t="str">
        <f>IFERROR(__xludf.DUMMYFUNCTION("GOOGLETRANSLATE(B43,""zh-tw"",""es-MX"")"),"Fresas de ASAB")</f>
        <v>Fresas de ASAB</v>
      </c>
      <c r="O43" s="324" t="str">
        <f>IFERROR(__xludf.DUMMYFUNCTION("GOOGLETRANSLATE(C43,""zh-tw"",""es-MX"")"),"Asaba Doro comerá las fresas que encuentre al borde del camino.")</f>
        <v>Asaba Doro comerá las fresas que encuentre al borde del camino.</v>
      </c>
      <c r="P43" s="154" t="str">
        <f>IFERROR(__xludf.DUMMYFUNCTION("GOOGLETRANSLATE(A43,""zh-tw"",""KO"")"),"아사바")</f>
        <v>아사바</v>
      </c>
      <c r="Q43" s="168" t="str">
        <f>IFERROR(__xludf.DUMMYFUNCTION("GOOGLETRANSLATE(B43,""zh-tw"",""KO"")"),"ASAB의 딸기")</f>
        <v>ASAB의 딸기</v>
      </c>
      <c r="R43" s="324" t="str">
        <f>IFERROR(__xludf.DUMMYFUNCTION("GOOGLETRANSLATE(C43,""zh-tw"",""KO"")"),"아사바 도로는 길가에서 딸기를 먹습니다.")</f>
        <v>아사바 도로는 길가에서 딸기를 먹습니다.</v>
      </c>
      <c r="S43" s="320" t="str">
        <f>IFERROR(__xludf.DUMMYFUNCTION("GOOGLETRANSLATE(A43,""zh-tw"",""ru"")"),"АСАБА")</f>
        <v>АСАБА</v>
      </c>
      <c r="T43" s="321" t="str">
        <f>IFERROR(__xludf.DUMMYFUNCTION("GOOGLETRANSLATE(B43,""zh-tw"",""ru"")"),"Клубника от ASAB")</f>
        <v>Клубника от ASAB</v>
      </c>
      <c r="U43" s="322" t="str">
        <f>IFERROR(__xludf.DUMMYFUNCTION("GOOGLETRANSLATE(C43,""zh-tw"",""ru"")"),"Асаба Доро будет есть клубнику у дороги.")</f>
        <v>Асаба Доро будет есть клубнику у дороги.</v>
      </c>
      <c r="V43" s="153" t="s">
        <v>4300</v>
      </c>
      <c r="W43" s="167" t="s">
        <v>4307</v>
      </c>
      <c r="X43" s="319" t="s">
        <v>4308</v>
      </c>
      <c r="Y43" s="160" t="s">
        <v>4309</v>
      </c>
      <c r="Z43" s="170" t="s">
        <v>4310</v>
      </c>
      <c r="AA43" s="326" t="s">
        <v>4311</v>
      </c>
      <c r="AB43" s="17"/>
      <c r="AC43" s="17"/>
      <c r="AD43" s="17"/>
      <c r="AE43" s="17"/>
    </row>
    <row r="44">
      <c r="A44" s="153" t="s">
        <v>4312</v>
      </c>
      <c r="B44" s="167" t="s">
        <v>4313</v>
      </c>
      <c r="C44" s="319" t="s">
        <v>4314</v>
      </c>
      <c r="D44" s="153" t="s">
        <v>4315</v>
      </c>
      <c r="E44" s="167" t="s">
        <v>4316</v>
      </c>
      <c r="F44" s="319" t="s">
        <v>4314</v>
      </c>
      <c r="G44" s="153" t="s">
        <v>4317</v>
      </c>
      <c r="H44" s="167" t="s">
        <v>4318</v>
      </c>
      <c r="I44" s="319" t="s">
        <v>4314</v>
      </c>
      <c r="J44" s="320" t="str">
        <f>IFERROR(__xludf.DUMMYFUNCTION("GOOGLETRANSLATE(A44,""zh-tw"",""zh"")"),"狂暴的ASABA")</f>
        <v>狂暴的ASABA</v>
      </c>
      <c r="K44" s="321" t="str">
        <f>IFERROR(__xludf.DUMMYFUNCTION("GOOGLETRANSLATE(B44,""zh-tw"",""zh"")"),"ASAB的草莓.把草莓夺回来！ !")</f>
        <v>ASAB的草莓.把草莓夺回来！ !</v>
      </c>
      <c r="L44" s="322" t="str">
        <f>IFERROR(__xludf.DUMMYFUNCTION("GOOGLETRANSLATE(C44,""zh-tw"",""zh"")"),"BOSS")</f>
        <v>BOSS</v>
      </c>
      <c r="M44" s="154" t="str">
        <f>IFERROR(__xludf.DUMMYFUNCTION("GOOGLETRANSLATE(A44,""zh-tw"",""es-MX"")"),"Berserk ASABA")</f>
        <v>Berserk ASABA</v>
      </c>
      <c r="N44" s="168" t="str">
        <f>IFERROR(__xludf.DUMMYFUNCTION("GOOGLETRANSLATE(B44,""zh-tw"",""es-MX"")"),"Las fresas de ASAB. ¡Devuélvanme las fresas!")</f>
        <v>Las fresas de ASAB. ¡Devuélvanme las fresas!</v>
      </c>
      <c r="O44" s="319" t="s">
        <v>4314</v>
      </c>
      <c r="P44" s="154" t="str">
        <f>IFERROR(__xludf.DUMMYFUNCTION("GOOGLETRANSLATE(A44,""zh-tw"",""KO"")"),"베르세르크 아사바")</f>
        <v>베르세르크 아사바</v>
      </c>
      <c r="Q44" s="168" t="str">
        <f>IFERROR(__xludf.DUMMYFUNCTION("GOOGLETRANSLATE(B44,""zh-tw"",""KO"")"),"ASAB의 딸기. 딸기를 돌려주세요!")</f>
        <v>ASAB의 딸기. 딸기를 돌려주세요!</v>
      </c>
      <c r="R44" s="319" t="s">
        <v>4314</v>
      </c>
      <c r="S44" s="320" t="str">
        <f>IFERROR(__xludf.DUMMYFUNCTION("GOOGLETRANSLATE(A44,""zh-tw"",""ru"")"),"Берсерк ASABA")</f>
        <v>Берсерк ASABA</v>
      </c>
      <c r="T44" s="321" t="str">
        <f>IFERROR(__xludf.DUMMYFUNCTION("GOOGLETRANSLATE(B44,""zh-tw"",""ru"")"),"Клубника от ASAB. Заберите клубнику обратно!")</f>
        <v>Клубника от ASAB. Заберите клубнику обратно!</v>
      </c>
      <c r="U44" s="319" t="s">
        <v>4314</v>
      </c>
      <c r="V44" s="153"/>
      <c r="W44" s="167" t="s">
        <v>4319</v>
      </c>
      <c r="X44" s="319" t="s">
        <v>4314</v>
      </c>
      <c r="Y44" s="160" t="s">
        <v>4309</v>
      </c>
      <c r="Z44" s="170" t="s">
        <v>4320</v>
      </c>
      <c r="AA44" s="326" t="s">
        <v>4314</v>
      </c>
      <c r="AB44" s="17"/>
      <c r="AC44" s="17"/>
      <c r="AD44" s="17"/>
      <c r="AE44" s="17"/>
    </row>
    <row r="45">
      <c r="A45" s="154" t="s">
        <v>4321</v>
      </c>
      <c r="B45" s="168" t="s">
        <v>4322</v>
      </c>
      <c r="C45" s="319" t="s">
        <v>4314</v>
      </c>
      <c r="D45" s="154" t="s">
        <v>4323</v>
      </c>
      <c r="E45" s="168" t="s">
        <v>4324</v>
      </c>
      <c r="F45" s="319" t="s">
        <v>4314</v>
      </c>
      <c r="G45" s="154" t="s">
        <v>4325</v>
      </c>
      <c r="H45" s="167" t="s">
        <v>4326</v>
      </c>
      <c r="I45" s="319" t="s">
        <v>4314</v>
      </c>
      <c r="J45" s="320" t="str">
        <f>IFERROR(__xludf.DUMMYFUNCTION("GOOGLETRANSLATE(A45,""zh-tw"",""zh"")"),"箱庭的白兔")</f>
        <v>箱庭的白兔</v>
      </c>
      <c r="K45" s="321" t="str">
        <f>IFERROR(__xludf.DUMMYFUNCTION("GOOGLETRANSLATE(B45,""zh-tw"",""zh"")"),"胡萝卜大剑/胡萝卜")</f>
        <v>胡萝卜大剑/胡萝卜</v>
      </c>
      <c r="L45" s="322" t="str">
        <f>IFERROR(__xludf.DUMMYFUNCTION("GOOGLETRANSLATE(C45,""zh-tw"",""zh"")"),"BOSS")</f>
        <v>BOSS</v>
      </c>
      <c r="M45" s="154" t="str">
        <f>IFERROR(__xludf.DUMMYFUNCTION("GOOGLETRANSLATE(A45,""zh-tw"",""es-MX"")"),"El conejo blanco del pequeño jardín")</f>
        <v>El conejo blanco del pequeño jardín</v>
      </c>
      <c r="N45" s="168" t="str">
        <f>IFERROR(__xludf.DUMMYFUNCTION("GOOGLETRANSLATE(B45,""zh-tw"",""es-MX"")"),"Espada de zanahoria / Zanahoria")</f>
        <v>Espada de zanahoria / Zanahoria</v>
      </c>
      <c r="O45" s="319" t="s">
        <v>4327</v>
      </c>
      <c r="P45" s="154" t="str">
        <f>IFERROR(__xludf.DUMMYFUNCTION("GOOGLETRANSLATE(A45,""zh-tw"",""KO"")"),"작은 정원의 흰 토끼")</f>
        <v>작은 정원의 흰 토끼</v>
      </c>
      <c r="Q45" s="168" t="str">
        <f>IFERROR(__xludf.DUMMYFUNCTION("GOOGLETRANSLATE(B45,""zh-tw"",""KO"")"),"당근 검 / 당근")</f>
        <v>당근 검 / 당근</v>
      </c>
      <c r="R45" s="319" t="s">
        <v>4314</v>
      </c>
      <c r="S45" s="320" t="str">
        <f>IFERROR(__xludf.DUMMYFUNCTION("GOOGLETRANSLATE(A45,""zh-tw"",""ru"")"),"Белый кролик маленького сада")</f>
        <v>Белый кролик маленького сада</v>
      </c>
      <c r="T45" s="321" t="str">
        <f>IFERROR(__xludf.DUMMYFUNCTION("GOOGLETRANSLATE(B45,""zh-tw"",""ru"")"),"Морковный меч / Морковь")</f>
        <v>Морковный меч / Морковь</v>
      </c>
      <c r="U45" s="319" t="s">
        <v>4314</v>
      </c>
      <c r="V45" s="154" t="s">
        <v>4328</v>
      </c>
      <c r="W45" s="168" t="s">
        <v>4329</v>
      </c>
      <c r="X45" s="319" t="s">
        <v>4327</v>
      </c>
      <c r="Y45" s="185" t="s">
        <v>4330</v>
      </c>
      <c r="Z45" s="187" t="s">
        <v>4331</v>
      </c>
      <c r="AA45" s="326" t="s">
        <v>4314</v>
      </c>
      <c r="AB45" s="17"/>
      <c r="AC45" s="17"/>
      <c r="AD45" s="17"/>
      <c r="AE45" s="17"/>
    </row>
    <row r="46">
      <c r="A46" s="153" t="s">
        <v>4332</v>
      </c>
      <c r="B46" s="167" t="s">
        <v>4333</v>
      </c>
      <c r="C46" s="319" t="s">
        <v>724</v>
      </c>
      <c r="D46" s="153" t="s">
        <v>4334</v>
      </c>
      <c r="E46" s="168"/>
      <c r="F46" s="324"/>
      <c r="G46" s="153" t="s">
        <v>4335</v>
      </c>
      <c r="H46" s="167" t="s">
        <v>4336</v>
      </c>
      <c r="I46" s="319" t="s">
        <v>724</v>
      </c>
      <c r="J46" s="320" t="str">
        <f>IFERROR(__xludf.DUMMYFUNCTION("GOOGLETRANSLATE(A46,""zh-tw"",""zh"")"),"邪恶斗篷")</f>
        <v>邪恶斗篷</v>
      </c>
      <c r="K46" s="321" t="str">
        <f>IFERROR(__xludf.DUMMYFUNCTION("GOOGLETRANSLATE(B46,""zh-tw"",""zh"")"),"来自地狱/夜雾幻影/调皮的杰克")</f>
        <v>来自地狱/夜雾幻影/调皮的杰克</v>
      </c>
      <c r="L46" s="322" t="str">
        <f>IFERROR(__xludf.DUMMYFUNCTION("GOOGLETRANSLATE(C46,""zh-tw"",""zh"")"),"-")</f>
        <v>-</v>
      </c>
      <c r="M46" s="154" t="str">
        <f>IFERROR(__xludf.DUMMYFUNCTION("GOOGLETRANSLATE(A46,""zh-tw"",""es-MX"")"),"Manto Malvado")</f>
        <v>Manto Malvado</v>
      </c>
      <c r="N46" s="168" t="str">
        <f>IFERROR(__xludf.DUMMYFUNCTION("GOOGLETRANSLATE(B46,""zh-tw"",""es-MX"")"),"Desde el infierno/Fantasma de la niebla nocturna/Jack el travieso")</f>
        <v>Desde el infierno/Fantasma de la niebla nocturna/Jack el travieso</v>
      </c>
      <c r="O46" s="324" t="str">
        <f>IFERROR(__xludf.DUMMYFUNCTION("GOOGLETRANSLATE(C46,""zh-tw"",""es-MX"")"),"-")</f>
        <v>-</v>
      </c>
      <c r="P46" s="154" t="str">
        <f>IFERROR(__xludf.DUMMYFUNCTION("GOOGLETRANSLATE(A46,""zh-tw"",""KO"")"),"사악한 망토")</f>
        <v>사악한 망토</v>
      </c>
      <c r="Q46" s="168" t="str">
        <f>IFERROR(__xludf.DUMMYFUNCTION("GOOGLETRANSLATE(B46,""zh-tw"",""KO"")"),"지옥에서 온/밤안개 유령/장난꾸러기 잭")</f>
        <v>지옥에서 온/밤안개 유령/장난꾸러기 잭</v>
      </c>
      <c r="R46" s="324" t="str">
        <f>IFERROR(__xludf.DUMMYFUNCTION("GOOGLETRANSLATE(C46,""zh-tw"",""KO"")"),"-")</f>
        <v>-</v>
      </c>
      <c r="S46" s="320" t="str">
        <f>IFERROR(__xludf.DUMMYFUNCTION("GOOGLETRANSLATE(A46,""zh-tw"",""ru"")"),"Злой Плащ")</f>
        <v>Злой Плащ</v>
      </c>
      <c r="T46" s="321" t="str">
        <f>IFERROR(__xludf.DUMMYFUNCTION("GOOGLETRANSLATE(B46,""zh-tw"",""ru"")"),"Из ада/Ночной туманный призрак/Озорной Джек")</f>
        <v>Из ада/Ночной туманный призрак/Озорной Джек</v>
      </c>
      <c r="U46" s="322" t="str">
        <f>IFERROR(__xludf.DUMMYFUNCTION("GOOGLETRANSLATE(C46,""zh-tw"",""ru"")"),"-")</f>
        <v>-</v>
      </c>
      <c r="V46" s="153" t="s">
        <v>4337</v>
      </c>
      <c r="W46" s="167" t="s">
        <v>4338</v>
      </c>
      <c r="X46" s="319" t="s">
        <v>724</v>
      </c>
      <c r="Y46" s="160" t="s">
        <v>4339</v>
      </c>
      <c r="Z46" s="170" t="s">
        <v>4340</v>
      </c>
      <c r="AA46" s="326" t="s">
        <v>724</v>
      </c>
      <c r="AB46" s="17"/>
      <c r="AC46" s="17"/>
      <c r="AD46" s="17"/>
      <c r="AE46" s="17"/>
    </row>
    <row r="47">
      <c r="A47" s="153" t="s">
        <v>4341</v>
      </c>
      <c r="B47" s="328" t="s">
        <v>4342</v>
      </c>
      <c r="C47" s="319" t="s">
        <v>4343</v>
      </c>
      <c r="D47" s="154"/>
      <c r="E47" s="168"/>
      <c r="F47" s="324"/>
      <c r="G47" s="153" t="s">
        <v>4344</v>
      </c>
      <c r="H47" s="167" t="s">
        <v>4345</v>
      </c>
      <c r="I47" s="319" t="s">
        <v>4346</v>
      </c>
      <c r="J47" s="320" t="str">
        <f>IFERROR(__xludf.DUMMYFUNCTION("GOOGLETRANSLATE(A47,""zh-tw"",""zh"")"),"萨卡班甲鱼(小)")</f>
        <v>萨卡班甲鱼(小)</v>
      </c>
      <c r="K47" s="321" t="str">
        <f>IFERROR(__xludf.DUMMYFUNCTION("GOOGLETRANSLATE(B47,""zh-tw"",""zh"")"),"◉▽◉(蓝色)")</f>
        <v>◉▽◉(蓝色)</v>
      </c>
      <c r="L47" s="322" t="str">
        <f>IFERROR(__xludf.DUMMYFUNCTION("GOOGLETRANSLATE(C47,""zh-tw"",""zh"")"),"使用炸弹炸水面")</f>
        <v>使用炸弹炸水面</v>
      </c>
      <c r="M47" s="154" t="str">
        <f>IFERROR(__xludf.DUMMYFUNCTION("GOOGLETRANSLATE(A47,""zh-tw"",""es-MX"")"),"Tortuga de caparazón blando Sakaban (pequeña)")</f>
        <v>Tortuga de caparazón blando Sakaban (pequeña)</v>
      </c>
      <c r="N47" s="168" t="str">
        <f>IFERROR(__xludf.DUMMYFUNCTION("GOOGLETRANSLATE(B47,""zh-tw"",""es-MX"")"),"◉▽◉(azul)")</f>
        <v>◉▽◉(azul)</v>
      </c>
      <c r="O47" s="324" t="str">
        <f>IFERROR(__xludf.DUMMYFUNCTION("GOOGLETRANSLATE(C47,""zh-tw"",""es-MX"")"),"Utilice bombas para hacer estallar la superficie del agua.")</f>
        <v>Utilice bombas para hacer estallar la superficie del agua.</v>
      </c>
      <c r="P47" s="154" t="str">
        <f>IFERROR(__xludf.DUMMYFUNCTION("GOOGLETRANSLATE(A47,""zh-tw"",""KO"")"),"사카반 거북이(소)")</f>
        <v>사카반 거북이(소)</v>
      </c>
      <c r="Q47" s="168" t="str">
        <f>IFERROR(__xludf.DUMMYFUNCTION("GOOGLETRANSLATE(B47,""zh-tw"",""KO"")"),"◉▽◉(파란색)")</f>
        <v>◉▽◉(파란색)</v>
      </c>
      <c r="R47" s="324" t="str">
        <f>IFERROR(__xludf.DUMMYFUNCTION("GOOGLETRANSLATE(C47,""zh-tw"",""KO"")"),"폭탄을 사용하여 수면을 폭파하세요")</f>
        <v>폭탄을 사용하여 수면을 폭파하세요</v>
      </c>
      <c r="S47" s="320" t="str">
        <f>IFERROR(__xludf.DUMMYFUNCTION("GOOGLETRANSLATE(A47,""zh-tw"",""ru"")"),"Сакабанская мягкопанцирная черепаха (маленькая)")</f>
        <v>Сакабанская мягкопанцирная черепаха (маленькая)</v>
      </c>
      <c r="T47" s="321" t="str">
        <f>IFERROR(__xludf.DUMMYFUNCTION("GOOGLETRANSLATE(B47,""zh-tw"",""ru"")"),"◉▽◉(синий)")</f>
        <v>◉▽◉(синий)</v>
      </c>
      <c r="U47" s="322" t="str">
        <f>IFERROR(__xludf.DUMMYFUNCTION("GOOGLETRANSLATE(C47,""zh-tw"",""ru"")"),"Используйте бомбы, чтобы взорвать поверхность воды.")</f>
        <v>Используйте бомбы, чтобы взорвать поверхность воды.</v>
      </c>
      <c r="V47" s="153" t="s">
        <v>4347</v>
      </c>
      <c r="W47" s="329" t="s">
        <v>4348</v>
      </c>
      <c r="X47" s="319" t="s">
        <v>4349</v>
      </c>
      <c r="Y47" s="160" t="s">
        <v>4350</v>
      </c>
      <c r="Z47" s="170" t="s">
        <v>4351</v>
      </c>
      <c r="AA47" s="326" t="s">
        <v>4352</v>
      </c>
      <c r="AB47" s="17"/>
      <c r="AC47" s="17"/>
      <c r="AD47" s="17"/>
      <c r="AE47" s="17"/>
    </row>
    <row r="48">
      <c r="A48" s="153" t="s">
        <v>4353</v>
      </c>
      <c r="B48" s="168" t="s">
        <v>4354</v>
      </c>
      <c r="C48" s="319" t="s">
        <v>4343</v>
      </c>
      <c r="D48" s="154"/>
      <c r="E48" s="168"/>
      <c r="F48" s="324"/>
      <c r="G48" s="153" t="s">
        <v>4355</v>
      </c>
      <c r="H48" s="167" t="s">
        <v>4356</v>
      </c>
      <c r="I48" s="319" t="s">
        <v>4346</v>
      </c>
      <c r="J48" s="320" t="str">
        <f>IFERROR(__xludf.DUMMYFUNCTION("GOOGLETRANSLATE(A48,""zh-tw"",""zh"")"),"萨卡班甲鱼(大)")</f>
        <v>萨卡班甲鱼(大)</v>
      </c>
      <c r="K48" s="321" t="str">
        <f>IFERROR(__xludf.DUMMYFUNCTION("GOOGLETRANSLATE(B48,""zh-tw"",""zh"")"),"◉▽◉(紫色)")</f>
        <v>◉▽◉(紫色)</v>
      </c>
      <c r="L48" s="322" t="str">
        <f>IFERROR(__xludf.DUMMYFUNCTION("GOOGLETRANSLATE(C48,""zh-tw"",""zh"")"),"使用炸弹炸水面")</f>
        <v>使用炸弹炸水面</v>
      </c>
      <c r="M48" s="154" t="str">
        <f>IFERROR(__xludf.DUMMYFUNCTION("GOOGLETRANSLATE(A48,""zh-tw"",""es-MX"")"),"Tortuga de caparazón blando Sakaban (grande)")</f>
        <v>Tortuga de caparazón blando Sakaban (grande)</v>
      </c>
      <c r="N48" s="168" t="str">
        <f>IFERROR(__xludf.DUMMYFUNCTION("GOOGLETRANSLATE(B48,""zh-tw"",""es-MX"")"),"◉▽◉(morado)")</f>
        <v>◉▽◉(morado)</v>
      </c>
      <c r="O48" s="324" t="str">
        <f>IFERROR(__xludf.DUMMYFUNCTION("GOOGLETRANSLATE(C48,""zh-tw"",""es-MX"")"),"Utilice bombas para hacer estallar la superficie del agua.")</f>
        <v>Utilice bombas para hacer estallar la superficie del agua.</v>
      </c>
      <c r="P48" s="154" t="str">
        <f>IFERROR(__xludf.DUMMYFUNCTION("GOOGLETRANSLATE(A48,""zh-tw"",""KO"")"),"사카반 거북이(대형)")</f>
        <v>사카반 거북이(대형)</v>
      </c>
      <c r="Q48" s="168" t="str">
        <f>IFERROR(__xludf.DUMMYFUNCTION("GOOGLETRANSLATE(B48,""zh-tw"",""KO"")"),"◉▽◉(보라색)")</f>
        <v>◉▽◉(보라색)</v>
      </c>
      <c r="R48" s="324" t="str">
        <f>IFERROR(__xludf.DUMMYFUNCTION("GOOGLETRANSLATE(C48,""zh-tw"",""KO"")"),"폭탄을 사용하여 수면을 폭파하세요")</f>
        <v>폭탄을 사용하여 수면을 폭파하세요</v>
      </c>
      <c r="S48" s="320" t="str">
        <f>IFERROR(__xludf.DUMMYFUNCTION("GOOGLETRANSLATE(A48,""zh-tw"",""ru"")"),"Сакабанская мягкопанцирная черепаха (большая)")</f>
        <v>Сакабанская мягкопанцирная черепаха (большая)</v>
      </c>
      <c r="T48" s="321" t="str">
        <f>IFERROR(__xludf.DUMMYFUNCTION("GOOGLETRANSLATE(B48,""zh-tw"",""ru"")"),"◉▽◉(фиолетовый)")</f>
        <v>◉▽◉(фиолетовый)</v>
      </c>
      <c r="U48" s="322" t="str">
        <f>IFERROR(__xludf.DUMMYFUNCTION("GOOGLETRANSLATE(C48,""zh-tw"",""ru"")"),"Используйте бомбы, чтобы взорвать поверхность воды.")</f>
        <v>Используйте бомбы, чтобы взорвать поверхность воды.</v>
      </c>
      <c r="V48" s="153" t="s">
        <v>4357</v>
      </c>
      <c r="W48" s="329" t="s">
        <v>4358</v>
      </c>
      <c r="X48" s="319" t="s">
        <v>4349</v>
      </c>
      <c r="Y48" s="160" t="s">
        <v>4359</v>
      </c>
      <c r="Z48" s="187" t="s">
        <v>4360</v>
      </c>
      <c r="AA48" s="326" t="s">
        <v>4352</v>
      </c>
      <c r="AB48" s="17"/>
      <c r="AC48" s="17"/>
      <c r="AD48" s="17"/>
      <c r="AE48" s="17"/>
    </row>
    <row r="49">
      <c r="A49" s="153" t="s">
        <v>4361</v>
      </c>
      <c r="B49" s="167" t="s">
        <v>4362</v>
      </c>
      <c r="C49" s="319" t="s">
        <v>4363</v>
      </c>
      <c r="D49" s="154"/>
      <c r="E49" s="168"/>
      <c r="F49" s="324"/>
      <c r="G49" s="153" t="s">
        <v>4364</v>
      </c>
      <c r="H49" s="167" t="s">
        <v>4365</v>
      </c>
      <c r="I49" s="319" t="s">
        <v>4366</v>
      </c>
      <c r="J49" s="320" t="str">
        <f>IFERROR(__xludf.DUMMYFUNCTION("GOOGLETRANSLATE(A49,""zh-tw"",""zh"")"),"应该已经灭绝的河之主!?")</f>
        <v>应该已经灭绝的河之主!?</v>
      </c>
      <c r="K49" s="321" t="str">
        <f>IFERROR(__xludf.DUMMYFUNCTION("GOOGLETRANSLATE(B49,""zh-tw"",""zh"")"),"◉▽◉(粉色)/王权之令")</f>
        <v>◉▽◉(粉色)/王权之令</v>
      </c>
      <c r="L49" s="322" t="str">
        <f>IFERROR(__xludf.DUMMYFUNCTION("GOOGLETRANSLATE(C49,""zh-tw"",""zh"")"),"BOSS
弱点：雷")</f>
        <v>BOSS
弱点：雷</v>
      </c>
      <c r="M49" s="154" t="str">
        <f>IFERROR(__xludf.DUMMYFUNCTION("GOOGLETRANSLATE(A49,""zh-tw"",""es-MX"")"),"¡¿El Señor del Río, que ya debería estar extinto?!")</f>
        <v>¡¿El Señor del Río, que ya debería estar extinto?!</v>
      </c>
      <c r="N49" s="168" t="str">
        <f>IFERROR(__xludf.DUMMYFUNCTION("GOOGLETRANSLATE(B49,""zh-tw"",""es-MX"")"),"◉▽◉(Rosa)/Orden Real")</f>
        <v>◉▽◉(Rosa)/Orden Real</v>
      </c>
      <c r="O49" s="324" t="str">
        <f>IFERROR(__xludf.DUMMYFUNCTION("GOOGLETRANSLATE(C49,""zh-tw"",""es-MX"")"),"JEFE
Debilidad: Trueno")</f>
        <v>JEFE
Debilidad: Trueno</v>
      </c>
      <c r="P49" s="154" t="str">
        <f>IFERROR(__xludf.DUMMYFUNCTION("GOOGLETRANSLATE(A49,""zh-tw"",""KO"")"),"이미 멸종했어야 할 강의 군주!?")</f>
        <v>이미 멸종했어야 할 강의 군주!?</v>
      </c>
      <c r="Q49" s="168" t="str">
        <f>IFERROR(__xludf.DUMMYFUNCTION("GOOGLETRANSLATE(B49,""zh-tw"",""KO"")"),"◉▽◉(분홍색)/왕립 훈장")</f>
        <v>◉▽◉(분홍색)/왕립 훈장</v>
      </c>
      <c r="R49" s="324" t="str">
        <f>IFERROR(__xludf.DUMMYFUNCTION("GOOGLETRANSLATE(C49,""zh-tw"",""KO"")"),"보스
약점: 천둥")</f>
        <v>보스
약점: 천둥</v>
      </c>
      <c r="S49" s="320" t="str">
        <f>IFERROR(__xludf.DUMMYFUNCTION("GOOGLETRANSLATE(A49,""zh-tw"",""ru"")"),"Речной Лорд, который уже должен был вымереть!?")</f>
        <v>Речной Лорд, который уже должен был вымереть!?</v>
      </c>
      <c r="T49" s="321" t="str">
        <f>IFERROR(__xludf.DUMMYFUNCTION("GOOGLETRANSLATE(B49,""zh-tw"",""ru"")"),"◉▽◉(Розовый)/Королевский орден")</f>
        <v>◉▽◉(Розовый)/Королевский орден</v>
      </c>
      <c r="U49" s="322" t="str">
        <f>IFERROR(__xludf.DUMMYFUNCTION("GOOGLETRANSLATE(C49,""zh-tw"",""ru"")"),"БОСС
Слабость: Гром")</f>
        <v>БОСС
Слабость: Гром</v>
      </c>
      <c r="V49" s="153" t="s">
        <v>4367</v>
      </c>
      <c r="W49" s="329" t="s">
        <v>4368</v>
      </c>
      <c r="X49" s="319" t="s">
        <v>4369</v>
      </c>
      <c r="Y49" s="160" t="s">
        <v>4370</v>
      </c>
      <c r="Z49" s="170" t="s">
        <v>4371</v>
      </c>
      <c r="AA49" s="326" t="s">
        <v>4372</v>
      </c>
      <c r="AB49" s="17"/>
      <c r="AC49" s="17"/>
      <c r="AD49" s="17"/>
      <c r="AE49" s="17"/>
    </row>
    <row r="50">
      <c r="A50" s="154"/>
      <c r="B50" s="168"/>
      <c r="C50" s="324"/>
      <c r="D50" s="154"/>
      <c r="E50" s="168"/>
      <c r="F50" s="324"/>
      <c r="G50" s="154"/>
      <c r="H50" s="168"/>
      <c r="I50" s="324"/>
      <c r="J50" s="154"/>
      <c r="K50" s="168"/>
      <c r="L50" s="324"/>
      <c r="M50" s="330"/>
      <c r="N50" s="331"/>
      <c r="O50" s="332"/>
      <c r="P50" s="330"/>
      <c r="Q50" s="331"/>
      <c r="R50" s="332"/>
      <c r="S50" s="330"/>
      <c r="T50" s="331"/>
      <c r="U50" s="332"/>
      <c r="V50" s="154"/>
      <c r="W50" s="331"/>
      <c r="X50" s="324"/>
      <c r="Y50" s="160"/>
      <c r="Z50" s="170"/>
      <c r="AA50" s="326"/>
      <c r="AB50" s="17"/>
      <c r="AC50" s="17"/>
      <c r="AD50" s="17"/>
      <c r="AE50" s="17"/>
    </row>
    <row r="51">
      <c r="A51" s="154"/>
      <c r="B51" s="168"/>
      <c r="C51" s="324"/>
      <c r="D51" s="154"/>
      <c r="E51" s="168"/>
      <c r="F51" s="324"/>
      <c r="G51" s="154"/>
      <c r="H51" s="168"/>
      <c r="I51" s="324"/>
      <c r="J51" s="154"/>
      <c r="K51" s="168"/>
      <c r="L51" s="324"/>
      <c r="M51" s="330"/>
      <c r="N51" s="331"/>
      <c r="O51" s="332"/>
      <c r="P51" s="330"/>
      <c r="Q51" s="331"/>
      <c r="R51" s="332"/>
      <c r="S51" s="330"/>
      <c r="T51" s="331"/>
      <c r="U51" s="332"/>
      <c r="V51" s="154"/>
      <c r="W51" s="331"/>
      <c r="X51" s="324"/>
      <c r="Y51" s="160"/>
      <c r="Z51" s="170"/>
      <c r="AA51" s="326"/>
      <c r="AB51" s="17"/>
      <c r="AC51" s="17"/>
      <c r="AD51" s="17"/>
      <c r="AE51" s="17"/>
    </row>
    <row r="52">
      <c r="A52" s="154"/>
      <c r="B52" s="168"/>
      <c r="C52" s="324"/>
      <c r="D52" s="154"/>
      <c r="E52" s="168"/>
      <c r="F52" s="324"/>
      <c r="G52" s="154"/>
      <c r="H52" s="168"/>
      <c r="I52" s="324"/>
      <c r="J52" s="154"/>
      <c r="K52" s="168"/>
      <c r="L52" s="324"/>
      <c r="M52" s="330"/>
      <c r="N52" s="331"/>
      <c r="O52" s="332"/>
      <c r="P52" s="330"/>
      <c r="Q52" s="331"/>
      <c r="R52" s="332"/>
      <c r="S52" s="330"/>
      <c r="T52" s="331"/>
      <c r="U52" s="332"/>
      <c r="V52" s="154"/>
      <c r="W52" s="331"/>
      <c r="X52" s="324"/>
      <c r="Y52" s="160"/>
      <c r="Z52" s="170"/>
      <c r="AA52" s="326"/>
      <c r="AB52" s="17"/>
      <c r="AC52" s="17"/>
      <c r="AD52" s="17"/>
      <c r="AE52" s="17"/>
    </row>
    <row r="53">
      <c r="A53" s="154"/>
      <c r="B53" s="168"/>
      <c r="C53" s="324"/>
      <c r="D53" s="154"/>
      <c r="E53" s="168"/>
      <c r="F53" s="324"/>
      <c r="G53" s="154"/>
      <c r="H53" s="168"/>
      <c r="I53" s="324"/>
      <c r="J53" s="154"/>
      <c r="K53" s="168"/>
      <c r="L53" s="324"/>
      <c r="M53" s="330"/>
      <c r="N53" s="331"/>
      <c r="O53" s="332"/>
      <c r="P53" s="330"/>
      <c r="Q53" s="331"/>
      <c r="R53" s="332"/>
      <c r="S53" s="330"/>
      <c r="T53" s="331"/>
      <c r="U53" s="332"/>
      <c r="V53" s="154"/>
      <c r="W53" s="331"/>
      <c r="X53" s="324"/>
      <c r="Y53" s="160"/>
      <c r="Z53" s="170"/>
      <c r="AA53" s="326"/>
      <c r="AB53" s="17"/>
      <c r="AC53" s="17"/>
      <c r="AD53" s="17"/>
      <c r="AE53" s="17"/>
    </row>
    <row r="54">
      <c r="A54" s="154"/>
      <c r="B54" s="168"/>
      <c r="C54" s="324"/>
      <c r="D54" s="154"/>
      <c r="E54" s="168"/>
      <c r="F54" s="324"/>
      <c r="G54" s="154"/>
      <c r="H54" s="168"/>
      <c r="I54" s="324"/>
      <c r="J54" s="154"/>
      <c r="K54" s="168"/>
      <c r="L54" s="324"/>
      <c r="M54" s="330"/>
      <c r="N54" s="331"/>
      <c r="O54" s="332"/>
      <c r="P54" s="330"/>
      <c r="Q54" s="331"/>
      <c r="R54" s="332"/>
      <c r="S54" s="330"/>
      <c r="T54" s="331"/>
      <c r="U54" s="332"/>
      <c r="V54" s="154"/>
      <c r="W54" s="331"/>
      <c r="X54" s="324"/>
      <c r="Y54" s="160"/>
      <c r="Z54" s="170"/>
      <c r="AA54" s="326"/>
      <c r="AB54" s="17"/>
      <c r="AC54" s="17"/>
      <c r="AD54" s="17"/>
      <c r="AE54" s="17"/>
    </row>
    <row r="55">
      <c r="A55" s="154"/>
      <c r="B55" s="168"/>
      <c r="C55" s="324"/>
      <c r="D55" s="154"/>
      <c r="E55" s="168"/>
      <c r="F55" s="324"/>
      <c r="G55" s="154"/>
      <c r="H55" s="168"/>
      <c r="I55" s="324"/>
      <c r="J55" s="154"/>
      <c r="K55" s="168"/>
      <c r="L55" s="324"/>
      <c r="M55" s="330"/>
      <c r="N55" s="331"/>
      <c r="O55" s="332"/>
      <c r="P55" s="330"/>
      <c r="Q55" s="331"/>
      <c r="R55" s="332"/>
      <c r="S55" s="330"/>
      <c r="T55" s="331"/>
      <c r="U55" s="332"/>
      <c r="V55" s="154"/>
      <c r="W55" s="331"/>
      <c r="X55" s="324"/>
      <c r="Y55" s="160"/>
      <c r="Z55" s="170"/>
      <c r="AA55" s="326"/>
      <c r="AB55" s="17"/>
      <c r="AC55" s="17"/>
      <c r="AD55" s="17"/>
      <c r="AE55" s="17"/>
    </row>
    <row r="56">
      <c r="A56" s="154"/>
      <c r="B56" s="168"/>
      <c r="C56" s="324"/>
      <c r="D56" s="154"/>
      <c r="E56" s="168"/>
      <c r="F56" s="324"/>
      <c r="G56" s="154"/>
      <c r="H56" s="168"/>
      <c r="I56" s="324"/>
      <c r="J56" s="154"/>
      <c r="K56" s="168"/>
      <c r="L56" s="324"/>
      <c r="M56" s="330"/>
      <c r="N56" s="331"/>
      <c r="O56" s="332"/>
      <c r="P56" s="330"/>
      <c r="Q56" s="331"/>
      <c r="R56" s="332"/>
      <c r="S56" s="330"/>
      <c r="T56" s="331"/>
      <c r="U56" s="332"/>
      <c r="V56" s="154"/>
      <c r="W56" s="331"/>
      <c r="X56" s="324"/>
      <c r="Y56" s="160"/>
      <c r="Z56" s="170"/>
      <c r="AA56" s="326"/>
      <c r="AB56" s="17"/>
      <c r="AC56" s="17"/>
      <c r="AD56" s="17"/>
      <c r="AE56" s="17"/>
    </row>
    <row r="57">
      <c r="A57" s="154"/>
      <c r="B57" s="168"/>
      <c r="C57" s="324"/>
      <c r="D57" s="154"/>
      <c r="E57" s="168"/>
      <c r="F57" s="324"/>
      <c r="G57" s="154"/>
      <c r="H57" s="168"/>
      <c r="I57" s="324"/>
      <c r="J57" s="154"/>
      <c r="K57" s="168"/>
      <c r="L57" s="324"/>
      <c r="M57" s="330"/>
      <c r="N57" s="331"/>
      <c r="O57" s="332"/>
      <c r="P57" s="330"/>
      <c r="Q57" s="331"/>
      <c r="R57" s="332"/>
      <c r="S57" s="330"/>
      <c r="T57" s="331"/>
      <c r="U57" s="332"/>
      <c r="V57" s="154"/>
      <c r="W57" s="331"/>
      <c r="X57" s="324"/>
      <c r="Y57" s="160"/>
      <c r="Z57" s="170"/>
      <c r="AA57" s="326"/>
      <c r="AB57" s="17"/>
      <c r="AC57" s="17"/>
      <c r="AD57" s="17"/>
      <c r="AE57" s="17"/>
    </row>
    <row r="58">
      <c r="A58" s="154"/>
      <c r="B58" s="168"/>
      <c r="C58" s="324"/>
      <c r="D58" s="154"/>
      <c r="E58" s="168"/>
      <c r="F58" s="324"/>
      <c r="G58" s="154"/>
      <c r="H58" s="168"/>
      <c r="I58" s="324"/>
      <c r="J58" s="154"/>
      <c r="K58" s="168"/>
      <c r="L58" s="324"/>
      <c r="M58" s="330"/>
      <c r="N58" s="331"/>
      <c r="O58" s="332"/>
      <c r="P58" s="330"/>
      <c r="Q58" s="331"/>
      <c r="R58" s="332"/>
      <c r="S58" s="330"/>
      <c r="T58" s="331"/>
      <c r="U58" s="332"/>
      <c r="V58" s="154"/>
      <c r="W58" s="331"/>
      <c r="X58" s="324"/>
      <c r="Y58" s="160"/>
      <c r="Z58" s="170"/>
      <c r="AA58" s="326"/>
      <c r="AB58" s="17"/>
      <c r="AC58" s="17"/>
      <c r="AD58" s="17"/>
      <c r="AE58" s="17"/>
    </row>
    <row r="59">
      <c r="A59" s="154"/>
      <c r="B59" s="168"/>
      <c r="C59" s="324"/>
      <c r="D59" s="154"/>
      <c r="E59" s="168"/>
      <c r="F59" s="324"/>
      <c r="G59" s="154"/>
      <c r="H59" s="168"/>
      <c r="I59" s="324"/>
      <c r="J59" s="154"/>
      <c r="K59" s="168"/>
      <c r="L59" s="324"/>
      <c r="M59" s="330"/>
      <c r="N59" s="331"/>
      <c r="O59" s="332"/>
      <c r="P59" s="330"/>
      <c r="Q59" s="331"/>
      <c r="R59" s="332"/>
      <c r="S59" s="330"/>
      <c r="T59" s="331"/>
      <c r="U59" s="332"/>
      <c r="V59" s="154"/>
      <c r="W59" s="331"/>
      <c r="X59" s="324"/>
      <c r="Y59" s="160"/>
      <c r="Z59" s="170"/>
      <c r="AA59" s="326"/>
      <c r="AB59" s="17"/>
      <c r="AC59" s="17"/>
      <c r="AD59" s="17"/>
      <c r="AE59" s="17"/>
    </row>
    <row r="60">
      <c r="A60" s="154"/>
      <c r="B60" s="168"/>
      <c r="C60" s="324"/>
      <c r="D60" s="154"/>
      <c r="E60" s="168"/>
      <c r="F60" s="324"/>
      <c r="G60" s="154"/>
      <c r="H60" s="168"/>
      <c r="I60" s="324"/>
      <c r="J60" s="154"/>
      <c r="K60" s="168"/>
      <c r="L60" s="324"/>
      <c r="M60" s="330"/>
      <c r="N60" s="331"/>
      <c r="O60" s="332"/>
      <c r="P60" s="330"/>
      <c r="Q60" s="331"/>
      <c r="R60" s="332"/>
      <c r="S60" s="330"/>
      <c r="T60" s="331"/>
      <c r="U60" s="332"/>
      <c r="V60" s="154"/>
      <c r="W60" s="331"/>
      <c r="X60" s="324"/>
      <c r="Y60" s="160"/>
      <c r="Z60" s="170"/>
      <c r="AA60" s="326"/>
      <c r="AB60" s="17"/>
      <c r="AC60" s="17"/>
      <c r="AD60" s="17"/>
      <c r="AE60" s="17"/>
    </row>
    <row r="61">
      <c r="A61" s="154"/>
      <c r="B61" s="168"/>
      <c r="C61" s="324"/>
      <c r="D61" s="154"/>
      <c r="E61" s="168"/>
      <c r="F61" s="324"/>
      <c r="G61" s="154"/>
      <c r="H61" s="168"/>
      <c r="I61" s="324"/>
      <c r="J61" s="154"/>
      <c r="K61" s="168"/>
      <c r="L61" s="324"/>
      <c r="M61" s="330"/>
      <c r="N61" s="331"/>
      <c r="O61" s="332"/>
      <c r="P61" s="330"/>
      <c r="Q61" s="331"/>
      <c r="R61" s="332"/>
      <c r="S61" s="330"/>
      <c r="T61" s="331"/>
      <c r="U61" s="332"/>
      <c r="V61" s="154"/>
      <c r="W61" s="331"/>
      <c r="X61" s="324"/>
      <c r="Y61" s="160"/>
      <c r="Z61" s="170"/>
      <c r="AA61" s="326"/>
      <c r="AB61" s="17"/>
      <c r="AC61" s="17"/>
      <c r="AD61" s="17"/>
      <c r="AE61" s="17"/>
    </row>
    <row r="62">
      <c r="A62" s="154"/>
      <c r="B62" s="168"/>
      <c r="C62" s="324"/>
      <c r="D62" s="154"/>
      <c r="E62" s="168"/>
      <c r="F62" s="324"/>
      <c r="G62" s="154"/>
      <c r="H62" s="168"/>
      <c r="I62" s="324"/>
      <c r="J62" s="154"/>
      <c r="K62" s="168"/>
      <c r="L62" s="324"/>
      <c r="M62" s="330"/>
      <c r="N62" s="331"/>
      <c r="O62" s="332"/>
      <c r="P62" s="330"/>
      <c r="Q62" s="331"/>
      <c r="R62" s="332"/>
      <c r="S62" s="330"/>
      <c r="T62" s="331"/>
      <c r="U62" s="332"/>
      <c r="V62" s="154"/>
      <c r="W62" s="331"/>
      <c r="X62" s="324"/>
      <c r="Y62" s="160"/>
      <c r="Z62" s="170"/>
      <c r="AA62" s="326"/>
      <c r="AB62" s="17"/>
      <c r="AC62" s="17"/>
      <c r="AD62" s="17"/>
      <c r="AE62" s="17"/>
    </row>
    <row r="63">
      <c r="A63" s="154"/>
      <c r="B63" s="168"/>
      <c r="C63" s="324"/>
      <c r="D63" s="154"/>
      <c r="E63" s="168"/>
      <c r="F63" s="324"/>
      <c r="G63" s="154"/>
      <c r="H63" s="168"/>
      <c r="I63" s="324"/>
      <c r="J63" s="154"/>
      <c r="K63" s="168"/>
      <c r="L63" s="324"/>
      <c r="M63" s="330"/>
      <c r="N63" s="331"/>
      <c r="O63" s="332"/>
      <c r="P63" s="330"/>
      <c r="Q63" s="331"/>
      <c r="R63" s="332"/>
      <c r="S63" s="330"/>
      <c r="T63" s="331"/>
      <c r="U63" s="332"/>
      <c r="V63" s="154"/>
      <c r="W63" s="331"/>
      <c r="X63" s="324"/>
      <c r="Y63" s="160"/>
      <c r="Z63" s="170"/>
      <c r="AA63" s="326"/>
      <c r="AB63" s="17"/>
      <c r="AC63" s="17"/>
      <c r="AD63" s="17"/>
      <c r="AE63" s="17"/>
    </row>
    <row r="64">
      <c r="A64" s="154"/>
      <c r="B64" s="168"/>
      <c r="C64" s="324"/>
      <c r="D64" s="154"/>
      <c r="E64" s="168"/>
      <c r="F64" s="324"/>
      <c r="G64" s="154"/>
      <c r="H64" s="168"/>
      <c r="I64" s="324"/>
      <c r="J64" s="154"/>
      <c r="K64" s="168"/>
      <c r="L64" s="324"/>
      <c r="M64" s="330"/>
      <c r="N64" s="331"/>
      <c r="O64" s="332"/>
      <c r="P64" s="330"/>
      <c r="Q64" s="331"/>
      <c r="R64" s="332"/>
      <c r="S64" s="330"/>
      <c r="T64" s="331"/>
      <c r="U64" s="332"/>
      <c r="V64" s="154"/>
      <c r="W64" s="331"/>
      <c r="X64" s="324"/>
      <c r="Y64" s="160"/>
      <c r="Z64" s="170"/>
      <c r="AA64" s="326"/>
      <c r="AB64" s="17"/>
      <c r="AC64" s="17"/>
      <c r="AD64" s="17"/>
      <c r="AE64" s="17"/>
    </row>
    <row r="65">
      <c r="A65" s="154"/>
      <c r="B65" s="168"/>
      <c r="C65" s="324"/>
      <c r="D65" s="154"/>
      <c r="E65" s="168"/>
      <c r="F65" s="324"/>
      <c r="G65" s="154"/>
      <c r="H65" s="168"/>
      <c r="I65" s="324"/>
      <c r="J65" s="154"/>
      <c r="K65" s="168"/>
      <c r="L65" s="324"/>
      <c r="M65" s="330"/>
      <c r="N65" s="331"/>
      <c r="O65" s="332"/>
      <c r="P65" s="330"/>
      <c r="Q65" s="331"/>
      <c r="R65" s="332"/>
      <c r="S65" s="330"/>
      <c r="T65" s="331"/>
      <c r="U65" s="332"/>
      <c r="V65" s="154"/>
      <c r="W65" s="331"/>
      <c r="X65" s="324"/>
      <c r="Y65" s="160"/>
      <c r="Z65" s="170"/>
      <c r="AA65" s="326"/>
      <c r="AB65" s="17"/>
      <c r="AC65" s="17"/>
      <c r="AD65" s="17"/>
      <c r="AE65" s="17"/>
    </row>
    <row r="66">
      <c r="A66" s="154"/>
      <c r="B66" s="168"/>
      <c r="C66" s="324"/>
      <c r="D66" s="154"/>
      <c r="E66" s="168"/>
      <c r="F66" s="324"/>
      <c r="G66" s="154"/>
      <c r="H66" s="168"/>
      <c r="I66" s="324"/>
      <c r="J66" s="154"/>
      <c r="K66" s="168"/>
      <c r="L66" s="324"/>
      <c r="M66" s="330"/>
      <c r="N66" s="331"/>
      <c r="O66" s="332"/>
      <c r="P66" s="330"/>
      <c r="Q66" s="331"/>
      <c r="R66" s="332"/>
      <c r="S66" s="330"/>
      <c r="T66" s="331"/>
      <c r="U66" s="332"/>
      <c r="V66" s="154"/>
      <c r="W66" s="331"/>
      <c r="X66" s="324"/>
      <c r="Y66" s="160"/>
      <c r="Z66" s="170"/>
      <c r="AA66" s="326"/>
      <c r="AB66" s="17"/>
      <c r="AC66" s="17"/>
      <c r="AD66" s="17"/>
      <c r="AE66" s="17"/>
    </row>
    <row r="67">
      <c r="A67" s="154"/>
      <c r="B67" s="168"/>
      <c r="C67" s="324"/>
      <c r="D67" s="154"/>
      <c r="E67" s="168"/>
      <c r="F67" s="324"/>
      <c r="G67" s="154"/>
      <c r="H67" s="168"/>
      <c r="I67" s="324"/>
      <c r="J67" s="154"/>
      <c r="K67" s="168"/>
      <c r="L67" s="324"/>
      <c r="M67" s="330"/>
      <c r="N67" s="331"/>
      <c r="O67" s="332"/>
      <c r="P67" s="330"/>
      <c r="Q67" s="331"/>
      <c r="R67" s="332"/>
      <c r="S67" s="330"/>
      <c r="T67" s="331"/>
      <c r="U67" s="332"/>
      <c r="V67" s="154"/>
      <c r="W67" s="331"/>
      <c r="X67" s="324"/>
      <c r="Y67" s="160"/>
      <c r="Z67" s="170"/>
      <c r="AA67" s="326"/>
      <c r="AB67" s="17"/>
      <c r="AC67" s="17"/>
      <c r="AD67" s="17"/>
      <c r="AE67" s="17"/>
    </row>
    <row r="68">
      <c r="A68" s="154"/>
      <c r="B68" s="168"/>
      <c r="C68" s="324"/>
      <c r="D68" s="154"/>
      <c r="E68" s="168"/>
      <c r="F68" s="324"/>
      <c r="G68" s="154"/>
      <c r="H68" s="168"/>
      <c r="I68" s="324"/>
      <c r="J68" s="154"/>
      <c r="K68" s="168"/>
      <c r="L68" s="324"/>
      <c r="M68" s="330"/>
      <c r="N68" s="331"/>
      <c r="O68" s="332"/>
      <c r="P68" s="330"/>
      <c r="Q68" s="331"/>
      <c r="R68" s="332"/>
      <c r="S68" s="330"/>
      <c r="T68" s="331"/>
      <c r="U68" s="332"/>
      <c r="V68" s="154"/>
      <c r="W68" s="331"/>
      <c r="X68" s="324"/>
      <c r="Y68" s="160"/>
      <c r="Z68" s="170"/>
      <c r="AA68" s="326"/>
      <c r="AB68" s="17"/>
      <c r="AC68" s="17"/>
      <c r="AD68" s="17"/>
      <c r="AE68" s="17"/>
    </row>
    <row r="69">
      <c r="A69" s="154"/>
      <c r="B69" s="168"/>
      <c r="C69" s="324"/>
      <c r="D69" s="154"/>
      <c r="E69" s="168"/>
      <c r="F69" s="324"/>
      <c r="G69" s="154"/>
      <c r="H69" s="168"/>
      <c r="I69" s="324"/>
      <c r="J69" s="154"/>
      <c r="K69" s="168"/>
      <c r="L69" s="324"/>
      <c r="M69" s="330"/>
      <c r="N69" s="331"/>
      <c r="O69" s="332"/>
      <c r="P69" s="330"/>
      <c r="Q69" s="331"/>
      <c r="R69" s="332"/>
      <c r="S69" s="330"/>
      <c r="T69" s="331"/>
      <c r="U69" s="332"/>
      <c r="V69" s="154"/>
      <c r="W69" s="331"/>
      <c r="X69" s="324"/>
      <c r="Y69" s="160"/>
      <c r="Z69" s="170"/>
      <c r="AA69" s="326"/>
      <c r="AB69" s="17"/>
      <c r="AC69" s="17"/>
      <c r="AD69" s="17"/>
      <c r="AE69" s="17"/>
    </row>
    <row r="70">
      <c r="A70" s="154"/>
      <c r="B70" s="168"/>
      <c r="C70" s="324"/>
      <c r="D70" s="154"/>
      <c r="E70" s="168"/>
      <c r="F70" s="324"/>
      <c r="G70" s="154"/>
      <c r="H70" s="168"/>
      <c r="I70" s="324"/>
      <c r="J70" s="154"/>
      <c r="K70" s="168"/>
      <c r="L70" s="324"/>
      <c r="M70" s="330"/>
      <c r="N70" s="331"/>
      <c r="O70" s="332"/>
      <c r="P70" s="330"/>
      <c r="Q70" s="331"/>
      <c r="R70" s="332"/>
      <c r="S70" s="330"/>
      <c r="T70" s="331"/>
      <c r="U70" s="332"/>
      <c r="V70" s="154"/>
      <c r="W70" s="331"/>
      <c r="X70" s="324"/>
      <c r="Y70" s="160"/>
      <c r="Z70" s="170"/>
      <c r="AA70" s="326"/>
      <c r="AB70" s="17"/>
      <c r="AC70" s="17"/>
      <c r="AD70" s="17"/>
      <c r="AE70" s="17"/>
    </row>
    <row r="71">
      <c r="A71" s="154"/>
      <c r="B71" s="168"/>
      <c r="C71" s="324"/>
      <c r="D71" s="154"/>
      <c r="E71" s="168"/>
      <c r="F71" s="324"/>
      <c r="G71" s="154"/>
      <c r="H71" s="168"/>
      <c r="I71" s="324"/>
      <c r="J71" s="154"/>
      <c r="K71" s="168"/>
      <c r="L71" s="324"/>
      <c r="M71" s="330"/>
      <c r="N71" s="331"/>
      <c r="O71" s="332"/>
      <c r="P71" s="330"/>
      <c r="Q71" s="331"/>
      <c r="R71" s="332"/>
      <c r="S71" s="330"/>
      <c r="T71" s="331"/>
      <c r="U71" s="332"/>
      <c r="V71" s="154"/>
      <c r="W71" s="331"/>
      <c r="X71" s="324"/>
      <c r="Y71" s="160"/>
      <c r="Z71" s="170"/>
      <c r="AA71" s="326"/>
      <c r="AB71" s="17"/>
      <c r="AC71" s="17"/>
      <c r="AD71" s="17"/>
      <c r="AE71" s="17"/>
    </row>
    <row r="72">
      <c r="A72" s="154"/>
      <c r="B72" s="168"/>
      <c r="C72" s="324"/>
      <c r="D72" s="154"/>
      <c r="E72" s="168"/>
      <c r="F72" s="324"/>
      <c r="G72" s="154"/>
      <c r="H72" s="168"/>
      <c r="I72" s="324"/>
      <c r="J72" s="154"/>
      <c r="K72" s="168"/>
      <c r="L72" s="324"/>
      <c r="M72" s="330"/>
      <c r="N72" s="331"/>
      <c r="O72" s="332"/>
      <c r="P72" s="330"/>
      <c r="Q72" s="331"/>
      <c r="R72" s="332"/>
      <c r="S72" s="330"/>
      <c r="T72" s="331"/>
      <c r="U72" s="332"/>
      <c r="V72" s="154"/>
      <c r="W72" s="331"/>
      <c r="X72" s="324"/>
      <c r="Y72" s="160"/>
      <c r="Z72" s="170"/>
      <c r="AA72" s="326"/>
      <c r="AB72" s="17"/>
      <c r="AC72" s="17"/>
      <c r="AD72" s="17"/>
      <c r="AE72" s="17"/>
    </row>
    <row r="73">
      <c r="A73" s="154"/>
      <c r="B73" s="168"/>
      <c r="C73" s="324"/>
      <c r="D73" s="154"/>
      <c r="E73" s="168"/>
      <c r="F73" s="324"/>
      <c r="G73" s="154"/>
      <c r="H73" s="168"/>
      <c r="I73" s="324"/>
      <c r="J73" s="154"/>
      <c r="K73" s="168"/>
      <c r="L73" s="324"/>
      <c r="M73" s="330"/>
      <c r="N73" s="331"/>
      <c r="O73" s="332"/>
      <c r="P73" s="330"/>
      <c r="Q73" s="331"/>
      <c r="R73" s="332"/>
      <c r="S73" s="330"/>
      <c r="T73" s="331"/>
      <c r="U73" s="332"/>
      <c r="V73" s="154"/>
      <c r="W73" s="331"/>
      <c r="X73" s="324"/>
      <c r="Y73" s="160"/>
      <c r="Z73" s="170"/>
      <c r="AA73" s="326"/>
      <c r="AB73" s="17"/>
      <c r="AC73" s="17"/>
      <c r="AD73" s="17"/>
      <c r="AE73" s="17"/>
    </row>
    <row r="74">
      <c r="A74" s="154"/>
      <c r="B74" s="168"/>
      <c r="C74" s="324"/>
      <c r="D74" s="154"/>
      <c r="E74" s="168"/>
      <c r="F74" s="324"/>
      <c r="G74" s="154"/>
      <c r="H74" s="168"/>
      <c r="I74" s="324"/>
      <c r="J74" s="154"/>
      <c r="K74" s="168"/>
      <c r="L74" s="324"/>
      <c r="M74" s="330"/>
      <c r="N74" s="331"/>
      <c r="O74" s="332"/>
      <c r="P74" s="330"/>
      <c r="Q74" s="331"/>
      <c r="R74" s="332"/>
      <c r="S74" s="330"/>
      <c r="T74" s="331"/>
      <c r="U74" s="332"/>
      <c r="V74" s="154"/>
      <c r="W74" s="331"/>
      <c r="X74" s="324"/>
      <c r="Y74" s="160"/>
      <c r="Z74" s="170"/>
      <c r="AA74" s="326"/>
      <c r="AB74" s="17"/>
      <c r="AC74" s="17"/>
      <c r="AD74" s="17"/>
      <c r="AE74" s="17"/>
    </row>
    <row r="75">
      <c r="A75" s="154"/>
      <c r="B75" s="168"/>
      <c r="C75" s="324"/>
      <c r="D75" s="154"/>
      <c r="E75" s="168"/>
      <c r="F75" s="324"/>
      <c r="G75" s="154"/>
      <c r="H75" s="168"/>
      <c r="I75" s="324"/>
      <c r="J75" s="154"/>
      <c r="K75" s="168"/>
      <c r="L75" s="324"/>
      <c r="M75" s="330"/>
      <c r="N75" s="331"/>
      <c r="O75" s="332"/>
      <c r="P75" s="330"/>
      <c r="Q75" s="331"/>
      <c r="R75" s="332"/>
      <c r="S75" s="330"/>
      <c r="T75" s="331"/>
      <c r="U75" s="332"/>
      <c r="V75" s="154"/>
      <c r="W75" s="331"/>
      <c r="X75" s="324"/>
      <c r="Y75" s="160"/>
      <c r="Z75" s="170"/>
      <c r="AA75" s="326"/>
      <c r="AB75" s="17"/>
      <c r="AC75" s="17"/>
      <c r="AD75" s="17"/>
      <c r="AE75" s="17"/>
    </row>
    <row r="76">
      <c r="A76" s="154"/>
      <c r="B76" s="168"/>
      <c r="C76" s="324"/>
      <c r="D76" s="154"/>
      <c r="E76" s="168"/>
      <c r="F76" s="324"/>
      <c r="G76" s="154"/>
      <c r="H76" s="168"/>
      <c r="I76" s="324"/>
      <c r="J76" s="154"/>
      <c r="K76" s="168"/>
      <c r="L76" s="324"/>
      <c r="M76" s="330"/>
      <c r="N76" s="331"/>
      <c r="O76" s="332"/>
      <c r="P76" s="330"/>
      <c r="Q76" s="331"/>
      <c r="R76" s="332"/>
      <c r="S76" s="330"/>
      <c r="T76" s="331"/>
      <c r="U76" s="332"/>
      <c r="V76" s="154"/>
      <c r="W76" s="331"/>
      <c r="X76" s="324"/>
      <c r="Y76" s="160"/>
      <c r="Z76" s="170"/>
      <c r="AA76" s="326"/>
      <c r="AB76" s="17"/>
      <c r="AC76" s="17"/>
      <c r="AD76" s="17"/>
      <c r="AE76" s="17"/>
    </row>
    <row r="77">
      <c r="A77" s="154"/>
      <c r="B77" s="168"/>
      <c r="C77" s="324"/>
      <c r="D77" s="154"/>
      <c r="E77" s="168"/>
      <c r="F77" s="324"/>
      <c r="G77" s="154"/>
      <c r="H77" s="168"/>
      <c r="I77" s="324"/>
      <c r="J77" s="154"/>
      <c r="K77" s="168"/>
      <c r="L77" s="324"/>
      <c r="M77" s="330"/>
      <c r="N77" s="331"/>
      <c r="O77" s="332"/>
      <c r="P77" s="330"/>
      <c r="Q77" s="331"/>
      <c r="R77" s="332"/>
      <c r="S77" s="330"/>
      <c r="T77" s="331"/>
      <c r="U77" s="332"/>
      <c r="V77" s="154"/>
      <c r="W77" s="331"/>
      <c r="X77" s="324"/>
      <c r="Y77" s="160"/>
      <c r="Z77" s="170"/>
      <c r="AA77" s="326"/>
      <c r="AB77" s="17"/>
      <c r="AC77" s="17"/>
      <c r="AD77" s="17"/>
      <c r="AE77" s="17"/>
    </row>
    <row r="78">
      <c r="A78" s="154"/>
      <c r="B78" s="168"/>
      <c r="C78" s="324"/>
      <c r="D78" s="154"/>
      <c r="E78" s="168"/>
      <c r="F78" s="324"/>
      <c r="G78" s="154"/>
      <c r="H78" s="168"/>
      <c r="I78" s="324"/>
      <c r="J78" s="154"/>
      <c r="K78" s="168"/>
      <c r="L78" s="324"/>
      <c r="M78" s="330"/>
      <c r="N78" s="331"/>
      <c r="O78" s="332"/>
      <c r="P78" s="330"/>
      <c r="Q78" s="331"/>
      <c r="R78" s="332"/>
      <c r="S78" s="330"/>
      <c r="T78" s="331"/>
      <c r="U78" s="332"/>
      <c r="V78" s="154"/>
      <c r="W78" s="331"/>
      <c r="X78" s="324"/>
      <c r="Y78" s="160"/>
      <c r="Z78" s="170"/>
      <c r="AA78" s="326"/>
      <c r="AB78" s="17"/>
      <c r="AC78" s="17"/>
      <c r="AD78" s="17"/>
      <c r="AE78" s="17"/>
    </row>
    <row r="79">
      <c r="A79" s="154"/>
      <c r="B79" s="168"/>
      <c r="C79" s="324"/>
      <c r="D79" s="154"/>
      <c r="E79" s="168"/>
      <c r="F79" s="324"/>
      <c r="G79" s="154"/>
      <c r="H79" s="168"/>
      <c r="I79" s="324"/>
      <c r="J79" s="154"/>
      <c r="K79" s="168"/>
      <c r="L79" s="324"/>
      <c r="M79" s="330"/>
      <c r="N79" s="331"/>
      <c r="O79" s="332"/>
      <c r="P79" s="330"/>
      <c r="Q79" s="331"/>
      <c r="R79" s="332"/>
      <c r="S79" s="330"/>
      <c r="T79" s="331"/>
      <c r="U79" s="332"/>
      <c r="V79" s="154"/>
      <c r="W79" s="331"/>
      <c r="X79" s="324"/>
      <c r="Y79" s="160"/>
      <c r="Z79" s="170"/>
      <c r="AA79" s="326"/>
      <c r="AB79" s="17"/>
      <c r="AC79" s="17"/>
      <c r="AD79" s="17"/>
      <c r="AE79" s="17"/>
    </row>
    <row r="80">
      <c r="A80" s="154"/>
      <c r="B80" s="168"/>
      <c r="C80" s="324"/>
      <c r="D80" s="154"/>
      <c r="E80" s="168"/>
      <c r="F80" s="324"/>
      <c r="G80" s="154"/>
      <c r="H80" s="168"/>
      <c r="I80" s="324"/>
      <c r="J80" s="154"/>
      <c r="K80" s="168"/>
      <c r="L80" s="324"/>
      <c r="M80" s="330"/>
      <c r="N80" s="331"/>
      <c r="O80" s="332"/>
      <c r="P80" s="330"/>
      <c r="Q80" s="331"/>
      <c r="R80" s="332"/>
      <c r="S80" s="330"/>
      <c r="T80" s="331"/>
      <c r="U80" s="332"/>
      <c r="V80" s="154"/>
      <c r="W80" s="331"/>
      <c r="X80" s="324"/>
      <c r="Y80" s="160"/>
      <c r="Z80" s="170"/>
      <c r="AA80" s="326"/>
      <c r="AB80" s="17"/>
      <c r="AC80" s="17"/>
      <c r="AD80" s="17"/>
      <c r="AE80" s="17"/>
    </row>
    <row r="81">
      <c r="A81" s="154"/>
      <c r="B81" s="168"/>
      <c r="C81" s="324"/>
      <c r="D81" s="154"/>
      <c r="E81" s="168"/>
      <c r="F81" s="324"/>
      <c r="G81" s="154"/>
      <c r="H81" s="168"/>
      <c r="I81" s="324"/>
      <c r="J81" s="154"/>
      <c r="K81" s="168"/>
      <c r="L81" s="324"/>
      <c r="M81" s="330"/>
      <c r="N81" s="331"/>
      <c r="O81" s="332"/>
      <c r="P81" s="330"/>
      <c r="Q81" s="331"/>
      <c r="R81" s="332"/>
      <c r="S81" s="330"/>
      <c r="T81" s="331"/>
      <c r="U81" s="332"/>
      <c r="V81" s="154"/>
      <c r="W81" s="331"/>
      <c r="X81" s="324"/>
      <c r="Y81" s="160"/>
      <c r="Z81" s="170"/>
      <c r="AA81" s="326"/>
      <c r="AB81" s="17"/>
      <c r="AC81" s="17"/>
      <c r="AD81" s="17"/>
      <c r="AE81" s="17"/>
    </row>
    <row r="82">
      <c r="A82" s="154"/>
      <c r="B82" s="168"/>
      <c r="C82" s="324"/>
      <c r="D82" s="154"/>
      <c r="E82" s="168"/>
      <c r="F82" s="324"/>
      <c r="G82" s="154"/>
      <c r="H82" s="168"/>
      <c r="I82" s="324"/>
      <c r="J82" s="154"/>
      <c r="K82" s="168"/>
      <c r="L82" s="324"/>
      <c r="M82" s="330"/>
      <c r="N82" s="331"/>
      <c r="O82" s="332"/>
      <c r="P82" s="330"/>
      <c r="Q82" s="331"/>
      <c r="R82" s="332"/>
      <c r="S82" s="330"/>
      <c r="T82" s="331"/>
      <c r="U82" s="332"/>
      <c r="V82" s="154"/>
      <c r="W82" s="331"/>
      <c r="X82" s="324"/>
      <c r="Y82" s="160"/>
      <c r="Z82" s="170"/>
      <c r="AA82" s="326"/>
      <c r="AB82" s="17"/>
      <c r="AC82" s="17"/>
      <c r="AD82" s="17"/>
      <c r="AE82" s="17"/>
    </row>
    <row r="83">
      <c r="A83" s="154"/>
      <c r="B83" s="168"/>
      <c r="C83" s="324"/>
      <c r="D83" s="154"/>
      <c r="E83" s="168"/>
      <c r="F83" s="324"/>
      <c r="G83" s="154"/>
      <c r="H83" s="168"/>
      <c r="I83" s="324"/>
      <c r="J83" s="154"/>
      <c r="K83" s="168"/>
      <c r="L83" s="324"/>
      <c r="M83" s="330"/>
      <c r="N83" s="331"/>
      <c r="O83" s="332"/>
      <c r="P83" s="330"/>
      <c r="Q83" s="331"/>
      <c r="R83" s="332"/>
      <c r="S83" s="330"/>
      <c r="T83" s="331"/>
      <c r="U83" s="332"/>
      <c r="V83" s="154"/>
      <c r="W83" s="331"/>
      <c r="X83" s="324"/>
      <c r="Y83" s="160"/>
      <c r="Z83" s="170"/>
      <c r="AA83" s="326"/>
      <c r="AB83" s="17"/>
      <c r="AC83" s="17"/>
      <c r="AD83" s="17"/>
      <c r="AE83" s="17"/>
    </row>
    <row r="84">
      <c r="A84" s="154"/>
      <c r="B84" s="168"/>
      <c r="C84" s="324"/>
      <c r="D84" s="154"/>
      <c r="E84" s="168"/>
      <c r="F84" s="324"/>
      <c r="G84" s="154"/>
      <c r="H84" s="168"/>
      <c r="I84" s="324"/>
      <c r="J84" s="154"/>
      <c r="K84" s="168"/>
      <c r="L84" s="324"/>
      <c r="M84" s="330"/>
      <c r="N84" s="331"/>
      <c r="O84" s="332"/>
      <c r="P84" s="330"/>
      <c r="Q84" s="331"/>
      <c r="R84" s="332"/>
      <c r="S84" s="330"/>
      <c r="T84" s="331"/>
      <c r="U84" s="332"/>
      <c r="V84" s="154"/>
      <c r="W84" s="331"/>
      <c r="X84" s="324"/>
      <c r="Y84" s="160"/>
      <c r="Z84" s="170"/>
      <c r="AA84" s="326"/>
      <c r="AB84" s="17"/>
      <c r="AC84" s="17"/>
      <c r="AD84" s="17"/>
      <c r="AE84" s="17"/>
    </row>
    <row r="85">
      <c r="A85" s="154"/>
      <c r="B85" s="168"/>
      <c r="C85" s="324"/>
      <c r="D85" s="154"/>
      <c r="E85" s="168"/>
      <c r="F85" s="324"/>
      <c r="G85" s="154"/>
      <c r="H85" s="168"/>
      <c r="I85" s="324"/>
      <c r="J85" s="154"/>
      <c r="K85" s="168"/>
      <c r="L85" s="324"/>
      <c r="M85" s="330"/>
      <c r="N85" s="331"/>
      <c r="O85" s="332"/>
      <c r="P85" s="330"/>
      <c r="Q85" s="331"/>
      <c r="R85" s="332"/>
      <c r="S85" s="330"/>
      <c r="T85" s="331"/>
      <c r="U85" s="332"/>
      <c r="V85" s="154"/>
      <c r="W85" s="331"/>
      <c r="X85" s="324"/>
      <c r="Y85" s="160"/>
      <c r="Z85" s="170"/>
      <c r="AA85" s="326"/>
      <c r="AB85" s="17"/>
      <c r="AC85" s="17"/>
      <c r="AD85" s="17"/>
      <c r="AE85" s="17"/>
    </row>
    <row r="86">
      <c r="A86" s="154"/>
      <c r="B86" s="168"/>
      <c r="C86" s="324"/>
      <c r="D86" s="154"/>
      <c r="E86" s="168"/>
      <c r="F86" s="324"/>
      <c r="G86" s="154"/>
      <c r="H86" s="168"/>
      <c r="I86" s="324"/>
      <c r="J86" s="154"/>
      <c r="K86" s="168"/>
      <c r="L86" s="324"/>
      <c r="M86" s="330"/>
      <c r="N86" s="331"/>
      <c r="O86" s="332"/>
      <c r="P86" s="330"/>
      <c r="Q86" s="331"/>
      <c r="R86" s="332"/>
      <c r="S86" s="330"/>
      <c r="T86" s="331"/>
      <c r="U86" s="332"/>
      <c r="V86" s="154"/>
      <c r="W86" s="331"/>
      <c r="X86" s="324"/>
      <c r="Y86" s="160"/>
      <c r="Z86" s="170"/>
      <c r="AA86" s="326"/>
      <c r="AB86" s="17"/>
      <c r="AC86" s="17"/>
      <c r="AD86" s="17"/>
      <c r="AE86" s="17"/>
    </row>
    <row r="87">
      <c r="A87" s="154"/>
      <c r="B87" s="168"/>
      <c r="C87" s="324"/>
      <c r="D87" s="154"/>
      <c r="E87" s="168"/>
      <c r="F87" s="324"/>
      <c r="G87" s="154"/>
      <c r="H87" s="168"/>
      <c r="I87" s="324"/>
      <c r="J87" s="154"/>
      <c r="K87" s="168"/>
      <c r="L87" s="324"/>
      <c r="M87" s="330"/>
      <c r="N87" s="331"/>
      <c r="O87" s="332"/>
      <c r="P87" s="330"/>
      <c r="Q87" s="331"/>
      <c r="R87" s="332"/>
      <c r="S87" s="330"/>
      <c r="T87" s="331"/>
      <c r="U87" s="332"/>
      <c r="V87" s="154"/>
      <c r="W87" s="331"/>
      <c r="X87" s="324"/>
      <c r="Y87" s="160"/>
      <c r="Z87" s="170"/>
      <c r="AA87" s="326"/>
      <c r="AB87" s="17"/>
      <c r="AC87" s="17"/>
      <c r="AD87" s="17"/>
      <c r="AE87" s="17"/>
    </row>
    <row r="88">
      <c r="A88" s="154"/>
      <c r="B88" s="168"/>
      <c r="C88" s="324"/>
      <c r="D88" s="154"/>
      <c r="E88" s="168"/>
      <c r="F88" s="324"/>
      <c r="G88" s="154"/>
      <c r="H88" s="168"/>
      <c r="I88" s="324"/>
      <c r="J88" s="154"/>
      <c r="K88" s="168"/>
      <c r="L88" s="324"/>
      <c r="M88" s="330"/>
      <c r="N88" s="331"/>
      <c r="O88" s="332"/>
      <c r="P88" s="330"/>
      <c r="Q88" s="331"/>
      <c r="R88" s="332"/>
      <c r="S88" s="330"/>
      <c r="T88" s="331"/>
      <c r="U88" s="332"/>
      <c r="V88" s="154"/>
      <c r="W88" s="331"/>
      <c r="X88" s="324"/>
      <c r="Y88" s="160"/>
      <c r="Z88" s="170"/>
      <c r="AA88" s="326"/>
      <c r="AB88" s="17"/>
      <c r="AC88" s="17"/>
      <c r="AD88" s="17"/>
      <c r="AE88" s="17"/>
    </row>
    <row r="89">
      <c r="A89" s="154"/>
      <c r="B89" s="168"/>
      <c r="C89" s="324"/>
      <c r="D89" s="154"/>
      <c r="E89" s="168"/>
      <c r="F89" s="324"/>
      <c r="G89" s="154"/>
      <c r="H89" s="168"/>
      <c r="I89" s="324"/>
      <c r="J89" s="154"/>
      <c r="K89" s="168"/>
      <c r="L89" s="324"/>
      <c r="M89" s="330"/>
      <c r="N89" s="331"/>
      <c r="O89" s="332"/>
      <c r="P89" s="330"/>
      <c r="Q89" s="331"/>
      <c r="R89" s="332"/>
      <c r="S89" s="330"/>
      <c r="T89" s="331"/>
      <c r="U89" s="332"/>
      <c r="V89" s="154"/>
      <c r="W89" s="331"/>
      <c r="X89" s="324"/>
      <c r="Y89" s="160"/>
      <c r="Z89" s="170"/>
      <c r="AA89" s="326"/>
      <c r="AB89" s="17"/>
      <c r="AC89" s="17"/>
      <c r="AD89" s="17"/>
      <c r="AE89" s="17"/>
    </row>
    <row r="90">
      <c r="A90" s="154"/>
      <c r="B90" s="168"/>
      <c r="C90" s="324"/>
      <c r="D90" s="154"/>
      <c r="E90" s="168"/>
      <c r="F90" s="324"/>
      <c r="G90" s="154"/>
      <c r="H90" s="168"/>
      <c r="I90" s="324"/>
      <c r="J90" s="154"/>
      <c r="K90" s="168"/>
      <c r="L90" s="324"/>
      <c r="M90" s="330"/>
      <c r="N90" s="331"/>
      <c r="O90" s="332"/>
      <c r="P90" s="330"/>
      <c r="Q90" s="331"/>
      <c r="R90" s="332"/>
      <c r="S90" s="330"/>
      <c r="T90" s="331"/>
      <c r="U90" s="332"/>
      <c r="V90" s="154"/>
      <c r="W90" s="331"/>
      <c r="X90" s="324"/>
      <c r="Y90" s="160"/>
      <c r="Z90" s="170"/>
      <c r="AA90" s="326"/>
      <c r="AB90" s="17"/>
      <c r="AC90" s="17"/>
      <c r="AD90" s="17"/>
      <c r="AE90" s="17"/>
    </row>
    <row r="91">
      <c r="A91" s="154"/>
      <c r="B91" s="168"/>
      <c r="C91" s="324"/>
      <c r="D91" s="154"/>
      <c r="E91" s="168"/>
      <c r="F91" s="324"/>
      <c r="G91" s="154"/>
      <c r="H91" s="168"/>
      <c r="I91" s="324"/>
      <c r="J91" s="154"/>
      <c r="K91" s="168"/>
      <c r="L91" s="324"/>
      <c r="M91" s="330"/>
      <c r="N91" s="331"/>
      <c r="O91" s="332"/>
      <c r="P91" s="330"/>
      <c r="Q91" s="331"/>
      <c r="R91" s="332"/>
      <c r="S91" s="330"/>
      <c r="T91" s="331"/>
      <c r="U91" s="332"/>
      <c r="V91" s="154"/>
      <c r="W91" s="331"/>
      <c r="X91" s="324"/>
      <c r="Y91" s="160"/>
      <c r="Z91" s="170"/>
      <c r="AA91" s="326"/>
      <c r="AB91" s="17"/>
      <c r="AC91" s="17"/>
      <c r="AD91" s="17"/>
      <c r="AE91" s="17"/>
    </row>
    <row r="92">
      <c r="A92" s="154"/>
      <c r="B92" s="168"/>
      <c r="C92" s="324"/>
      <c r="D92" s="154"/>
      <c r="E92" s="168"/>
      <c r="F92" s="324"/>
      <c r="G92" s="154"/>
      <c r="H92" s="168"/>
      <c r="I92" s="324"/>
      <c r="J92" s="154"/>
      <c r="K92" s="168"/>
      <c r="L92" s="324"/>
      <c r="M92" s="330"/>
      <c r="N92" s="331"/>
      <c r="O92" s="332"/>
      <c r="P92" s="330"/>
      <c r="Q92" s="331"/>
      <c r="R92" s="332"/>
      <c r="S92" s="330"/>
      <c r="T92" s="331"/>
      <c r="U92" s="332"/>
      <c r="V92" s="154"/>
      <c r="W92" s="331"/>
      <c r="X92" s="324"/>
      <c r="Y92" s="160"/>
      <c r="Z92" s="170"/>
      <c r="AA92" s="326"/>
      <c r="AB92" s="17"/>
      <c r="AC92" s="17"/>
      <c r="AD92" s="17"/>
      <c r="AE92" s="17"/>
    </row>
    <row r="93">
      <c r="A93" s="154"/>
      <c r="B93" s="168"/>
      <c r="C93" s="324"/>
      <c r="D93" s="154"/>
      <c r="E93" s="168"/>
      <c r="F93" s="324"/>
      <c r="G93" s="154"/>
      <c r="H93" s="168"/>
      <c r="I93" s="324"/>
      <c r="J93" s="154"/>
      <c r="K93" s="168"/>
      <c r="L93" s="324"/>
      <c r="M93" s="330"/>
      <c r="N93" s="331"/>
      <c r="O93" s="332"/>
      <c r="P93" s="330"/>
      <c r="Q93" s="331"/>
      <c r="R93" s="332"/>
      <c r="S93" s="330"/>
      <c r="T93" s="331"/>
      <c r="U93" s="332"/>
      <c r="V93" s="154"/>
      <c r="W93" s="331"/>
      <c r="X93" s="324"/>
      <c r="Y93" s="160"/>
      <c r="Z93" s="170"/>
      <c r="AA93" s="326"/>
      <c r="AB93" s="17"/>
      <c r="AC93" s="17"/>
      <c r="AD93" s="17"/>
      <c r="AE93" s="17"/>
    </row>
    <row r="94">
      <c r="A94" s="154"/>
      <c r="B94" s="168"/>
      <c r="C94" s="324"/>
      <c r="D94" s="154"/>
      <c r="E94" s="168"/>
      <c r="F94" s="324"/>
      <c r="G94" s="154"/>
      <c r="H94" s="168"/>
      <c r="I94" s="324"/>
      <c r="J94" s="154"/>
      <c r="K94" s="168"/>
      <c r="L94" s="324"/>
      <c r="M94" s="330"/>
      <c r="N94" s="331"/>
      <c r="O94" s="332"/>
      <c r="P94" s="330"/>
      <c r="Q94" s="331"/>
      <c r="R94" s="332"/>
      <c r="S94" s="330"/>
      <c r="T94" s="331"/>
      <c r="U94" s="332"/>
      <c r="V94" s="154"/>
      <c r="W94" s="331"/>
      <c r="X94" s="324"/>
      <c r="Y94" s="160"/>
      <c r="Z94" s="170"/>
      <c r="AA94" s="326"/>
      <c r="AB94" s="17"/>
      <c r="AC94" s="17"/>
      <c r="AD94" s="17"/>
      <c r="AE94" s="17"/>
    </row>
    <row r="95">
      <c r="A95" s="154"/>
      <c r="B95" s="168"/>
      <c r="C95" s="324"/>
      <c r="D95" s="154"/>
      <c r="E95" s="168"/>
      <c r="F95" s="324"/>
      <c r="G95" s="154"/>
      <c r="H95" s="168"/>
      <c r="I95" s="324"/>
      <c r="J95" s="154"/>
      <c r="K95" s="168"/>
      <c r="L95" s="324"/>
      <c r="M95" s="330"/>
      <c r="N95" s="331"/>
      <c r="O95" s="332"/>
      <c r="P95" s="330"/>
      <c r="Q95" s="331"/>
      <c r="R95" s="332"/>
      <c r="S95" s="330"/>
      <c r="T95" s="331"/>
      <c r="U95" s="332"/>
      <c r="V95" s="154"/>
      <c r="W95" s="331"/>
      <c r="X95" s="324"/>
      <c r="Y95" s="160"/>
      <c r="Z95" s="170"/>
      <c r="AA95" s="326"/>
      <c r="AB95" s="17"/>
      <c r="AC95" s="17"/>
      <c r="AD95" s="17"/>
      <c r="AE95" s="17"/>
    </row>
    <row r="96">
      <c r="A96" s="154"/>
      <c r="B96" s="168"/>
      <c r="C96" s="324"/>
      <c r="D96" s="154"/>
      <c r="E96" s="168"/>
      <c r="F96" s="324"/>
      <c r="G96" s="154"/>
      <c r="H96" s="168"/>
      <c r="I96" s="324"/>
      <c r="J96" s="154"/>
      <c r="K96" s="168"/>
      <c r="L96" s="324"/>
      <c r="M96" s="330"/>
      <c r="N96" s="331"/>
      <c r="O96" s="332"/>
      <c r="P96" s="330"/>
      <c r="Q96" s="331"/>
      <c r="R96" s="332"/>
      <c r="S96" s="330"/>
      <c r="T96" s="331"/>
      <c r="U96" s="332"/>
      <c r="V96" s="154"/>
      <c r="W96" s="331"/>
      <c r="X96" s="324"/>
      <c r="Y96" s="160"/>
      <c r="Z96" s="170"/>
      <c r="AA96" s="326"/>
      <c r="AB96" s="17"/>
      <c r="AC96" s="17"/>
      <c r="AD96" s="17"/>
      <c r="AE96" s="17"/>
    </row>
    <row r="97">
      <c r="A97" s="154"/>
      <c r="B97" s="168"/>
      <c r="C97" s="324"/>
      <c r="D97" s="154"/>
      <c r="E97" s="168"/>
      <c r="F97" s="324"/>
      <c r="G97" s="154"/>
      <c r="H97" s="168"/>
      <c r="I97" s="324"/>
      <c r="J97" s="154"/>
      <c r="K97" s="168"/>
      <c r="L97" s="324"/>
      <c r="M97" s="330"/>
      <c r="N97" s="331"/>
      <c r="O97" s="332"/>
      <c r="P97" s="330"/>
      <c r="Q97" s="331"/>
      <c r="R97" s="332"/>
      <c r="S97" s="330"/>
      <c r="T97" s="331"/>
      <c r="U97" s="332"/>
      <c r="V97" s="154"/>
      <c r="W97" s="331"/>
      <c r="X97" s="324"/>
      <c r="Y97" s="160"/>
      <c r="Z97" s="170"/>
      <c r="AA97" s="326"/>
      <c r="AB97" s="17"/>
      <c r="AC97" s="17"/>
      <c r="AD97" s="17"/>
      <c r="AE97" s="17"/>
    </row>
    <row r="98">
      <c r="A98" s="154"/>
      <c r="B98" s="168"/>
      <c r="C98" s="324"/>
      <c r="D98" s="154"/>
      <c r="E98" s="168"/>
      <c r="F98" s="324"/>
      <c r="G98" s="154"/>
      <c r="H98" s="168"/>
      <c r="I98" s="324"/>
      <c r="J98" s="154"/>
      <c r="K98" s="168"/>
      <c r="L98" s="324"/>
      <c r="M98" s="330"/>
      <c r="N98" s="331"/>
      <c r="O98" s="332"/>
      <c r="P98" s="330"/>
      <c r="Q98" s="331"/>
      <c r="R98" s="332"/>
      <c r="S98" s="330"/>
      <c r="T98" s="331"/>
      <c r="U98" s="332"/>
      <c r="V98" s="154"/>
      <c r="W98" s="331"/>
      <c r="X98" s="324"/>
      <c r="Y98" s="160"/>
      <c r="Z98" s="170"/>
      <c r="AA98" s="326"/>
      <c r="AB98" s="17"/>
      <c r="AC98" s="17"/>
      <c r="AD98" s="17"/>
      <c r="AE98" s="17"/>
    </row>
    <row r="99">
      <c r="A99" s="154"/>
      <c r="B99" s="168"/>
      <c r="C99" s="324"/>
      <c r="D99" s="154"/>
      <c r="E99" s="168"/>
      <c r="F99" s="324"/>
      <c r="G99" s="154"/>
      <c r="H99" s="168"/>
      <c r="I99" s="324"/>
      <c r="J99" s="154"/>
      <c r="K99" s="168"/>
      <c r="L99" s="324"/>
      <c r="M99" s="330"/>
      <c r="N99" s="331"/>
      <c r="O99" s="332"/>
      <c r="P99" s="330"/>
      <c r="Q99" s="331"/>
      <c r="R99" s="332"/>
      <c r="S99" s="330"/>
      <c r="T99" s="331"/>
      <c r="U99" s="332"/>
      <c r="V99" s="154"/>
      <c r="W99" s="331"/>
      <c r="X99" s="324"/>
      <c r="Y99" s="160"/>
      <c r="Z99" s="170"/>
      <c r="AA99" s="326"/>
      <c r="AB99" s="17"/>
      <c r="AC99" s="17"/>
      <c r="AD99" s="17"/>
      <c r="AE99" s="17"/>
    </row>
    <row r="100">
      <c r="A100" s="154"/>
      <c r="B100" s="168"/>
      <c r="C100" s="324"/>
      <c r="D100" s="154"/>
      <c r="E100" s="168"/>
      <c r="F100" s="324"/>
      <c r="G100" s="154"/>
      <c r="H100" s="168"/>
      <c r="I100" s="324"/>
      <c r="J100" s="154"/>
      <c r="K100" s="168"/>
      <c r="L100" s="324"/>
      <c r="M100" s="330"/>
      <c r="N100" s="331"/>
      <c r="O100" s="332"/>
      <c r="P100" s="330"/>
      <c r="Q100" s="331"/>
      <c r="R100" s="332"/>
      <c r="S100" s="330"/>
      <c r="T100" s="331"/>
      <c r="U100" s="332"/>
      <c r="V100" s="154"/>
      <c r="W100" s="331"/>
      <c r="X100" s="324"/>
      <c r="Y100" s="160"/>
      <c r="Z100" s="170"/>
      <c r="AA100" s="326"/>
      <c r="AB100" s="17"/>
      <c r="AC100" s="17"/>
      <c r="AD100" s="17"/>
      <c r="AE100" s="17"/>
    </row>
    <row r="101">
      <c r="A101" s="154"/>
      <c r="B101" s="168"/>
      <c r="C101" s="324"/>
      <c r="D101" s="154"/>
      <c r="E101" s="168"/>
      <c r="F101" s="324"/>
      <c r="G101" s="154"/>
      <c r="H101" s="168"/>
      <c r="I101" s="324"/>
      <c r="J101" s="154"/>
      <c r="K101" s="168"/>
      <c r="L101" s="324"/>
      <c r="M101" s="330"/>
      <c r="N101" s="331"/>
      <c r="O101" s="332"/>
      <c r="P101" s="330"/>
      <c r="Q101" s="331"/>
      <c r="R101" s="332"/>
      <c r="S101" s="330"/>
      <c r="T101" s="331"/>
      <c r="U101" s="332"/>
      <c r="V101" s="154"/>
      <c r="W101" s="331"/>
      <c r="X101" s="324"/>
      <c r="Y101" s="160"/>
      <c r="Z101" s="170"/>
      <c r="AA101" s="326"/>
      <c r="AB101" s="17"/>
      <c r="AC101" s="17"/>
      <c r="AD101" s="17"/>
      <c r="AE101" s="17"/>
    </row>
    <row r="102">
      <c r="A102" s="154"/>
      <c r="B102" s="168"/>
      <c r="C102" s="324"/>
      <c r="D102" s="154"/>
      <c r="E102" s="168"/>
      <c r="F102" s="324"/>
      <c r="G102" s="154"/>
      <c r="H102" s="168"/>
      <c r="I102" s="324"/>
      <c r="J102" s="154"/>
      <c r="K102" s="168"/>
      <c r="L102" s="324"/>
      <c r="M102" s="330"/>
      <c r="N102" s="331"/>
      <c r="O102" s="332"/>
      <c r="P102" s="330"/>
      <c r="Q102" s="331"/>
      <c r="R102" s="332"/>
      <c r="S102" s="330"/>
      <c r="T102" s="331"/>
      <c r="U102" s="332"/>
      <c r="V102" s="154"/>
      <c r="W102" s="331"/>
      <c r="X102" s="324"/>
      <c r="Y102" s="160"/>
      <c r="Z102" s="170"/>
      <c r="AA102" s="326"/>
      <c r="AB102" s="17"/>
      <c r="AC102" s="17"/>
      <c r="AD102" s="17"/>
      <c r="AE102" s="17"/>
    </row>
    <row r="103">
      <c r="A103" s="154"/>
      <c r="B103" s="168"/>
      <c r="C103" s="324"/>
      <c r="D103" s="154"/>
      <c r="E103" s="168"/>
      <c r="F103" s="324"/>
      <c r="G103" s="154"/>
      <c r="H103" s="168"/>
      <c r="I103" s="324"/>
      <c r="J103" s="154"/>
      <c r="K103" s="168"/>
      <c r="L103" s="324"/>
      <c r="M103" s="330"/>
      <c r="N103" s="331"/>
      <c r="O103" s="332"/>
      <c r="P103" s="330"/>
      <c r="Q103" s="331"/>
      <c r="R103" s="332"/>
      <c r="S103" s="330"/>
      <c r="T103" s="331"/>
      <c r="U103" s="332"/>
      <c r="V103" s="154"/>
      <c r="W103" s="331"/>
      <c r="X103" s="324"/>
      <c r="Y103" s="160"/>
      <c r="Z103" s="170"/>
      <c r="AA103" s="326"/>
      <c r="AB103" s="17"/>
      <c r="AC103" s="17"/>
      <c r="AD103" s="17"/>
      <c r="AE103" s="17"/>
    </row>
    <row r="104">
      <c r="A104" s="154"/>
      <c r="B104" s="168"/>
      <c r="C104" s="324"/>
      <c r="D104" s="154"/>
      <c r="E104" s="168"/>
      <c r="F104" s="324"/>
      <c r="G104" s="154"/>
      <c r="H104" s="168"/>
      <c r="I104" s="324"/>
      <c r="J104" s="154"/>
      <c r="K104" s="168"/>
      <c r="L104" s="324"/>
      <c r="M104" s="330"/>
      <c r="N104" s="331"/>
      <c r="O104" s="332"/>
      <c r="P104" s="330"/>
      <c r="Q104" s="331"/>
      <c r="R104" s="332"/>
      <c r="S104" s="330"/>
      <c r="T104" s="331"/>
      <c r="U104" s="332"/>
      <c r="V104" s="154"/>
      <c r="W104" s="331"/>
      <c r="X104" s="324"/>
      <c r="Y104" s="160"/>
      <c r="Z104" s="170"/>
      <c r="AA104" s="326"/>
      <c r="AB104" s="17"/>
      <c r="AC104" s="17"/>
      <c r="AD104" s="17"/>
      <c r="AE104" s="17"/>
    </row>
    <row r="105">
      <c r="A105" s="154"/>
      <c r="B105" s="168"/>
      <c r="C105" s="324"/>
      <c r="D105" s="154"/>
      <c r="E105" s="168"/>
      <c r="F105" s="324"/>
      <c r="G105" s="154"/>
      <c r="H105" s="168"/>
      <c r="I105" s="324"/>
      <c r="J105" s="154"/>
      <c r="K105" s="168"/>
      <c r="L105" s="324"/>
      <c r="M105" s="330"/>
      <c r="N105" s="331"/>
      <c r="O105" s="332"/>
      <c r="P105" s="330"/>
      <c r="Q105" s="331"/>
      <c r="R105" s="332"/>
      <c r="S105" s="330"/>
      <c r="T105" s="331"/>
      <c r="U105" s="332"/>
      <c r="V105" s="154"/>
      <c r="W105" s="331"/>
      <c r="X105" s="324"/>
      <c r="Y105" s="160"/>
      <c r="Z105" s="170"/>
      <c r="AA105" s="326"/>
      <c r="AB105" s="17"/>
      <c r="AC105" s="17"/>
      <c r="AD105" s="17"/>
      <c r="AE105" s="17"/>
    </row>
    <row r="106">
      <c r="A106" s="154"/>
      <c r="B106" s="168"/>
      <c r="C106" s="324"/>
      <c r="D106" s="154"/>
      <c r="E106" s="168"/>
      <c r="F106" s="324"/>
      <c r="G106" s="154"/>
      <c r="H106" s="168"/>
      <c r="I106" s="324"/>
      <c r="J106" s="154"/>
      <c r="K106" s="168"/>
      <c r="L106" s="324"/>
      <c r="M106" s="330"/>
      <c r="N106" s="331"/>
      <c r="O106" s="332"/>
      <c r="P106" s="330"/>
      <c r="Q106" s="331"/>
      <c r="R106" s="332"/>
      <c r="S106" s="330"/>
      <c r="T106" s="331"/>
      <c r="U106" s="332"/>
      <c r="V106" s="154"/>
      <c r="W106" s="331"/>
      <c r="X106" s="324"/>
      <c r="Y106" s="160"/>
      <c r="Z106" s="170"/>
      <c r="AA106" s="326"/>
      <c r="AB106" s="17"/>
      <c r="AC106" s="17"/>
      <c r="AD106" s="17"/>
      <c r="AE106" s="17"/>
    </row>
    <row r="107">
      <c r="A107" s="154"/>
      <c r="B107" s="168"/>
      <c r="C107" s="324"/>
      <c r="D107" s="154"/>
      <c r="E107" s="168"/>
      <c r="F107" s="324"/>
      <c r="G107" s="154"/>
      <c r="H107" s="168"/>
      <c r="I107" s="324"/>
      <c r="J107" s="154"/>
      <c r="K107" s="168"/>
      <c r="L107" s="324"/>
      <c r="M107" s="330"/>
      <c r="N107" s="331"/>
      <c r="O107" s="332"/>
      <c r="P107" s="330"/>
      <c r="Q107" s="331"/>
      <c r="R107" s="332"/>
      <c r="S107" s="330"/>
      <c r="T107" s="331"/>
      <c r="U107" s="332"/>
      <c r="V107" s="154"/>
      <c r="W107" s="331"/>
      <c r="X107" s="324"/>
      <c r="Y107" s="160"/>
      <c r="Z107" s="170"/>
      <c r="AA107" s="326"/>
      <c r="AB107" s="17"/>
      <c r="AC107" s="17"/>
      <c r="AD107" s="17"/>
      <c r="AE107" s="17"/>
    </row>
    <row r="108">
      <c r="A108" s="154"/>
      <c r="B108" s="168"/>
      <c r="C108" s="324"/>
      <c r="D108" s="154"/>
      <c r="E108" s="168"/>
      <c r="F108" s="324"/>
      <c r="G108" s="154"/>
      <c r="H108" s="168"/>
      <c r="I108" s="324"/>
      <c r="J108" s="154"/>
      <c r="K108" s="168"/>
      <c r="L108" s="324"/>
      <c r="M108" s="330"/>
      <c r="N108" s="331"/>
      <c r="O108" s="332"/>
      <c r="P108" s="330"/>
      <c r="Q108" s="331"/>
      <c r="R108" s="332"/>
      <c r="S108" s="330"/>
      <c r="T108" s="331"/>
      <c r="U108" s="332"/>
      <c r="V108" s="154"/>
      <c r="W108" s="331"/>
      <c r="X108" s="324"/>
      <c r="Y108" s="160"/>
      <c r="Z108" s="170"/>
      <c r="AA108" s="326"/>
      <c r="AB108" s="17"/>
      <c r="AC108" s="17"/>
      <c r="AD108" s="17"/>
      <c r="AE108" s="17"/>
    </row>
    <row r="109">
      <c r="A109" s="154"/>
      <c r="B109" s="168"/>
      <c r="C109" s="324"/>
      <c r="D109" s="154"/>
      <c r="E109" s="168"/>
      <c r="F109" s="324"/>
      <c r="G109" s="154"/>
      <c r="H109" s="168"/>
      <c r="I109" s="324"/>
      <c r="J109" s="154"/>
      <c r="K109" s="168"/>
      <c r="L109" s="324"/>
      <c r="M109" s="330"/>
      <c r="N109" s="331"/>
      <c r="O109" s="332"/>
      <c r="P109" s="330"/>
      <c r="Q109" s="331"/>
      <c r="R109" s="332"/>
      <c r="S109" s="330"/>
      <c r="T109" s="331"/>
      <c r="U109" s="332"/>
      <c r="V109" s="154"/>
      <c r="W109" s="331"/>
      <c r="X109" s="324"/>
      <c r="Y109" s="160"/>
      <c r="Z109" s="170"/>
      <c r="AA109" s="326"/>
      <c r="AB109" s="17"/>
      <c r="AC109" s="17"/>
      <c r="AD109" s="17"/>
      <c r="AE109" s="17"/>
    </row>
    <row r="110">
      <c r="A110" s="154"/>
      <c r="B110" s="168"/>
      <c r="C110" s="324"/>
      <c r="D110" s="154"/>
      <c r="E110" s="168"/>
      <c r="F110" s="324"/>
      <c r="G110" s="154"/>
      <c r="H110" s="168"/>
      <c r="I110" s="324"/>
      <c r="J110" s="154"/>
      <c r="K110" s="168"/>
      <c r="L110" s="324"/>
      <c r="M110" s="330"/>
      <c r="N110" s="331"/>
      <c r="O110" s="332"/>
      <c r="P110" s="330"/>
      <c r="Q110" s="331"/>
      <c r="R110" s="332"/>
      <c r="S110" s="330"/>
      <c r="T110" s="331"/>
      <c r="U110" s="332"/>
      <c r="V110" s="154"/>
      <c r="W110" s="331"/>
      <c r="X110" s="324"/>
      <c r="Y110" s="160"/>
      <c r="Z110" s="170"/>
      <c r="AA110" s="326"/>
      <c r="AB110" s="17"/>
      <c r="AC110" s="17"/>
      <c r="AD110" s="17"/>
      <c r="AE110" s="17"/>
    </row>
    <row r="111">
      <c r="A111" s="154"/>
      <c r="B111" s="168"/>
      <c r="C111" s="324"/>
      <c r="D111" s="154"/>
      <c r="E111" s="168"/>
      <c r="F111" s="324"/>
      <c r="G111" s="154"/>
      <c r="H111" s="168"/>
      <c r="I111" s="324"/>
      <c r="J111" s="154"/>
      <c r="K111" s="168"/>
      <c r="L111" s="324"/>
      <c r="M111" s="330"/>
      <c r="N111" s="331"/>
      <c r="O111" s="332"/>
      <c r="P111" s="330"/>
      <c r="Q111" s="331"/>
      <c r="R111" s="332"/>
      <c r="S111" s="330"/>
      <c r="T111" s="331"/>
      <c r="U111" s="332"/>
      <c r="V111" s="154"/>
      <c r="W111" s="331"/>
      <c r="X111" s="324"/>
      <c r="Y111" s="160"/>
      <c r="Z111" s="170"/>
      <c r="AA111" s="326"/>
      <c r="AB111" s="17"/>
      <c r="AC111" s="17"/>
      <c r="AD111" s="17"/>
      <c r="AE111" s="17"/>
    </row>
    <row r="112">
      <c r="A112" s="154"/>
      <c r="B112" s="168"/>
      <c r="C112" s="324"/>
      <c r="D112" s="154"/>
      <c r="E112" s="168"/>
      <c r="F112" s="324"/>
      <c r="G112" s="154"/>
      <c r="H112" s="168"/>
      <c r="I112" s="324"/>
      <c r="J112" s="154"/>
      <c r="K112" s="168"/>
      <c r="L112" s="324"/>
      <c r="M112" s="330"/>
      <c r="N112" s="331"/>
      <c r="O112" s="332"/>
      <c r="P112" s="330"/>
      <c r="Q112" s="331"/>
      <c r="R112" s="332"/>
      <c r="S112" s="330"/>
      <c r="T112" s="331"/>
      <c r="U112" s="332"/>
      <c r="V112" s="154"/>
      <c r="W112" s="331"/>
      <c r="X112" s="324"/>
      <c r="Y112" s="160"/>
      <c r="Z112" s="170"/>
      <c r="AA112" s="326"/>
      <c r="AB112" s="17"/>
      <c r="AC112" s="17"/>
      <c r="AD112" s="17"/>
      <c r="AE112" s="17"/>
    </row>
    <row r="113">
      <c r="A113" s="154"/>
      <c r="B113" s="168"/>
      <c r="C113" s="324"/>
      <c r="D113" s="154"/>
      <c r="E113" s="168"/>
      <c r="F113" s="324"/>
      <c r="G113" s="154"/>
      <c r="H113" s="168"/>
      <c r="I113" s="324"/>
      <c r="J113" s="154"/>
      <c r="K113" s="168"/>
      <c r="L113" s="324"/>
      <c r="M113" s="330"/>
      <c r="N113" s="331"/>
      <c r="O113" s="332"/>
      <c r="P113" s="330"/>
      <c r="Q113" s="331"/>
      <c r="R113" s="332"/>
      <c r="S113" s="330"/>
      <c r="T113" s="331"/>
      <c r="U113" s="332"/>
      <c r="V113" s="154"/>
      <c r="W113" s="331"/>
      <c r="X113" s="324"/>
      <c r="Y113" s="160"/>
      <c r="Z113" s="170"/>
      <c r="AA113" s="326"/>
      <c r="AB113" s="17"/>
      <c r="AC113" s="17"/>
      <c r="AD113" s="17"/>
      <c r="AE113" s="17"/>
    </row>
    <row r="114">
      <c r="A114" s="154"/>
      <c r="B114" s="168"/>
      <c r="C114" s="324"/>
      <c r="D114" s="154"/>
      <c r="E114" s="168"/>
      <c r="F114" s="324"/>
      <c r="G114" s="154"/>
      <c r="H114" s="168"/>
      <c r="I114" s="324"/>
      <c r="J114" s="154"/>
      <c r="K114" s="168"/>
      <c r="L114" s="324"/>
      <c r="M114" s="330"/>
      <c r="N114" s="331"/>
      <c r="O114" s="332"/>
      <c r="P114" s="330"/>
      <c r="Q114" s="331"/>
      <c r="R114" s="332"/>
      <c r="S114" s="330"/>
      <c r="T114" s="331"/>
      <c r="U114" s="332"/>
      <c r="V114" s="154"/>
      <c r="W114" s="331"/>
      <c r="X114" s="324"/>
      <c r="Y114" s="160"/>
      <c r="Z114" s="170"/>
      <c r="AA114" s="326"/>
      <c r="AB114" s="17"/>
      <c r="AC114" s="17"/>
      <c r="AD114" s="17"/>
      <c r="AE114" s="17"/>
    </row>
    <row r="115">
      <c r="A115" s="154"/>
      <c r="B115" s="168"/>
      <c r="C115" s="324"/>
      <c r="D115" s="154"/>
      <c r="E115" s="168"/>
      <c r="F115" s="324"/>
      <c r="G115" s="154"/>
      <c r="H115" s="168"/>
      <c r="I115" s="324"/>
      <c r="J115" s="154"/>
      <c r="K115" s="168"/>
      <c r="L115" s="324"/>
      <c r="M115" s="330"/>
      <c r="N115" s="331"/>
      <c r="O115" s="332"/>
      <c r="P115" s="330"/>
      <c r="Q115" s="331"/>
      <c r="R115" s="332"/>
      <c r="S115" s="330"/>
      <c r="T115" s="331"/>
      <c r="U115" s="332"/>
      <c r="V115" s="154"/>
      <c r="W115" s="331"/>
      <c r="X115" s="324"/>
      <c r="Y115" s="160"/>
      <c r="Z115" s="170"/>
      <c r="AA115" s="326"/>
      <c r="AB115" s="17"/>
      <c r="AC115" s="17"/>
      <c r="AD115" s="17"/>
      <c r="AE115" s="17"/>
    </row>
    <row r="116">
      <c r="A116" s="154"/>
      <c r="B116" s="168"/>
      <c r="C116" s="324"/>
      <c r="D116" s="154"/>
      <c r="E116" s="168"/>
      <c r="F116" s="324"/>
      <c r="G116" s="154"/>
      <c r="H116" s="168"/>
      <c r="I116" s="324"/>
      <c r="J116" s="154"/>
      <c r="K116" s="168"/>
      <c r="L116" s="324"/>
      <c r="M116" s="330"/>
      <c r="N116" s="331"/>
      <c r="O116" s="332"/>
      <c r="P116" s="330"/>
      <c r="Q116" s="331"/>
      <c r="R116" s="332"/>
      <c r="S116" s="330"/>
      <c r="T116" s="331"/>
      <c r="U116" s="332"/>
      <c r="V116" s="154"/>
      <c r="W116" s="331"/>
      <c r="X116" s="324"/>
      <c r="Y116" s="160"/>
      <c r="Z116" s="170"/>
      <c r="AA116" s="326"/>
      <c r="AB116" s="17"/>
      <c r="AC116" s="17"/>
      <c r="AD116" s="17"/>
      <c r="AE116" s="17"/>
    </row>
    <row r="117">
      <c r="A117" s="154"/>
      <c r="B117" s="168"/>
      <c r="C117" s="324"/>
      <c r="D117" s="154"/>
      <c r="E117" s="168"/>
      <c r="F117" s="324"/>
      <c r="G117" s="154"/>
      <c r="H117" s="168"/>
      <c r="I117" s="324"/>
      <c r="J117" s="154"/>
      <c r="K117" s="168"/>
      <c r="L117" s="324"/>
      <c r="M117" s="330"/>
      <c r="N117" s="331"/>
      <c r="O117" s="332"/>
      <c r="P117" s="330"/>
      <c r="Q117" s="331"/>
      <c r="R117" s="332"/>
      <c r="S117" s="330"/>
      <c r="T117" s="331"/>
      <c r="U117" s="332"/>
      <c r="V117" s="154"/>
      <c r="W117" s="331"/>
      <c r="X117" s="324"/>
      <c r="Y117" s="160"/>
      <c r="Z117" s="170"/>
      <c r="AA117" s="326"/>
      <c r="AB117" s="17"/>
      <c r="AC117" s="17"/>
      <c r="AD117" s="17"/>
      <c r="AE117" s="17"/>
    </row>
    <row r="118">
      <c r="A118" s="154"/>
      <c r="B118" s="168"/>
      <c r="C118" s="324"/>
      <c r="D118" s="154"/>
      <c r="E118" s="168"/>
      <c r="F118" s="324"/>
      <c r="G118" s="154"/>
      <c r="H118" s="168"/>
      <c r="I118" s="324"/>
      <c r="J118" s="154"/>
      <c r="K118" s="168"/>
      <c r="L118" s="324"/>
      <c r="M118" s="330"/>
      <c r="N118" s="331"/>
      <c r="O118" s="332"/>
      <c r="P118" s="330"/>
      <c r="Q118" s="331"/>
      <c r="R118" s="332"/>
      <c r="S118" s="330"/>
      <c r="T118" s="331"/>
      <c r="U118" s="332"/>
      <c r="V118" s="154"/>
      <c r="W118" s="331"/>
      <c r="X118" s="324"/>
      <c r="Y118" s="160"/>
      <c r="Z118" s="170"/>
      <c r="AA118" s="326"/>
      <c r="AB118" s="17"/>
      <c r="AC118" s="17"/>
      <c r="AD118" s="17"/>
      <c r="AE118" s="17"/>
    </row>
    <row r="119">
      <c r="A119" s="154"/>
      <c r="B119" s="168"/>
      <c r="C119" s="324"/>
      <c r="D119" s="154"/>
      <c r="E119" s="168"/>
      <c r="F119" s="324"/>
      <c r="G119" s="154"/>
      <c r="H119" s="168"/>
      <c r="I119" s="324"/>
      <c r="J119" s="154"/>
      <c r="K119" s="168"/>
      <c r="L119" s="324"/>
      <c r="M119" s="330"/>
      <c r="N119" s="331"/>
      <c r="O119" s="332"/>
      <c r="P119" s="330"/>
      <c r="Q119" s="331"/>
      <c r="R119" s="332"/>
      <c r="S119" s="330"/>
      <c r="T119" s="331"/>
      <c r="U119" s="332"/>
      <c r="V119" s="154"/>
      <c r="W119" s="331"/>
      <c r="X119" s="324"/>
      <c r="Y119" s="160"/>
      <c r="Z119" s="170"/>
      <c r="AA119" s="326"/>
      <c r="AB119" s="17"/>
      <c r="AC119" s="17"/>
      <c r="AD119" s="17"/>
      <c r="AE119" s="17"/>
    </row>
    <row r="120">
      <c r="A120" s="154"/>
      <c r="B120" s="168"/>
      <c r="C120" s="324"/>
      <c r="D120" s="154"/>
      <c r="E120" s="168"/>
      <c r="F120" s="324"/>
      <c r="G120" s="154"/>
      <c r="H120" s="168"/>
      <c r="I120" s="324"/>
      <c r="J120" s="154"/>
      <c r="K120" s="168"/>
      <c r="L120" s="324"/>
      <c r="M120" s="330"/>
      <c r="N120" s="331"/>
      <c r="O120" s="332"/>
      <c r="P120" s="330"/>
      <c r="Q120" s="331"/>
      <c r="R120" s="332"/>
      <c r="S120" s="330"/>
      <c r="T120" s="331"/>
      <c r="U120" s="332"/>
      <c r="V120" s="154"/>
      <c r="W120" s="331"/>
      <c r="X120" s="324"/>
      <c r="Y120" s="160"/>
      <c r="Z120" s="170"/>
      <c r="AA120" s="326"/>
      <c r="AB120" s="17"/>
      <c r="AC120" s="17"/>
      <c r="AD120" s="17"/>
      <c r="AE120" s="17"/>
    </row>
    <row r="121">
      <c r="A121" s="154"/>
      <c r="B121" s="168"/>
      <c r="C121" s="324"/>
      <c r="D121" s="154"/>
      <c r="E121" s="168"/>
      <c r="F121" s="324"/>
      <c r="G121" s="154"/>
      <c r="H121" s="168"/>
      <c r="I121" s="324"/>
      <c r="J121" s="154"/>
      <c r="K121" s="168"/>
      <c r="L121" s="324"/>
      <c r="M121" s="330"/>
      <c r="N121" s="331"/>
      <c r="O121" s="332"/>
      <c r="P121" s="330"/>
      <c r="Q121" s="331"/>
      <c r="R121" s="332"/>
      <c r="S121" s="330"/>
      <c r="T121" s="331"/>
      <c r="U121" s="332"/>
      <c r="V121" s="154"/>
      <c r="W121" s="331"/>
      <c r="X121" s="324"/>
      <c r="Y121" s="160"/>
      <c r="Z121" s="170"/>
      <c r="AA121" s="326"/>
      <c r="AB121" s="17"/>
      <c r="AC121" s="17"/>
      <c r="AD121" s="17"/>
      <c r="AE121" s="17"/>
    </row>
    <row r="122">
      <c r="A122" s="154"/>
      <c r="B122" s="168"/>
      <c r="C122" s="324"/>
      <c r="D122" s="154"/>
      <c r="E122" s="168"/>
      <c r="F122" s="324"/>
      <c r="G122" s="154"/>
      <c r="H122" s="168"/>
      <c r="I122" s="324"/>
      <c r="J122" s="154"/>
      <c r="K122" s="168"/>
      <c r="L122" s="324"/>
      <c r="M122" s="330"/>
      <c r="N122" s="331"/>
      <c r="O122" s="332"/>
      <c r="P122" s="330"/>
      <c r="Q122" s="331"/>
      <c r="R122" s="332"/>
      <c r="S122" s="330"/>
      <c r="T122" s="331"/>
      <c r="U122" s="332"/>
      <c r="V122" s="154"/>
      <c r="W122" s="331"/>
      <c r="X122" s="324"/>
      <c r="Y122" s="160"/>
      <c r="Z122" s="170"/>
      <c r="AA122" s="326"/>
      <c r="AB122" s="17"/>
      <c r="AC122" s="17"/>
      <c r="AD122" s="17"/>
      <c r="AE122" s="17"/>
    </row>
    <row r="123">
      <c r="A123" s="154"/>
      <c r="B123" s="168"/>
      <c r="C123" s="324"/>
      <c r="D123" s="154"/>
      <c r="E123" s="168"/>
      <c r="F123" s="324"/>
      <c r="G123" s="154"/>
      <c r="H123" s="168"/>
      <c r="I123" s="324"/>
      <c r="J123" s="154"/>
      <c r="K123" s="168"/>
      <c r="L123" s="324"/>
      <c r="M123" s="330"/>
      <c r="N123" s="331"/>
      <c r="O123" s="332"/>
      <c r="P123" s="330"/>
      <c r="Q123" s="331"/>
      <c r="R123" s="332"/>
      <c r="S123" s="330"/>
      <c r="T123" s="331"/>
      <c r="U123" s="332"/>
      <c r="V123" s="154"/>
      <c r="W123" s="331"/>
      <c r="X123" s="324"/>
      <c r="Y123" s="160"/>
      <c r="Z123" s="170"/>
      <c r="AA123" s="326"/>
      <c r="AB123" s="17"/>
      <c r="AC123" s="17"/>
      <c r="AD123" s="17"/>
      <c r="AE123" s="17"/>
    </row>
    <row r="124">
      <c r="A124" s="154"/>
      <c r="B124" s="168"/>
      <c r="C124" s="324"/>
      <c r="D124" s="154"/>
      <c r="E124" s="168"/>
      <c r="F124" s="324"/>
      <c r="G124" s="154"/>
      <c r="H124" s="168"/>
      <c r="I124" s="324"/>
      <c r="J124" s="154"/>
      <c r="K124" s="168"/>
      <c r="L124" s="324"/>
      <c r="M124" s="330"/>
      <c r="N124" s="331"/>
      <c r="O124" s="332"/>
      <c r="P124" s="330"/>
      <c r="Q124" s="331"/>
      <c r="R124" s="332"/>
      <c r="S124" s="330"/>
      <c r="T124" s="331"/>
      <c r="U124" s="332"/>
      <c r="V124" s="154"/>
      <c r="W124" s="331"/>
      <c r="X124" s="324"/>
      <c r="Y124" s="160"/>
      <c r="Z124" s="170"/>
      <c r="AA124" s="326"/>
      <c r="AB124" s="17"/>
      <c r="AC124" s="17"/>
      <c r="AD124" s="17"/>
      <c r="AE124" s="17"/>
    </row>
    <row r="125">
      <c r="A125" s="154"/>
      <c r="B125" s="168"/>
      <c r="C125" s="324"/>
      <c r="D125" s="154"/>
      <c r="E125" s="168"/>
      <c r="F125" s="324"/>
      <c r="G125" s="154"/>
      <c r="H125" s="168"/>
      <c r="I125" s="324"/>
      <c r="J125" s="154"/>
      <c r="K125" s="168"/>
      <c r="L125" s="324"/>
      <c r="M125" s="330"/>
      <c r="N125" s="331"/>
      <c r="O125" s="332"/>
      <c r="P125" s="330"/>
      <c r="Q125" s="331"/>
      <c r="R125" s="332"/>
      <c r="S125" s="330"/>
      <c r="T125" s="331"/>
      <c r="U125" s="332"/>
      <c r="V125" s="154"/>
      <c r="W125" s="331"/>
      <c r="X125" s="324"/>
      <c r="Y125" s="160"/>
      <c r="Z125" s="170"/>
      <c r="AA125" s="326"/>
      <c r="AB125" s="17"/>
      <c r="AC125" s="17"/>
      <c r="AD125" s="17"/>
      <c r="AE125" s="17"/>
    </row>
    <row r="126">
      <c r="A126" s="154"/>
      <c r="B126" s="168"/>
      <c r="C126" s="324"/>
      <c r="D126" s="154"/>
      <c r="E126" s="168"/>
      <c r="F126" s="324"/>
      <c r="G126" s="154"/>
      <c r="H126" s="168"/>
      <c r="I126" s="324"/>
      <c r="J126" s="154"/>
      <c r="K126" s="168"/>
      <c r="L126" s="324"/>
      <c r="M126" s="330"/>
      <c r="N126" s="331"/>
      <c r="O126" s="332"/>
      <c r="P126" s="330"/>
      <c r="Q126" s="331"/>
      <c r="R126" s="332"/>
      <c r="S126" s="330"/>
      <c r="T126" s="331"/>
      <c r="U126" s="332"/>
      <c r="V126" s="154"/>
      <c r="W126" s="331"/>
      <c r="X126" s="324"/>
      <c r="Y126" s="160"/>
      <c r="Z126" s="170"/>
      <c r="AA126" s="326"/>
      <c r="AB126" s="17"/>
      <c r="AC126" s="17"/>
      <c r="AD126" s="17"/>
      <c r="AE126" s="17"/>
    </row>
    <row r="127">
      <c r="A127" s="154"/>
      <c r="B127" s="168"/>
      <c r="C127" s="324"/>
      <c r="D127" s="154"/>
      <c r="E127" s="168"/>
      <c r="F127" s="324"/>
      <c r="G127" s="154"/>
      <c r="H127" s="168"/>
      <c r="I127" s="324"/>
      <c r="J127" s="154"/>
      <c r="K127" s="168"/>
      <c r="L127" s="324"/>
      <c r="M127" s="330"/>
      <c r="N127" s="331"/>
      <c r="O127" s="332"/>
      <c r="P127" s="330"/>
      <c r="Q127" s="331"/>
      <c r="R127" s="332"/>
      <c r="S127" s="330"/>
      <c r="T127" s="331"/>
      <c r="U127" s="332"/>
      <c r="V127" s="154"/>
      <c r="W127" s="331"/>
      <c r="X127" s="324"/>
      <c r="Y127" s="160"/>
      <c r="Z127" s="170"/>
      <c r="AA127" s="326"/>
      <c r="AB127" s="17"/>
      <c r="AC127" s="17"/>
      <c r="AD127" s="17"/>
      <c r="AE127" s="17"/>
    </row>
    <row r="128">
      <c r="A128" s="154"/>
      <c r="B128" s="168"/>
      <c r="C128" s="324"/>
      <c r="D128" s="154"/>
      <c r="E128" s="168"/>
      <c r="F128" s="324"/>
      <c r="G128" s="154"/>
      <c r="H128" s="168"/>
      <c r="I128" s="324"/>
      <c r="J128" s="154"/>
      <c r="K128" s="168"/>
      <c r="L128" s="324"/>
      <c r="M128" s="330"/>
      <c r="N128" s="331"/>
      <c r="O128" s="332"/>
      <c r="P128" s="330"/>
      <c r="Q128" s="331"/>
      <c r="R128" s="332"/>
      <c r="S128" s="330"/>
      <c r="T128" s="331"/>
      <c r="U128" s="332"/>
      <c r="V128" s="154"/>
      <c r="W128" s="331"/>
      <c r="X128" s="324"/>
      <c r="Y128" s="160"/>
      <c r="Z128" s="170"/>
      <c r="AA128" s="326"/>
      <c r="AB128" s="17"/>
      <c r="AC128" s="17"/>
      <c r="AD128" s="17"/>
      <c r="AE128" s="17"/>
    </row>
    <row r="129">
      <c r="A129" s="154"/>
      <c r="B129" s="168"/>
      <c r="C129" s="324"/>
      <c r="D129" s="154"/>
      <c r="E129" s="168"/>
      <c r="F129" s="324"/>
      <c r="G129" s="154"/>
      <c r="H129" s="168"/>
      <c r="I129" s="324"/>
      <c r="J129" s="154"/>
      <c r="K129" s="168"/>
      <c r="L129" s="324"/>
      <c r="M129" s="330"/>
      <c r="N129" s="331"/>
      <c r="O129" s="332"/>
      <c r="P129" s="330"/>
      <c r="Q129" s="331"/>
      <c r="R129" s="332"/>
      <c r="S129" s="330"/>
      <c r="T129" s="331"/>
      <c r="U129" s="332"/>
      <c r="V129" s="154"/>
      <c r="W129" s="331"/>
      <c r="X129" s="324"/>
      <c r="Y129" s="160"/>
      <c r="Z129" s="170"/>
      <c r="AA129" s="326"/>
      <c r="AB129" s="17"/>
      <c r="AC129" s="17"/>
      <c r="AD129" s="17"/>
      <c r="AE129" s="17"/>
    </row>
    <row r="130">
      <c r="A130" s="154"/>
      <c r="B130" s="168"/>
      <c r="C130" s="324"/>
      <c r="D130" s="154"/>
      <c r="E130" s="168"/>
      <c r="F130" s="324"/>
      <c r="G130" s="154"/>
      <c r="H130" s="168"/>
      <c r="I130" s="324"/>
      <c r="J130" s="154"/>
      <c r="K130" s="168"/>
      <c r="L130" s="324"/>
      <c r="M130" s="330"/>
      <c r="N130" s="331"/>
      <c r="O130" s="332"/>
      <c r="P130" s="330"/>
      <c r="Q130" s="331"/>
      <c r="R130" s="332"/>
      <c r="S130" s="330"/>
      <c r="T130" s="331"/>
      <c r="U130" s="332"/>
      <c r="V130" s="154"/>
      <c r="W130" s="331"/>
      <c r="X130" s="324"/>
      <c r="Y130" s="160"/>
      <c r="Z130" s="170"/>
      <c r="AA130" s="326"/>
      <c r="AB130" s="17"/>
      <c r="AC130" s="17"/>
      <c r="AD130" s="17"/>
      <c r="AE130" s="17"/>
    </row>
    <row r="131">
      <c r="A131" s="154"/>
      <c r="B131" s="168"/>
      <c r="C131" s="324"/>
      <c r="D131" s="154"/>
      <c r="E131" s="168"/>
      <c r="F131" s="324"/>
      <c r="G131" s="154"/>
      <c r="H131" s="168"/>
      <c r="I131" s="324"/>
      <c r="J131" s="154"/>
      <c r="K131" s="168"/>
      <c r="L131" s="324"/>
      <c r="M131" s="330"/>
      <c r="N131" s="331"/>
      <c r="O131" s="332"/>
      <c r="P131" s="330"/>
      <c r="Q131" s="331"/>
      <c r="R131" s="332"/>
      <c r="S131" s="330"/>
      <c r="T131" s="331"/>
      <c r="U131" s="332"/>
      <c r="V131" s="154"/>
      <c r="W131" s="331"/>
      <c r="X131" s="324"/>
      <c r="Y131" s="205"/>
      <c r="Z131" s="205"/>
      <c r="AA131" s="205"/>
      <c r="AB131" s="17"/>
      <c r="AC131" s="17"/>
      <c r="AD131" s="17"/>
      <c r="AE131" s="17"/>
    </row>
    <row r="132">
      <c r="A132" s="154"/>
      <c r="B132" s="168"/>
      <c r="C132" s="324"/>
      <c r="D132" s="154"/>
      <c r="E132" s="168"/>
      <c r="F132" s="324"/>
      <c r="G132" s="154"/>
      <c r="H132" s="168"/>
      <c r="I132" s="324"/>
      <c r="J132" s="154"/>
      <c r="K132" s="168"/>
      <c r="L132" s="324"/>
      <c r="M132" s="330"/>
      <c r="N132" s="331"/>
      <c r="O132" s="332"/>
      <c r="P132" s="330"/>
      <c r="Q132" s="331"/>
      <c r="R132" s="332"/>
      <c r="S132" s="330"/>
      <c r="T132" s="331"/>
      <c r="U132" s="332"/>
      <c r="V132" s="154"/>
      <c r="W132" s="331"/>
      <c r="X132" s="324"/>
      <c r="Y132" s="205"/>
      <c r="Z132" s="205"/>
      <c r="AA132" s="205"/>
      <c r="AB132" s="17"/>
      <c r="AC132" s="17"/>
      <c r="AD132" s="17"/>
      <c r="AE132" s="17"/>
    </row>
    <row r="133">
      <c r="A133" s="154"/>
      <c r="B133" s="168"/>
      <c r="C133" s="324"/>
      <c r="D133" s="154"/>
      <c r="E133" s="168"/>
      <c r="F133" s="324"/>
      <c r="G133" s="154"/>
      <c r="H133" s="168"/>
      <c r="I133" s="324"/>
      <c r="J133" s="154"/>
      <c r="K133" s="168"/>
      <c r="L133" s="324"/>
      <c r="M133" s="330"/>
      <c r="N133" s="331"/>
      <c r="O133" s="332"/>
      <c r="P133" s="330"/>
      <c r="Q133" s="331"/>
      <c r="R133" s="332"/>
      <c r="S133" s="330"/>
      <c r="T133" s="331"/>
      <c r="U133" s="332"/>
      <c r="V133" s="154"/>
      <c r="W133" s="331"/>
      <c r="X133" s="324"/>
      <c r="Y133" s="205"/>
      <c r="Z133" s="205"/>
      <c r="AA133" s="205"/>
      <c r="AB133" s="17"/>
      <c r="AC133" s="17"/>
      <c r="AD133" s="17"/>
      <c r="AE133" s="17"/>
    </row>
    <row r="134">
      <c r="A134" s="154"/>
      <c r="B134" s="168"/>
      <c r="C134" s="324"/>
      <c r="D134" s="154"/>
      <c r="E134" s="168"/>
      <c r="F134" s="324"/>
      <c r="G134" s="154"/>
      <c r="H134" s="168"/>
      <c r="I134" s="324"/>
      <c r="J134" s="154"/>
      <c r="K134" s="168"/>
      <c r="L134" s="324"/>
      <c r="M134" s="330"/>
      <c r="N134" s="331"/>
      <c r="O134" s="332"/>
      <c r="P134" s="330"/>
      <c r="Q134" s="331"/>
      <c r="R134" s="332"/>
      <c r="S134" s="330"/>
      <c r="T134" s="331"/>
      <c r="U134" s="332"/>
      <c r="V134" s="154"/>
      <c r="W134" s="331"/>
      <c r="X134" s="324"/>
      <c r="Y134" s="205"/>
      <c r="Z134" s="205"/>
      <c r="AA134" s="205"/>
      <c r="AB134" s="17"/>
      <c r="AC134" s="17"/>
      <c r="AD134" s="17"/>
      <c r="AE134" s="17"/>
    </row>
    <row r="135">
      <c r="A135" s="154"/>
      <c r="B135" s="168"/>
      <c r="C135" s="324"/>
      <c r="D135" s="154"/>
      <c r="E135" s="168"/>
      <c r="F135" s="324"/>
      <c r="G135" s="154"/>
      <c r="H135" s="168"/>
      <c r="I135" s="324"/>
      <c r="J135" s="154"/>
      <c r="K135" s="168"/>
      <c r="L135" s="324"/>
      <c r="M135" s="330"/>
      <c r="N135" s="331"/>
      <c r="O135" s="332"/>
      <c r="P135" s="330"/>
      <c r="Q135" s="331"/>
      <c r="R135" s="332"/>
      <c r="S135" s="330"/>
      <c r="T135" s="331"/>
      <c r="U135" s="332"/>
      <c r="V135" s="154"/>
      <c r="W135" s="331"/>
      <c r="X135" s="324"/>
      <c r="Y135" s="205"/>
      <c r="Z135" s="205"/>
      <c r="AA135" s="205"/>
      <c r="AB135" s="17"/>
      <c r="AC135" s="17"/>
      <c r="AD135" s="17"/>
      <c r="AE135" s="17"/>
    </row>
    <row r="136">
      <c r="A136" s="154"/>
      <c r="B136" s="168"/>
      <c r="C136" s="324"/>
      <c r="D136" s="154"/>
      <c r="E136" s="168"/>
      <c r="F136" s="324"/>
      <c r="G136" s="154"/>
      <c r="H136" s="168"/>
      <c r="I136" s="324"/>
      <c r="J136" s="154"/>
      <c r="K136" s="168"/>
      <c r="L136" s="324"/>
      <c r="M136" s="330"/>
      <c r="N136" s="331"/>
      <c r="O136" s="332"/>
      <c r="P136" s="330"/>
      <c r="Q136" s="331"/>
      <c r="R136" s="332"/>
      <c r="S136" s="330"/>
      <c r="T136" s="331"/>
      <c r="U136" s="332"/>
      <c r="V136" s="154"/>
      <c r="W136" s="331"/>
      <c r="X136" s="324"/>
      <c r="Y136" s="205"/>
      <c r="Z136" s="205"/>
      <c r="AA136" s="205"/>
      <c r="AB136" s="17"/>
      <c r="AC136" s="17"/>
      <c r="AD136" s="17"/>
      <c r="AE136" s="17"/>
    </row>
    <row r="137">
      <c r="A137" s="154"/>
      <c r="B137" s="168"/>
      <c r="C137" s="324"/>
      <c r="D137" s="154"/>
      <c r="E137" s="168"/>
      <c r="F137" s="324"/>
      <c r="G137" s="154"/>
      <c r="H137" s="168"/>
      <c r="I137" s="324"/>
      <c r="J137" s="154"/>
      <c r="K137" s="168"/>
      <c r="L137" s="324"/>
      <c r="M137" s="330"/>
      <c r="N137" s="331"/>
      <c r="O137" s="332"/>
      <c r="P137" s="330"/>
      <c r="Q137" s="331"/>
      <c r="R137" s="332"/>
      <c r="S137" s="330"/>
      <c r="T137" s="331"/>
      <c r="U137" s="332"/>
      <c r="V137" s="154"/>
      <c r="W137" s="331"/>
      <c r="X137" s="324"/>
      <c r="Y137" s="205"/>
      <c r="Z137" s="205"/>
      <c r="AA137" s="205"/>
      <c r="AB137" s="17"/>
      <c r="AC137" s="17"/>
      <c r="AD137" s="17"/>
      <c r="AE137" s="17"/>
    </row>
    <row r="138">
      <c r="A138" s="154"/>
      <c r="B138" s="168"/>
      <c r="C138" s="324"/>
      <c r="D138" s="154"/>
      <c r="E138" s="168"/>
      <c r="F138" s="324"/>
      <c r="G138" s="154"/>
      <c r="H138" s="168"/>
      <c r="I138" s="324"/>
      <c r="J138" s="154"/>
      <c r="K138" s="168"/>
      <c r="L138" s="324"/>
      <c r="M138" s="330"/>
      <c r="N138" s="331"/>
      <c r="O138" s="332"/>
      <c r="P138" s="330"/>
      <c r="Q138" s="331"/>
      <c r="R138" s="332"/>
      <c r="S138" s="330"/>
      <c r="T138" s="331"/>
      <c r="U138" s="332"/>
      <c r="V138" s="154"/>
      <c r="W138" s="331"/>
      <c r="X138" s="324"/>
      <c r="Y138" s="205"/>
      <c r="Z138" s="205"/>
      <c r="AA138" s="205"/>
      <c r="AB138" s="17"/>
      <c r="AC138" s="17"/>
      <c r="AD138" s="17"/>
      <c r="AE138" s="17"/>
    </row>
    <row r="139">
      <c r="A139" s="154"/>
      <c r="B139" s="168"/>
      <c r="C139" s="324"/>
      <c r="D139" s="154"/>
      <c r="E139" s="168"/>
      <c r="F139" s="324"/>
      <c r="G139" s="154"/>
      <c r="H139" s="168"/>
      <c r="I139" s="324"/>
      <c r="J139" s="154"/>
      <c r="K139" s="168"/>
      <c r="L139" s="324"/>
      <c r="M139" s="330"/>
      <c r="N139" s="331"/>
      <c r="O139" s="332"/>
      <c r="P139" s="330"/>
      <c r="Q139" s="331"/>
      <c r="R139" s="332"/>
      <c r="S139" s="330"/>
      <c r="T139" s="331"/>
      <c r="U139" s="332"/>
      <c r="V139" s="154"/>
      <c r="W139" s="331"/>
      <c r="X139" s="324"/>
      <c r="Y139" s="205"/>
      <c r="Z139" s="205"/>
      <c r="AA139" s="205"/>
      <c r="AB139" s="17"/>
      <c r="AC139" s="17"/>
      <c r="AD139" s="17"/>
      <c r="AE139" s="17"/>
    </row>
    <row r="140">
      <c r="A140" s="154"/>
      <c r="B140" s="168"/>
      <c r="C140" s="324"/>
      <c r="D140" s="154"/>
      <c r="E140" s="168"/>
      <c r="F140" s="324"/>
      <c r="G140" s="154"/>
      <c r="H140" s="168"/>
      <c r="I140" s="324"/>
      <c r="J140" s="154"/>
      <c r="K140" s="168"/>
      <c r="L140" s="324"/>
      <c r="M140" s="330"/>
      <c r="N140" s="331"/>
      <c r="O140" s="332"/>
      <c r="P140" s="330"/>
      <c r="Q140" s="331"/>
      <c r="R140" s="332"/>
      <c r="S140" s="330"/>
      <c r="T140" s="331"/>
      <c r="U140" s="332"/>
      <c r="V140" s="154"/>
      <c r="W140" s="331"/>
      <c r="X140" s="324"/>
      <c r="Y140" s="205"/>
      <c r="Z140" s="205"/>
      <c r="AA140" s="205"/>
      <c r="AB140" s="17"/>
      <c r="AC140" s="17"/>
      <c r="AD140" s="17"/>
      <c r="AE140" s="17"/>
    </row>
    <row r="141">
      <c r="A141" s="154"/>
      <c r="B141" s="168"/>
      <c r="C141" s="324"/>
      <c r="D141" s="154"/>
      <c r="E141" s="168"/>
      <c r="F141" s="324"/>
      <c r="G141" s="154"/>
      <c r="H141" s="168"/>
      <c r="I141" s="324"/>
      <c r="J141" s="154"/>
      <c r="K141" s="168"/>
      <c r="L141" s="324"/>
      <c r="M141" s="330"/>
      <c r="N141" s="331"/>
      <c r="O141" s="332"/>
      <c r="P141" s="330"/>
      <c r="Q141" s="331"/>
      <c r="R141" s="332"/>
      <c r="S141" s="330"/>
      <c r="T141" s="331"/>
      <c r="U141" s="332"/>
      <c r="V141" s="154"/>
      <c r="W141" s="331"/>
      <c r="X141" s="324"/>
      <c r="Y141" s="205"/>
      <c r="Z141" s="205"/>
      <c r="AA141" s="205"/>
      <c r="AB141" s="17"/>
      <c r="AC141" s="17"/>
      <c r="AD141" s="17"/>
      <c r="AE141" s="17"/>
    </row>
    <row r="142">
      <c r="A142" s="154"/>
      <c r="B142" s="168"/>
      <c r="C142" s="324"/>
      <c r="D142" s="154"/>
      <c r="E142" s="168"/>
      <c r="F142" s="324"/>
      <c r="G142" s="154"/>
      <c r="H142" s="168"/>
      <c r="I142" s="324"/>
      <c r="J142" s="154"/>
      <c r="K142" s="168"/>
      <c r="L142" s="324"/>
      <c r="M142" s="330"/>
      <c r="N142" s="331"/>
      <c r="O142" s="332"/>
      <c r="P142" s="330"/>
      <c r="Q142" s="331"/>
      <c r="R142" s="332"/>
      <c r="S142" s="330"/>
      <c r="T142" s="331"/>
      <c r="U142" s="332"/>
      <c r="V142" s="154"/>
      <c r="W142" s="331"/>
      <c r="X142" s="324"/>
      <c r="Y142" s="205"/>
      <c r="Z142" s="205"/>
      <c r="AA142" s="205"/>
      <c r="AB142" s="17"/>
      <c r="AC142" s="17"/>
      <c r="AD142" s="17"/>
      <c r="AE142" s="17"/>
    </row>
    <row r="143">
      <c r="A143" s="154"/>
      <c r="B143" s="168"/>
      <c r="C143" s="324"/>
      <c r="D143" s="154"/>
      <c r="E143" s="168"/>
      <c r="F143" s="324"/>
      <c r="G143" s="154"/>
      <c r="H143" s="168"/>
      <c r="I143" s="324"/>
      <c r="J143" s="154"/>
      <c r="K143" s="168"/>
      <c r="L143" s="324"/>
      <c r="M143" s="330"/>
      <c r="N143" s="331"/>
      <c r="O143" s="332"/>
      <c r="P143" s="330"/>
      <c r="Q143" s="331"/>
      <c r="R143" s="332"/>
      <c r="S143" s="330"/>
      <c r="T143" s="331"/>
      <c r="U143" s="332"/>
      <c r="V143" s="154"/>
      <c r="W143" s="331"/>
      <c r="X143" s="324"/>
      <c r="Y143" s="205"/>
      <c r="Z143" s="205"/>
      <c r="AA143" s="205"/>
      <c r="AB143" s="17"/>
      <c r="AC143" s="17"/>
      <c r="AD143" s="17"/>
      <c r="AE143" s="17"/>
    </row>
    <row r="144">
      <c r="A144" s="154"/>
      <c r="B144" s="168"/>
      <c r="C144" s="324"/>
      <c r="D144" s="154"/>
      <c r="E144" s="168"/>
      <c r="F144" s="324"/>
      <c r="G144" s="154"/>
      <c r="H144" s="168"/>
      <c r="I144" s="324"/>
      <c r="J144" s="154"/>
      <c r="K144" s="168"/>
      <c r="L144" s="324"/>
      <c r="M144" s="330"/>
      <c r="N144" s="331"/>
      <c r="O144" s="332"/>
      <c r="P144" s="330"/>
      <c r="Q144" s="331"/>
      <c r="R144" s="332"/>
      <c r="S144" s="330"/>
      <c r="T144" s="331"/>
      <c r="U144" s="332"/>
      <c r="V144" s="154"/>
      <c r="W144" s="331"/>
      <c r="X144" s="324"/>
      <c r="Y144" s="205"/>
      <c r="Z144" s="205"/>
      <c r="AA144" s="205"/>
      <c r="AB144" s="17"/>
      <c r="AC144" s="17"/>
      <c r="AD144" s="17"/>
      <c r="AE144" s="17"/>
    </row>
    <row r="145">
      <c r="A145" s="154"/>
      <c r="B145" s="168"/>
      <c r="C145" s="324"/>
      <c r="D145" s="154"/>
      <c r="E145" s="168"/>
      <c r="F145" s="324"/>
      <c r="G145" s="154"/>
      <c r="H145" s="168"/>
      <c r="I145" s="324"/>
      <c r="J145" s="154"/>
      <c r="K145" s="168"/>
      <c r="L145" s="324"/>
      <c r="M145" s="330"/>
      <c r="N145" s="331"/>
      <c r="O145" s="332"/>
      <c r="P145" s="330"/>
      <c r="Q145" s="331"/>
      <c r="R145" s="332"/>
      <c r="S145" s="330"/>
      <c r="T145" s="331"/>
      <c r="U145" s="332"/>
      <c r="V145" s="154"/>
      <c r="W145" s="331"/>
      <c r="X145" s="324"/>
      <c r="Y145" s="205"/>
      <c r="Z145" s="205"/>
      <c r="AA145" s="205"/>
      <c r="AB145" s="17"/>
      <c r="AC145" s="17"/>
      <c r="AD145" s="17"/>
      <c r="AE145" s="17"/>
    </row>
    <row r="146">
      <c r="A146" s="154"/>
      <c r="B146" s="168"/>
      <c r="C146" s="324"/>
      <c r="D146" s="154"/>
      <c r="E146" s="168"/>
      <c r="F146" s="324"/>
      <c r="G146" s="154"/>
      <c r="H146" s="168"/>
      <c r="I146" s="324"/>
      <c r="J146" s="154"/>
      <c r="K146" s="168"/>
      <c r="L146" s="324"/>
      <c r="M146" s="330"/>
      <c r="N146" s="331"/>
      <c r="O146" s="332"/>
      <c r="P146" s="330"/>
      <c r="Q146" s="331"/>
      <c r="R146" s="332"/>
      <c r="S146" s="330"/>
      <c r="T146" s="331"/>
      <c r="U146" s="332"/>
      <c r="V146" s="154"/>
      <c r="W146" s="331"/>
      <c r="X146" s="324"/>
      <c r="Y146" s="205"/>
      <c r="Z146" s="205"/>
      <c r="AA146" s="205"/>
      <c r="AB146" s="17"/>
      <c r="AC146" s="17"/>
      <c r="AD146" s="17"/>
      <c r="AE146" s="17"/>
    </row>
    <row r="147">
      <c r="A147" s="154"/>
      <c r="B147" s="168"/>
      <c r="C147" s="324"/>
      <c r="D147" s="154"/>
      <c r="E147" s="168"/>
      <c r="F147" s="324"/>
      <c r="G147" s="154"/>
      <c r="H147" s="168"/>
      <c r="I147" s="324"/>
      <c r="J147" s="154"/>
      <c r="K147" s="168"/>
      <c r="L147" s="324"/>
      <c r="M147" s="330"/>
      <c r="N147" s="331"/>
      <c r="O147" s="332"/>
      <c r="P147" s="330"/>
      <c r="Q147" s="331"/>
      <c r="R147" s="332"/>
      <c r="S147" s="330"/>
      <c r="T147" s="331"/>
      <c r="U147" s="332"/>
      <c r="V147" s="154"/>
      <c r="W147" s="331"/>
      <c r="X147" s="324"/>
      <c r="Y147" s="205"/>
      <c r="Z147" s="205"/>
      <c r="AA147" s="205"/>
      <c r="AB147" s="17"/>
      <c r="AC147" s="17"/>
      <c r="AD147" s="17"/>
      <c r="AE147" s="17"/>
    </row>
    <row r="148">
      <c r="A148" s="154"/>
      <c r="B148" s="168"/>
      <c r="C148" s="324"/>
      <c r="D148" s="154"/>
      <c r="E148" s="168"/>
      <c r="F148" s="324"/>
      <c r="G148" s="154"/>
      <c r="H148" s="168"/>
      <c r="I148" s="324"/>
      <c r="J148" s="154"/>
      <c r="K148" s="168"/>
      <c r="L148" s="324"/>
      <c r="M148" s="330"/>
      <c r="N148" s="331"/>
      <c r="O148" s="332"/>
      <c r="P148" s="330"/>
      <c r="Q148" s="331"/>
      <c r="R148" s="332"/>
      <c r="S148" s="330"/>
      <c r="T148" s="331"/>
      <c r="U148" s="332"/>
      <c r="V148" s="154"/>
      <c r="W148" s="331"/>
      <c r="X148" s="324"/>
      <c r="Y148" s="205"/>
      <c r="Z148" s="205"/>
      <c r="AA148" s="205"/>
      <c r="AB148" s="17"/>
      <c r="AC148" s="17"/>
      <c r="AD148" s="17"/>
      <c r="AE148" s="17"/>
    </row>
    <row r="149">
      <c r="A149" s="154"/>
      <c r="B149" s="168"/>
      <c r="C149" s="324"/>
      <c r="D149" s="154"/>
      <c r="E149" s="168"/>
      <c r="F149" s="324"/>
      <c r="G149" s="154"/>
      <c r="H149" s="168"/>
      <c r="I149" s="324"/>
      <c r="J149" s="154"/>
      <c r="K149" s="168"/>
      <c r="L149" s="324"/>
      <c r="M149" s="330"/>
      <c r="N149" s="331"/>
      <c r="O149" s="332"/>
      <c r="P149" s="330"/>
      <c r="Q149" s="331"/>
      <c r="R149" s="332"/>
      <c r="S149" s="330"/>
      <c r="T149" s="331"/>
      <c r="U149" s="332"/>
      <c r="V149" s="154"/>
      <c r="W149" s="331"/>
      <c r="X149" s="324"/>
      <c r="Y149" s="205"/>
      <c r="Z149" s="205"/>
      <c r="AA149" s="205"/>
      <c r="AB149" s="17"/>
      <c r="AC149" s="17"/>
      <c r="AD149" s="17"/>
      <c r="AE149" s="17"/>
    </row>
    <row r="150">
      <c r="A150" s="154"/>
      <c r="B150" s="168"/>
      <c r="C150" s="324"/>
      <c r="D150" s="154"/>
      <c r="E150" s="168"/>
      <c r="F150" s="324"/>
      <c r="G150" s="154"/>
      <c r="H150" s="168"/>
      <c r="I150" s="324"/>
      <c r="J150" s="154"/>
      <c r="K150" s="168"/>
      <c r="L150" s="324"/>
      <c r="M150" s="330"/>
      <c r="N150" s="331"/>
      <c r="O150" s="332"/>
      <c r="P150" s="330"/>
      <c r="Q150" s="331"/>
      <c r="R150" s="332"/>
      <c r="S150" s="330"/>
      <c r="T150" s="331"/>
      <c r="U150" s="332"/>
      <c r="V150" s="154"/>
      <c r="W150" s="331"/>
      <c r="X150" s="324"/>
      <c r="Y150" s="205"/>
      <c r="Z150" s="205"/>
      <c r="AA150" s="205"/>
      <c r="AB150" s="17"/>
      <c r="AC150" s="17"/>
      <c r="AD150" s="17"/>
      <c r="AE150" s="17"/>
    </row>
    <row r="151">
      <c r="A151" s="154"/>
      <c r="B151" s="168"/>
      <c r="C151" s="324"/>
      <c r="D151" s="154"/>
      <c r="E151" s="168"/>
      <c r="F151" s="324"/>
      <c r="G151" s="154"/>
      <c r="H151" s="168"/>
      <c r="I151" s="324"/>
      <c r="J151" s="154"/>
      <c r="K151" s="168"/>
      <c r="L151" s="324"/>
      <c r="M151" s="330"/>
      <c r="N151" s="331"/>
      <c r="O151" s="332"/>
      <c r="P151" s="330"/>
      <c r="Q151" s="331"/>
      <c r="R151" s="332"/>
      <c r="S151" s="330"/>
      <c r="T151" s="331"/>
      <c r="U151" s="332"/>
      <c r="V151" s="154"/>
      <c r="W151" s="331"/>
      <c r="X151" s="324"/>
      <c r="Y151" s="205"/>
      <c r="Z151" s="205"/>
      <c r="AA151" s="205"/>
      <c r="AB151" s="17"/>
      <c r="AC151" s="17"/>
      <c r="AD151" s="17"/>
      <c r="AE151" s="17"/>
    </row>
    <row r="152">
      <c r="A152" s="154"/>
      <c r="B152" s="168"/>
      <c r="C152" s="324"/>
      <c r="D152" s="154"/>
      <c r="E152" s="168"/>
      <c r="F152" s="324"/>
      <c r="G152" s="154"/>
      <c r="H152" s="168"/>
      <c r="I152" s="324"/>
      <c r="J152" s="154"/>
      <c r="K152" s="168"/>
      <c r="L152" s="324"/>
      <c r="M152" s="330"/>
      <c r="N152" s="331"/>
      <c r="O152" s="332"/>
      <c r="P152" s="330"/>
      <c r="Q152" s="331"/>
      <c r="R152" s="332"/>
      <c r="S152" s="330"/>
      <c r="T152" s="331"/>
      <c r="U152" s="332"/>
      <c r="V152" s="154"/>
      <c r="W152" s="331"/>
      <c r="X152" s="324"/>
      <c r="Y152" s="205"/>
      <c r="Z152" s="205"/>
      <c r="AA152" s="205"/>
      <c r="AB152" s="17"/>
      <c r="AC152" s="17"/>
      <c r="AD152" s="17"/>
      <c r="AE152" s="17"/>
    </row>
    <row r="153">
      <c r="A153" s="154"/>
      <c r="B153" s="168"/>
      <c r="C153" s="324"/>
      <c r="D153" s="154"/>
      <c r="E153" s="168"/>
      <c r="F153" s="324"/>
      <c r="G153" s="154"/>
      <c r="H153" s="168"/>
      <c r="I153" s="324"/>
      <c r="J153" s="154"/>
      <c r="K153" s="168"/>
      <c r="L153" s="324"/>
      <c r="M153" s="330"/>
      <c r="N153" s="331"/>
      <c r="O153" s="332"/>
      <c r="P153" s="330"/>
      <c r="Q153" s="331"/>
      <c r="R153" s="332"/>
      <c r="S153" s="330"/>
      <c r="T153" s="331"/>
      <c r="U153" s="332"/>
      <c r="V153" s="154"/>
      <c r="W153" s="331"/>
      <c r="X153" s="324"/>
      <c r="Y153" s="205"/>
      <c r="Z153" s="205"/>
      <c r="AA153" s="205"/>
      <c r="AB153" s="17"/>
      <c r="AC153" s="17"/>
      <c r="AD153" s="17"/>
      <c r="AE153" s="17"/>
    </row>
    <row r="154">
      <c r="A154" s="154"/>
      <c r="B154" s="168"/>
      <c r="C154" s="324"/>
      <c r="D154" s="154"/>
      <c r="E154" s="168"/>
      <c r="F154" s="324"/>
      <c r="G154" s="154"/>
      <c r="H154" s="168"/>
      <c r="I154" s="324"/>
      <c r="J154" s="154"/>
      <c r="K154" s="168"/>
      <c r="L154" s="324"/>
      <c r="M154" s="330"/>
      <c r="N154" s="331"/>
      <c r="O154" s="332"/>
      <c r="P154" s="330"/>
      <c r="Q154" s="331"/>
      <c r="R154" s="332"/>
      <c r="S154" s="330"/>
      <c r="T154" s="331"/>
      <c r="U154" s="332"/>
      <c r="V154" s="154"/>
      <c r="W154" s="331"/>
      <c r="X154" s="324"/>
      <c r="Y154" s="205"/>
      <c r="Z154" s="205"/>
      <c r="AA154" s="205"/>
      <c r="AB154" s="17"/>
      <c r="AC154" s="17"/>
      <c r="AD154" s="17"/>
      <c r="AE154" s="17"/>
    </row>
    <row r="155">
      <c r="A155" s="154"/>
      <c r="B155" s="168"/>
      <c r="C155" s="324"/>
      <c r="D155" s="154"/>
      <c r="E155" s="168"/>
      <c r="F155" s="324"/>
      <c r="G155" s="154"/>
      <c r="H155" s="168"/>
      <c r="I155" s="324"/>
      <c r="J155" s="154"/>
      <c r="K155" s="168"/>
      <c r="L155" s="324"/>
      <c r="M155" s="330"/>
      <c r="N155" s="331"/>
      <c r="O155" s="332"/>
      <c r="P155" s="330"/>
      <c r="Q155" s="331"/>
      <c r="R155" s="332"/>
      <c r="S155" s="330"/>
      <c r="T155" s="331"/>
      <c r="U155" s="332"/>
      <c r="V155" s="154"/>
      <c r="W155" s="331"/>
      <c r="X155" s="324"/>
      <c r="Y155" s="205"/>
      <c r="Z155" s="205"/>
      <c r="AA155" s="205"/>
      <c r="AB155" s="17"/>
      <c r="AC155" s="17"/>
      <c r="AD155" s="17"/>
      <c r="AE155" s="17"/>
    </row>
    <row r="156">
      <c r="A156" s="154"/>
      <c r="B156" s="168"/>
      <c r="C156" s="324"/>
      <c r="D156" s="154"/>
      <c r="E156" s="168"/>
      <c r="F156" s="324"/>
      <c r="G156" s="154"/>
      <c r="H156" s="168"/>
      <c r="I156" s="324"/>
      <c r="J156" s="154"/>
      <c r="K156" s="168"/>
      <c r="L156" s="324"/>
      <c r="M156" s="330"/>
      <c r="N156" s="331"/>
      <c r="O156" s="332"/>
      <c r="P156" s="330"/>
      <c r="Q156" s="331"/>
      <c r="R156" s="332"/>
      <c r="S156" s="330"/>
      <c r="T156" s="331"/>
      <c r="U156" s="332"/>
      <c r="V156" s="154"/>
      <c r="W156" s="331"/>
      <c r="X156" s="324"/>
      <c r="Y156" s="205"/>
      <c r="Z156" s="205"/>
      <c r="AA156" s="205"/>
      <c r="AB156" s="17"/>
      <c r="AC156" s="17"/>
      <c r="AD156" s="17"/>
      <c r="AE156" s="17"/>
    </row>
    <row r="157">
      <c r="A157" s="154"/>
      <c r="B157" s="168"/>
      <c r="C157" s="324"/>
      <c r="D157" s="154"/>
      <c r="E157" s="168"/>
      <c r="F157" s="324"/>
      <c r="G157" s="154"/>
      <c r="H157" s="168"/>
      <c r="I157" s="324"/>
      <c r="J157" s="154"/>
      <c r="K157" s="168"/>
      <c r="L157" s="324"/>
      <c r="M157" s="330"/>
      <c r="N157" s="331"/>
      <c r="O157" s="332"/>
      <c r="P157" s="330"/>
      <c r="Q157" s="331"/>
      <c r="R157" s="332"/>
      <c r="S157" s="330"/>
      <c r="T157" s="331"/>
      <c r="U157" s="332"/>
      <c r="V157" s="154"/>
      <c r="W157" s="331"/>
      <c r="X157" s="324"/>
      <c r="Y157" s="205"/>
      <c r="Z157" s="205"/>
      <c r="AA157" s="205"/>
      <c r="AB157" s="17"/>
      <c r="AC157" s="17"/>
      <c r="AD157" s="17"/>
      <c r="AE157" s="17"/>
    </row>
    <row r="158">
      <c r="A158" s="154"/>
      <c r="B158" s="168"/>
      <c r="C158" s="324"/>
      <c r="D158" s="154"/>
      <c r="E158" s="168"/>
      <c r="F158" s="324"/>
      <c r="G158" s="154"/>
      <c r="H158" s="168"/>
      <c r="I158" s="324"/>
      <c r="J158" s="154"/>
      <c r="K158" s="168"/>
      <c r="L158" s="324"/>
      <c r="M158" s="330"/>
      <c r="N158" s="331"/>
      <c r="O158" s="332"/>
      <c r="P158" s="330"/>
      <c r="Q158" s="331"/>
      <c r="R158" s="332"/>
      <c r="S158" s="330"/>
      <c r="T158" s="331"/>
      <c r="U158" s="332"/>
      <c r="V158" s="154"/>
      <c r="W158" s="331"/>
      <c r="X158" s="324"/>
      <c r="Y158" s="205"/>
      <c r="Z158" s="205"/>
      <c r="AA158" s="205"/>
      <c r="AB158" s="17"/>
      <c r="AC158" s="17"/>
      <c r="AD158" s="17"/>
      <c r="AE158" s="17"/>
    </row>
    <row r="159">
      <c r="A159" s="154"/>
      <c r="B159" s="168"/>
      <c r="C159" s="324"/>
      <c r="D159" s="154"/>
      <c r="E159" s="168"/>
      <c r="F159" s="324"/>
      <c r="G159" s="154"/>
      <c r="H159" s="168"/>
      <c r="I159" s="324"/>
      <c r="J159" s="154"/>
      <c r="K159" s="168"/>
      <c r="L159" s="324"/>
      <c r="M159" s="330"/>
      <c r="N159" s="331"/>
      <c r="O159" s="332"/>
      <c r="P159" s="330"/>
      <c r="Q159" s="331"/>
      <c r="R159" s="332"/>
      <c r="S159" s="330"/>
      <c r="T159" s="331"/>
      <c r="U159" s="332"/>
      <c r="V159" s="154"/>
      <c r="W159" s="331"/>
      <c r="X159" s="324"/>
      <c r="Y159" s="205"/>
      <c r="Z159" s="205"/>
      <c r="AA159" s="205"/>
      <c r="AB159" s="17"/>
      <c r="AC159" s="17"/>
      <c r="AD159" s="17"/>
      <c r="AE159" s="17"/>
    </row>
    <row r="160">
      <c r="A160" s="154"/>
      <c r="B160" s="168"/>
      <c r="C160" s="324"/>
      <c r="D160" s="154"/>
      <c r="E160" s="168"/>
      <c r="F160" s="324"/>
      <c r="G160" s="154"/>
      <c r="H160" s="168"/>
      <c r="I160" s="324"/>
      <c r="J160" s="154"/>
      <c r="K160" s="168"/>
      <c r="L160" s="324"/>
      <c r="M160" s="330"/>
      <c r="N160" s="331"/>
      <c r="O160" s="332"/>
      <c r="P160" s="330"/>
      <c r="Q160" s="331"/>
      <c r="R160" s="332"/>
      <c r="S160" s="330"/>
      <c r="T160" s="331"/>
      <c r="U160" s="332"/>
      <c r="V160" s="154"/>
      <c r="W160" s="331"/>
      <c r="X160" s="324"/>
      <c r="Y160" s="205"/>
      <c r="Z160" s="205"/>
      <c r="AA160" s="205"/>
      <c r="AB160" s="17"/>
      <c r="AC160" s="17"/>
      <c r="AD160" s="17"/>
      <c r="AE160" s="17"/>
    </row>
    <row r="161">
      <c r="A161" s="154"/>
      <c r="B161" s="168"/>
      <c r="C161" s="324"/>
      <c r="D161" s="154"/>
      <c r="E161" s="168"/>
      <c r="F161" s="324"/>
      <c r="G161" s="154"/>
      <c r="H161" s="168"/>
      <c r="I161" s="324"/>
      <c r="J161" s="154"/>
      <c r="K161" s="168"/>
      <c r="L161" s="324"/>
      <c r="M161" s="330"/>
      <c r="N161" s="331"/>
      <c r="O161" s="332"/>
      <c r="P161" s="330"/>
      <c r="Q161" s="331"/>
      <c r="R161" s="332"/>
      <c r="S161" s="330"/>
      <c r="T161" s="331"/>
      <c r="U161" s="332"/>
      <c r="V161" s="154"/>
      <c r="W161" s="331"/>
      <c r="X161" s="324"/>
      <c r="Y161" s="205"/>
      <c r="Z161" s="205"/>
      <c r="AA161" s="205"/>
      <c r="AB161" s="17"/>
      <c r="AC161" s="17"/>
      <c r="AD161" s="17"/>
      <c r="AE161" s="17"/>
    </row>
    <row r="162">
      <c r="A162" s="154"/>
      <c r="B162" s="168"/>
      <c r="C162" s="324"/>
      <c r="D162" s="154"/>
      <c r="E162" s="168"/>
      <c r="F162" s="324"/>
      <c r="G162" s="154"/>
      <c r="H162" s="168"/>
      <c r="I162" s="324"/>
      <c r="J162" s="154"/>
      <c r="K162" s="168"/>
      <c r="L162" s="324"/>
      <c r="M162" s="330"/>
      <c r="N162" s="331"/>
      <c r="O162" s="332"/>
      <c r="P162" s="330"/>
      <c r="Q162" s="331"/>
      <c r="R162" s="332"/>
      <c r="S162" s="330"/>
      <c r="T162" s="331"/>
      <c r="U162" s="332"/>
      <c r="V162" s="154"/>
      <c r="W162" s="331"/>
      <c r="X162" s="324"/>
      <c r="Y162" s="205"/>
      <c r="Z162" s="205"/>
      <c r="AA162" s="205"/>
      <c r="AB162" s="17"/>
      <c r="AC162" s="17"/>
      <c r="AD162" s="17"/>
      <c r="AE162" s="17"/>
    </row>
    <row r="163">
      <c r="A163" s="154"/>
      <c r="B163" s="168"/>
      <c r="C163" s="324"/>
      <c r="D163" s="154"/>
      <c r="E163" s="168"/>
      <c r="F163" s="324"/>
      <c r="G163" s="154"/>
      <c r="H163" s="168"/>
      <c r="I163" s="324"/>
      <c r="J163" s="154"/>
      <c r="K163" s="168"/>
      <c r="L163" s="324"/>
      <c r="M163" s="330"/>
      <c r="N163" s="331"/>
      <c r="O163" s="332"/>
      <c r="P163" s="330"/>
      <c r="Q163" s="331"/>
      <c r="R163" s="332"/>
      <c r="S163" s="330"/>
      <c r="T163" s="331"/>
      <c r="U163" s="332"/>
      <c r="V163" s="154"/>
      <c r="W163" s="331"/>
      <c r="X163" s="324"/>
      <c r="Y163" s="205"/>
      <c r="Z163" s="205"/>
      <c r="AA163" s="205"/>
      <c r="AB163" s="17"/>
      <c r="AC163" s="17"/>
      <c r="AD163" s="17"/>
      <c r="AE163" s="17"/>
    </row>
    <row r="164">
      <c r="A164" s="154"/>
      <c r="B164" s="168"/>
      <c r="C164" s="324"/>
      <c r="D164" s="154"/>
      <c r="E164" s="168"/>
      <c r="F164" s="324"/>
      <c r="G164" s="154"/>
      <c r="H164" s="168"/>
      <c r="I164" s="324"/>
      <c r="J164" s="154"/>
      <c r="K164" s="168"/>
      <c r="L164" s="324"/>
      <c r="M164" s="330"/>
      <c r="N164" s="331"/>
      <c r="O164" s="332"/>
      <c r="P164" s="330"/>
      <c r="Q164" s="331"/>
      <c r="R164" s="332"/>
      <c r="S164" s="330"/>
      <c r="T164" s="331"/>
      <c r="U164" s="332"/>
      <c r="V164" s="154"/>
      <c r="W164" s="331"/>
      <c r="X164" s="324"/>
      <c r="Y164" s="205"/>
      <c r="Z164" s="205"/>
      <c r="AA164" s="205"/>
      <c r="AB164" s="17"/>
      <c r="AC164" s="17"/>
      <c r="AD164" s="17"/>
      <c r="AE164" s="17"/>
    </row>
    <row r="165">
      <c r="A165" s="154"/>
      <c r="B165" s="168"/>
      <c r="C165" s="324"/>
      <c r="D165" s="154"/>
      <c r="E165" s="168"/>
      <c r="F165" s="324"/>
      <c r="G165" s="154"/>
      <c r="H165" s="168"/>
      <c r="I165" s="324"/>
      <c r="J165" s="154"/>
      <c r="K165" s="168"/>
      <c r="L165" s="324"/>
      <c r="M165" s="330"/>
      <c r="N165" s="331"/>
      <c r="O165" s="332"/>
      <c r="P165" s="330"/>
      <c r="Q165" s="331"/>
      <c r="R165" s="332"/>
      <c r="S165" s="330"/>
      <c r="T165" s="331"/>
      <c r="U165" s="332"/>
      <c r="V165" s="154"/>
      <c r="W165" s="331"/>
      <c r="X165" s="324"/>
      <c r="Y165" s="205"/>
      <c r="Z165" s="205"/>
      <c r="AA165" s="205"/>
      <c r="AB165" s="17"/>
      <c r="AC165" s="17"/>
      <c r="AD165" s="17"/>
      <c r="AE165" s="17"/>
    </row>
    <row r="166">
      <c r="A166" s="154"/>
      <c r="B166" s="168"/>
      <c r="C166" s="324"/>
      <c r="D166" s="154"/>
      <c r="E166" s="168"/>
      <c r="F166" s="324"/>
      <c r="G166" s="154"/>
      <c r="H166" s="168"/>
      <c r="I166" s="324"/>
      <c r="J166" s="154"/>
      <c r="K166" s="168"/>
      <c r="L166" s="324"/>
      <c r="M166" s="330"/>
      <c r="N166" s="331"/>
      <c r="O166" s="332"/>
      <c r="P166" s="330"/>
      <c r="Q166" s="331"/>
      <c r="R166" s="332"/>
      <c r="S166" s="330"/>
      <c r="T166" s="331"/>
      <c r="U166" s="332"/>
      <c r="V166" s="154"/>
      <c r="W166" s="331"/>
      <c r="X166" s="324"/>
      <c r="Y166" s="205"/>
      <c r="Z166" s="205"/>
      <c r="AA166" s="205"/>
      <c r="AB166" s="17"/>
      <c r="AC166" s="17"/>
      <c r="AD166" s="17"/>
      <c r="AE166" s="17"/>
    </row>
    <row r="167">
      <c r="A167" s="154"/>
      <c r="B167" s="168"/>
      <c r="C167" s="324"/>
      <c r="D167" s="154"/>
      <c r="E167" s="168"/>
      <c r="F167" s="324"/>
      <c r="G167" s="154"/>
      <c r="H167" s="168"/>
      <c r="I167" s="324"/>
      <c r="J167" s="154"/>
      <c r="K167" s="168"/>
      <c r="L167" s="324"/>
      <c r="M167" s="330"/>
      <c r="N167" s="331"/>
      <c r="O167" s="332"/>
      <c r="P167" s="330"/>
      <c r="Q167" s="331"/>
      <c r="R167" s="332"/>
      <c r="S167" s="330"/>
      <c r="T167" s="331"/>
      <c r="U167" s="332"/>
      <c r="V167" s="154"/>
      <c r="W167" s="331"/>
      <c r="X167" s="324"/>
      <c r="Y167" s="205"/>
      <c r="Z167" s="205"/>
      <c r="AA167" s="205"/>
      <c r="AB167" s="17"/>
      <c r="AC167" s="17"/>
      <c r="AD167" s="17"/>
      <c r="AE167" s="17"/>
    </row>
    <row r="168">
      <c r="A168" s="154"/>
      <c r="B168" s="168"/>
      <c r="C168" s="324"/>
      <c r="D168" s="154"/>
      <c r="E168" s="168"/>
      <c r="F168" s="324"/>
      <c r="G168" s="154"/>
      <c r="H168" s="168"/>
      <c r="I168" s="324"/>
      <c r="J168" s="154"/>
      <c r="K168" s="168"/>
      <c r="L168" s="324"/>
      <c r="M168" s="330"/>
      <c r="N168" s="331"/>
      <c r="O168" s="332"/>
      <c r="P168" s="330"/>
      <c r="Q168" s="331"/>
      <c r="R168" s="332"/>
      <c r="S168" s="330"/>
      <c r="T168" s="331"/>
      <c r="U168" s="332"/>
      <c r="V168" s="154"/>
      <c r="W168" s="331"/>
      <c r="X168" s="324"/>
      <c r="Y168" s="205"/>
      <c r="Z168" s="205"/>
      <c r="AA168" s="205"/>
      <c r="AB168" s="17"/>
      <c r="AC168" s="17"/>
      <c r="AD168" s="17"/>
      <c r="AE168" s="17"/>
    </row>
    <row r="169">
      <c r="A169" s="154"/>
      <c r="B169" s="168"/>
      <c r="C169" s="324"/>
      <c r="D169" s="154"/>
      <c r="E169" s="168"/>
      <c r="F169" s="324"/>
      <c r="G169" s="154"/>
      <c r="H169" s="168"/>
      <c r="I169" s="324"/>
      <c r="J169" s="154"/>
      <c r="K169" s="168"/>
      <c r="L169" s="324"/>
      <c r="M169" s="330"/>
      <c r="N169" s="331"/>
      <c r="O169" s="332"/>
      <c r="P169" s="330"/>
      <c r="Q169" s="331"/>
      <c r="R169" s="332"/>
      <c r="S169" s="330"/>
      <c r="T169" s="331"/>
      <c r="U169" s="332"/>
      <c r="V169" s="154"/>
      <c r="W169" s="331"/>
      <c r="X169" s="324"/>
      <c r="Y169" s="205"/>
      <c r="Z169" s="205"/>
      <c r="AA169" s="205"/>
      <c r="AB169" s="17"/>
      <c r="AC169" s="17"/>
      <c r="AD169" s="17"/>
      <c r="AE169" s="17"/>
    </row>
    <row r="170">
      <c r="A170" s="154"/>
      <c r="B170" s="168"/>
      <c r="C170" s="324"/>
      <c r="D170" s="154"/>
      <c r="E170" s="168"/>
      <c r="F170" s="324"/>
      <c r="G170" s="154"/>
      <c r="H170" s="168"/>
      <c r="I170" s="324"/>
      <c r="J170" s="154"/>
      <c r="K170" s="168"/>
      <c r="L170" s="324"/>
      <c r="M170" s="330"/>
      <c r="N170" s="331"/>
      <c r="O170" s="332"/>
      <c r="P170" s="330"/>
      <c r="Q170" s="331"/>
      <c r="R170" s="332"/>
      <c r="S170" s="330"/>
      <c r="T170" s="331"/>
      <c r="U170" s="332"/>
      <c r="V170" s="154"/>
      <c r="W170" s="331"/>
      <c r="X170" s="324"/>
      <c r="Y170" s="205"/>
      <c r="Z170" s="205"/>
      <c r="AA170" s="205"/>
      <c r="AB170" s="17"/>
      <c r="AC170" s="17"/>
      <c r="AD170" s="17"/>
      <c r="AE170" s="17"/>
    </row>
    <row r="171">
      <c r="A171" s="154"/>
      <c r="B171" s="168"/>
      <c r="C171" s="324"/>
      <c r="D171" s="154"/>
      <c r="E171" s="168"/>
      <c r="F171" s="324"/>
      <c r="G171" s="154"/>
      <c r="H171" s="168"/>
      <c r="I171" s="324"/>
      <c r="J171" s="154"/>
      <c r="K171" s="168"/>
      <c r="L171" s="324"/>
      <c r="M171" s="330"/>
      <c r="N171" s="331"/>
      <c r="O171" s="332"/>
      <c r="P171" s="330"/>
      <c r="Q171" s="331"/>
      <c r="R171" s="332"/>
      <c r="S171" s="330"/>
      <c r="T171" s="331"/>
      <c r="U171" s="332"/>
      <c r="V171" s="154"/>
      <c r="W171" s="331"/>
      <c r="X171" s="324"/>
      <c r="Y171" s="205"/>
      <c r="Z171" s="205"/>
      <c r="AA171" s="205"/>
      <c r="AB171" s="17"/>
      <c r="AC171" s="17"/>
      <c r="AD171" s="17"/>
      <c r="AE171" s="17"/>
    </row>
    <row r="172">
      <c r="A172" s="154"/>
      <c r="B172" s="168"/>
      <c r="C172" s="324"/>
      <c r="D172" s="154"/>
      <c r="E172" s="168"/>
      <c r="F172" s="324"/>
      <c r="G172" s="154"/>
      <c r="H172" s="168"/>
      <c r="I172" s="324"/>
      <c r="J172" s="154"/>
      <c r="K172" s="168"/>
      <c r="L172" s="324"/>
      <c r="M172" s="330"/>
      <c r="N172" s="331"/>
      <c r="O172" s="332"/>
      <c r="P172" s="330"/>
      <c r="Q172" s="331"/>
      <c r="R172" s="332"/>
      <c r="S172" s="330"/>
      <c r="T172" s="331"/>
      <c r="U172" s="332"/>
      <c r="V172" s="154"/>
      <c r="W172" s="331"/>
      <c r="X172" s="324"/>
      <c r="Y172" s="205"/>
      <c r="Z172" s="205"/>
      <c r="AA172" s="205"/>
      <c r="AB172" s="17"/>
      <c r="AC172" s="17"/>
      <c r="AD172" s="17"/>
      <c r="AE172" s="17"/>
    </row>
    <row r="173">
      <c r="A173" s="154"/>
      <c r="B173" s="168"/>
      <c r="C173" s="324"/>
      <c r="D173" s="154"/>
      <c r="E173" s="168"/>
      <c r="F173" s="324"/>
      <c r="G173" s="154"/>
      <c r="H173" s="168"/>
      <c r="I173" s="324"/>
      <c r="J173" s="154"/>
      <c r="K173" s="168"/>
      <c r="L173" s="324"/>
      <c r="M173" s="330"/>
      <c r="N173" s="331"/>
      <c r="O173" s="332"/>
      <c r="P173" s="330"/>
      <c r="Q173" s="331"/>
      <c r="R173" s="332"/>
      <c r="S173" s="330"/>
      <c r="T173" s="331"/>
      <c r="U173" s="332"/>
      <c r="V173" s="154"/>
      <c r="W173" s="331"/>
      <c r="X173" s="324"/>
      <c r="Y173" s="205"/>
      <c r="Z173" s="205"/>
      <c r="AA173" s="205"/>
      <c r="AB173" s="17"/>
      <c r="AC173" s="17"/>
      <c r="AD173" s="17"/>
      <c r="AE173" s="17"/>
    </row>
    <row r="174">
      <c r="A174" s="154"/>
      <c r="B174" s="168"/>
      <c r="C174" s="324"/>
      <c r="D174" s="154"/>
      <c r="E174" s="168"/>
      <c r="F174" s="324"/>
      <c r="G174" s="154"/>
      <c r="H174" s="168"/>
      <c r="I174" s="324"/>
      <c r="J174" s="154"/>
      <c r="K174" s="168"/>
      <c r="L174" s="324"/>
      <c r="M174" s="330"/>
      <c r="N174" s="331"/>
      <c r="O174" s="332"/>
      <c r="P174" s="330"/>
      <c r="Q174" s="331"/>
      <c r="R174" s="332"/>
      <c r="S174" s="330"/>
      <c r="T174" s="331"/>
      <c r="U174" s="332"/>
      <c r="V174" s="154"/>
      <c r="W174" s="331"/>
      <c r="X174" s="324"/>
      <c r="Y174" s="205"/>
      <c r="Z174" s="205"/>
      <c r="AA174" s="205"/>
      <c r="AB174" s="17"/>
      <c r="AC174" s="17"/>
      <c r="AD174" s="17"/>
      <c r="AE174" s="17"/>
    </row>
    <row r="175">
      <c r="A175" s="154"/>
      <c r="B175" s="168"/>
      <c r="C175" s="324"/>
      <c r="D175" s="154"/>
      <c r="E175" s="168"/>
      <c r="F175" s="324"/>
      <c r="G175" s="154"/>
      <c r="H175" s="168"/>
      <c r="I175" s="324"/>
      <c r="J175" s="154"/>
      <c r="K175" s="168"/>
      <c r="L175" s="324"/>
      <c r="M175" s="330"/>
      <c r="N175" s="331"/>
      <c r="O175" s="332"/>
      <c r="P175" s="330"/>
      <c r="Q175" s="331"/>
      <c r="R175" s="332"/>
      <c r="S175" s="330"/>
      <c r="T175" s="331"/>
      <c r="U175" s="332"/>
      <c r="V175" s="154"/>
      <c r="W175" s="331"/>
      <c r="X175" s="324"/>
      <c r="Y175" s="205"/>
      <c r="Z175" s="205"/>
      <c r="AA175" s="205"/>
      <c r="AB175" s="17"/>
      <c r="AC175" s="17"/>
      <c r="AD175" s="17"/>
      <c r="AE175" s="17"/>
    </row>
    <row r="176">
      <c r="A176" s="154"/>
      <c r="B176" s="168"/>
      <c r="C176" s="324"/>
      <c r="D176" s="154"/>
      <c r="E176" s="168"/>
      <c r="F176" s="324"/>
      <c r="G176" s="154"/>
      <c r="H176" s="168"/>
      <c r="I176" s="324"/>
      <c r="J176" s="154"/>
      <c r="K176" s="168"/>
      <c r="L176" s="324"/>
      <c r="M176" s="330"/>
      <c r="N176" s="331"/>
      <c r="O176" s="332"/>
      <c r="P176" s="330"/>
      <c r="Q176" s="331"/>
      <c r="R176" s="332"/>
      <c r="S176" s="330"/>
      <c r="T176" s="331"/>
      <c r="U176" s="332"/>
      <c r="V176" s="154"/>
      <c r="W176" s="331"/>
      <c r="X176" s="324"/>
      <c r="Y176" s="205"/>
      <c r="Z176" s="205"/>
      <c r="AA176" s="205"/>
      <c r="AB176" s="17"/>
      <c r="AC176" s="17"/>
      <c r="AD176" s="17"/>
      <c r="AE176" s="17"/>
    </row>
    <row r="177">
      <c r="A177" s="154"/>
      <c r="B177" s="168"/>
      <c r="C177" s="324"/>
      <c r="D177" s="154"/>
      <c r="E177" s="168"/>
      <c r="F177" s="324"/>
      <c r="G177" s="154"/>
      <c r="H177" s="168"/>
      <c r="I177" s="324"/>
      <c r="J177" s="154"/>
      <c r="K177" s="168"/>
      <c r="L177" s="324"/>
      <c r="M177" s="330"/>
      <c r="N177" s="331"/>
      <c r="O177" s="332"/>
      <c r="P177" s="330"/>
      <c r="Q177" s="331"/>
      <c r="R177" s="332"/>
      <c r="S177" s="330"/>
      <c r="T177" s="331"/>
      <c r="U177" s="332"/>
      <c r="V177" s="154"/>
      <c r="W177" s="331"/>
      <c r="X177" s="324"/>
      <c r="Y177" s="205"/>
      <c r="Z177" s="205"/>
      <c r="AA177" s="205"/>
      <c r="AB177" s="17"/>
      <c r="AC177" s="17"/>
      <c r="AD177" s="17"/>
      <c r="AE177" s="17"/>
    </row>
    <row r="178">
      <c r="A178" s="154"/>
      <c r="B178" s="168"/>
      <c r="C178" s="324"/>
      <c r="D178" s="154"/>
      <c r="E178" s="168"/>
      <c r="F178" s="324"/>
      <c r="G178" s="154"/>
      <c r="H178" s="168"/>
      <c r="I178" s="324"/>
      <c r="J178" s="154"/>
      <c r="K178" s="168"/>
      <c r="L178" s="324"/>
      <c r="M178" s="330"/>
      <c r="N178" s="331"/>
      <c r="O178" s="332"/>
      <c r="P178" s="330"/>
      <c r="Q178" s="331"/>
      <c r="R178" s="332"/>
      <c r="S178" s="330"/>
      <c r="T178" s="331"/>
      <c r="U178" s="332"/>
      <c r="V178" s="154"/>
      <c r="W178" s="331"/>
      <c r="X178" s="324"/>
      <c r="Y178" s="205"/>
      <c r="Z178" s="205"/>
      <c r="AA178" s="205"/>
      <c r="AB178" s="17"/>
      <c r="AC178" s="17"/>
      <c r="AD178" s="17"/>
      <c r="AE178" s="17"/>
    </row>
    <row r="179">
      <c r="A179" s="154"/>
      <c r="B179" s="168"/>
      <c r="C179" s="324"/>
      <c r="D179" s="154"/>
      <c r="E179" s="168"/>
      <c r="F179" s="324"/>
      <c r="G179" s="154"/>
      <c r="H179" s="168"/>
      <c r="I179" s="324"/>
      <c r="J179" s="154"/>
      <c r="K179" s="168"/>
      <c r="L179" s="324"/>
      <c r="M179" s="330"/>
      <c r="N179" s="331"/>
      <c r="O179" s="332"/>
      <c r="P179" s="330"/>
      <c r="Q179" s="331"/>
      <c r="R179" s="332"/>
      <c r="S179" s="330"/>
      <c r="T179" s="331"/>
      <c r="U179" s="332"/>
      <c r="V179" s="154"/>
      <c r="W179" s="331"/>
      <c r="X179" s="324"/>
      <c r="Y179" s="205"/>
      <c r="Z179" s="205"/>
      <c r="AA179" s="205"/>
      <c r="AB179" s="17"/>
      <c r="AC179" s="17"/>
      <c r="AD179" s="17"/>
      <c r="AE179" s="17"/>
    </row>
    <row r="180">
      <c r="A180" s="154"/>
      <c r="B180" s="168"/>
      <c r="C180" s="324"/>
      <c r="D180" s="154"/>
      <c r="E180" s="168"/>
      <c r="F180" s="324"/>
      <c r="G180" s="154"/>
      <c r="H180" s="168"/>
      <c r="I180" s="324"/>
      <c r="J180" s="154"/>
      <c r="K180" s="168"/>
      <c r="L180" s="324"/>
      <c r="M180" s="330"/>
      <c r="N180" s="331"/>
      <c r="O180" s="332"/>
      <c r="P180" s="330"/>
      <c r="Q180" s="331"/>
      <c r="R180" s="332"/>
      <c r="S180" s="330"/>
      <c r="T180" s="331"/>
      <c r="U180" s="332"/>
      <c r="V180" s="154"/>
      <c r="W180" s="331"/>
      <c r="X180" s="324"/>
      <c r="Y180" s="205"/>
      <c r="Z180" s="205"/>
      <c r="AA180" s="205"/>
      <c r="AB180" s="17"/>
      <c r="AC180" s="17"/>
      <c r="AD180" s="17"/>
      <c r="AE180" s="17"/>
    </row>
    <row r="181">
      <c r="A181" s="154"/>
      <c r="B181" s="168"/>
      <c r="C181" s="324"/>
      <c r="D181" s="154"/>
      <c r="E181" s="168"/>
      <c r="F181" s="324"/>
      <c r="G181" s="154"/>
      <c r="H181" s="168"/>
      <c r="I181" s="324"/>
      <c r="J181" s="154"/>
      <c r="K181" s="168"/>
      <c r="L181" s="324"/>
      <c r="M181" s="330"/>
      <c r="N181" s="331"/>
      <c r="O181" s="332"/>
      <c r="P181" s="330"/>
      <c r="Q181" s="331"/>
      <c r="R181" s="332"/>
      <c r="S181" s="330"/>
      <c r="T181" s="331"/>
      <c r="U181" s="332"/>
      <c r="V181" s="154"/>
      <c r="W181" s="331"/>
      <c r="X181" s="324"/>
      <c r="Y181" s="205"/>
      <c r="Z181" s="205"/>
      <c r="AA181" s="205"/>
      <c r="AB181" s="17"/>
      <c r="AC181" s="17"/>
      <c r="AD181" s="17"/>
      <c r="AE181" s="17"/>
    </row>
    <row r="182">
      <c r="A182" s="154"/>
      <c r="B182" s="168"/>
      <c r="C182" s="324"/>
      <c r="D182" s="154"/>
      <c r="E182" s="168"/>
      <c r="F182" s="324"/>
      <c r="G182" s="154"/>
      <c r="H182" s="168"/>
      <c r="I182" s="324"/>
      <c r="J182" s="154"/>
      <c r="K182" s="168"/>
      <c r="L182" s="324"/>
      <c r="M182" s="330"/>
      <c r="N182" s="331"/>
      <c r="O182" s="332"/>
      <c r="P182" s="330"/>
      <c r="Q182" s="331"/>
      <c r="R182" s="332"/>
      <c r="S182" s="330"/>
      <c r="T182" s="331"/>
      <c r="U182" s="332"/>
      <c r="V182" s="154"/>
      <c r="W182" s="331"/>
      <c r="X182" s="324"/>
      <c r="Y182" s="205"/>
      <c r="Z182" s="205"/>
      <c r="AA182" s="205"/>
      <c r="AB182" s="17"/>
      <c r="AC182" s="17"/>
      <c r="AD182" s="17"/>
      <c r="AE182" s="17"/>
    </row>
    <row r="183">
      <c r="A183" s="154"/>
      <c r="B183" s="168"/>
      <c r="C183" s="324"/>
      <c r="D183" s="154"/>
      <c r="E183" s="168"/>
      <c r="F183" s="324"/>
      <c r="G183" s="154"/>
      <c r="H183" s="168"/>
      <c r="I183" s="324"/>
      <c r="J183" s="154"/>
      <c r="K183" s="168"/>
      <c r="L183" s="324"/>
      <c r="M183" s="330"/>
      <c r="N183" s="331"/>
      <c r="O183" s="332"/>
      <c r="P183" s="330"/>
      <c r="Q183" s="331"/>
      <c r="R183" s="332"/>
      <c r="S183" s="330"/>
      <c r="T183" s="331"/>
      <c r="U183" s="332"/>
      <c r="V183" s="154"/>
      <c r="W183" s="331"/>
      <c r="X183" s="324"/>
      <c r="Y183" s="205"/>
      <c r="Z183" s="205"/>
      <c r="AA183" s="205"/>
      <c r="AB183" s="17"/>
      <c r="AC183" s="17"/>
      <c r="AD183" s="17"/>
      <c r="AE183" s="17"/>
    </row>
    <row r="184">
      <c r="A184" s="154"/>
      <c r="B184" s="168"/>
      <c r="C184" s="324"/>
      <c r="D184" s="154"/>
      <c r="E184" s="168"/>
      <c r="F184" s="324"/>
      <c r="G184" s="154"/>
      <c r="H184" s="168"/>
      <c r="I184" s="324"/>
      <c r="J184" s="154"/>
      <c r="K184" s="168"/>
      <c r="L184" s="324"/>
      <c r="M184" s="330"/>
      <c r="N184" s="331"/>
      <c r="O184" s="332"/>
      <c r="P184" s="330"/>
      <c r="Q184" s="331"/>
      <c r="R184" s="332"/>
      <c r="S184" s="330"/>
      <c r="T184" s="331"/>
      <c r="U184" s="332"/>
      <c r="V184" s="154"/>
      <c r="W184" s="331"/>
      <c r="X184" s="324"/>
      <c r="Y184" s="205"/>
      <c r="Z184" s="205"/>
      <c r="AA184" s="205"/>
      <c r="AB184" s="17"/>
      <c r="AC184" s="17"/>
      <c r="AD184" s="17"/>
      <c r="AE184" s="17"/>
    </row>
    <row r="185">
      <c r="A185" s="154"/>
      <c r="B185" s="168"/>
      <c r="C185" s="324"/>
      <c r="D185" s="154"/>
      <c r="E185" s="168"/>
      <c r="F185" s="324"/>
      <c r="G185" s="154"/>
      <c r="H185" s="168"/>
      <c r="I185" s="324"/>
      <c r="J185" s="154"/>
      <c r="K185" s="168"/>
      <c r="L185" s="324"/>
      <c r="M185" s="330"/>
      <c r="N185" s="331"/>
      <c r="O185" s="332"/>
      <c r="P185" s="330"/>
      <c r="Q185" s="331"/>
      <c r="R185" s="332"/>
      <c r="S185" s="330"/>
      <c r="T185" s="331"/>
      <c r="U185" s="332"/>
      <c r="V185" s="154"/>
      <c r="W185" s="331"/>
      <c r="X185" s="324"/>
      <c r="Y185" s="205"/>
      <c r="Z185" s="205"/>
      <c r="AA185" s="205"/>
      <c r="AB185" s="17"/>
      <c r="AC185" s="17"/>
      <c r="AD185" s="17"/>
      <c r="AE185" s="17"/>
    </row>
    <row r="186">
      <c r="A186" s="154"/>
      <c r="B186" s="168"/>
      <c r="C186" s="324"/>
      <c r="D186" s="154"/>
      <c r="E186" s="168"/>
      <c r="F186" s="324"/>
      <c r="G186" s="154"/>
      <c r="H186" s="168"/>
      <c r="I186" s="324"/>
      <c r="J186" s="154"/>
      <c r="K186" s="168"/>
      <c r="L186" s="324"/>
      <c r="M186" s="330"/>
      <c r="N186" s="331"/>
      <c r="O186" s="332"/>
      <c r="P186" s="330"/>
      <c r="Q186" s="331"/>
      <c r="R186" s="332"/>
      <c r="S186" s="330"/>
      <c r="T186" s="331"/>
      <c r="U186" s="332"/>
      <c r="V186" s="154"/>
      <c r="W186" s="331"/>
      <c r="X186" s="324"/>
      <c r="Y186" s="205"/>
      <c r="Z186" s="205"/>
      <c r="AA186" s="205"/>
      <c r="AB186" s="17"/>
      <c r="AC186" s="17"/>
      <c r="AD186" s="17"/>
      <c r="AE186" s="17"/>
    </row>
    <row r="187">
      <c r="A187" s="154"/>
      <c r="B187" s="168"/>
      <c r="C187" s="324"/>
      <c r="D187" s="154"/>
      <c r="E187" s="168"/>
      <c r="F187" s="324"/>
      <c r="G187" s="154"/>
      <c r="H187" s="168"/>
      <c r="I187" s="324"/>
      <c r="J187" s="154"/>
      <c r="K187" s="168"/>
      <c r="L187" s="324"/>
      <c r="M187" s="330"/>
      <c r="N187" s="331"/>
      <c r="O187" s="332"/>
      <c r="P187" s="330"/>
      <c r="Q187" s="331"/>
      <c r="R187" s="332"/>
      <c r="S187" s="330"/>
      <c r="T187" s="331"/>
      <c r="U187" s="332"/>
      <c r="V187" s="154"/>
      <c r="W187" s="331"/>
      <c r="X187" s="324"/>
      <c r="Y187" s="205"/>
      <c r="Z187" s="205"/>
      <c r="AA187" s="205"/>
      <c r="AB187" s="17"/>
      <c r="AC187" s="17"/>
      <c r="AD187" s="17"/>
      <c r="AE187" s="17"/>
    </row>
    <row r="188">
      <c r="A188" s="154"/>
      <c r="B188" s="168"/>
      <c r="C188" s="324"/>
      <c r="D188" s="154"/>
      <c r="E188" s="168"/>
      <c r="F188" s="324"/>
      <c r="G188" s="154"/>
      <c r="H188" s="168"/>
      <c r="I188" s="324"/>
      <c r="J188" s="154"/>
      <c r="K188" s="168"/>
      <c r="L188" s="324"/>
      <c r="M188" s="330"/>
      <c r="N188" s="331"/>
      <c r="O188" s="332"/>
      <c r="P188" s="330"/>
      <c r="Q188" s="331"/>
      <c r="R188" s="332"/>
      <c r="S188" s="330"/>
      <c r="T188" s="331"/>
      <c r="U188" s="332"/>
      <c r="V188" s="154"/>
      <c r="W188" s="331"/>
      <c r="X188" s="324"/>
      <c r="Y188" s="205"/>
      <c r="Z188" s="205"/>
      <c r="AA188" s="205"/>
      <c r="AB188" s="17"/>
      <c r="AC188" s="17"/>
      <c r="AD188" s="17"/>
      <c r="AE188" s="17"/>
    </row>
    <row r="189">
      <c r="A189" s="154"/>
      <c r="B189" s="168"/>
      <c r="C189" s="324"/>
      <c r="D189" s="154"/>
      <c r="E189" s="168"/>
      <c r="F189" s="324"/>
      <c r="G189" s="154"/>
      <c r="H189" s="168"/>
      <c r="I189" s="324"/>
      <c r="J189" s="154"/>
      <c r="K189" s="168"/>
      <c r="L189" s="324"/>
      <c r="M189" s="330"/>
      <c r="N189" s="331"/>
      <c r="O189" s="332"/>
      <c r="P189" s="330"/>
      <c r="Q189" s="331"/>
      <c r="R189" s="332"/>
      <c r="S189" s="330"/>
      <c r="T189" s="331"/>
      <c r="U189" s="332"/>
      <c r="V189" s="154"/>
      <c r="W189" s="331"/>
      <c r="X189" s="324"/>
      <c r="Y189" s="205"/>
      <c r="Z189" s="205"/>
      <c r="AA189" s="205"/>
      <c r="AB189" s="17"/>
      <c r="AC189" s="17"/>
      <c r="AD189" s="17"/>
      <c r="AE189" s="17"/>
    </row>
    <row r="190">
      <c r="A190" s="154"/>
      <c r="B190" s="168"/>
      <c r="C190" s="324"/>
      <c r="D190" s="154"/>
      <c r="E190" s="168"/>
      <c r="F190" s="324"/>
      <c r="G190" s="154"/>
      <c r="H190" s="168"/>
      <c r="I190" s="324"/>
      <c r="J190" s="154"/>
      <c r="K190" s="168"/>
      <c r="L190" s="324"/>
      <c r="M190" s="330"/>
      <c r="N190" s="331"/>
      <c r="O190" s="332"/>
      <c r="P190" s="330"/>
      <c r="Q190" s="331"/>
      <c r="R190" s="332"/>
      <c r="S190" s="330"/>
      <c r="T190" s="331"/>
      <c r="U190" s="332"/>
      <c r="V190" s="154"/>
      <c r="W190" s="331"/>
      <c r="X190" s="324"/>
      <c r="Y190" s="205"/>
      <c r="Z190" s="205"/>
      <c r="AA190" s="205"/>
      <c r="AB190" s="17"/>
      <c r="AC190" s="17"/>
      <c r="AD190" s="17"/>
      <c r="AE190" s="17"/>
    </row>
    <row r="191">
      <c r="A191" s="154"/>
      <c r="B191" s="168"/>
      <c r="C191" s="324"/>
      <c r="D191" s="154"/>
      <c r="E191" s="168"/>
      <c r="F191" s="324"/>
      <c r="G191" s="154"/>
      <c r="H191" s="168"/>
      <c r="I191" s="324"/>
      <c r="J191" s="154"/>
      <c r="K191" s="168"/>
      <c r="L191" s="324"/>
      <c r="M191" s="330"/>
      <c r="N191" s="331"/>
      <c r="O191" s="332"/>
      <c r="P191" s="330"/>
      <c r="Q191" s="331"/>
      <c r="R191" s="332"/>
      <c r="S191" s="330"/>
      <c r="T191" s="331"/>
      <c r="U191" s="332"/>
      <c r="V191" s="154"/>
      <c r="W191" s="331"/>
      <c r="X191" s="324"/>
      <c r="Y191" s="205"/>
      <c r="Z191" s="205"/>
      <c r="AA191" s="205"/>
      <c r="AB191" s="17"/>
      <c r="AC191" s="17"/>
      <c r="AD191" s="17"/>
      <c r="AE191" s="17"/>
    </row>
    <row r="192">
      <c r="A192" s="154"/>
      <c r="B192" s="168"/>
      <c r="C192" s="324"/>
      <c r="D192" s="154"/>
      <c r="E192" s="168"/>
      <c r="F192" s="324"/>
      <c r="G192" s="154"/>
      <c r="H192" s="168"/>
      <c r="I192" s="324"/>
      <c r="J192" s="154"/>
      <c r="K192" s="168"/>
      <c r="L192" s="324"/>
      <c r="M192" s="330"/>
      <c r="N192" s="331"/>
      <c r="O192" s="332"/>
      <c r="P192" s="330"/>
      <c r="Q192" s="331"/>
      <c r="R192" s="332"/>
      <c r="S192" s="330"/>
      <c r="T192" s="331"/>
      <c r="U192" s="332"/>
      <c r="V192" s="154"/>
      <c r="W192" s="331"/>
      <c r="X192" s="324"/>
      <c r="Y192" s="205"/>
      <c r="Z192" s="205"/>
      <c r="AA192" s="205"/>
      <c r="AB192" s="17"/>
      <c r="AC192" s="17"/>
      <c r="AD192" s="17"/>
      <c r="AE192" s="17"/>
    </row>
    <row r="193">
      <c r="A193" s="154"/>
      <c r="B193" s="168"/>
      <c r="C193" s="324"/>
      <c r="D193" s="154"/>
      <c r="E193" s="168"/>
      <c r="F193" s="324"/>
      <c r="G193" s="154"/>
      <c r="H193" s="168"/>
      <c r="I193" s="324"/>
      <c r="J193" s="154"/>
      <c r="K193" s="168"/>
      <c r="L193" s="324"/>
      <c r="M193" s="330"/>
      <c r="N193" s="331"/>
      <c r="O193" s="332"/>
      <c r="P193" s="330"/>
      <c r="Q193" s="331"/>
      <c r="R193" s="332"/>
      <c r="S193" s="330"/>
      <c r="T193" s="331"/>
      <c r="U193" s="332"/>
      <c r="V193" s="154"/>
      <c r="W193" s="331"/>
      <c r="X193" s="324"/>
      <c r="Y193" s="205"/>
      <c r="Z193" s="205"/>
      <c r="AA193" s="205"/>
      <c r="AB193" s="17"/>
      <c r="AC193" s="17"/>
      <c r="AD193" s="17"/>
      <c r="AE193" s="17"/>
    </row>
    <row r="194">
      <c r="A194" s="154"/>
      <c r="B194" s="168"/>
      <c r="C194" s="324"/>
      <c r="D194" s="154"/>
      <c r="E194" s="168"/>
      <c r="F194" s="324"/>
      <c r="G194" s="154"/>
      <c r="H194" s="168"/>
      <c r="I194" s="324"/>
      <c r="J194" s="154"/>
      <c r="K194" s="168"/>
      <c r="L194" s="324"/>
      <c r="M194" s="330"/>
      <c r="N194" s="331"/>
      <c r="O194" s="332"/>
      <c r="P194" s="330"/>
      <c r="Q194" s="331"/>
      <c r="R194" s="332"/>
      <c r="S194" s="330"/>
      <c r="T194" s="331"/>
      <c r="U194" s="332"/>
      <c r="V194" s="154"/>
      <c r="W194" s="331"/>
      <c r="X194" s="324"/>
      <c r="Y194" s="205"/>
      <c r="Z194" s="205"/>
      <c r="AA194" s="205"/>
      <c r="AB194" s="17"/>
      <c r="AC194" s="17"/>
      <c r="AD194" s="17"/>
      <c r="AE194" s="17"/>
    </row>
    <row r="195">
      <c r="A195" s="154"/>
      <c r="B195" s="168"/>
      <c r="C195" s="324"/>
      <c r="D195" s="154"/>
      <c r="E195" s="168"/>
      <c r="F195" s="324"/>
      <c r="G195" s="154"/>
      <c r="H195" s="168"/>
      <c r="I195" s="324"/>
      <c r="J195" s="154"/>
      <c r="K195" s="168"/>
      <c r="L195" s="324"/>
      <c r="M195" s="330"/>
      <c r="N195" s="331"/>
      <c r="O195" s="332"/>
      <c r="P195" s="330"/>
      <c r="Q195" s="331"/>
      <c r="R195" s="332"/>
      <c r="S195" s="330"/>
      <c r="T195" s="331"/>
      <c r="U195" s="332"/>
      <c r="V195" s="154"/>
      <c r="W195" s="331"/>
      <c r="X195" s="324"/>
      <c r="Y195" s="205"/>
      <c r="Z195" s="205"/>
      <c r="AA195" s="205"/>
      <c r="AB195" s="17"/>
      <c r="AC195" s="17"/>
      <c r="AD195" s="17"/>
      <c r="AE195" s="17"/>
    </row>
    <row r="196">
      <c r="A196" s="154"/>
      <c r="B196" s="168"/>
      <c r="C196" s="324"/>
      <c r="D196" s="154"/>
      <c r="E196" s="168"/>
      <c r="F196" s="324"/>
      <c r="G196" s="154"/>
      <c r="H196" s="168"/>
      <c r="I196" s="324"/>
      <c r="J196" s="154"/>
      <c r="K196" s="168"/>
      <c r="L196" s="324"/>
      <c r="M196" s="330"/>
      <c r="N196" s="331"/>
      <c r="O196" s="332"/>
      <c r="P196" s="330"/>
      <c r="Q196" s="331"/>
      <c r="R196" s="332"/>
      <c r="S196" s="330"/>
      <c r="T196" s="331"/>
      <c r="U196" s="332"/>
      <c r="V196" s="154"/>
      <c r="W196" s="331"/>
      <c r="X196" s="324"/>
      <c r="Y196" s="205"/>
      <c r="Z196" s="205"/>
      <c r="AA196" s="205"/>
      <c r="AB196" s="17"/>
      <c r="AC196" s="17"/>
      <c r="AD196" s="17"/>
      <c r="AE196" s="17"/>
    </row>
    <row r="197">
      <c r="A197" s="154"/>
      <c r="B197" s="168"/>
      <c r="C197" s="324"/>
      <c r="D197" s="154"/>
      <c r="E197" s="168"/>
      <c r="F197" s="324"/>
      <c r="G197" s="154"/>
      <c r="H197" s="168"/>
      <c r="I197" s="324"/>
      <c r="J197" s="154"/>
      <c r="K197" s="168"/>
      <c r="L197" s="324"/>
      <c r="M197" s="330"/>
      <c r="N197" s="331"/>
      <c r="O197" s="332"/>
      <c r="P197" s="330"/>
      <c r="Q197" s="331"/>
      <c r="R197" s="332"/>
      <c r="S197" s="330"/>
      <c r="T197" s="331"/>
      <c r="U197" s="332"/>
      <c r="V197" s="154"/>
      <c r="W197" s="331"/>
      <c r="X197" s="324"/>
      <c r="Y197" s="205"/>
      <c r="Z197" s="205"/>
      <c r="AA197" s="205"/>
      <c r="AB197" s="17"/>
      <c r="AC197" s="17"/>
      <c r="AD197" s="17"/>
      <c r="AE197" s="17"/>
    </row>
    <row r="198">
      <c r="A198" s="154"/>
      <c r="B198" s="168"/>
      <c r="C198" s="324"/>
      <c r="D198" s="154"/>
      <c r="E198" s="168"/>
      <c r="F198" s="324"/>
      <c r="G198" s="154"/>
      <c r="H198" s="168"/>
      <c r="I198" s="324"/>
      <c r="J198" s="154"/>
      <c r="K198" s="168"/>
      <c r="L198" s="324"/>
      <c r="M198" s="330"/>
      <c r="N198" s="331"/>
      <c r="O198" s="332"/>
      <c r="P198" s="330"/>
      <c r="Q198" s="331"/>
      <c r="R198" s="332"/>
      <c r="S198" s="330"/>
      <c r="T198" s="331"/>
      <c r="U198" s="332"/>
      <c r="V198" s="154"/>
      <c r="W198" s="331"/>
      <c r="X198" s="324"/>
      <c r="Y198" s="205"/>
      <c r="Z198" s="205"/>
      <c r="AA198" s="205"/>
      <c r="AB198" s="17"/>
      <c r="AC198" s="17"/>
      <c r="AD198" s="17"/>
      <c r="AE198" s="17"/>
    </row>
    <row r="199">
      <c r="A199" s="154"/>
      <c r="B199" s="168"/>
      <c r="C199" s="324"/>
      <c r="D199" s="154"/>
      <c r="E199" s="168"/>
      <c r="F199" s="324"/>
      <c r="G199" s="154"/>
      <c r="H199" s="168"/>
      <c r="I199" s="324"/>
      <c r="J199" s="154"/>
      <c r="K199" s="168"/>
      <c r="L199" s="324"/>
      <c r="M199" s="330"/>
      <c r="N199" s="331"/>
      <c r="O199" s="332"/>
      <c r="P199" s="330"/>
      <c r="Q199" s="331"/>
      <c r="R199" s="332"/>
      <c r="S199" s="330"/>
      <c r="T199" s="331"/>
      <c r="U199" s="332"/>
      <c r="V199" s="154"/>
      <c r="W199" s="331"/>
      <c r="X199" s="324"/>
      <c r="Y199" s="205"/>
      <c r="Z199" s="205"/>
      <c r="AA199" s="205"/>
      <c r="AB199" s="17"/>
      <c r="AC199" s="17"/>
      <c r="AD199" s="17"/>
      <c r="AE199" s="17"/>
    </row>
    <row r="200">
      <c r="A200" s="154"/>
      <c r="B200" s="168"/>
      <c r="C200" s="324"/>
      <c r="D200" s="154"/>
      <c r="E200" s="168"/>
      <c r="F200" s="324"/>
      <c r="G200" s="154"/>
      <c r="H200" s="168"/>
      <c r="I200" s="324"/>
      <c r="J200" s="154"/>
      <c r="K200" s="168"/>
      <c r="L200" s="324"/>
      <c r="M200" s="330"/>
      <c r="N200" s="331"/>
      <c r="O200" s="332"/>
      <c r="P200" s="330"/>
      <c r="Q200" s="331"/>
      <c r="R200" s="332"/>
      <c r="S200" s="330"/>
      <c r="T200" s="331"/>
      <c r="U200" s="332"/>
      <c r="V200" s="154"/>
      <c r="W200" s="331"/>
      <c r="X200" s="324"/>
      <c r="Y200" s="205"/>
      <c r="Z200" s="205"/>
      <c r="AA200" s="205"/>
      <c r="AB200" s="17"/>
      <c r="AC200" s="17"/>
      <c r="AD200" s="17"/>
      <c r="AE200" s="17"/>
    </row>
    <row r="201">
      <c r="A201" s="154"/>
      <c r="B201" s="168"/>
      <c r="C201" s="324"/>
      <c r="D201" s="154"/>
      <c r="E201" s="168"/>
      <c r="F201" s="324"/>
      <c r="G201" s="154"/>
      <c r="H201" s="168"/>
      <c r="I201" s="324"/>
      <c r="J201" s="154"/>
      <c r="K201" s="168"/>
      <c r="L201" s="324"/>
      <c r="M201" s="330"/>
      <c r="N201" s="331"/>
      <c r="O201" s="332"/>
      <c r="P201" s="330"/>
      <c r="Q201" s="331"/>
      <c r="R201" s="332"/>
      <c r="S201" s="330"/>
      <c r="T201" s="331"/>
      <c r="U201" s="332"/>
      <c r="V201" s="154"/>
      <c r="W201" s="331"/>
      <c r="X201" s="324"/>
      <c r="Y201" s="205"/>
      <c r="Z201" s="205"/>
      <c r="AA201" s="205"/>
      <c r="AB201" s="17"/>
      <c r="AC201" s="17"/>
      <c r="AD201" s="17"/>
      <c r="AE201" s="17"/>
    </row>
    <row r="202">
      <c r="A202" s="154"/>
      <c r="B202" s="168"/>
      <c r="C202" s="324"/>
      <c r="D202" s="154"/>
      <c r="E202" s="168"/>
      <c r="F202" s="324"/>
      <c r="G202" s="154"/>
      <c r="H202" s="168"/>
      <c r="I202" s="324"/>
      <c r="J202" s="154"/>
      <c r="K202" s="168"/>
      <c r="L202" s="324"/>
      <c r="M202" s="330"/>
      <c r="N202" s="331"/>
      <c r="O202" s="332"/>
      <c r="P202" s="330"/>
      <c r="Q202" s="331"/>
      <c r="R202" s="332"/>
      <c r="S202" s="330"/>
      <c r="T202" s="331"/>
      <c r="U202" s="332"/>
      <c r="V202" s="154"/>
      <c r="W202" s="331"/>
      <c r="X202" s="324"/>
      <c r="Y202" s="205"/>
      <c r="Z202" s="205"/>
      <c r="AA202" s="205"/>
      <c r="AB202" s="17"/>
      <c r="AC202" s="17"/>
      <c r="AD202" s="17"/>
      <c r="AE202" s="17"/>
    </row>
    <row r="203">
      <c r="A203" s="154"/>
      <c r="B203" s="168"/>
      <c r="C203" s="324"/>
      <c r="D203" s="154"/>
      <c r="E203" s="168"/>
      <c r="F203" s="324"/>
      <c r="G203" s="154"/>
      <c r="H203" s="168"/>
      <c r="I203" s="324"/>
      <c r="J203" s="154"/>
      <c r="K203" s="168"/>
      <c r="L203" s="324"/>
      <c r="M203" s="330"/>
      <c r="N203" s="331"/>
      <c r="O203" s="332"/>
      <c r="P203" s="330"/>
      <c r="Q203" s="331"/>
      <c r="R203" s="332"/>
      <c r="S203" s="330"/>
      <c r="T203" s="331"/>
      <c r="U203" s="332"/>
      <c r="V203" s="154"/>
      <c r="W203" s="331"/>
      <c r="X203" s="324"/>
      <c r="Y203" s="205"/>
      <c r="Z203" s="205"/>
      <c r="AA203" s="205"/>
      <c r="AB203" s="17"/>
      <c r="AC203" s="17"/>
      <c r="AD203" s="17"/>
      <c r="AE203" s="17"/>
    </row>
    <row r="204">
      <c r="A204" s="154"/>
      <c r="B204" s="168"/>
      <c r="C204" s="324"/>
      <c r="D204" s="154"/>
      <c r="E204" s="168"/>
      <c r="F204" s="324"/>
      <c r="G204" s="154"/>
      <c r="H204" s="168"/>
      <c r="I204" s="324"/>
      <c r="J204" s="154"/>
      <c r="K204" s="168"/>
      <c r="L204" s="324"/>
      <c r="M204" s="330"/>
      <c r="N204" s="331"/>
      <c r="O204" s="332"/>
      <c r="P204" s="330"/>
      <c r="Q204" s="331"/>
      <c r="R204" s="332"/>
      <c r="S204" s="330"/>
      <c r="T204" s="331"/>
      <c r="U204" s="332"/>
      <c r="V204" s="154"/>
      <c r="W204" s="331"/>
      <c r="X204" s="324"/>
      <c r="Y204" s="205"/>
      <c r="Z204" s="205"/>
      <c r="AA204" s="205"/>
      <c r="AB204" s="17"/>
      <c r="AC204" s="17"/>
      <c r="AD204" s="17"/>
      <c r="AE204" s="17"/>
    </row>
    <row r="205">
      <c r="A205" s="154"/>
      <c r="B205" s="168"/>
      <c r="C205" s="324"/>
      <c r="D205" s="154"/>
      <c r="E205" s="168"/>
      <c r="F205" s="324"/>
      <c r="G205" s="154"/>
      <c r="H205" s="168"/>
      <c r="I205" s="324"/>
      <c r="J205" s="154"/>
      <c r="K205" s="168"/>
      <c r="L205" s="324"/>
      <c r="M205" s="330"/>
      <c r="N205" s="331"/>
      <c r="O205" s="332"/>
      <c r="P205" s="330"/>
      <c r="Q205" s="331"/>
      <c r="R205" s="332"/>
      <c r="S205" s="330"/>
      <c r="T205" s="331"/>
      <c r="U205" s="332"/>
      <c r="V205" s="154"/>
      <c r="W205" s="331"/>
      <c r="X205" s="324"/>
      <c r="Y205" s="205"/>
      <c r="Z205" s="205"/>
      <c r="AA205" s="205"/>
      <c r="AB205" s="17"/>
      <c r="AC205" s="17"/>
      <c r="AD205" s="17"/>
      <c r="AE205" s="17"/>
    </row>
    <row r="206">
      <c r="A206" s="154"/>
      <c r="B206" s="168"/>
      <c r="C206" s="324"/>
      <c r="D206" s="154"/>
      <c r="E206" s="168"/>
      <c r="F206" s="324"/>
      <c r="G206" s="154"/>
      <c r="H206" s="168"/>
      <c r="I206" s="324"/>
      <c r="J206" s="154"/>
      <c r="K206" s="168"/>
      <c r="L206" s="324"/>
      <c r="M206" s="330"/>
      <c r="N206" s="331"/>
      <c r="O206" s="332"/>
      <c r="P206" s="330"/>
      <c r="Q206" s="331"/>
      <c r="R206" s="332"/>
      <c r="S206" s="330"/>
      <c r="T206" s="331"/>
      <c r="U206" s="332"/>
      <c r="V206" s="154"/>
      <c r="W206" s="331"/>
      <c r="X206" s="324"/>
      <c r="Y206" s="205"/>
      <c r="Z206" s="205"/>
      <c r="AA206" s="205"/>
      <c r="AB206" s="17"/>
      <c r="AC206" s="17"/>
      <c r="AD206" s="17"/>
      <c r="AE206" s="17"/>
    </row>
    <row r="207">
      <c r="A207" s="154"/>
      <c r="B207" s="168"/>
      <c r="C207" s="324"/>
      <c r="D207" s="154"/>
      <c r="E207" s="168"/>
      <c r="F207" s="324"/>
      <c r="G207" s="154"/>
      <c r="H207" s="168"/>
      <c r="I207" s="324"/>
      <c r="J207" s="154"/>
      <c r="K207" s="168"/>
      <c r="L207" s="324"/>
      <c r="M207" s="330"/>
      <c r="N207" s="331"/>
      <c r="O207" s="332"/>
      <c r="P207" s="330"/>
      <c r="Q207" s="331"/>
      <c r="R207" s="332"/>
      <c r="S207" s="330"/>
      <c r="T207" s="331"/>
      <c r="U207" s="332"/>
      <c r="V207" s="154"/>
      <c r="W207" s="331"/>
      <c r="X207" s="324"/>
      <c r="Y207" s="205"/>
      <c r="Z207" s="205"/>
      <c r="AA207" s="205"/>
      <c r="AB207" s="17"/>
      <c r="AC207" s="17"/>
      <c r="AD207" s="17"/>
      <c r="AE207" s="17"/>
    </row>
    <row r="208">
      <c r="A208" s="154"/>
      <c r="B208" s="168"/>
      <c r="C208" s="324"/>
      <c r="D208" s="154"/>
      <c r="E208" s="168"/>
      <c r="F208" s="324"/>
      <c r="G208" s="154"/>
      <c r="H208" s="168"/>
      <c r="I208" s="324"/>
      <c r="J208" s="154"/>
      <c r="K208" s="168"/>
      <c r="L208" s="324"/>
      <c r="M208" s="330"/>
      <c r="N208" s="331"/>
      <c r="O208" s="332"/>
      <c r="P208" s="330"/>
      <c r="Q208" s="331"/>
      <c r="R208" s="332"/>
      <c r="S208" s="330"/>
      <c r="T208" s="331"/>
      <c r="U208" s="332"/>
      <c r="V208" s="154"/>
      <c r="W208" s="331"/>
      <c r="X208" s="324"/>
      <c r="Y208" s="205"/>
      <c r="Z208" s="205"/>
      <c r="AA208" s="205"/>
      <c r="AB208" s="17"/>
      <c r="AC208" s="17"/>
      <c r="AD208" s="17"/>
      <c r="AE208" s="17"/>
    </row>
    <row r="209">
      <c r="A209" s="154"/>
      <c r="B209" s="168"/>
      <c r="C209" s="324"/>
      <c r="D209" s="154"/>
      <c r="E209" s="168"/>
      <c r="F209" s="324"/>
      <c r="G209" s="154"/>
      <c r="H209" s="168"/>
      <c r="I209" s="324"/>
      <c r="J209" s="154"/>
      <c r="K209" s="168"/>
      <c r="L209" s="324"/>
      <c r="M209" s="330"/>
      <c r="N209" s="331"/>
      <c r="O209" s="332"/>
      <c r="P209" s="330"/>
      <c r="Q209" s="331"/>
      <c r="R209" s="332"/>
      <c r="S209" s="330"/>
      <c r="T209" s="331"/>
      <c r="U209" s="332"/>
      <c r="V209" s="154"/>
      <c r="W209" s="331"/>
      <c r="X209" s="324"/>
      <c r="Y209" s="205"/>
      <c r="Z209" s="205"/>
      <c r="AA209" s="205"/>
      <c r="AB209" s="17"/>
      <c r="AC209" s="17"/>
      <c r="AD209" s="17"/>
      <c r="AE209" s="17"/>
    </row>
    <row r="210">
      <c r="A210" s="154"/>
      <c r="B210" s="168"/>
      <c r="C210" s="324"/>
      <c r="D210" s="154"/>
      <c r="E210" s="168"/>
      <c r="F210" s="324"/>
      <c r="G210" s="154"/>
      <c r="H210" s="168"/>
      <c r="I210" s="324"/>
      <c r="J210" s="154"/>
      <c r="K210" s="168"/>
      <c r="L210" s="324"/>
      <c r="M210" s="330"/>
      <c r="N210" s="331"/>
      <c r="O210" s="332"/>
      <c r="P210" s="330"/>
      <c r="Q210" s="331"/>
      <c r="R210" s="332"/>
      <c r="S210" s="330"/>
      <c r="T210" s="331"/>
      <c r="U210" s="332"/>
      <c r="V210" s="154"/>
      <c r="W210" s="331"/>
      <c r="X210" s="324"/>
      <c r="Y210" s="205"/>
      <c r="Z210" s="205"/>
      <c r="AA210" s="205"/>
      <c r="AB210" s="17"/>
      <c r="AC210" s="17"/>
      <c r="AD210" s="17"/>
      <c r="AE210" s="17"/>
    </row>
    <row r="211">
      <c r="A211" s="154"/>
      <c r="B211" s="168"/>
      <c r="C211" s="324"/>
      <c r="D211" s="154"/>
      <c r="E211" s="168"/>
      <c r="F211" s="324"/>
      <c r="G211" s="154"/>
      <c r="H211" s="168"/>
      <c r="I211" s="324"/>
      <c r="J211" s="154"/>
      <c r="K211" s="168"/>
      <c r="L211" s="324"/>
      <c r="M211" s="330"/>
      <c r="N211" s="331"/>
      <c r="O211" s="332"/>
      <c r="P211" s="330"/>
      <c r="Q211" s="331"/>
      <c r="R211" s="332"/>
      <c r="S211" s="330"/>
      <c r="T211" s="331"/>
      <c r="U211" s="332"/>
      <c r="V211" s="154"/>
      <c r="W211" s="331"/>
      <c r="X211" s="324"/>
      <c r="Y211" s="205"/>
      <c r="Z211" s="205"/>
      <c r="AA211" s="205"/>
      <c r="AB211" s="17"/>
      <c r="AC211" s="17"/>
      <c r="AD211" s="17"/>
      <c r="AE211" s="17"/>
    </row>
    <row r="212">
      <c r="A212" s="154"/>
      <c r="B212" s="168"/>
      <c r="C212" s="324"/>
      <c r="D212" s="154"/>
      <c r="E212" s="168"/>
      <c r="F212" s="324"/>
      <c r="G212" s="154"/>
      <c r="H212" s="168"/>
      <c r="I212" s="324"/>
      <c r="J212" s="154"/>
      <c r="K212" s="168"/>
      <c r="L212" s="324"/>
      <c r="M212" s="330"/>
      <c r="N212" s="331"/>
      <c r="O212" s="332"/>
      <c r="P212" s="330"/>
      <c r="Q212" s="331"/>
      <c r="R212" s="332"/>
      <c r="S212" s="330"/>
      <c r="T212" s="331"/>
      <c r="U212" s="332"/>
      <c r="V212" s="154"/>
      <c r="W212" s="331"/>
      <c r="X212" s="324"/>
      <c r="Y212" s="205"/>
      <c r="Z212" s="205"/>
      <c r="AA212" s="205"/>
      <c r="AB212" s="17"/>
      <c r="AC212" s="17"/>
      <c r="AD212" s="17"/>
      <c r="AE212" s="17"/>
    </row>
    <row r="213">
      <c r="A213" s="154"/>
      <c r="B213" s="168"/>
      <c r="C213" s="324"/>
      <c r="D213" s="154"/>
      <c r="E213" s="168"/>
      <c r="F213" s="324"/>
      <c r="G213" s="154"/>
      <c r="H213" s="168"/>
      <c r="I213" s="324"/>
      <c r="J213" s="154"/>
      <c r="K213" s="168"/>
      <c r="L213" s="324"/>
      <c r="M213" s="330"/>
      <c r="N213" s="331"/>
      <c r="O213" s="332"/>
      <c r="P213" s="330"/>
      <c r="Q213" s="331"/>
      <c r="R213" s="332"/>
      <c r="S213" s="330"/>
      <c r="T213" s="331"/>
      <c r="U213" s="332"/>
      <c r="V213" s="154"/>
      <c r="W213" s="331"/>
      <c r="X213" s="324"/>
      <c r="Y213" s="205"/>
      <c r="Z213" s="205"/>
      <c r="AA213" s="205"/>
      <c r="AB213" s="17"/>
      <c r="AC213" s="17"/>
      <c r="AD213" s="17"/>
      <c r="AE213" s="17"/>
    </row>
    <row r="214">
      <c r="A214" s="154"/>
      <c r="B214" s="168"/>
      <c r="C214" s="324"/>
      <c r="D214" s="154"/>
      <c r="E214" s="168"/>
      <c r="F214" s="324"/>
      <c r="G214" s="154"/>
      <c r="H214" s="168"/>
      <c r="I214" s="324"/>
      <c r="J214" s="154"/>
      <c r="K214" s="168"/>
      <c r="L214" s="324"/>
      <c r="M214" s="330"/>
      <c r="N214" s="331"/>
      <c r="O214" s="332"/>
      <c r="P214" s="330"/>
      <c r="Q214" s="331"/>
      <c r="R214" s="332"/>
      <c r="S214" s="330"/>
      <c r="T214" s="331"/>
      <c r="U214" s="332"/>
      <c r="V214" s="154"/>
      <c r="W214" s="331"/>
      <c r="X214" s="324"/>
      <c r="Y214" s="205"/>
      <c r="Z214" s="205"/>
      <c r="AA214" s="205"/>
      <c r="AB214" s="17"/>
      <c r="AC214" s="17"/>
      <c r="AD214" s="17"/>
      <c r="AE214" s="17"/>
    </row>
    <row r="215">
      <c r="A215" s="154"/>
      <c r="B215" s="168"/>
      <c r="C215" s="324"/>
      <c r="D215" s="154"/>
      <c r="E215" s="168"/>
      <c r="F215" s="324"/>
      <c r="G215" s="154"/>
      <c r="H215" s="168"/>
      <c r="I215" s="324"/>
      <c r="J215" s="154"/>
      <c r="K215" s="168"/>
      <c r="L215" s="324"/>
      <c r="M215" s="330"/>
      <c r="N215" s="331"/>
      <c r="O215" s="332"/>
      <c r="P215" s="330"/>
      <c r="Q215" s="331"/>
      <c r="R215" s="332"/>
      <c r="S215" s="330"/>
      <c r="T215" s="331"/>
      <c r="U215" s="332"/>
      <c r="V215" s="154"/>
      <c r="W215" s="331"/>
      <c r="X215" s="324"/>
      <c r="Y215" s="205"/>
      <c r="Z215" s="205"/>
      <c r="AA215" s="205"/>
      <c r="AB215" s="17"/>
      <c r="AC215" s="17"/>
      <c r="AD215" s="17"/>
      <c r="AE215" s="17"/>
    </row>
    <row r="216">
      <c r="A216" s="154"/>
      <c r="B216" s="168"/>
      <c r="C216" s="324"/>
      <c r="D216" s="154"/>
      <c r="E216" s="168"/>
      <c r="F216" s="324"/>
      <c r="G216" s="154"/>
      <c r="H216" s="168"/>
      <c r="I216" s="324"/>
      <c r="J216" s="154"/>
      <c r="K216" s="168"/>
      <c r="L216" s="324"/>
      <c r="M216" s="330"/>
      <c r="N216" s="331"/>
      <c r="O216" s="332"/>
      <c r="P216" s="330"/>
      <c r="Q216" s="331"/>
      <c r="R216" s="332"/>
      <c r="S216" s="330"/>
      <c r="T216" s="331"/>
      <c r="U216" s="332"/>
      <c r="V216" s="154"/>
      <c r="W216" s="331"/>
      <c r="X216" s="324"/>
      <c r="Y216" s="205"/>
      <c r="Z216" s="205"/>
      <c r="AA216" s="205"/>
      <c r="AB216" s="17"/>
      <c r="AC216" s="17"/>
      <c r="AD216" s="17"/>
      <c r="AE216" s="17"/>
    </row>
    <row r="217">
      <c r="A217" s="154"/>
      <c r="B217" s="168"/>
      <c r="C217" s="324"/>
      <c r="D217" s="154"/>
      <c r="E217" s="168"/>
      <c r="F217" s="324"/>
      <c r="G217" s="154"/>
      <c r="H217" s="168"/>
      <c r="I217" s="324"/>
      <c r="J217" s="154"/>
      <c r="K217" s="168"/>
      <c r="L217" s="324"/>
      <c r="M217" s="330"/>
      <c r="N217" s="331"/>
      <c r="O217" s="332"/>
      <c r="P217" s="330"/>
      <c r="Q217" s="331"/>
      <c r="R217" s="332"/>
      <c r="S217" s="330"/>
      <c r="T217" s="331"/>
      <c r="U217" s="332"/>
      <c r="V217" s="154"/>
      <c r="W217" s="331"/>
      <c r="X217" s="324"/>
      <c r="Y217" s="205"/>
      <c r="Z217" s="205"/>
      <c r="AA217" s="205"/>
      <c r="AB217" s="17"/>
      <c r="AC217" s="17"/>
      <c r="AD217" s="17"/>
      <c r="AE217" s="17"/>
    </row>
    <row r="218">
      <c r="A218" s="154"/>
      <c r="B218" s="168"/>
      <c r="C218" s="324"/>
      <c r="D218" s="154"/>
      <c r="E218" s="168"/>
      <c r="F218" s="324"/>
      <c r="G218" s="154"/>
      <c r="H218" s="168"/>
      <c r="I218" s="324"/>
      <c r="J218" s="154"/>
      <c r="K218" s="168"/>
      <c r="L218" s="324"/>
      <c r="M218" s="330"/>
      <c r="N218" s="331"/>
      <c r="O218" s="332"/>
      <c r="P218" s="330"/>
      <c r="Q218" s="331"/>
      <c r="R218" s="332"/>
      <c r="S218" s="330"/>
      <c r="T218" s="331"/>
      <c r="U218" s="332"/>
      <c r="V218" s="154"/>
      <c r="W218" s="331"/>
      <c r="X218" s="324"/>
      <c r="Y218" s="205"/>
      <c r="Z218" s="205"/>
      <c r="AA218" s="205"/>
      <c r="AB218" s="17"/>
      <c r="AC218" s="17"/>
      <c r="AD218" s="17"/>
      <c r="AE218" s="17"/>
    </row>
    <row r="219">
      <c r="A219" s="154"/>
      <c r="B219" s="168"/>
      <c r="C219" s="324"/>
      <c r="D219" s="154"/>
      <c r="E219" s="168"/>
      <c r="F219" s="324"/>
      <c r="G219" s="154"/>
      <c r="H219" s="168"/>
      <c r="I219" s="324"/>
      <c r="J219" s="154"/>
      <c r="K219" s="168"/>
      <c r="L219" s="324"/>
      <c r="M219" s="330"/>
      <c r="N219" s="331"/>
      <c r="O219" s="332"/>
      <c r="P219" s="330"/>
      <c r="Q219" s="331"/>
      <c r="R219" s="332"/>
      <c r="S219" s="330"/>
      <c r="T219" s="331"/>
      <c r="U219" s="332"/>
      <c r="V219" s="154"/>
      <c r="W219" s="331"/>
      <c r="X219" s="324"/>
      <c r="Y219" s="205"/>
      <c r="Z219" s="205"/>
      <c r="AA219" s="205"/>
      <c r="AB219" s="17"/>
      <c r="AC219" s="17"/>
      <c r="AD219" s="17"/>
      <c r="AE219" s="17"/>
    </row>
    <row r="220">
      <c r="A220" s="154"/>
      <c r="B220" s="168"/>
      <c r="C220" s="324"/>
      <c r="D220" s="154"/>
      <c r="E220" s="168"/>
      <c r="F220" s="324"/>
      <c r="G220" s="154"/>
      <c r="H220" s="168"/>
      <c r="I220" s="324"/>
      <c r="J220" s="154"/>
      <c r="K220" s="168"/>
      <c r="L220" s="324"/>
      <c r="M220" s="330"/>
      <c r="N220" s="331"/>
      <c r="O220" s="332"/>
      <c r="P220" s="330"/>
      <c r="Q220" s="331"/>
      <c r="R220" s="332"/>
      <c r="S220" s="330"/>
      <c r="T220" s="331"/>
      <c r="U220" s="332"/>
      <c r="V220" s="154"/>
      <c r="W220" s="331"/>
      <c r="X220" s="324"/>
      <c r="Y220" s="205"/>
      <c r="Z220" s="205"/>
      <c r="AA220" s="205"/>
      <c r="AB220" s="17"/>
      <c r="AC220" s="17"/>
      <c r="AD220" s="17"/>
      <c r="AE220" s="17"/>
    </row>
    <row r="221">
      <c r="A221" s="154"/>
      <c r="B221" s="168"/>
      <c r="C221" s="324"/>
      <c r="D221" s="154"/>
      <c r="E221" s="168"/>
      <c r="F221" s="324"/>
      <c r="G221" s="154"/>
      <c r="H221" s="168"/>
      <c r="I221" s="324"/>
      <c r="J221" s="154"/>
      <c r="K221" s="168"/>
      <c r="L221" s="324"/>
      <c r="M221" s="330"/>
      <c r="N221" s="331"/>
      <c r="O221" s="332"/>
      <c r="P221" s="330"/>
      <c r="Q221" s="331"/>
      <c r="R221" s="332"/>
      <c r="S221" s="330"/>
      <c r="T221" s="331"/>
      <c r="U221" s="332"/>
      <c r="V221" s="154"/>
      <c r="W221" s="331"/>
      <c r="X221" s="324"/>
      <c r="Y221" s="205"/>
      <c r="Z221" s="205"/>
      <c r="AA221" s="205"/>
      <c r="AB221" s="17"/>
      <c r="AC221" s="17"/>
      <c r="AD221" s="17"/>
      <c r="AE221" s="17"/>
    </row>
    <row r="222">
      <c r="A222" s="154"/>
      <c r="B222" s="168"/>
      <c r="C222" s="324"/>
      <c r="D222" s="154"/>
      <c r="E222" s="168"/>
      <c r="F222" s="324"/>
      <c r="G222" s="154"/>
      <c r="H222" s="168"/>
      <c r="I222" s="324"/>
      <c r="J222" s="154"/>
      <c r="K222" s="168"/>
      <c r="L222" s="324"/>
      <c r="M222" s="330"/>
      <c r="N222" s="331"/>
      <c r="O222" s="332"/>
      <c r="P222" s="330"/>
      <c r="Q222" s="331"/>
      <c r="R222" s="332"/>
      <c r="S222" s="330"/>
      <c r="T222" s="331"/>
      <c r="U222" s="332"/>
      <c r="V222" s="154"/>
      <c r="W222" s="331"/>
      <c r="X222" s="324"/>
      <c r="Y222" s="205"/>
      <c r="Z222" s="205"/>
      <c r="AA222" s="205"/>
      <c r="AB222" s="17"/>
      <c r="AC222" s="17"/>
      <c r="AD222" s="17"/>
      <c r="AE222" s="17"/>
    </row>
    <row r="223">
      <c r="A223" s="154"/>
      <c r="B223" s="168"/>
      <c r="C223" s="324"/>
      <c r="D223" s="154"/>
      <c r="E223" s="168"/>
      <c r="F223" s="324"/>
      <c r="G223" s="154"/>
      <c r="H223" s="168"/>
      <c r="I223" s="324"/>
      <c r="J223" s="154"/>
      <c r="K223" s="168"/>
      <c r="L223" s="324"/>
      <c r="M223" s="330"/>
      <c r="N223" s="331"/>
      <c r="O223" s="332"/>
      <c r="P223" s="330"/>
      <c r="Q223" s="331"/>
      <c r="R223" s="332"/>
      <c r="S223" s="330"/>
      <c r="T223" s="331"/>
      <c r="U223" s="332"/>
      <c r="V223" s="154"/>
      <c r="W223" s="331"/>
      <c r="X223" s="324"/>
      <c r="Y223" s="205"/>
      <c r="Z223" s="205"/>
      <c r="AA223" s="205"/>
      <c r="AB223" s="17"/>
      <c r="AC223" s="17"/>
      <c r="AD223" s="17"/>
      <c r="AE223" s="17"/>
    </row>
    <row r="224">
      <c r="A224" s="154"/>
      <c r="B224" s="168"/>
      <c r="C224" s="324"/>
      <c r="D224" s="154"/>
      <c r="E224" s="168"/>
      <c r="F224" s="324"/>
      <c r="G224" s="154"/>
      <c r="H224" s="168"/>
      <c r="I224" s="324"/>
      <c r="J224" s="154"/>
      <c r="K224" s="168"/>
      <c r="L224" s="324"/>
      <c r="M224" s="330"/>
      <c r="N224" s="331"/>
      <c r="O224" s="332"/>
      <c r="P224" s="330"/>
      <c r="Q224" s="331"/>
      <c r="R224" s="332"/>
      <c r="S224" s="330"/>
      <c r="T224" s="331"/>
      <c r="U224" s="332"/>
      <c r="V224" s="154"/>
      <c r="W224" s="331"/>
      <c r="X224" s="324"/>
      <c r="Y224" s="205"/>
      <c r="Z224" s="205"/>
      <c r="AA224" s="205"/>
      <c r="AB224" s="17"/>
      <c r="AC224" s="17"/>
      <c r="AD224" s="17"/>
      <c r="AE224" s="17"/>
    </row>
    <row r="225">
      <c r="A225" s="154"/>
      <c r="B225" s="168"/>
      <c r="C225" s="324"/>
      <c r="D225" s="154"/>
      <c r="E225" s="168"/>
      <c r="F225" s="324"/>
      <c r="G225" s="154"/>
      <c r="H225" s="168"/>
      <c r="I225" s="324"/>
      <c r="J225" s="154"/>
      <c r="K225" s="168"/>
      <c r="L225" s="324"/>
      <c r="M225" s="330"/>
      <c r="N225" s="331"/>
      <c r="O225" s="332"/>
      <c r="P225" s="330"/>
      <c r="Q225" s="331"/>
      <c r="R225" s="332"/>
      <c r="S225" s="330"/>
      <c r="T225" s="331"/>
      <c r="U225" s="332"/>
      <c r="V225" s="154"/>
      <c r="W225" s="331"/>
      <c r="X225" s="324"/>
      <c r="Y225" s="205"/>
      <c r="Z225" s="205"/>
      <c r="AA225" s="205"/>
      <c r="AB225" s="17"/>
      <c r="AC225" s="17"/>
      <c r="AD225" s="17"/>
      <c r="AE225" s="17"/>
    </row>
    <row r="226">
      <c r="A226" s="154"/>
      <c r="B226" s="168"/>
      <c r="C226" s="324"/>
      <c r="D226" s="154"/>
      <c r="E226" s="168"/>
      <c r="F226" s="324"/>
      <c r="G226" s="154"/>
      <c r="H226" s="168"/>
      <c r="I226" s="324"/>
      <c r="J226" s="154"/>
      <c r="K226" s="168"/>
      <c r="L226" s="324"/>
      <c r="M226" s="330"/>
      <c r="N226" s="331"/>
      <c r="O226" s="332"/>
      <c r="P226" s="330"/>
      <c r="Q226" s="331"/>
      <c r="R226" s="332"/>
      <c r="S226" s="330"/>
      <c r="T226" s="331"/>
      <c r="U226" s="332"/>
      <c r="V226" s="154"/>
      <c r="W226" s="331"/>
      <c r="X226" s="324"/>
      <c r="Y226" s="205"/>
      <c r="Z226" s="205"/>
      <c r="AA226" s="205"/>
      <c r="AB226" s="17"/>
      <c r="AC226" s="17"/>
      <c r="AD226" s="17"/>
      <c r="AE226" s="17"/>
    </row>
    <row r="227">
      <c r="A227" s="154"/>
      <c r="B227" s="168"/>
      <c r="C227" s="324"/>
      <c r="D227" s="154"/>
      <c r="E227" s="168"/>
      <c r="F227" s="324"/>
      <c r="G227" s="154"/>
      <c r="H227" s="168"/>
      <c r="I227" s="324"/>
      <c r="J227" s="154"/>
      <c r="K227" s="168"/>
      <c r="L227" s="324"/>
      <c r="M227" s="330"/>
      <c r="N227" s="331"/>
      <c r="O227" s="332"/>
      <c r="P227" s="330"/>
      <c r="Q227" s="331"/>
      <c r="R227" s="332"/>
      <c r="S227" s="330"/>
      <c r="T227" s="331"/>
      <c r="U227" s="332"/>
      <c r="V227" s="154"/>
      <c r="W227" s="331"/>
      <c r="X227" s="324"/>
      <c r="Y227" s="205"/>
      <c r="Z227" s="205"/>
      <c r="AA227" s="205"/>
      <c r="AB227" s="17"/>
      <c r="AC227" s="17"/>
      <c r="AD227" s="17"/>
      <c r="AE227" s="17"/>
    </row>
    <row r="228">
      <c r="A228" s="154"/>
      <c r="B228" s="168"/>
      <c r="C228" s="324"/>
      <c r="D228" s="154"/>
      <c r="E228" s="168"/>
      <c r="F228" s="324"/>
      <c r="G228" s="154"/>
      <c r="H228" s="168"/>
      <c r="I228" s="324"/>
      <c r="J228" s="154"/>
      <c r="K228" s="168"/>
      <c r="L228" s="324"/>
      <c r="M228" s="330"/>
      <c r="N228" s="331"/>
      <c r="O228" s="332"/>
      <c r="P228" s="330"/>
      <c r="Q228" s="331"/>
      <c r="R228" s="332"/>
      <c r="S228" s="330"/>
      <c r="T228" s="331"/>
      <c r="U228" s="332"/>
      <c r="V228" s="154"/>
      <c r="W228" s="331"/>
      <c r="X228" s="324"/>
      <c r="Y228" s="205"/>
      <c r="Z228" s="205"/>
      <c r="AA228" s="205"/>
      <c r="AB228" s="17"/>
      <c r="AC228" s="17"/>
      <c r="AD228" s="17"/>
      <c r="AE228" s="17"/>
    </row>
    <row r="229">
      <c r="A229" s="154"/>
      <c r="B229" s="168"/>
      <c r="C229" s="324"/>
      <c r="D229" s="154"/>
      <c r="E229" s="168"/>
      <c r="F229" s="324"/>
      <c r="G229" s="154"/>
      <c r="H229" s="168"/>
      <c r="I229" s="324"/>
      <c r="J229" s="154"/>
      <c r="K229" s="168"/>
      <c r="L229" s="324"/>
      <c r="M229" s="330"/>
      <c r="N229" s="331"/>
      <c r="O229" s="332"/>
      <c r="P229" s="330"/>
      <c r="Q229" s="331"/>
      <c r="R229" s="332"/>
      <c r="S229" s="330"/>
      <c r="T229" s="331"/>
      <c r="U229" s="332"/>
      <c r="V229" s="154"/>
      <c r="W229" s="331"/>
      <c r="X229" s="324"/>
      <c r="Y229" s="205"/>
      <c r="Z229" s="205"/>
      <c r="AA229" s="205"/>
      <c r="AB229" s="17"/>
      <c r="AC229" s="17"/>
      <c r="AD229" s="17"/>
      <c r="AE229" s="17"/>
    </row>
    <row r="230">
      <c r="A230" s="154"/>
      <c r="B230" s="168"/>
      <c r="C230" s="324"/>
      <c r="D230" s="154"/>
      <c r="E230" s="168"/>
      <c r="F230" s="324"/>
      <c r="G230" s="154"/>
      <c r="H230" s="168"/>
      <c r="I230" s="324"/>
      <c r="J230" s="154"/>
      <c r="K230" s="168"/>
      <c r="L230" s="324"/>
      <c r="M230" s="330"/>
      <c r="N230" s="331"/>
      <c r="O230" s="332"/>
      <c r="P230" s="330"/>
      <c r="Q230" s="331"/>
      <c r="R230" s="332"/>
      <c r="S230" s="330"/>
      <c r="T230" s="331"/>
      <c r="U230" s="332"/>
      <c r="V230" s="154"/>
      <c r="W230" s="331"/>
      <c r="X230" s="324"/>
      <c r="Y230" s="205"/>
      <c r="Z230" s="205"/>
      <c r="AA230" s="205"/>
      <c r="AB230" s="17"/>
      <c r="AC230" s="17"/>
      <c r="AD230" s="17"/>
      <c r="AE230" s="17"/>
    </row>
    <row r="231">
      <c r="A231" s="154"/>
      <c r="B231" s="168"/>
      <c r="C231" s="324"/>
      <c r="D231" s="154"/>
      <c r="E231" s="168"/>
      <c r="F231" s="324"/>
      <c r="G231" s="154"/>
      <c r="H231" s="168"/>
      <c r="I231" s="324"/>
      <c r="J231" s="154"/>
      <c r="K231" s="168"/>
      <c r="L231" s="324"/>
      <c r="M231" s="330"/>
      <c r="N231" s="331"/>
      <c r="O231" s="332"/>
      <c r="P231" s="330"/>
      <c r="Q231" s="331"/>
      <c r="R231" s="332"/>
      <c r="S231" s="330"/>
      <c r="T231" s="331"/>
      <c r="U231" s="332"/>
      <c r="V231" s="154"/>
      <c r="W231" s="331"/>
      <c r="X231" s="324"/>
      <c r="Y231" s="205"/>
      <c r="Z231" s="205"/>
      <c r="AA231" s="205"/>
      <c r="AB231" s="17"/>
      <c r="AC231" s="17"/>
      <c r="AD231" s="17"/>
      <c r="AE231" s="17"/>
    </row>
    <row r="232">
      <c r="A232" s="154"/>
      <c r="B232" s="168"/>
      <c r="C232" s="324"/>
      <c r="D232" s="154"/>
      <c r="E232" s="168"/>
      <c r="F232" s="324"/>
      <c r="G232" s="154"/>
      <c r="H232" s="168"/>
      <c r="I232" s="324"/>
      <c r="J232" s="154"/>
      <c r="K232" s="168"/>
      <c r="L232" s="324"/>
      <c r="M232" s="330"/>
      <c r="N232" s="331"/>
      <c r="O232" s="332"/>
      <c r="P232" s="330"/>
      <c r="Q232" s="331"/>
      <c r="R232" s="332"/>
      <c r="S232" s="330"/>
      <c r="T232" s="331"/>
      <c r="U232" s="332"/>
      <c r="V232" s="154"/>
      <c r="W232" s="331"/>
      <c r="X232" s="324"/>
      <c r="Y232" s="205"/>
      <c r="Z232" s="205"/>
      <c r="AA232" s="205"/>
      <c r="AB232" s="17"/>
      <c r="AC232" s="17"/>
      <c r="AD232" s="17"/>
      <c r="AE232" s="17"/>
    </row>
    <row r="233">
      <c r="A233" s="154"/>
      <c r="B233" s="168"/>
      <c r="C233" s="324"/>
      <c r="D233" s="154"/>
      <c r="E233" s="168"/>
      <c r="F233" s="324"/>
      <c r="G233" s="154"/>
      <c r="H233" s="168"/>
      <c r="I233" s="324"/>
      <c r="J233" s="154"/>
      <c r="K233" s="168"/>
      <c r="L233" s="324"/>
      <c r="M233" s="330"/>
      <c r="N233" s="331"/>
      <c r="O233" s="332"/>
      <c r="P233" s="330"/>
      <c r="Q233" s="331"/>
      <c r="R233" s="332"/>
      <c r="S233" s="330"/>
      <c r="T233" s="331"/>
      <c r="U233" s="332"/>
      <c r="V233" s="154"/>
      <c r="W233" s="331"/>
      <c r="X233" s="324"/>
      <c r="Y233" s="205"/>
      <c r="Z233" s="205"/>
      <c r="AA233" s="205"/>
      <c r="AB233" s="17"/>
      <c r="AC233" s="17"/>
      <c r="AD233" s="17"/>
      <c r="AE233" s="17"/>
    </row>
    <row r="234">
      <c r="A234" s="154"/>
      <c r="B234" s="168"/>
      <c r="C234" s="324"/>
      <c r="D234" s="154"/>
      <c r="E234" s="168"/>
      <c r="F234" s="324"/>
      <c r="G234" s="154"/>
      <c r="H234" s="168"/>
      <c r="I234" s="324"/>
      <c r="J234" s="154"/>
      <c r="K234" s="168"/>
      <c r="L234" s="324"/>
      <c r="M234" s="330"/>
      <c r="N234" s="331"/>
      <c r="O234" s="332"/>
      <c r="P234" s="330"/>
      <c r="Q234" s="331"/>
      <c r="R234" s="332"/>
      <c r="S234" s="330"/>
      <c r="T234" s="331"/>
      <c r="U234" s="332"/>
      <c r="V234" s="154"/>
      <c r="W234" s="331"/>
      <c r="X234" s="324"/>
      <c r="Y234" s="205"/>
      <c r="Z234" s="205"/>
      <c r="AA234" s="205"/>
      <c r="AB234" s="17"/>
      <c r="AC234" s="17"/>
      <c r="AD234" s="17"/>
      <c r="AE234" s="17"/>
    </row>
    <row r="235">
      <c r="A235" s="154"/>
      <c r="B235" s="168"/>
      <c r="C235" s="324"/>
      <c r="D235" s="154"/>
      <c r="E235" s="168"/>
      <c r="F235" s="324"/>
      <c r="G235" s="154"/>
      <c r="H235" s="168"/>
      <c r="I235" s="324"/>
      <c r="J235" s="154"/>
      <c r="K235" s="168"/>
      <c r="L235" s="324"/>
      <c r="M235" s="330"/>
      <c r="N235" s="331"/>
      <c r="O235" s="332"/>
      <c r="P235" s="330"/>
      <c r="Q235" s="331"/>
      <c r="R235" s="332"/>
      <c r="S235" s="330"/>
      <c r="T235" s="331"/>
      <c r="U235" s="332"/>
      <c r="V235" s="154"/>
      <c r="W235" s="331"/>
      <c r="X235" s="324"/>
      <c r="Y235" s="205"/>
      <c r="Z235" s="205"/>
      <c r="AA235" s="205"/>
      <c r="AB235" s="17"/>
      <c r="AC235" s="17"/>
      <c r="AD235" s="17"/>
      <c r="AE235" s="17"/>
    </row>
    <row r="236">
      <c r="A236" s="154"/>
      <c r="B236" s="168"/>
      <c r="C236" s="324"/>
      <c r="D236" s="154"/>
      <c r="E236" s="168"/>
      <c r="F236" s="324"/>
      <c r="G236" s="154"/>
      <c r="H236" s="168"/>
      <c r="I236" s="324"/>
      <c r="J236" s="154"/>
      <c r="K236" s="168"/>
      <c r="L236" s="324"/>
      <c r="M236" s="330"/>
      <c r="N236" s="331"/>
      <c r="O236" s="332"/>
      <c r="P236" s="330"/>
      <c r="Q236" s="331"/>
      <c r="R236" s="332"/>
      <c r="S236" s="330"/>
      <c r="T236" s="331"/>
      <c r="U236" s="332"/>
      <c r="V236" s="154"/>
      <c r="W236" s="331"/>
      <c r="X236" s="324"/>
      <c r="Y236" s="205"/>
      <c r="Z236" s="205"/>
      <c r="AA236" s="205"/>
      <c r="AB236" s="17"/>
      <c r="AC236" s="17"/>
      <c r="AD236" s="17"/>
      <c r="AE236" s="17"/>
    </row>
    <row r="237">
      <c r="A237" s="154"/>
      <c r="B237" s="168"/>
      <c r="C237" s="324"/>
      <c r="D237" s="154"/>
      <c r="E237" s="168"/>
      <c r="F237" s="324"/>
      <c r="G237" s="154"/>
      <c r="H237" s="168"/>
      <c r="I237" s="324"/>
      <c r="J237" s="154"/>
      <c r="K237" s="168"/>
      <c r="L237" s="324"/>
      <c r="M237" s="330"/>
      <c r="N237" s="331"/>
      <c r="O237" s="332"/>
      <c r="P237" s="330"/>
      <c r="Q237" s="331"/>
      <c r="R237" s="332"/>
      <c r="S237" s="330"/>
      <c r="T237" s="331"/>
      <c r="U237" s="332"/>
      <c r="V237" s="154"/>
      <c r="W237" s="331"/>
      <c r="X237" s="324"/>
      <c r="Y237" s="205"/>
      <c r="Z237" s="205"/>
      <c r="AA237" s="205"/>
      <c r="AB237" s="17"/>
      <c r="AC237" s="17"/>
      <c r="AD237" s="17"/>
      <c r="AE237" s="17"/>
    </row>
    <row r="238">
      <c r="A238" s="154"/>
      <c r="B238" s="168"/>
      <c r="C238" s="324"/>
      <c r="D238" s="154"/>
      <c r="E238" s="168"/>
      <c r="F238" s="324"/>
      <c r="G238" s="154"/>
      <c r="H238" s="168"/>
      <c r="I238" s="324"/>
      <c r="J238" s="154"/>
      <c r="K238" s="168"/>
      <c r="L238" s="324"/>
      <c r="M238" s="330"/>
      <c r="N238" s="331"/>
      <c r="O238" s="332"/>
      <c r="P238" s="330"/>
      <c r="Q238" s="331"/>
      <c r="R238" s="332"/>
      <c r="S238" s="330"/>
      <c r="T238" s="331"/>
      <c r="U238" s="332"/>
      <c r="V238" s="154"/>
      <c r="W238" s="331"/>
      <c r="X238" s="324"/>
      <c r="Y238" s="205"/>
      <c r="Z238" s="205"/>
      <c r="AA238" s="205"/>
      <c r="AB238" s="17"/>
      <c r="AC238" s="17"/>
      <c r="AD238" s="17"/>
      <c r="AE238" s="17"/>
    </row>
    <row r="239">
      <c r="A239" s="154"/>
      <c r="B239" s="168"/>
      <c r="C239" s="324"/>
      <c r="D239" s="154"/>
      <c r="E239" s="168"/>
      <c r="F239" s="324"/>
      <c r="G239" s="154"/>
      <c r="H239" s="168"/>
      <c r="I239" s="324"/>
      <c r="J239" s="154"/>
      <c r="K239" s="168"/>
      <c r="L239" s="324"/>
      <c r="M239" s="330"/>
      <c r="N239" s="331"/>
      <c r="O239" s="332"/>
      <c r="P239" s="330"/>
      <c r="Q239" s="331"/>
      <c r="R239" s="332"/>
      <c r="S239" s="330"/>
      <c r="T239" s="331"/>
      <c r="U239" s="332"/>
      <c r="V239" s="154"/>
      <c r="W239" s="331"/>
      <c r="X239" s="324"/>
      <c r="Y239" s="205"/>
      <c r="Z239" s="205"/>
      <c r="AA239" s="205"/>
      <c r="AB239" s="17"/>
      <c r="AC239" s="17"/>
      <c r="AD239" s="17"/>
      <c r="AE239" s="17"/>
    </row>
    <row r="240">
      <c r="A240" s="154"/>
      <c r="B240" s="168"/>
      <c r="C240" s="324"/>
      <c r="D240" s="154"/>
      <c r="E240" s="168"/>
      <c r="F240" s="324"/>
      <c r="G240" s="154"/>
      <c r="H240" s="168"/>
      <c r="I240" s="324"/>
      <c r="J240" s="154"/>
      <c r="K240" s="168"/>
      <c r="L240" s="324"/>
      <c r="M240" s="330"/>
      <c r="N240" s="331"/>
      <c r="O240" s="332"/>
      <c r="P240" s="330"/>
      <c r="Q240" s="331"/>
      <c r="R240" s="332"/>
      <c r="S240" s="330"/>
      <c r="T240" s="331"/>
      <c r="U240" s="332"/>
      <c r="V240" s="154"/>
      <c r="W240" s="331"/>
      <c r="X240" s="324"/>
      <c r="Y240" s="205"/>
      <c r="Z240" s="205"/>
      <c r="AA240" s="205"/>
      <c r="AB240" s="17"/>
      <c r="AC240" s="17"/>
      <c r="AD240" s="17"/>
      <c r="AE240" s="17"/>
    </row>
    <row r="241">
      <c r="A241" s="154"/>
      <c r="B241" s="168"/>
      <c r="C241" s="324"/>
      <c r="D241" s="154"/>
      <c r="E241" s="168"/>
      <c r="F241" s="324"/>
      <c r="G241" s="154"/>
      <c r="H241" s="168"/>
      <c r="I241" s="324"/>
      <c r="J241" s="154"/>
      <c r="K241" s="168"/>
      <c r="L241" s="324"/>
      <c r="M241" s="330"/>
      <c r="N241" s="331"/>
      <c r="O241" s="332"/>
      <c r="P241" s="330"/>
      <c r="Q241" s="331"/>
      <c r="R241" s="332"/>
      <c r="S241" s="330"/>
      <c r="T241" s="331"/>
      <c r="U241" s="332"/>
      <c r="V241" s="154"/>
      <c r="W241" s="331"/>
      <c r="X241" s="324"/>
      <c r="Y241" s="205"/>
      <c r="Z241" s="205"/>
      <c r="AA241" s="205"/>
      <c r="AB241" s="17"/>
      <c r="AC241" s="17"/>
      <c r="AD241" s="17"/>
      <c r="AE241" s="17"/>
    </row>
    <row r="242">
      <c r="A242" s="154"/>
      <c r="B242" s="168"/>
      <c r="C242" s="324"/>
      <c r="D242" s="154"/>
      <c r="E242" s="168"/>
      <c r="F242" s="324"/>
      <c r="G242" s="154"/>
      <c r="H242" s="168"/>
      <c r="I242" s="324"/>
      <c r="J242" s="154"/>
      <c r="K242" s="168"/>
      <c r="L242" s="324"/>
      <c r="M242" s="330"/>
      <c r="N242" s="331"/>
      <c r="O242" s="332"/>
      <c r="P242" s="330"/>
      <c r="Q242" s="331"/>
      <c r="R242" s="332"/>
      <c r="S242" s="330"/>
      <c r="T242" s="331"/>
      <c r="U242" s="332"/>
      <c r="V242" s="154"/>
      <c r="W242" s="331"/>
      <c r="X242" s="324"/>
      <c r="Y242" s="205"/>
      <c r="Z242" s="205"/>
      <c r="AA242" s="205"/>
      <c r="AB242" s="17"/>
      <c r="AC242" s="17"/>
      <c r="AD242" s="17"/>
      <c r="AE242" s="17"/>
    </row>
    <row r="243">
      <c r="A243" s="154"/>
      <c r="B243" s="168"/>
      <c r="C243" s="324"/>
      <c r="D243" s="154"/>
      <c r="E243" s="168"/>
      <c r="F243" s="324"/>
      <c r="G243" s="154"/>
      <c r="H243" s="168"/>
      <c r="I243" s="324"/>
      <c r="J243" s="154"/>
      <c r="K243" s="168"/>
      <c r="L243" s="324"/>
      <c r="M243" s="330"/>
      <c r="N243" s="331"/>
      <c r="O243" s="332"/>
      <c r="P243" s="330"/>
      <c r="Q243" s="331"/>
      <c r="R243" s="332"/>
      <c r="S243" s="330"/>
      <c r="T243" s="331"/>
      <c r="U243" s="332"/>
      <c r="V243" s="154"/>
      <c r="W243" s="331"/>
      <c r="X243" s="324"/>
      <c r="Y243" s="205"/>
      <c r="Z243" s="205"/>
      <c r="AA243" s="205"/>
      <c r="AB243" s="17"/>
      <c r="AC243" s="17"/>
      <c r="AD243" s="17"/>
      <c r="AE243" s="17"/>
    </row>
    <row r="244">
      <c r="A244" s="154"/>
      <c r="B244" s="168"/>
      <c r="C244" s="324"/>
      <c r="D244" s="154"/>
      <c r="E244" s="168"/>
      <c r="F244" s="324"/>
      <c r="G244" s="154"/>
      <c r="H244" s="168"/>
      <c r="I244" s="324"/>
      <c r="J244" s="154"/>
      <c r="K244" s="168"/>
      <c r="L244" s="324"/>
      <c r="M244" s="330"/>
      <c r="N244" s="331"/>
      <c r="O244" s="332"/>
      <c r="P244" s="330"/>
      <c r="Q244" s="331"/>
      <c r="R244" s="332"/>
      <c r="S244" s="330"/>
      <c r="T244" s="331"/>
      <c r="U244" s="332"/>
      <c r="V244" s="154"/>
      <c r="W244" s="331"/>
      <c r="X244" s="324"/>
      <c r="Y244" s="205"/>
      <c r="Z244" s="205"/>
      <c r="AA244" s="205"/>
      <c r="AB244" s="17"/>
      <c r="AC244" s="17"/>
      <c r="AD244" s="17"/>
      <c r="AE244" s="17"/>
    </row>
    <row r="245">
      <c r="A245" s="154"/>
      <c r="B245" s="168"/>
      <c r="C245" s="324"/>
      <c r="D245" s="154"/>
      <c r="E245" s="168"/>
      <c r="F245" s="324"/>
      <c r="G245" s="154"/>
      <c r="H245" s="168"/>
      <c r="I245" s="324"/>
      <c r="J245" s="154"/>
      <c r="K245" s="168"/>
      <c r="L245" s="324"/>
      <c r="M245" s="330"/>
      <c r="N245" s="331"/>
      <c r="O245" s="332"/>
      <c r="P245" s="330"/>
      <c r="Q245" s="331"/>
      <c r="R245" s="332"/>
      <c r="S245" s="330"/>
      <c r="T245" s="331"/>
      <c r="U245" s="332"/>
      <c r="V245" s="154"/>
      <c r="W245" s="331"/>
      <c r="X245" s="324"/>
      <c r="Y245" s="205"/>
      <c r="Z245" s="205"/>
      <c r="AA245" s="205"/>
      <c r="AB245" s="17"/>
      <c r="AC245" s="17"/>
      <c r="AD245" s="17"/>
      <c r="AE245" s="17"/>
    </row>
    <row r="246">
      <c r="A246" s="154"/>
      <c r="B246" s="168"/>
      <c r="C246" s="324"/>
      <c r="D246" s="154"/>
      <c r="E246" s="168"/>
      <c r="F246" s="324"/>
      <c r="G246" s="154"/>
      <c r="H246" s="168"/>
      <c r="I246" s="324"/>
      <c r="J246" s="154"/>
      <c r="K246" s="168"/>
      <c r="L246" s="324"/>
      <c r="M246" s="330"/>
      <c r="N246" s="331"/>
      <c r="O246" s="332"/>
      <c r="P246" s="330"/>
      <c r="Q246" s="331"/>
      <c r="R246" s="332"/>
      <c r="S246" s="330"/>
      <c r="T246" s="331"/>
      <c r="U246" s="332"/>
      <c r="V246" s="154"/>
      <c r="W246" s="331"/>
      <c r="X246" s="324"/>
      <c r="Y246" s="205"/>
      <c r="Z246" s="205"/>
      <c r="AA246" s="205"/>
      <c r="AB246" s="17"/>
      <c r="AC246" s="17"/>
      <c r="AD246" s="17"/>
      <c r="AE246" s="17"/>
    </row>
    <row r="247">
      <c r="A247" s="154"/>
      <c r="B247" s="168"/>
      <c r="C247" s="324"/>
      <c r="D247" s="154"/>
      <c r="E247" s="168"/>
      <c r="F247" s="324"/>
      <c r="G247" s="154"/>
      <c r="H247" s="168"/>
      <c r="I247" s="324"/>
      <c r="J247" s="154"/>
      <c r="K247" s="168"/>
      <c r="L247" s="324"/>
      <c r="M247" s="330"/>
      <c r="N247" s="331"/>
      <c r="O247" s="332"/>
      <c r="P247" s="330"/>
      <c r="Q247" s="331"/>
      <c r="R247" s="332"/>
      <c r="S247" s="330"/>
      <c r="T247" s="331"/>
      <c r="U247" s="332"/>
      <c r="V247" s="154"/>
      <c r="W247" s="331"/>
      <c r="X247" s="324"/>
      <c r="Y247" s="205"/>
      <c r="Z247" s="205"/>
      <c r="AA247" s="205"/>
      <c r="AB247" s="17"/>
      <c r="AC247" s="17"/>
      <c r="AD247" s="17"/>
      <c r="AE247" s="17"/>
    </row>
    <row r="248">
      <c r="A248" s="154"/>
      <c r="B248" s="168"/>
      <c r="C248" s="324"/>
      <c r="D248" s="154"/>
      <c r="E248" s="168"/>
      <c r="F248" s="324"/>
      <c r="G248" s="154"/>
      <c r="H248" s="168"/>
      <c r="I248" s="324"/>
      <c r="J248" s="154"/>
      <c r="K248" s="168"/>
      <c r="L248" s="324"/>
      <c r="M248" s="330"/>
      <c r="N248" s="331"/>
      <c r="O248" s="332"/>
      <c r="P248" s="330"/>
      <c r="Q248" s="331"/>
      <c r="R248" s="332"/>
      <c r="S248" s="330"/>
      <c r="T248" s="331"/>
      <c r="U248" s="332"/>
      <c r="V248" s="154"/>
      <c r="W248" s="331"/>
      <c r="X248" s="324"/>
      <c r="Y248" s="205"/>
      <c r="Z248" s="205"/>
      <c r="AA248" s="205"/>
      <c r="AB248" s="17"/>
      <c r="AC248" s="17"/>
      <c r="AD248" s="17"/>
      <c r="AE248" s="17"/>
    </row>
    <row r="249">
      <c r="A249" s="154"/>
      <c r="B249" s="168"/>
      <c r="C249" s="324"/>
      <c r="D249" s="154"/>
      <c r="E249" s="168"/>
      <c r="F249" s="324"/>
      <c r="G249" s="154"/>
      <c r="H249" s="168"/>
      <c r="I249" s="324"/>
      <c r="J249" s="154"/>
      <c r="K249" s="168"/>
      <c r="L249" s="324"/>
      <c r="M249" s="330"/>
      <c r="N249" s="331"/>
      <c r="O249" s="332"/>
      <c r="P249" s="330"/>
      <c r="Q249" s="331"/>
      <c r="R249" s="332"/>
      <c r="S249" s="330"/>
      <c r="T249" s="331"/>
      <c r="U249" s="332"/>
      <c r="V249" s="154"/>
      <c r="W249" s="331"/>
      <c r="X249" s="324"/>
      <c r="Y249" s="205"/>
      <c r="Z249" s="205"/>
      <c r="AA249" s="205"/>
      <c r="AB249" s="17"/>
      <c r="AC249" s="17"/>
      <c r="AD249" s="17"/>
      <c r="AE249" s="17"/>
    </row>
    <row r="250">
      <c r="A250" s="154"/>
      <c r="B250" s="168"/>
      <c r="C250" s="324"/>
      <c r="D250" s="154"/>
      <c r="E250" s="168"/>
      <c r="F250" s="324"/>
      <c r="G250" s="154"/>
      <c r="H250" s="168"/>
      <c r="I250" s="324"/>
      <c r="J250" s="154"/>
      <c r="K250" s="168"/>
      <c r="L250" s="324"/>
      <c r="M250" s="330"/>
      <c r="N250" s="331"/>
      <c r="O250" s="332"/>
      <c r="P250" s="330"/>
      <c r="Q250" s="331"/>
      <c r="R250" s="332"/>
      <c r="S250" s="330"/>
      <c r="T250" s="331"/>
      <c r="U250" s="332"/>
      <c r="V250" s="154"/>
      <c r="W250" s="331"/>
      <c r="X250" s="324"/>
      <c r="Y250" s="205"/>
      <c r="Z250" s="205"/>
      <c r="AA250" s="205"/>
      <c r="AB250" s="17"/>
      <c r="AC250" s="17"/>
      <c r="AD250" s="17"/>
      <c r="AE250" s="17"/>
    </row>
    <row r="251">
      <c r="A251" s="154"/>
      <c r="B251" s="168"/>
      <c r="C251" s="324"/>
      <c r="D251" s="154"/>
      <c r="E251" s="168"/>
      <c r="F251" s="324"/>
      <c r="G251" s="154"/>
      <c r="H251" s="168"/>
      <c r="I251" s="324"/>
      <c r="J251" s="154"/>
      <c r="K251" s="168"/>
      <c r="L251" s="324"/>
      <c r="M251" s="330"/>
      <c r="N251" s="331"/>
      <c r="O251" s="332"/>
      <c r="P251" s="330"/>
      <c r="Q251" s="331"/>
      <c r="R251" s="332"/>
      <c r="S251" s="330"/>
      <c r="T251" s="331"/>
      <c r="U251" s="332"/>
      <c r="V251" s="154"/>
      <c r="W251" s="331"/>
      <c r="X251" s="324"/>
      <c r="Y251" s="205"/>
      <c r="Z251" s="205"/>
      <c r="AA251" s="205"/>
      <c r="AB251" s="17"/>
      <c r="AC251" s="17"/>
      <c r="AD251" s="17"/>
      <c r="AE251" s="17"/>
    </row>
    <row r="252">
      <c r="A252" s="154"/>
      <c r="B252" s="168"/>
      <c r="C252" s="324"/>
      <c r="D252" s="154"/>
      <c r="E252" s="168"/>
      <c r="F252" s="324"/>
      <c r="G252" s="154"/>
      <c r="H252" s="168"/>
      <c r="I252" s="324"/>
      <c r="J252" s="154"/>
      <c r="K252" s="168"/>
      <c r="L252" s="324"/>
      <c r="M252" s="330"/>
      <c r="N252" s="331"/>
      <c r="O252" s="332"/>
      <c r="P252" s="330"/>
      <c r="Q252" s="331"/>
      <c r="R252" s="332"/>
      <c r="S252" s="330"/>
      <c r="T252" s="331"/>
      <c r="U252" s="332"/>
      <c r="V252" s="154"/>
      <c r="W252" s="331"/>
      <c r="X252" s="324"/>
      <c r="Y252" s="205"/>
      <c r="Z252" s="205"/>
      <c r="AA252" s="205"/>
      <c r="AB252" s="17"/>
      <c r="AC252" s="17"/>
      <c r="AD252" s="17"/>
      <c r="AE252" s="17"/>
    </row>
    <row r="253">
      <c r="A253" s="154"/>
      <c r="B253" s="168"/>
      <c r="C253" s="324"/>
      <c r="D253" s="154"/>
      <c r="E253" s="168"/>
      <c r="F253" s="324"/>
      <c r="G253" s="154"/>
      <c r="H253" s="168"/>
      <c r="I253" s="324"/>
      <c r="J253" s="154"/>
      <c r="K253" s="168"/>
      <c r="L253" s="324"/>
      <c r="M253" s="330"/>
      <c r="N253" s="331"/>
      <c r="O253" s="332"/>
      <c r="P253" s="330"/>
      <c r="Q253" s="331"/>
      <c r="R253" s="332"/>
      <c r="S253" s="330"/>
      <c r="T253" s="331"/>
      <c r="U253" s="332"/>
      <c r="V253" s="154"/>
      <c r="W253" s="331"/>
      <c r="X253" s="324"/>
      <c r="Y253" s="205"/>
      <c r="Z253" s="205"/>
      <c r="AA253" s="205"/>
      <c r="AB253" s="17"/>
      <c r="AC253" s="17"/>
      <c r="AD253" s="17"/>
      <c r="AE253" s="17"/>
    </row>
    <row r="254">
      <c r="A254" s="154"/>
      <c r="B254" s="168"/>
      <c r="C254" s="324"/>
      <c r="D254" s="154"/>
      <c r="E254" s="168"/>
      <c r="F254" s="324"/>
      <c r="G254" s="154"/>
      <c r="H254" s="168"/>
      <c r="I254" s="324"/>
      <c r="J254" s="154"/>
      <c r="K254" s="168"/>
      <c r="L254" s="324"/>
      <c r="M254" s="330"/>
      <c r="N254" s="331"/>
      <c r="O254" s="332"/>
      <c r="P254" s="330"/>
      <c r="Q254" s="331"/>
      <c r="R254" s="332"/>
      <c r="S254" s="330"/>
      <c r="T254" s="331"/>
      <c r="U254" s="332"/>
      <c r="V254" s="154"/>
      <c r="W254" s="331"/>
      <c r="X254" s="324"/>
      <c r="Y254" s="205"/>
      <c r="Z254" s="205"/>
      <c r="AA254" s="205"/>
      <c r="AB254" s="17"/>
      <c r="AC254" s="17"/>
      <c r="AD254" s="17"/>
      <c r="AE254" s="17"/>
    </row>
    <row r="255">
      <c r="A255" s="154"/>
      <c r="B255" s="168"/>
      <c r="C255" s="324"/>
      <c r="D255" s="154"/>
      <c r="E255" s="168"/>
      <c r="F255" s="324"/>
      <c r="G255" s="154"/>
      <c r="H255" s="168"/>
      <c r="I255" s="324"/>
      <c r="J255" s="154"/>
      <c r="K255" s="168"/>
      <c r="L255" s="324"/>
      <c r="M255" s="330"/>
      <c r="N255" s="331"/>
      <c r="O255" s="332"/>
      <c r="P255" s="330"/>
      <c r="Q255" s="331"/>
      <c r="R255" s="332"/>
      <c r="S255" s="330"/>
      <c r="T255" s="331"/>
      <c r="U255" s="332"/>
      <c r="V255" s="154"/>
      <c r="W255" s="331"/>
      <c r="X255" s="324"/>
      <c r="Y255" s="205"/>
      <c r="Z255" s="205"/>
      <c r="AA255" s="205"/>
      <c r="AB255" s="17"/>
      <c r="AC255" s="17"/>
      <c r="AD255" s="17"/>
      <c r="AE255" s="17"/>
    </row>
    <row r="256">
      <c r="A256" s="154"/>
      <c r="B256" s="168"/>
      <c r="C256" s="324"/>
      <c r="D256" s="154"/>
      <c r="E256" s="168"/>
      <c r="F256" s="324"/>
      <c r="G256" s="154"/>
      <c r="H256" s="168"/>
      <c r="I256" s="324"/>
      <c r="J256" s="154"/>
      <c r="K256" s="168"/>
      <c r="L256" s="324"/>
      <c r="M256" s="330"/>
      <c r="N256" s="331"/>
      <c r="O256" s="332"/>
      <c r="P256" s="330"/>
      <c r="Q256" s="331"/>
      <c r="R256" s="332"/>
      <c r="S256" s="330"/>
      <c r="T256" s="331"/>
      <c r="U256" s="332"/>
      <c r="V256" s="154"/>
      <c r="W256" s="331"/>
      <c r="X256" s="324"/>
      <c r="Y256" s="205"/>
      <c r="Z256" s="205"/>
      <c r="AA256" s="205"/>
      <c r="AB256" s="17"/>
      <c r="AC256" s="17"/>
      <c r="AD256" s="17"/>
      <c r="AE256" s="17"/>
    </row>
    <row r="257">
      <c r="A257" s="154"/>
      <c r="B257" s="168"/>
      <c r="C257" s="324"/>
      <c r="D257" s="154"/>
      <c r="E257" s="168"/>
      <c r="F257" s="324"/>
      <c r="G257" s="154"/>
      <c r="H257" s="168"/>
      <c r="I257" s="324"/>
      <c r="J257" s="154"/>
      <c r="K257" s="168"/>
      <c r="L257" s="324"/>
      <c r="M257" s="330"/>
      <c r="N257" s="331"/>
      <c r="O257" s="332"/>
      <c r="P257" s="330"/>
      <c r="Q257" s="331"/>
      <c r="R257" s="332"/>
      <c r="S257" s="330"/>
      <c r="T257" s="331"/>
      <c r="U257" s="332"/>
      <c r="V257" s="154"/>
      <c r="W257" s="331"/>
      <c r="X257" s="324"/>
      <c r="Y257" s="205"/>
      <c r="Z257" s="205"/>
      <c r="AA257" s="205"/>
      <c r="AB257" s="17"/>
      <c r="AC257" s="17"/>
      <c r="AD257" s="17"/>
      <c r="AE257" s="17"/>
    </row>
    <row r="258">
      <c r="A258" s="154"/>
      <c r="B258" s="168"/>
      <c r="C258" s="324"/>
      <c r="D258" s="154"/>
      <c r="E258" s="168"/>
      <c r="F258" s="324"/>
      <c r="G258" s="154"/>
      <c r="H258" s="168"/>
      <c r="I258" s="324"/>
      <c r="J258" s="154"/>
      <c r="K258" s="168"/>
      <c r="L258" s="324"/>
      <c r="M258" s="330"/>
      <c r="N258" s="331"/>
      <c r="O258" s="332"/>
      <c r="P258" s="330"/>
      <c r="Q258" s="331"/>
      <c r="R258" s="332"/>
      <c r="S258" s="330"/>
      <c r="T258" s="331"/>
      <c r="U258" s="332"/>
      <c r="V258" s="154"/>
      <c r="W258" s="331"/>
      <c r="X258" s="324"/>
      <c r="Y258" s="205"/>
      <c r="Z258" s="205"/>
      <c r="AA258" s="205"/>
      <c r="AB258" s="17"/>
      <c r="AC258" s="17"/>
      <c r="AD258" s="17"/>
      <c r="AE258" s="17"/>
    </row>
    <row r="259">
      <c r="A259" s="154"/>
      <c r="B259" s="168"/>
      <c r="C259" s="324"/>
      <c r="D259" s="154"/>
      <c r="E259" s="168"/>
      <c r="F259" s="324"/>
      <c r="G259" s="154"/>
      <c r="H259" s="168"/>
      <c r="I259" s="324"/>
      <c r="J259" s="154"/>
      <c r="K259" s="168"/>
      <c r="L259" s="324"/>
      <c r="M259" s="330"/>
      <c r="N259" s="331"/>
      <c r="O259" s="332"/>
      <c r="P259" s="330"/>
      <c r="Q259" s="331"/>
      <c r="R259" s="332"/>
      <c r="S259" s="330"/>
      <c r="T259" s="331"/>
      <c r="U259" s="332"/>
      <c r="V259" s="154"/>
      <c r="W259" s="331"/>
      <c r="X259" s="324"/>
      <c r="Y259" s="205"/>
      <c r="Z259" s="205"/>
      <c r="AA259" s="205"/>
      <c r="AB259" s="17"/>
      <c r="AC259" s="17"/>
      <c r="AD259" s="17"/>
      <c r="AE259" s="17"/>
    </row>
    <row r="260">
      <c r="A260" s="154"/>
      <c r="B260" s="168"/>
      <c r="C260" s="324"/>
      <c r="D260" s="154"/>
      <c r="E260" s="168"/>
      <c r="F260" s="324"/>
      <c r="G260" s="154"/>
      <c r="H260" s="168"/>
      <c r="I260" s="324"/>
      <c r="J260" s="154"/>
      <c r="K260" s="168"/>
      <c r="L260" s="324"/>
      <c r="M260" s="330"/>
      <c r="N260" s="331"/>
      <c r="O260" s="332"/>
      <c r="P260" s="330"/>
      <c r="Q260" s="331"/>
      <c r="R260" s="332"/>
      <c r="S260" s="330"/>
      <c r="T260" s="331"/>
      <c r="U260" s="332"/>
      <c r="V260" s="154"/>
      <c r="W260" s="331"/>
      <c r="X260" s="324"/>
      <c r="Y260" s="205"/>
      <c r="Z260" s="205"/>
      <c r="AA260" s="205"/>
      <c r="AB260" s="17"/>
      <c r="AC260" s="17"/>
      <c r="AD260" s="17"/>
      <c r="AE260" s="17"/>
    </row>
    <row r="261">
      <c r="A261" s="154"/>
      <c r="B261" s="168"/>
      <c r="C261" s="324"/>
      <c r="D261" s="154"/>
      <c r="E261" s="168"/>
      <c r="F261" s="324"/>
      <c r="G261" s="154"/>
      <c r="H261" s="168"/>
      <c r="I261" s="324"/>
      <c r="J261" s="154"/>
      <c r="K261" s="168"/>
      <c r="L261" s="324"/>
      <c r="M261" s="330"/>
      <c r="N261" s="331"/>
      <c r="O261" s="332"/>
      <c r="P261" s="330"/>
      <c r="Q261" s="331"/>
      <c r="R261" s="332"/>
      <c r="S261" s="330"/>
      <c r="T261" s="331"/>
      <c r="U261" s="332"/>
      <c r="V261" s="154"/>
      <c r="W261" s="331"/>
      <c r="X261" s="324"/>
      <c r="Y261" s="205"/>
      <c r="Z261" s="205"/>
      <c r="AA261" s="205"/>
      <c r="AB261" s="17"/>
      <c r="AC261" s="17"/>
      <c r="AD261" s="17"/>
      <c r="AE261" s="17"/>
    </row>
    <row r="262">
      <c r="A262" s="154"/>
      <c r="B262" s="168"/>
      <c r="C262" s="324"/>
      <c r="D262" s="154"/>
      <c r="E262" s="168"/>
      <c r="F262" s="324"/>
      <c r="G262" s="154"/>
      <c r="H262" s="168"/>
      <c r="I262" s="324"/>
      <c r="J262" s="154"/>
      <c r="K262" s="168"/>
      <c r="L262" s="324"/>
      <c r="M262" s="330"/>
      <c r="N262" s="331"/>
      <c r="O262" s="332"/>
      <c r="P262" s="330"/>
      <c r="Q262" s="331"/>
      <c r="R262" s="332"/>
      <c r="S262" s="330"/>
      <c r="T262" s="331"/>
      <c r="U262" s="332"/>
      <c r="V262" s="154"/>
      <c r="W262" s="331"/>
      <c r="X262" s="324"/>
      <c r="Y262" s="205"/>
      <c r="Z262" s="205"/>
      <c r="AA262" s="205"/>
      <c r="AB262" s="17"/>
      <c r="AC262" s="17"/>
      <c r="AD262" s="17"/>
      <c r="AE262" s="17"/>
    </row>
    <row r="263">
      <c r="A263" s="154"/>
      <c r="B263" s="168"/>
      <c r="C263" s="324"/>
      <c r="D263" s="154"/>
      <c r="E263" s="168"/>
      <c r="F263" s="324"/>
      <c r="G263" s="154"/>
      <c r="H263" s="168"/>
      <c r="I263" s="324"/>
      <c r="J263" s="154"/>
      <c r="K263" s="168"/>
      <c r="L263" s="324"/>
      <c r="M263" s="330"/>
      <c r="N263" s="331"/>
      <c r="O263" s="332"/>
      <c r="P263" s="330"/>
      <c r="Q263" s="331"/>
      <c r="R263" s="332"/>
      <c r="S263" s="330"/>
      <c r="T263" s="331"/>
      <c r="U263" s="332"/>
      <c r="V263" s="154"/>
      <c r="W263" s="331"/>
      <c r="X263" s="324"/>
      <c r="Y263" s="205"/>
      <c r="Z263" s="205"/>
      <c r="AA263" s="205"/>
      <c r="AB263" s="17"/>
      <c r="AC263" s="17"/>
      <c r="AD263" s="17"/>
      <c r="AE263" s="17"/>
    </row>
    <row r="264">
      <c r="A264" s="154"/>
      <c r="B264" s="168"/>
      <c r="C264" s="324"/>
      <c r="D264" s="154"/>
      <c r="E264" s="168"/>
      <c r="F264" s="324"/>
      <c r="G264" s="154"/>
      <c r="H264" s="168"/>
      <c r="I264" s="324"/>
      <c r="J264" s="154"/>
      <c r="K264" s="168"/>
      <c r="L264" s="324"/>
      <c r="M264" s="330"/>
      <c r="N264" s="331"/>
      <c r="O264" s="332"/>
      <c r="P264" s="330"/>
      <c r="Q264" s="331"/>
      <c r="R264" s="332"/>
      <c r="S264" s="330"/>
      <c r="T264" s="331"/>
      <c r="U264" s="332"/>
      <c r="V264" s="154"/>
      <c r="W264" s="331"/>
      <c r="X264" s="324"/>
      <c r="Y264" s="205"/>
      <c r="Z264" s="205"/>
      <c r="AA264" s="205"/>
      <c r="AB264" s="17"/>
      <c r="AC264" s="17"/>
      <c r="AD264" s="17"/>
      <c r="AE264" s="17"/>
    </row>
    <row r="265">
      <c r="A265" s="154"/>
      <c r="B265" s="168"/>
      <c r="C265" s="324"/>
      <c r="D265" s="154"/>
      <c r="E265" s="168"/>
      <c r="F265" s="324"/>
      <c r="G265" s="154"/>
      <c r="H265" s="168"/>
      <c r="I265" s="324"/>
      <c r="J265" s="154"/>
      <c r="K265" s="168"/>
      <c r="L265" s="324"/>
      <c r="M265" s="330"/>
      <c r="N265" s="331"/>
      <c r="O265" s="332"/>
      <c r="P265" s="330"/>
      <c r="Q265" s="331"/>
      <c r="R265" s="332"/>
      <c r="S265" s="330"/>
      <c r="T265" s="331"/>
      <c r="U265" s="332"/>
      <c r="V265" s="154"/>
      <c r="W265" s="331"/>
      <c r="X265" s="324"/>
      <c r="Y265" s="205"/>
      <c r="Z265" s="205"/>
      <c r="AA265" s="205"/>
      <c r="AB265" s="17"/>
      <c r="AC265" s="17"/>
      <c r="AD265" s="17"/>
      <c r="AE265" s="17"/>
    </row>
    <row r="266">
      <c r="A266" s="154"/>
      <c r="B266" s="168"/>
      <c r="C266" s="324"/>
      <c r="D266" s="154"/>
      <c r="E266" s="168"/>
      <c r="F266" s="324"/>
      <c r="G266" s="154"/>
      <c r="H266" s="168"/>
      <c r="I266" s="324"/>
      <c r="J266" s="154"/>
      <c r="K266" s="168"/>
      <c r="L266" s="324"/>
      <c r="M266" s="330"/>
      <c r="N266" s="331"/>
      <c r="O266" s="332"/>
      <c r="P266" s="330"/>
      <c r="Q266" s="331"/>
      <c r="R266" s="332"/>
      <c r="S266" s="330"/>
      <c r="T266" s="331"/>
      <c r="U266" s="332"/>
      <c r="V266" s="154"/>
      <c r="W266" s="331"/>
      <c r="X266" s="324"/>
      <c r="Y266" s="205"/>
      <c r="Z266" s="205"/>
      <c r="AA266" s="205"/>
      <c r="AB266" s="17"/>
      <c r="AC266" s="17"/>
      <c r="AD266" s="17"/>
      <c r="AE266" s="17"/>
    </row>
    <row r="267">
      <c r="A267" s="154"/>
      <c r="B267" s="168"/>
      <c r="C267" s="324"/>
      <c r="D267" s="154"/>
      <c r="E267" s="168"/>
      <c r="F267" s="324"/>
      <c r="G267" s="154"/>
      <c r="H267" s="168"/>
      <c r="I267" s="324"/>
      <c r="J267" s="154"/>
      <c r="K267" s="168"/>
      <c r="L267" s="324"/>
      <c r="M267" s="330"/>
      <c r="N267" s="331"/>
      <c r="O267" s="332"/>
      <c r="P267" s="330"/>
      <c r="Q267" s="331"/>
      <c r="R267" s="332"/>
      <c r="S267" s="330"/>
      <c r="T267" s="331"/>
      <c r="U267" s="332"/>
      <c r="V267" s="154"/>
      <c r="W267" s="331"/>
      <c r="X267" s="324"/>
      <c r="Y267" s="205"/>
      <c r="Z267" s="205"/>
      <c r="AA267" s="205"/>
      <c r="AB267" s="17"/>
      <c r="AC267" s="17"/>
      <c r="AD267" s="17"/>
      <c r="AE267" s="17"/>
    </row>
    <row r="268">
      <c r="A268" s="154"/>
      <c r="B268" s="168"/>
      <c r="C268" s="324"/>
      <c r="D268" s="154"/>
      <c r="E268" s="168"/>
      <c r="F268" s="324"/>
      <c r="G268" s="154"/>
      <c r="H268" s="168"/>
      <c r="I268" s="324"/>
      <c r="J268" s="154"/>
      <c r="K268" s="168"/>
      <c r="L268" s="324"/>
      <c r="M268" s="330"/>
      <c r="N268" s="331"/>
      <c r="O268" s="332"/>
      <c r="P268" s="330"/>
      <c r="Q268" s="331"/>
      <c r="R268" s="332"/>
      <c r="S268" s="330"/>
      <c r="T268" s="331"/>
      <c r="U268" s="332"/>
      <c r="V268" s="154"/>
      <c r="W268" s="331"/>
      <c r="X268" s="324"/>
      <c r="Y268" s="205"/>
      <c r="Z268" s="205"/>
      <c r="AA268" s="205"/>
      <c r="AB268" s="17"/>
      <c r="AC268" s="17"/>
      <c r="AD268" s="17"/>
      <c r="AE268" s="17"/>
    </row>
    <row r="269">
      <c r="A269" s="154"/>
      <c r="B269" s="168"/>
      <c r="C269" s="324"/>
      <c r="D269" s="154"/>
      <c r="E269" s="168"/>
      <c r="F269" s="324"/>
      <c r="G269" s="154"/>
      <c r="H269" s="168"/>
      <c r="I269" s="324"/>
      <c r="J269" s="154"/>
      <c r="K269" s="168"/>
      <c r="L269" s="324"/>
      <c r="M269" s="330"/>
      <c r="N269" s="331"/>
      <c r="O269" s="332"/>
      <c r="P269" s="330"/>
      <c r="Q269" s="331"/>
      <c r="R269" s="332"/>
      <c r="S269" s="330"/>
      <c r="T269" s="331"/>
      <c r="U269" s="332"/>
      <c r="V269" s="154"/>
      <c r="W269" s="331"/>
      <c r="X269" s="324"/>
      <c r="Y269" s="205"/>
      <c r="Z269" s="205"/>
      <c r="AA269" s="205"/>
      <c r="AB269" s="17"/>
      <c r="AC269" s="17"/>
      <c r="AD269" s="17"/>
      <c r="AE269" s="17"/>
    </row>
    <row r="270">
      <c r="A270" s="154"/>
      <c r="B270" s="168"/>
      <c r="C270" s="324"/>
      <c r="D270" s="154"/>
      <c r="E270" s="168"/>
      <c r="F270" s="324"/>
      <c r="G270" s="154"/>
      <c r="H270" s="168"/>
      <c r="I270" s="324"/>
      <c r="J270" s="154"/>
      <c r="K270" s="168"/>
      <c r="L270" s="324"/>
      <c r="M270" s="330"/>
      <c r="N270" s="331"/>
      <c r="O270" s="332"/>
      <c r="P270" s="330"/>
      <c r="Q270" s="331"/>
      <c r="R270" s="332"/>
      <c r="S270" s="330"/>
      <c r="T270" s="331"/>
      <c r="U270" s="332"/>
      <c r="V270" s="154"/>
      <c r="W270" s="331"/>
      <c r="X270" s="324"/>
      <c r="Y270" s="205"/>
      <c r="Z270" s="205"/>
      <c r="AA270" s="205"/>
      <c r="AB270" s="17"/>
      <c r="AC270" s="17"/>
      <c r="AD270" s="17"/>
      <c r="AE270" s="17"/>
    </row>
    <row r="271">
      <c r="A271" s="154"/>
      <c r="B271" s="168"/>
      <c r="C271" s="324"/>
      <c r="D271" s="154"/>
      <c r="E271" s="168"/>
      <c r="F271" s="324"/>
      <c r="G271" s="154"/>
      <c r="H271" s="168"/>
      <c r="I271" s="324"/>
      <c r="J271" s="154"/>
      <c r="K271" s="168"/>
      <c r="L271" s="324"/>
      <c r="M271" s="330"/>
      <c r="N271" s="331"/>
      <c r="O271" s="332"/>
      <c r="P271" s="330"/>
      <c r="Q271" s="331"/>
      <c r="R271" s="332"/>
      <c r="S271" s="330"/>
      <c r="T271" s="331"/>
      <c r="U271" s="332"/>
      <c r="V271" s="154"/>
      <c r="W271" s="331"/>
      <c r="X271" s="324"/>
      <c r="Y271" s="205"/>
      <c r="Z271" s="205"/>
      <c r="AA271" s="205"/>
      <c r="AB271" s="17"/>
      <c r="AC271" s="17"/>
      <c r="AD271" s="17"/>
      <c r="AE271" s="17"/>
    </row>
    <row r="272">
      <c r="A272" s="154"/>
      <c r="B272" s="168"/>
      <c r="C272" s="324"/>
      <c r="D272" s="154"/>
      <c r="E272" s="168"/>
      <c r="F272" s="324"/>
      <c r="G272" s="154"/>
      <c r="H272" s="168"/>
      <c r="I272" s="324"/>
      <c r="J272" s="154"/>
      <c r="K272" s="168"/>
      <c r="L272" s="324"/>
      <c r="M272" s="330"/>
      <c r="N272" s="331"/>
      <c r="O272" s="332"/>
      <c r="P272" s="330"/>
      <c r="Q272" s="331"/>
      <c r="R272" s="332"/>
      <c r="S272" s="330"/>
      <c r="T272" s="331"/>
      <c r="U272" s="332"/>
      <c r="V272" s="154"/>
      <c r="W272" s="331"/>
      <c r="X272" s="324"/>
      <c r="Y272" s="205"/>
      <c r="Z272" s="205"/>
      <c r="AA272" s="205"/>
      <c r="AB272" s="17"/>
      <c r="AC272" s="17"/>
      <c r="AD272" s="17"/>
      <c r="AE272" s="17"/>
    </row>
    <row r="273">
      <c r="A273" s="154"/>
      <c r="B273" s="168"/>
      <c r="C273" s="324"/>
      <c r="D273" s="154"/>
      <c r="E273" s="168"/>
      <c r="F273" s="324"/>
      <c r="G273" s="154"/>
      <c r="H273" s="168"/>
      <c r="I273" s="324"/>
      <c r="J273" s="154"/>
      <c r="K273" s="168"/>
      <c r="L273" s="324"/>
      <c r="M273" s="330"/>
      <c r="N273" s="331"/>
      <c r="O273" s="332"/>
      <c r="P273" s="330"/>
      <c r="Q273" s="331"/>
      <c r="R273" s="332"/>
      <c r="S273" s="330"/>
      <c r="T273" s="331"/>
      <c r="U273" s="332"/>
      <c r="V273" s="154"/>
      <c r="W273" s="331"/>
      <c r="X273" s="324"/>
      <c r="Y273" s="205"/>
      <c r="Z273" s="205"/>
      <c r="AA273" s="205"/>
      <c r="AB273" s="17"/>
      <c r="AC273" s="17"/>
      <c r="AD273" s="17"/>
      <c r="AE273" s="17"/>
    </row>
    <row r="274">
      <c r="A274" s="154"/>
      <c r="B274" s="168"/>
      <c r="C274" s="324"/>
      <c r="D274" s="154"/>
      <c r="E274" s="168"/>
      <c r="F274" s="324"/>
      <c r="G274" s="154"/>
      <c r="H274" s="168"/>
      <c r="I274" s="324"/>
      <c r="J274" s="154"/>
      <c r="K274" s="168"/>
      <c r="L274" s="324"/>
      <c r="M274" s="330"/>
      <c r="N274" s="331"/>
      <c r="O274" s="332"/>
      <c r="P274" s="330"/>
      <c r="Q274" s="331"/>
      <c r="R274" s="332"/>
      <c r="S274" s="330"/>
      <c r="T274" s="331"/>
      <c r="U274" s="332"/>
      <c r="V274" s="154"/>
      <c r="W274" s="331"/>
      <c r="X274" s="324"/>
      <c r="Y274" s="205"/>
      <c r="Z274" s="205"/>
      <c r="AA274" s="205"/>
      <c r="AB274" s="17"/>
      <c r="AC274" s="17"/>
      <c r="AD274" s="17"/>
      <c r="AE274" s="17"/>
    </row>
    <row r="275">
      <c r="A275" s="154"/>
      <c r="B275" s="168"/>
      <c r="C275" s="324"/>
      <c r="D275" s="154"/>
      <c r="E275" s="168"/>
      <c r="F275" s="324"/>
      <c r="G275" s="154"/>
      <c r="H275" s="168"/>
      <c r="I275" s="324"/>
      <c r="J275" s="154"/>
      <c r="K275" s="168"/>
      <c r="L275" s="324"/>
      <c r="M275" s="330"/>
      <c r="N275" s="331"/>
      <c r="O275" s="332"/>
      <c r="P275" s="330"/>
      <c r="Q275" s="331"/>
      <c r="R275" s="332"/>
      <c r="S275" s="330"/>
      <c r="T275" s="331"/>
      <c r="U275" s="332"/>
      <c r="V275" s="154"/>
      <c r="W275" s="331"/>
      <c r="X275" s="324"/>
      <c r="Y275" s="205"/>
      <c r="Z275" s="205"/>
      <c r="AA275" s="205"/>
      <c r="AB275" s="17"/>
      <c r="AC275" s="17"/>
      <c r="AD275" s="17"/>
      <c r="AE275" s="17"/>
    </row>
    <row r="276">
      <c r="A276" s="154"/>
      <c r="B276" s="168"/>
      <c r="C276" s="324"/>
      <c r="D276" s="154"/>
      <c r="E276" s="168"/>
      <c r="F276" s="324"/>
      <c r="G276" s="154"/>
      <c r="H276" s="168"/>
      <c r="I276" s="324"/>
      <c r="J276" s="154"/>
      <c r="K276" s="168"/>
      <c r="L276" s="324"/>
      <c r="M276" s="330"/>
      <c r="N276" s="331"/>
      <c r="O276" s="332"/>
      <c r="P276" s="330"/>
      <c r="Q276" s="331"/>
      <c r="R276" s="332"/>
      <c r="S276" s="330"/>
      <c r="T276" s="331"/>
      <c r="U276" s="332"/>
      <c r="V276" s="154"/>
      <c r="W276" s="331"/>
      <c r="X276" s="324"/>
      <c r="Y276" s="205"/>
      <c r="Z276" s="205"/>
      <c r="AA276" s="205"/>
      <c r="AB276" s="17"/>
      <c r="AC276" s="17"/>
      <c r="AD276" s="17"/>
      <c r="AE276" s="17"/>
    </row>
    <row r="277">
      <c r="A277" s="154"/>
      <c r="B277" s="168"/>
      <c r="C277" s="324"/>
      <c r="D277" s="154"/>
      <c r="E277" s="168"/>
      <c r="F277" s="324"/>
      <c r="G277" s="154"/>
      <c r="H277" s="168"/>
      <c r="I277" s="324"/>
      <c r="J277" s="154"/>
      <c r="K277" s="168"/>
      <c r="L277" s="324"/>
      <c r="M277" s="330"/>
      <c r="N277" s="331"/>
      <c r="O277" s="332"/>
      <c r="P277" s="330"/>
      <c r="Q277" s="331"/>
      <c r="R277" s="332"/>
      <c r="S277" s="330"/>
      <c r="T277" s="331"/>
      <c r="U277" s="332"/>
      <c r="V277" s="154"/>
      <c r="W277" s="331"/>
      <c r="X277" s="324"/>
      <c r="Y277" s="205"/>
      <c r="Z277" s="205"/>
      <c r="AA277" s="205"/>
      <c r="AB277" s="17"/>
      <c r="AC277" s="17"/>
      <c r="AD277" s="17"/>
      <c r="AE277" s="17"/>
    </row>
    <row r="278">
      <c r="A278" s="154"/>
      <c r="B278" s="168"/>
      <c r="C278" s="324"/>
      <c r="D278" s="154"/>
      <c r="E278" s="168"/>
      <c r="F278" s="324"/>
      <c r="G278" s="154"/>
      <c r="H278" s="168"/>
      <c r="I278" s="324"/>
      <c r="J278" s="154"/>
      <c r="K278" s="168"/>
      <c r="L278" s="324"/>
      <c r="M278" s="330"/>
      <c r="N278" s="331"/>
      <c r="O278" s="332"/>
      <c r="P278" s="330"/>
      <c r="Q278" s="331"/>
      <c r="R278" s="332"/>
      <c r="S278" s="330"/>
      <c r="T278" s="331"/>
      <c r="U278" s="332"/>
      <c r="V278" s="154"/>
      <c r="W278" s="331"/>
      <c r="X278" s="324"/>
      <c r="Y278" s="205"/>
      <c r="Z278" s="205"/>
      <c r="AA278" s="205"/>
      <c r="AB278" s="17"/>
      <c r="AC278" s="17"/>
      <c r="AD278" s="17"/>
      <c r="AE278" s="17"/>
    </row>
    <row r="279">
      <c r="A279" s="154"/>
      <c r="B279" s="168"/>
      <c r="C279" s="324"/>
      <c r="D279" s="154"/>
      <c r="E279" s="168"/>
      <c r="F279" s="324"/>
      <c r="G279" s="154"/>
      <c r="H279" s="168"/>
      <c r="I279" s="324"/>
      <c r="J279" s="154"/>
      <c r="K279" s="168"/>
      <c r="L279" s="324"/>
      <c r="M279" s="330"/>
      <c r="N279" s="331"/>
      <c r="O279" s="332"/>
      <c r="P279" s="330"/>
      <c r="Q279" s="331"/>
      <c r="R279" s="332"/>
      <c r="S279" s="330"/>
      <c r="T279" s="331"/>
      <c r="U279" s="332"/>
      <c r="V279" s="154"/>
      <c r="W279" s="331"/>
      <c r="X279" s="324"/>
      <c r="Y279" s="205"/>
      <c r="Z279" s="205"/>
      <c r="AA279" s="205"/>
      <c r="AB279" s="17"/>
      <c r="AC279" s="17"/>
      <c r="AD279" s="17"/>
      <c r="AE279" s="17"/>
    </row>
    <row r="280">
      <c r="A280" s="154"/>
      <c r="B280" s="168"/>
      <c r="C280" s="324"/>
      <c r="D280" s="154"/>
      <c r="E280" s="168"/>
      <c r="F280" s="324"/>
      <c r="G280" s="154"/>
      <c r="H280" s="168"/>
      <c r="I280" s="324"/>
      <c r="J280" s="154"/>
      <c r="K280" s="168"/>
      <c r="L280" s="324"/>
      <c r="M280" s="330"/>
      <c r="N280" s="331"/>
      <c r="O280" s="332"/>
      <c r="P280" s="330"/>
      <c r="Q280" s="331"/>
      <c r="R280" s="332"/>
      <c r="S280" s="330"/>
      <c r="T280" s="331"/>
      <c r="U280" s="332"/>
      <c r="V280" s="154"/>
      <c r="W280" s="331"/>
      <c r="X280" s="324"/>
      <c r="Y280" s="205"/>
      <c r="Z280" s="205"/>
      <c r="AA280" s="205"/>
      <c r="AB280" s="17"/>
      <c r="AC280" s="17"/>
      <c r="AD280" s="17"/>
      <c r="AE280" s="17"/>
    </row>
    <row r="281">
      <c r="A281" s="154"/>
      <c r="B281" s="168"/>
      <c r="C281" s="324"/>
      <c r="D281" s="154"/>
      <c r="E281" s="168"/>
      <c r="F281" s="324"/>
      <c r="G281" s="154"/>
      <c r="H281" s="168"/>
      <c r="I281" s="324"/>
      <c r="J281" s="154"/>
      <c r="K281" s="168"/>
      <c r="L281" s="324"/>
      <c r="M281" s="330"/>
      <c r="N281" s="331"/>
      <c r="O281" s="332"/>
      <c r="P281" s="330"/>
      <c r="Q281" s="331"/>
      <c r="R281" s="332"/>
      <c r="S281" s="330"/>
      <c r="T281" s="331"/>
      <c r="U281" s="332"/>
      <c r="V281" s="154"/>
      <c r="W281" s="331"/>
      <c r="X281" s="324"/>
      <c r="Y281" s="205"/>
      <c r="Z281" s="205"/>
      <c r="AA281" s="205"/>
      <c r="AB281" s="17"/>
      <c r="AC281" s="17"/>
      <c r="AD281" s="17"/>
      <c r="AE281" s="17"/>
    </row>
    <row r="282">
      <c r="A282" s="154"/>
      <c r="B282" s="168"/>
      <c r="C282" s="324"/>
      <c r="D282" s="154"/>
      <c r="E282" s="168"/>
      <c r="F282" s="324"/>
      <c r="G282" s="154"/>
      <c r="H282" s="168"/>
      <c r="I282" s="324"/>
      <c r="J282" s="154"/>
      <c r="K282" s="168"/>
      <c r="L282" s="324"/>
      <c r="M282" s="330"/>
      <c r="N282" s="331"/>
      <c r="O282" s="332"/>
      <c r="P282" s="330"/>
      <c r="Q282" s="331"/>
      <c r="R282" s="332"/>
      <c r="S282" s="330"/>
      <c r="T282" s="331"/>
      <c r="U282" s="332"/>
      <c r="V282" s="154"/>
      <c r="W282" s="331"/>
      <c r="X282" s="324"/>
      <c r="Y282" s="205"/>
      <c r="Z282" s="205"/>
      <c r="AA282" s="205"/>
      <c r="AB282" s="17"/>
      <c r="AC282" s="17"/>
      <c r="AD282" s="17"/>
      <c r="AE282" s="17"/>
    </row>
    <row r="283">
      <c r="A283" s="154"/>
      <c r="B283" s="168"/>
      <c r="C283" s="324"/>
      <c r="D283" s="154"/>
      <c r="E283" s="168"/>
      <c r="F283" s="324"/>
      <c r="G283" s="154"/>
      <c r="H283" s="168"/>
      <c r="I283" s="324"/>
      <c r="J283" s="154"/>
      <c r="K283" s="168"/>
      <c r="L283" s="324"/>
      <c r="M283" s="330"/>
      <c r="N283" s="331"/>
      <c r="O283" s="332"/>
      <c r="P283" s="330"/>
      <c r="Q283" s="331"/>
      <c r="R283" s="332"/>
      <c r="S283" s="330"/>
      <c r="T283" s="331"/>
      <c r="U283" s="332"/>
      <c r="V283" s="154"/>
      <c r="W283" s="331"/>
      <c r="X283" s="324"/>
      <c r="Y283" s="205"/>
      <c r="Z283" s="205"/>
      <c r="AA283" s="205"/>
      <c r="AB283" s="17"/>
      <c r="AC283" s="17"/>
      <c r="AD283" s="17"/>
      <c r="AE283" s="17"/>
    </row>
    <row r="284">
      <c r="A284" s="154"/>
      <c r="B284" s="168"/>
      <c r="C284" s="324"/>
      <c r="D284" s="154"/>
      <c r="E284" s="168"/>
      <c r="F284" s="324"/>
      <c r="G284" s="154"/>
      <c r="H284" s="168"/>
      <c r="I284" s="324"/>
      <c r="J284" s="154"/>
      <c r="K284" s="168"/>
      <c r="L284" s="324"/>
      <c r="M284" s="330"/>
      <c r="N284" s="331"/>
      <c r="O284" s="332"/>
      <c r="P284" s="330"/>
      <c r="Q284" s="331"/>
      <c r="R284" s="332"/>
      <c r="S284" s="330"/>
      <c r="T284" s="331"/>
      <c r="U284" s="332"/>
      <c r="V284" s="154"/>
      <c r="W284" s="331"/>
      <c r="X284" s="324"/>
      <c r="Y284" s="205"/>
      <c r="Z284" s="205"/>
      <c r="AA284" s="205"/>
      <c r="AB284" s="17"/>
      <c r="AC284" s="17"/>
      <c r="AD284" s="17"/>
      <c r="AE284" s="17"/>
    </row>
    <row r="285">
      <c r="A285" s="154"/>
      <c r="B285" s="168"/>
      <c r="C285" s="324"/>
      <c r="D285" s="154"/>
      <c r="E285" s="168"/>
      <c r="F285" s="324"/>
      <c r="G285" s="154"/>
      <c r="H285" s="168"/>
      <c r="I285" s="324"/>
      <c r="J285" s="154"/>
      <c r="K285" s="168"/>
      <c r="L285" s="324"/>
      <c r="M285" s="330"/>
      <c r="N285" s="331"/>
      <c r="O285" s="332"/>
      <c r="P285" s="330"/>
      <c r="Q285" s="331"/>
      <c r="R285" s="332"/>
      <c r="S285" s="330"/>
      <c r="T285" s="331"/>
      <c r="U285" s="332"/>
      <c r="V285" s="154"/>
      <c r="W285" s="331"/>
      <c r="X285" s="324"/>
      <c r="Y285" s="205"/>
      <c r="Z285" s="205"/>
      <c r="AA285" s="205"/>
      <c r="AB285" s="17"/>
      <c r="AC285" s="17"/>
      <c r="AD285" s="17"/>
      <c r="AE285" s="17"/>
    </row>
    <row r="286">
      <c r="A286" s="154"/>
      <c r="B286" s="168"/>
      <c r="C286" s="324"/>
      <c r="D286" s="154"/>
      <c r="E286" s="168"/>
      <c r="F286" s="324"/>
      <c r="G286" s="154"/>
      <c r="H286" s="168"/>
      <c r="I286" s="324"/>
      <c r="J286" s="154"/>
      <c r="K286" s="168"/>
      <c r="L286" s="324"/>
      <c r="M286" s="330"/>
      <c r="N286" s="331"/>
      <c r="O286" s="332"/>
      <c r="P286" s="330"/>
      <c r="Q286" s="331"/>
      <c r="R286" s="332"/>
      <c r="S286" s="330"/>
      <c r="T286" s="331"/>
      <c r="U286" s="332"/>
      <c r="V286" s="154"/>
      <c r="W286" s="331"/>
      <c r="X286" s="324"/>
      <c r="Y286" s="205"/>
      <c r="Z286" s="205"/>
      <c r="AA286" s="205"/>
      <c r="AB286" s="17"/>
      <c r="AC286" s="17"/>
      <c r="AD286" s="17"/>
      <c r="AE286" s="17"/>
    </row>
    <row r="287">
      <c r="A287" s="154"/>
      <c r="B287" s="168"/>
      <c r="C287" s="324"/>
      <c r="D287" s="154"/>
      <c r="E287" s="168"/>
      <c r="F287" s="324"/>
      <c r="G287" s="154"/>
      <c r="H287" s="168"/>
      <c r="I287" s="324"/>
      <c r="J287" s="154"/>
      <c r="K287" s="168"/>
      <c r="L287" s="324"/>
      <c r="M287" s="330"/>
      <c r="N287" s="331"/>
      <c r="O287" s="332"/>
      <c r="P287" s="330"/>
      <c r="Q287" s="331"/>
      <c r="R287" s="332"/>
      <c r="S287" s="330"/>
      <c r="T287" s="331"/>
      <c r="U287" s="332"/>
      <c r="V287" s="154"/>
      <c r="W287" s="331"/>
      <c r="X287" s="324"/>
      <c r="Y287" s="205"/>
      <c r="Z287" s="205"/>
      <c r="AA287" s="205"/>
      <c r="AB287" s="17"/>
      <c r="AC287" s="17"/>
      <c r="AD287" s="17"/>
      <c r="AE287" s="17"/>
    </row>
    <row r="288">
      <c r="A288" s="154"/>
      <c r="B288" s="168"/>
      <c r="C288" s="324"/>
      <c r="D288" s="154"/>
      <c r="E288" s="168"/>
      <c r="F288" s="324"/>
      <c r="G288" s="154"/>
      <c r="H288" s="168"/>
      <c r="I288" s="324"/>
      <c r="J288" s="154"/>
      <c r="K288" s="168"/>
      <c r="L288" s="324"/>
      <c r="M288" s="330"/>
      <c r="N288" s="331"/>
      <c r="O288" s="332"/>
      <c r="P288" s="330"/>
      <c r="Q288" s="331"/>
      <c r="R288" s="332"/>
      <c r="S288" s="330"/>
      <c r="T288" s="331"/>
      <c r="U288" s="332"/>
      <c r="V288" s="154"/>
      <c r="W288" s="331"/>
      <c r="X288" s="324"/>
      <c r="Y288" s="205"/>
      <c r="Z288" s="205"/>
      <c r="AA288" s="205"/>
      <c r="AB288" s="17"/>
      <c r="AC288" s="17"/>
      <c r="AD288" s="17"/>
      <c r="AE288" s="17"/>
    </row>
    <row r="289">
      <c r="A289" s="154"/>
      <c r="B289" s="168"/>
      <c r="C289" s="324"/>
      <c r="D289" s="154"/>
      <c r="E289" s="168"/>
      <c r="F289" s="324"/>
      <c r="G289" s="154"/>
      <c r="H289" s="168"/>
      <c r="I289" s="324"/>
      <c r="J289" s="154"/>
      <c r="K289" s="168"/>
      <c r="L289" s="324"/>
      <c r="M289" s="330"/>
      <c r="N289" s="331"/>
      <c r="O289" s="332"/>
      <c r="P289" s="330"/>
      <c r="Q289" s="331"/>
      <c r="R289" s="332"/>
      <c r="S289" s="330"/>
      <c r="T289" s="331"/>
      <c r="U289" s="332"/>
      <c r="V289" s="154"/>
      <c r="W289" s="331"/>
      <c r="X289" s="324"/>
      <c r="Y289" s="205"/>
      <c r="Z289" s="205"/>
      <c r="AA289" s="205"/>
      <c r="AB289" s="17"/>
      <c r="AC289" s="17"/>
      <c r="AD289" s="17"/>
      <c r="AE289" s="17"/>
    </row>
    <row r="290">
      <c r="A290" s="154"/>
      <c r="B290" s="168"/>
      <c r="C290" s="324"/>
      <c r="D290" s="154"/>
      <c r="E290" s="168"/>
      <c r="F290" s="324"/>
      <c r="G290" s="154"/>
      <c r="H290" s="168"/>
      <c r="I290" s="324"/>
      <c r="J290" s="154"/>
      <c r="K290" s="168"/>
      <c r="L290" s="324"/>
      <c r="M290" s="330"/>
      <c r="N290" s="331"/>
      <c r="O290" s="332"/>
      <c r="P290" s="330"/>
      <c r="Q290" s="331"/>
      <c r="R290" s="332"/>
      <c r="S290" s="330"/>
      <c r="T290" s="331"/>
      <c r="U290" s="332"/>
      <c r="V290" s="154"/>
      <c r="W290" s="331"/>
      <c r="X290" s="324"/>
      <c r="Y290" s="205"/>
      <c r="Z290" s="205"/>
      <c r="AA290" s="205"/>
      <c r="AB290" s="17"/>
      <c r="AC290" s="17"/>
      <c r="AD290" s="17"/>
      <c r="AE290" s="17"/>
    </row>
    <row r="291">
      <c r="A291" s="154"/>
      <c r="B291" s="168"/>
      <c r="C291" s="324"/>
      <c r="D291" s="154"/>
      <c r="E291" s="168"/>
      <c r="F291" s="324"/>
      <c r="G291" s="154"/>
      <c r="H291" s="168"/>
      <c r="I291" s="324"/>
      <c r="J291" s="154"/>
      <c r="K291" s="168"/>
      <c r="L291" s="324"/>
      <c r="M291" s="330"/>
      <c r="N291" s="331"/>
      <c r="O291" s="332"/>
      <c r="P291" s="330"/>
      <c r="Q291" s="331"/>
      <c r="R291" s="332"/>
      <c r="S291" s="330"/>
      <c r="T291" s="331"/>
      <c r="U291" s="332"/>
      <c r="V291" s="154"/>
      <c r="W291" s="331"/>
      <c r="X291" s="324"/>
      <c r="Y291" s="205"/>
      <c r="Z291" s="205"/>
      <c r="AA291" s="205"/>
      <c r="AB291" s="17"/>
      <c r="AC291" s="17"/>
      <c r="AD291" s="17"/>
      <c r="AE291" s="17"/>
    </row>
    <row r="292">
      <c r="A292" s="154"/>
      <c r="B292" s="168"/>
      <c r="C292" s="324"/>
      <c r="D292" s="154"/>
      <c r="E292" s="168"/>
      <c r="F292" s="324"/>
      <c r="G292" s="154"/>
      <c r="H292" s="168"/>
      <c r="I292" s="324"/>
      <c r="J292" s="154"/>
      <c r="K292" s="168"/>
      <c r="L292" s="324"/>
      <c r="M292" s="330"/>
      <c r="N292" s="331"/>
      <c r="O292" s="332"/>
      <c r="P292" s="330"/>
      <c r="Q292" s="331"/>
      <c r="R292" s="332"/>
      <c r="S292" s="330"/>
      <c r="T292" s="331"/>
      <c r="U292" s="332"/>
      <c r="V292" s="154"/>
      <c r="W292" s="331"/>
      <c r="X292" s="324"/>
      <c r="Y292" s="205"/>
      <c r="Z292" s="205"/>
      <c r="AA292" s="205"/>
      <c r="AB292" s="17"/>
      <c r="AC292" s="17"/>
      <c r="AD292" s="17"/>
      <c r="AE292" s="17"/>
    </row>
    <row r="293">
      <c r="A293" s="154"/>
      <c r="B293" s="168"/>
      <c r="C293" s="324"/>
      <c r="D293" s="154"/>
      <c r="E293" s="168"/>
      <c r="F293" s="324"/>
      <c r="G293" s="154"/>
      <c r="H293" s="168"/>
      <c r="I293" s="324"/>
      <c r="J293" s="154"/>
      <c r="K293" s="168"/>
      <c r="L293" s="324"/>
      <c r="M293" s="330"/>
      <c r="N293" s="331"/>
      <c r="O293" s="332"/>
      <c r="P293" s="330"/>
      <c r="Q293" s="331"/>
      <c r="R293" s="332"/>
      <c r="S293" s="330"/>
      <c r="T293" s="331"/>
      <c r="U293" s="332"/>
      <c r="V293" s="154"/>
      <c r="W293" s="331"/>
      <c r="X293" s="324"/>
      <c r="Y293" s="205"/>
      <c r="Z293" s="205"/>
      <c r="AA293" s="205"/>
      <c r="AB293" s="17"/>
      <c r="AC293" s="17"/>
      <c r="AD293" s="17"/>
      <c r="AE293" s="17"/>
    </row>
    <row r="294">
      <c r="A294" s="154"/>
      <c r="B294" s="168"/>
      <c r="C294" s="324"/>
      <c r="D294" s="154"/>
      <c r="E294" s="168"/>
      <c r="F294" s="324"/>
      <c r="G294" s="154"/>
      <c r="H294" s="168"/>
      <c r="I294" s="324"/>
      <c r="J294" s="154"/>
      <c r="K294" s="168"/>
      <c r="L294" s="324"/>
      <c r="M294" s="330"/>
      <c r="N294" s="331"/>
      <c r="O294" s="332"/>
      <c r="P294" s="330"/>
      <c r="Q294" s="331"/>
      <c r="R294" s="332"/>
      <c r="S294" s="330"/>
      <c r="T294" s="331"/>
      <c r="U294" s="332"/>
      <c r="V294" s="154"/>
      <c r="W294" s="331"/>
      <c r="X294" s="324"/>
      <c r="Y294" s="205"/>
      <c r="Z294" s="205"/>
      <c r="AA294" s="205"/>
      <c r="AB294" s="17"/>
      <c r="AC294" s="17"/>
      <c r="AD294" s="17"/>
      <c r="AE294" s="17"/>
    </row>
    <row r="295">
      <c r="A295" s="154"/>
      <c r="B295" s="168"/>
      <c r="C295" s="324"/>
      <c r="D295" s="154"/>
      <c r="E295" s="168"/>
      <c r="F295" s="324"/>
      <c r="G295" s="154"/>
      <c r="H295" s="168"/>
      <c r="I295" s="324"/>
      <c r="J295" s="154"/>
      <c r="K295" s="168"/>
      <c r="L295" s="324"/>
      <c r="M295" s="330"/>
      <c r="N295" s="331"/>
      <c r="O295" s="332"/>
      <c r="P295" s="330"/>
      <c r="Q295" s="331"/>
      <c r="R295" s="332"/>
      <c r="S295" s="330"/>
      <c r="T295" s="331"/>
      <c r="U295" s="332"/>
      <c r="V295" s="154"/>
      <c r="W295" s="331"/>
      <c r="X295" s="324"/>
      <c r="Y295" s="205"/>
      <c r="Z295" s="205"/>
      <c r="AA295" s="205"/>
      <c r="AB295" s="17"/>
      <c r="AC295" s="17"/>
      <c r="AD295" s="17"/>
      <c r="AE295" s="17"/>
    </row>
    <row r="296">
      <c r="A296" s="154"/>
      <c r="B296" s="168"/>
      <c r="C296" s="324"/>
      <c r="D296" s="154"/>
      <c r="E296" s="168"/>
      <c r="F296" s="324"/>
      <c r="G296" s="154"/>
      <c r="H296" s="168"/>
      <c r="I296" s="324"/>
      <c r="J296" s="154"/>
      <c r="K296" s="168"/>
      <c r="L296" s="324"/>
      <c r="M296" s="330"/>
      <c r="N296" s="331"/>
      <c r="O296" s="332"/>
      <c r="P296" s="330"/>
      <c r="Q296" s="331"/>
      <c r="R296" s="332"/>
      <c r="S296" s="330"/>
      <c r="T296" s="331"/>
      <c r="U296" s="332"/>
      <c r="V296" s="154"/>
      <c r="W296" s="331"/>
      <c r="X296" s="324"/>
      <c r="Y296" s="205"/>
      <c r="Z296" s="205"/>
      <c r="AA296" s="205"/>
      <c r="AB296" s="17"/>
      <c r="AC296" s="17"/>
      <c r="AD296" s="17"/>
      <c r="AE296" s="17"/>
    </row>
    <row r="297">
      <c r="A297" s="154"/>
      <c r="B297" s="168"/>
      <c r="C297" s="324"/>
      <c r="D297" s="154"/>
      <c r="E297" s="168"/>
      <c r="F297" s="324"/>
      <c r="G297" s="154"/>
      <c r="H297" s="168"/>
      <c r="I297" s="324"/>
      <c r="J297" s="154"/>
      <c r="K297" s="168"/>
      <c r="L297" s="324"/>
      <c r="M297" s="330"/>
      <c r="N297" s="331"/>
      <c r="O297" s="332"/>
      <c r="P297" s="330"/>
      <c r="Q297" s="331"/>
      <c r="R297" s="332"/>
      <c r="S297" s="330"/>
      <c r="T297" s="331"/>
      <c r="U297" s="332"/>
      <c r="V297" s="154"/>
      <c r="W297" s="331"/>
      <c r="X297" s="324"/>
      <c r="Y297" s="205"/>
      <c r="Z297" s="205"/>
      <c r="AA297" s="205"/>
      <c r="AB297" s="17"/>
      <c r="AC297" s="17"/>
      <c r="AD297" s="17"/>
      <c r="AE297" s="17"/>
    </row>
    <row r="298">
      <c r="A298" s="154"/>
      <c r="B298" s="168"/>
      <c r="C298" s="324"/>
      <c r="D298" s="154"/>
      <c r="E298" s="168"/>
      <c r="F298" s="324"/>
      <c r="G298" s="154"/>
      <c r="H298" s="168"/>
      <c r="I298" s="324"/>
      <c r="J298" s="154"/>
      <c r="K298" s="168"/>
      <c r="L298" s="324"/>
      <c r="M298" s="330"/>
      <c r="N298" s="331"/>
      <c r="O298" s="332"/>
      <c r="P298" s="330"/>
      <c r="Q298" s="331"/>
      <c r="R298" s="332"/>
      <c r="S298" s="330"/>
      <c r="T298" s="331"/>
      <c r="U298" s="332"/>
      <c r="V298" s="154"/>
      <c r="W298" s="331"/>
      <c r="X298" s="324"/>
      <c r="Y298" s="205"/>
      <c r="Z298" s="205"/>
      <c r="AA298" s="205"/>
      <c r="AB298" s="17"/>
      <c r="AC298" s="17"/>
      <c r="AD298" s="17"/>
      <c r="AE298" s="17"/>
    </row>
    <row r="299">
      <c r="A299" s="154"/>
      <c r="B299" s="168"/>
      <c r="C299" s="324"/>
      <c r="D299" s="154"/>
      <c r="E299" s="168"/>
      <c r="F299" s="324"/>
      <c r="G299" s="154"/>
      <c r="H299" s="168"/>
      <c r="I299" s="324"/>
      <c r="J299" s="154"/>
      <c r="K299" s="168"/>
      <c r="L299" s="324"/>
      <c r="M299" s="330"/>
      <c r="N299" s="331"/>
      <c r="O299" s="332"/>
      <c r="P299" s="330"/>
      <c r="Q299" s="331"/>
      <c r="R299" s="332"/>
      <c r="S299" s="330"/>
      <c r="T299" s="331"/>
      <c r="U299" s="332"/>
      <c r="V299" s="154"/>
      <c r="W299" s="331"/>
      <c r="X299" s="324"/>
      <c r="Y299" s="205"/>
      <c r="Z299" s="205"/>
      <c r="AA299" s="205"/>
      <c r="AB299" s="17"/>
      <c r="AC299" s="17"/>
      <c r="AD299" s="17"/>
      <c r="AE299" s="17"/>
    </row>
    <row r="300">
      <c r="A300" s="154"/>
      <c r="B300" s="168"/>
      <c r="C300" s="324"/>
      <c r="D300" s="154"/>
      <c r="E300" s="168"/>
      <c r="F300" s="324"/>
      <c r="G300" s="154"/>
      <c r="H300" s="168"/>
      <c r="I300" s="324"/>
      <c r="J300" s="154"/>
      <c r="K300" s="168"/>
      <c r="L300" s="324"/>
      <c r="M300" s="330"/>
      <c r="N300" s="331"/>
      <c r="O300" s="332"/>
      <c r="P300" s="330"/>
      <c r="Q300" s="331"/>
      <c r="R300" s="332"/>
      <c r="S300" s="330"/>
      <c r="T300" s="331"/>
      <c r="U300" s="332"/>
      <c r="V300" s="154"/>
      <c r="W300" s="331"/>
      <c r="X300" s="324"/>
      <c r="Y300" s="205"/>
      <c r="Z300" s="205"/>
      <c r="AA300" s="205"/>
      <c r="AB300" s="17"/>
      <c r="AC300" s="17"/>
      <c r="AD300" s="17"/>
      <c r="AE300" s="17"/>
    </row>
    <row r="301">
      <c r="A301" s="154"/>
      <c r="B301" s="168"/>
      <c r="C301" s="324"/>
      <c r="D301" s="154"/>
      <c r="E301" s="168"/>
      <c r="F301" s="324"/>
      <c r="G301" s="154"/>
      <c r="H301" s="168"/>
      <c r="I301" s="324"/>
      <c r="J301" s="154"/>
      <c r="K301" s="168"/>
      <c r="L301" s="324"/>
      <c r="M301" s="330"/>
      <c r="N301" s="331"/>
      <c r="O301" s="332"/>
      <c r="P301" s="330"/>
      <c r="Q301" s="331"/>
      <c r="R301" s="332"/>
      <c r="S301" s="330"/>
      <c r="T301" s="331"/>
      <c r="U301" s="332"/>
      <c r="V301" s="154"/>
      <c r="W301" s="331"/>
      <c r="X301" s="324"/>
      <c r="Y301" s="205"/>
      <c r="Z301" s="205"/>
      <c r="AA301" s="205"/>
      <c r="AB301" s="17"/>
      <c r="AC301" s="17"/>
      <c r="AD301" s="17"/>
      <c r="AE301" s="17"/>
    </row>
    <row r="302">
      <c r="A302" s="154"/>
      <c r="B302" s="168"/>
      <c r="C302" s="324"/>
      <c r="D302" s="154"/>
      <c r="E302" s="168"/>
      <c r="F302" s="324"/>
      <c r="G302" s="154"/>
      <c r="H302" s="168"/>
      <c r="I302" s="324"/>
      <c r="J302" s="154"/>
      <c r="K302" s="168"/>
      <c r="L302" s="324"/>
      <c r="M302" s="330"/>
      <c r="N302" s="331"/>
      <c r="O302" s="332"/>
      <c r="P302" s="330"/>
      <c r="Q302" s="331"/>
      <c r="R302" s="332"/>
      <c r="S302" s="330"/>
      <c r="T302" s="331"/>
      <c r="U302" s="332"/>
      <c r="V302" s="154"/>
      <c r="W302" s="331"/>
      <c r="X302" s="324"/>
      <c r="Y302" s="205"/>
      <c r="Z302" s="205"/>
      <c r="AA302" s="205"/>
      <c r="AB302" s="17"/>
      <c r="AC302" s="17"/>
      <c r="AD302" s="17"/>
      <c r="AE302" s="17"/>
    </row>
    <row r="303">
      <c r="A303" s="154"/>
      <c r="B303" s="168"/>
      <c r="C303" s="324"/>
      <c r="D303" s="154"/>
      <c r="E303" s="168"/>
      <c r="F303" s="324"/>
      <c r="G303" s="154"/>
      <c r="H303" s="168"/>
      <c r="I303" s="324"/>
      <c r="J303" s="154"/>
      <c r="K303" s="168"/>
      <c r="L303" s="324"/>
      <c r="M303" s="330"/>
      <c r="N303" s="331"/>
      <c r="O303" s="332"/>
      <c r="P303" s="330"/>
      <c r="Q303" s="331"/>
      <c r="R303" s="332"/>
      <c r="S303" s="330"/>
      <c r="T303" s="331"/>
      <c r="U303" s="332"/>
      <c r="V303" s="154"/>
      <c r="W303" s="331"/>
      <c r="X303" s="324"/>
      <c r="Y303" s="205"/>
      <c r="Z303" s="205"/>
      <c r="AA303" s="205"/>
      <c r="AB303" s="17"/>
      <c r="AC303" s="17"/>
      <c r="AD303" s="17"/>
      <c r="AE303" s="17"/>
    </row>
    <row r="304">
      <c r="A304" s="154"/>
      <c r="B304" s="168"/>
      <c r="C304" s="324"/>
      <c r="D304" s="154"/>
      <c r="E304" s="168"/>
      <c r="F304" s="324"/>
      <c r="G304" s="154"/>
      <c r="H304" s="168"/>
      <c r="I304" s="324"/>
      <c r="J304" s="154"/>
      <c r="K304" s="168"/>
      <c r="L304" s="324"/>
      <c r="M304" s="330"/>
      <c r="N304" s="331"/>
      <c r="O304" s="332"/>
      <c r="P304" s="330"/>
      <c r="Q304" s="331"/>
      <c r="R304" s="332"/>
      <c r="S304" s="330"/>
      <c r="T304" s="331"/>
      <c r="U304" s="332"/>
      <c r="V304" s="154"/>
      <c r="W304" s="331"/>
      <c r="X304" s="324"/>
      <c r="Y304" s="205"/>
      <c r="Z304" s="205"/>
      <c r="AA304" s="205"/>
      <c r="AB304" s="17"/>
      <c r="AC304" s="17"/>
      <c r="AD304" s="17"/>
      <c r="AE304" s="17"/>
    </row>
    <row r="305">
      <c r="A305" s="154"/>
      <c r="B305" s="168"/>
      <c r="C305" s="324"/>
      <c r="D305" s="154"/>
      <c r="E305" s="168"/>
      <c r="F305" s="324"/>
      <c r="G305" s="154"/>
      <c r="H305" s="168"/>
      <c r="I305" s="324"/>
      <c r="J305" s="154"/>
      <c r="K305" s="168"/>
      <c r="L305" s="324"/>
      <c r="M305" s="330"/>
      <c r="N305" s="331"/>
      <c r="O305" s="332"/>
      <c r="P305" s="330"/>
      <c r="Q305" s="331"/>
      <c r="R305" s="332"/>
      <c r="S305" s="330"/>
      <c r="T305" s="331"/>
      <c r="U305" s="332"/>
      <c r="V305" s="154"/>
      <c r="W305" s="331"/>
      <c r="X305" s="324"/>
      <c r="Y305" s="205"/>
      <c r="Z305" s="205"/>
      <c r="AA305" s="205"/>
      <c r="AB305" s="17"/>
      <c r="AC305" s="17"/>
      <c r="AD305" s="17"/>
      <c r="AE305" s="17"/>
    </row>
    <row r="306">
      <c r="A306" s="154"/>
      <c r="B306" s="168"/>
      <c r="C306" s="324"/>
      <c r="D306" s="154"/>
      <c r="E306" s="168"/>
      <c r="F306" s="324"/>
      <c r="G306" s="154"/>
      <c r="H306" s="168"/>
      <c r="I306" s="324"/>
      <c r="J306" s="154"/>
      <c r="K306" s="168"/>
      <c r="L306" s="324"/>
      <c r="M306" s="330"/>
      <c r="N306" s="331"/>
      <c r="O306" s="332"/>
      <c r="P306" s="330"/>
      <c r="Q306" s="331"/>
      <c r="R306" s="332"/>
      <c r="S306" s="330"/>
      <c r="T306" s="331"/>
      <c r="U306" s="332"/>
      <c r="V306" s="154"/>
      <c r="W306" s="331"/>
      <c r="X306" s="324"/>
      <c r="Y306" s="205"/>
      <c r="Z306" s="205"/>
      <c r="AA306" s="205"/>
      <c r="AB306" s="17"/>
      <c r="AC306" s="17"/>
      <c r="AD306" s="17"/>
      <c r="AE306" s="17"/>
    </row>
    <row r="307">
      <c r="A307" s="154"/>
      <c r="B307" s="168"/>
      <c r="C307" s="324"/>
      <c r="D307" s="154"/>
      <c r="E307" s="168"/>
      <c r="F307" s="324"/>
      <c r="G307" s="154"/>
      <c r="H307" s="168"/>
      <c r="I307" s="324"/>
      <c r="J307" s="154"/>
      <c r="K307" s="168"/>
      <c r="L307" s="324"/>
      <c r="M307" s="330"/>
      <c r="N307" s="331"/>
      <c r="O307" s="332"/>
      <c r="P307" s="330"/>
      <c r="Q307" s="331"/>
      <c r="R307" s="332"/>
      <c r="S307" s="330"/>
      <c r="T307" s="331"/>
      <c r="U307" s="332"/>
      <c r="V307" s="154"/>
      <c r="W307" s="331"/>
      <c r="X307" s="324"/>
      <c r="Y307" s="205"/>
      <c r="Z307" s="205"/>
      <c r="AA307" s="205"/>
      <c r="AB307" s="17"/>
      <c r="AC307" s="17"/>
      <c r="AD307" s="17"/>
      <c r="AE307" s="17"/>
    </row>
    <row r="308">
      <c r="A308" s="154"/>
      <c r="B308" s="168"/>
      <c r="C308" s="324"/>
      <c r="D308" s="154"/>
      <c r="E308" s="168"/>
      <c r="F308" s="324"/>
      <c r="G308" s="154"/>
      <c r="H308" s="168"/>
      <c r="I308" s="324"/>
      <c r="J308" s="154"/>
      <c r="K308" s="168"/>
      <c r="L308" s="324"/>
      <c r="M308" s="330"/>
      <c r="N308" s="331"/>
      <c r="O308" s="332"/>
      <c r="P308" s="330"/>
      <c r="Q308" s="331"/>
      <c r="R308" s="332"/>
      <c r="S308" s="330"/>
      <c r="T308" s="331"/>
      <c r="U308" s="332"/>
      <c r="V308" s="154"/>
      <c r="W308" s="331"/>
      <c r="X308" s="324"/>
      <c r="Y308" s="205"/>
      <c r="Z308" s="205"/>
      <c r="AA308" s="205"/>
      <c r="AB308" s="17"/>
      <c r="AC308" s="17"/>
      <c r="AD308" s="17"/>
      <c r="AE308" s="17"/>
    </row>
    <row r="309">
      <c r="A309" s="154"/>
      <c r="B309" s="168"/>
      <c r="C309" s="324"/>
      <c r="D309" s="154"/>
      <c r="E309" s="168"/>
      <c r="F309" s="324"/>
      <c r="G309" s="154"/>
      <c r="H309" s="168"/>
      <c r="I309" s="324"/>
      <c r="J309" s="154"/>
      <c r="K309" s="168"/>
      <c r="L309" s="324"/>
      <c r="M309" s="330"/>
      <c r="N309" s="331"/>
      <c r="O309" s="332"/>
      <c r="P309" s="330"/>
      <c r="Q309" s="331"/>
      <c r="R309" s="332"/>
      <c r="S309" s="330"/>
      <c r="T309" s="331"/>
      <c r="U309" s="332"/>
      <c r="V309" s="154"/>
      <c r="W309" s="331"/>
      <c r="X309" s="324"/>
      <c r="Y309" s="205"/>
      <c r="Z309" s="205"/>
      <c r="AA309" s="205"/>
      <c r="AB309" s="17"/>
      <c r="AC309" s="17"/>
      <c r="AD309" s="17"/>
      <c r="AE309" s="17"/>
    </row>
    <row r="310">
      <c r="A310" s="154"/>
      <c r="B310" s="168"/>
      <c r="C310" s="324"/>
      <c r="D310" s="154"/>
      <c r="E310" s="168"/>
      <c r="F310" s="324"/>
      <c r="G310" s="154"/>
      <c r="H310" s="168"/>
      <c r="I310" s="324"/>
      <c r="J310" s="154"/>
      <c r="K310" s="168"/>
      <c r="L310" s="324"/>
      <c r="M310" s="330"/>
      <c r="N310" s="331"/>
      <c r="O310" s="332"/>
      <c r="P310" s="330"/>
      <c r="Q310" s="331"/>
      <c r="R310" s="332"/>
      <c r="S310" s="330"/>
      <c r="T310" s="331"/>
      <c r="U310" s="332"/>
      <c r="V310" s="154"/>
      <c r="W310" s="331"/>
      <c r="X310" s="324"/>
      <c r="Y310" s="205"/>
      <c r="Z310" s="205"/>
      <c r="AA310" s="205"/>
      <c r="AB310" s="17"/>
      <c r="AC310" s="17"/>
      <c r="AD310" s="17"/>
      <c r="AE310" s="17"/>
    </row>
    <row r="311">
      <c r="A311" s="154"/>
      <c r="B311" s="168"/>
      <c r="C311" s="324"/>
      <c r="D311" s="154"/>
      <c r="E311" s="168"/>
      <c r="F311" s="324"/>
      <c r="G311" s="154"/>
      <c r="H311" s="168"/>
      <c r="I311" s="324"/>
      <c r="J311" s="154"/>
      <c r="K311" s="168"/>
      <c r="L311" s="324"/>
      <c r="M311" s="330"/>
      <c r="N311" s="331"/>
      <c r="O311" s="332"/>
      <c r="P311" s="330"/>
      <c r="Q311" s="331"/>
      <c r="R311" s="332"/>
      <c r="S311" s="330"/>
      <c r="T311" s="331"/>
      <c r="U311" s="332"/>
      <c r="V311" s="154"/>
      <c r="W311" s="331"/>
      <c r="X311" s="324"/>
      <c r="Y311" s="205"/>
      <c r="Z311" s="205"/>
      <c r="AA311" s="205"/>
      <c r="AB311" s="17"/>
      <c r="AC311" s="17"/>
      <c r="AD311" s="17"/>
      <c r="AE311" s="17"/>
    </row>
    <row r="312">
      <c r="A312" s="154"/>
      <c r="B312" s="168"/>
      <c r="C312" s="324"/>
      <c r="D312" s="154"/>
      <c r="E312" s="168"/>
      <c r="F312" s="324"/>
      <c r="G312" s="154"/>
      <c r="H312" s="168"/>
      <c r="I312" s="324"/>
      <c r="J312" s="154"/>
      <c r="K312" s="168"/>
      <c r="L312" s="324"/>
      <c r="M312" s="330"/>
      <c r="N312" s="331"/>
      <c r="O312" s="332"/>
      <c r="P312" s="330"/>
      <c r="Q312" s="331"/>
      <c r="R312" s="332"/>
      <c r="S312" s="330"/>
      <c r="T312" s="331"/>
      <c r="U312" s="332"/>
      <c r="V312" s="154"/>
      <c r="W312" s="331"/>
      <c r="X312" s="324"/>
      <c r="Y312" s="205"/>
      <c r="Z312" s="205"/>
      <c r="AA312" s="205"/>
      <c r="AB312" s="17"/>
      <c r="AC312" s="17"/>
      <c r="AD312" s="17"/>
      <c r="AE312" s="17"/>
    </row>
    <row r="313">
      <c r="A313" s="154"/>
      <c r="B313" s="168"/>
      <c r="C313" s="324"/>
      <c r="D313" s="154"/>
      <c r="E313" s="168"/>
      <c r="F313" s="324"/>
      <c r="G313" s="154"/>
      <c r="H313" s="168"/>
      <c r="I313" s="324"/>
      <c r="J313" s="154"/>
      <c r="K313" s="168"/>
      <c r="L313" s="324"/>
      <c r="M313" s="330"/>
      <c r="N313" s="331"/>
      <c r="O313" s="332"/>
      <c r="P313" s="330"/>
      <c r="Q313" s="331"/>
      <c r="R313" s="332"/>
      <c r="S313" s="330"/>
      <c r="T313" s="331"/>
      <c r="U313" s="332"/>
      <c r="V313" s="154"/>
      <c r="W313" s="331"/>
      <c r="X313" s="324"/>
      <c r="Y313" s="205"/>
      <c r="Z313" s="205"/>
      <c r="AA313" s="205"/>
      <c r="AB313" s="17"/>
      <c r="AC313" s="17"/>
      <c r="AD313" s="17"/>
      <c r="AE313" s="17"/>
    </row>
    <row r="314">
      <c r="A314" s="154"/>
      <c r="B314" s="168"/>
      <c r="C314" s="324"/>
      <c r="D314" s="154"/>
      <c r="E314" s="168"/>
      <c r="F314" s="324"/>
      <c r="G314" s="154"/>
      <c r="H314" s="168"/>
      <c r="I314" s="324"/>
      <c r="J314" s="154"/>
      <c r="K314" s="168"/>
      <c r="L314" s="324"/>
      <c r="M314" s="330"/>
      <c r="N314" s="331"/>
      <c r="O314" s="332"/>
      <c r="P314" s="330"/>
      <c r="Q314" s="331"/>
      <c r="R314" s="332"/>
      <c r="S314" s="330"/>
      <c r="T314" s="331"/>
      <c r="U314" s="332"/>
      <c r="V314" s="154"/>
      <c r="W314" s="331"/>
      <c r="X314" s="324"/>
      <c r="Y314" s="205"/>
      <c r="Z314" s="205"/>
      <c r="AA314" s="205"/>
      <c r="AB314" s="17"/>
      <c r="AC314" s="17"/>
      <c r="AD314" s="17"/>
      <c r="AE314" s="17"/>
    </row>
    <row r="315">
      <c r="A315" s="154"/>
      <c r="B315" s="168"/>
      <c r="C315" s="324"/>
      <c r="D315" s="154"/>
      <c r="E315" s="168"/>
      <c r="F315" s="324"/>
      <c r="G315" s="154"/>
      <c r="H315" s="168"/>
      <c r="I315" s="324"/>
      <c r="J315" s="154"/>
      <c r="K315" s="168"/>
      <c r="L315" s="324"/>
      <c r="M315" s="330"/>
      <c r="N315" s="331"/>
      <c r="O315" s="332"/>
      <c r="P315" s="330"/>
      <c r="Q315" s="331"/>
      <c r="R315" s="332"/>
      <c r="S315" s="330"/>
      <c r="T315" s="331"/>
      <c r="U315" s="332"/>
      <c r="V315" s="154"/>
      <c r="W315" s="331"/>
      <c r="X315" s="324"/>
      <c r="Y315" s="205"/>
      <c r="Z315" s="205"/>
      <c r="AA315" s="205"/>
      <c r="AB315" s="17"/>
      <c r="AC315" s="17"/>
      <c r="AD315" s="17"/>
      <c r="AE315" s="17"/>
    </row>
    <row r="316">
      <c r="A316" s="154"/>
      <c r="B316" s="168"/>
      <c r="C316" s="324"/>
      <c r="D316" s="154"/>
      <c r="E316" s="168"/>
      <c r="F316" s="324"/>
      <c r="G316" s="154"/>
      <c r="H316" s="168"/>
      <c r="I316" s="324"/>
      <c r="J316" s="154"/>
      <c r="K316" s="168"/>
      <c r="L316" s="324"/>
      <c r="M316" s="330"/>
      <c r="N316" s="331"/>
      <c r="O316" s="332"/>
      <c r="P316" s="330"/>
      <c r="Q316" s="331"/>
      <c r="R316" s="332"/>
      <c r="S316" s="330"/>
      <c r="T316" s="331"/>
      <c r="U316" s="332"/>
      <c r="V316" s="154"/>
      <c r="W316" s="331"/>
      <c r="X316" s="324"/>
      <c r="Y316" s="205"/>
      <c r="Z316" s="205"/>
      <c r="AA316" s="205"/>
      <c r="AB316" s="17"/>
      <c r="AC316" s="17"/>
      <c r="AD316" s="17"/>
      <c r="AE316" s="17"/>
    </row>
    <row r="317">
      <c r="A317" s="154"/>
      <c r="B317" s="168"/>
      <c r="C317" s="324"/>
      <c r="D317" s="154"/>
      <c r="E317" s="168"/>
      <c r="F317" s="324"/>
      <c r="G317" s="154"/>
      <c r="H317" s="168"/>
      <c r="I317" s="324"/>
      <c r="J317" s="154"/>
      <c r="K317" s="168"/>
      <c r="L317" s="324"/>
      <c r="M317" s="330"/>
      <c r="N317" s="331"/>
      <c r="O317" s="332"/>
      <c r="P317" s="330"/>
      <c r="Q317" s="331"/>
      <c r="R317" s="332"/>
      <c r="S317" s="330"/>
      <c r="T317" s="331"/>
      <c r="U317" s="332"/>
      <c r="V317" s="154"/>
      <c r="W317" s="331"/>
      <c r="X317" s="324"/>
      <c r="Y317" s="205"/>
      <c r="Z317" s="205"/>
      <c r="AA317" s="205"/>
      <c r="AB317" s="17"/>
      <c r="AC317" s="17"/>
      <c r="AD317" s="17"/>
      <c r="AE317" s="17"/>
    </row>
    <row r="318">
      <c r="A318" s="154"/>
      <c r="B318" s="168"/>
      <c r="C318" s="324"/>
      <c r="D318" s="154"/>
      <c r="E318" s="168"/>
      <c r="F318" s="324"/>
      <c r="G318" s="154"/>
      <c r="H318" s="168"/>
      <c r="I318" s="324"/>
      <c r="J318" s="154"/>
      <c r="K318" s="168"/>
      <c r="L318" s="324"/>
      <c r="M318" s="330"/>
      <c r="N318" s="331"/>
      <c r="O318" s="332"/>
      <c r="P318" s="330"/>
      <c r="Q318" s="331"/>
      <c r="R318" s="332"/>
      <c r="S318" s="330"/>
      <c r="T318" s="331"/>
      <c r="U318" s="332"/>
      <c r="V318" s="154"/>
      <c r="W318" s="331"/>
      <c r="X318" s="324"/>
      <c r="Y318" s="205"/>
      <c r="Z318" s="205"/>
      <c r="AA318" s="205"/>
      <c r="AB318" s="17"/>
      <c r="AC318" s="17"/>
      <c r="AD318" s="17"/>
      <c r="AE318" s="17"/>
    </row>
    <row r="319">
      <c r="A319" s="154"/>
      <c r="B319" s="168"/>
      <c r="C319" s="324"/>
      <c r="D319" s="154"/>
      <c r="E319" s="168"/>
      <c r="F319" s="324"/>
      <c r="G319" s="154"/>
      <c r="H319" s="168"/>
      <c r="I319" s="324"/>
      <c r="J319" s="154"/>
      <c r="K319" s="168"/>
      <c r="L319" s="324"/>
      <c r="M319" s="330"/>
      <c r="N319" s="331"/>
      <c r="O319" s="332"/>
      <c r="P319" s="330"/>
      <c r="Q319" s="331"/>
      <c r="R319" s="332"/>
      <c r="S319" s="330"/>
      <c r="T319" s="331"/>
      <c r="U319" s="332"/>
      <c r="V319" s="154"/>
      <c r="W319" s="331"/>
      <c r="X319" s="324"/>
      <c r="Y319" s="205"/>
      <c r="Z319" s="205"/>
      <c r="AA319" s="205"/>
      <c r="AB319" s="17"/>
      <c r="AC319" s="17"/>
      <c r="AD319" s="17"/>
      <c r="AE319" s="17"/>
    </row>
    <row r="320">
      <c r="A320" s="154"/>
      <c r="B320" s="168"/>
      <c r="C320" s="324"/>
      <c r="D320" s="154"/>
      <c r="E320" s="168"/>
      <c r="F320" s="324"/>
      <c r="G320" s="154"/>
      <c r="H320" s="168"/>
      <c r="I320" s="324"/>
      <c r="J320" s="154"/>
      <c r="K320" s="168"/>
      <c r="L320" s="324"/>
      <c r="M320" s="330"/>
      <c r="N320" s="331"/>
      <c r="O320" s="332"/>
      <c r="P320" s="330"/>
      <c r="Q320" s="331"/>
      <c r="R320" s="332"/>
      <c r="S320" s="330"/>
      <c r="T320" s="331"/>
      <c r="U320" s="332"/>
      <c r="V320" s="154"/>
      <c r="W320" s="331"/>
      <c r="X320" s="324"/>
      <c r="Y320" s="205"/>
      <c r="Z320" s="205"/>
      <c r="AA320" s="205"/>
      <c r="AB320" s="17"/>
      <c r="AC320" s="17"/>
      <c r="AD320" s="17"/>
      <c r="AE320" s="17"/>
    </row>
    <row r="321">
      <c r="A321" s="154"/>
      <c r="B321" s="168"/>
      <c r="C321" s="324"/>
      <c r="D321" s="154"/>
      <c r="E321" s="168"/>
      <c r="F321" s="324"/>
      <c r="G321" s="154"/>
      <c r="H321" s="168"/>
      <c r="I321" s="324"/>
      <c r="J321" s="154"/>
      <c r="K321" s="168"/>
      <c r="L321" s="324"/>
      <c r="M321" s="330"/>
      <c r="N321" s="331"/>
      <c r="O321" s="332"/>
      <c r="P321" s="330"/>
      <c r="Q321" s="331"/>
      <c r="R321" s="332"/>
      <c r="S321" s="330"/>
      <c r="T321" s="331"/>
      <c r="U321" s="332"/>
      <c r="V321" s="154"/>
      <c r="W321" s="331"/>
      <c r="X321" s="324"/>
      <c r="Y321" s="205"/>
      <c r="Z321" s="205"/>
      <c r="AA321" s="205"/>
      <c r="AB321" s="17"/>
      <c r="AC321" s="17"/>
      <c r="AD321" s="17"/>
      <c r="AE321" s="17"/>
    </row>
    <row r="322">
      <c r="A322" s="154"/>
      <c r="B322" s="168"/>
      <c r="C322" s="324"/>
      <c r="D322" s="154"/>
      <c r="E322" s="168"/>
      <c r="F322" s="324"/>
      <c r="G322" s="154"/>
      <c r="H322" s="168"/>
      <c r="I322" s="324"/>
      <c r="J322" s="154"/>
      <c r="K322" s="168"/>
      <c r="L322" s="324"/>
      <c r="M322" s="330"/>
      <c r="N322" s="331"/>
      <c r="O322" s="332"/>
      <c r="P322" s="330"/>
      <c r="Q322" s="331"/>
      <c r="R322" s="332"/>
      <c r="S322" s="330"/>
      <c r="T322" s="331"/>
      <c r="U322" s="332"/>
      <c r="V322" s="154"/>
      <c r="W322" s="331"/>
      <c r="X322" s="324"/>
      <c r="Y322" s="205"/>
      <c r="Z322" s="205"/>
      <c r="AA322" s="205"/>
      <c r="AB322" s="17"/>
      <c r="AC322" s="17"/>
      <c r="AD322" s="17"/>
      <c r="AE322" s="17"/>
    </row>
    <row r="323">
      <c r="A323" s="154"/>
      <c r="B323" s="168"/>
      <c r="C323" s="324"/>
      <c r="D323" s="154"/>
      <c r="E323" s="168"/>
      <c r="F323" s="324"/>
      <c r="G323" s="154"/>
      <c r="H323" s="168"/>
      <c r="I323" s="324"/>
      <c r="J323" s="154"/>
      <c r="K323" s="168"/>
      <c r="L323" s="324"/>
      <c r="M323" s="330"/>
      <c r="N323" s="331"/>
      <c r="O323" s="332"/>
      <c r="P323" s="330"/>
      <c r="Q323" s="331"/>
      <c r="R323" s="332"/>
      <c r="S323" s="330"/>
      <c r="T323" s="331"/>
      <c r="U323" s="332"/>
      <c r="V323" s="154"/>
      <c r="W323" s="331"/>
      <c r="X323" s="324"/>
      <c r="Y323" s="205"/>
      <c r="Z323" s="205"/>
      <c r="AA323" s="205"/>
      <c r="AB323" s="17"/>
      <c r="AC323" s="17"/>
      <c r="AD323" s="17"/>
      <c r="AE323" s="17"/>
    </row>
    <row r="324">
      <c r="A324" s="154"/>
      <c r="B324" s="168"/>
      <c r="C324" s="324"/>
      <c r="D324" s="154"/>
      <c r="E324" s="168"/>
      <c r="F324" s="324"/>
      <c r="G324" s="154"/>
      <c r="H324" s="168"/>
      <c r="I324" s="324"/>
      <c r="J324" s="154"/>
      <c r="K324" s="168"/>
      <c r="L324" s="324"/>
      <c r="M324" s="330"/>
      <c r="N324" s="331"/>
      <c r="O324" s="332"/>
      <c r="P324" s="330"/>
      <c r="Q324" s="331"/>
      <c r="R324" s="332"/>
      <c r="S324" s="330"/>
      <c r="T324" s="331"/>
      <c r="U324" s="332"/>
      <c r="V324" s="154"/>
      <c r="W324" s="331"/>
      <c r="X324" s="324"/>
      <c r="Y324" s="205"/>
      <c r="Z324" s="205"/>
      <c r="AA324" s="205"/>
      <c r="AB324" s="17"/>
      <c r="AC324" s="17"/>
      <c r="AD324" s="17"/>
      <c r="AE324" s="17"/>
    </row>
    <row r="325">
      <c r="A325" s="154"/>
      <c r="B325" s="168"/>
      <c r="C325" s="324"/>
      <c r="D325" s="154"/>
      <c r="E325" s="168"/>
      <c r="F325" s="324"/>
      <c r="G325" s="154"/>
      <c r="H325" s="168"/>
      <c r="I325" s="324"/>
      <c r="J325" s="154"/>
      <c r="K325" s="168"/>
      <c r="L325" s="324"/>
      <c r="M325" s="330"/>
      <c r="N325" s="331"/>
      <c r="O325" s="332"/>
      <c r="P325" s="330"/>
      <c r="Q325" s="331"/>
      <c r="R325" s="332"/>
      <c r="S325" s="330"/>
      <c r="T325" s="331"/>
      <c r="U325" s="332"/>
      <c r="V325" s="154"/>
      <c r="W325" s="331"/>
      <c r="X325" s="324"/>
      <c r="Y325" s="205"/>
      <c r="Z325" s="205"/>
      <c r="AA325" s="205"/>
      <c r="AB325" s="17"/>
      <c r="AC325" s="17"/>
      <c r="AD325" s="17"/>
      <c r="AE325" s="17"/>
    </row>
    <row r="326">
      <c r="A326" s="154"/>
      <c r="B326" s="168"/>
      <c r="C326" s="324"/>
      <c r="D326" s="154"/>
      <c r="E326" s="168"/>
      <c r="F326" s="324"/>
      <c r="G326" s="154"/>
      <c r="H326" s="168"/>
      <c r="I326" s="324"/>
      <c r="J326" s="154"/>
      <c r="K326" s="168"/>
      <c r="L326" s="324"/>
      <c r="M326" s="330"/>
      <c r="N326" s="331"/>
      <c r="O326" s="332"/>
      <c r="P326" s="330"/>
      <c r="Q326" s="331"/>
      <c r="R326" s="332"/>
      <c r="S326" s="330"/>
      <c r="T326" s="331"/>
      <c r="U326" s="332"/>
      <c r="V326" s="154"/>
      <c r="W326" s="331"/>
      <c r="X326" s="324"/>
      <c r="Y326" s="205"/>
      <c r="Z326" s="205"/>
      <c r="AA326" s="205"/>
      <c r="AB326" s="17"/>
      <c r="AC326" s="17"/>
      <c r="AD326" s="17"/>
      <c r="AE326" s="17"/>
    </row>
    <row r="327">
      <c r="A327" s="154"/>
      <c r="B327" s="168"/>
      <c r="C327" s="324"/>
      <c r="D327" s="154"/>
      <c r="E327" s="168"/>
      <c r="F327" s="324"/>
      <c r="G327" s="154"/>
      <c r="H327" s="168"/>
      <c r="I327" s="324"/>
      <c r="J327" s="154"/>
      <c r="K327" s="168"/>
      <c r="L327" s="324"/>
      <c r="M327" s="330"/>
      <c r="N327" s="331"/>
      <c r="O327" s="332"/>
      <c r="P327" s="330"/>
      <c r="Q327" s="331"/>
      <c r="R327" s="332"/>
      <c r="S327" s="330"/>
      <c r="T327" s="331"/>
      <c r="U327" s="332"/>
      <c r="V327" s="154"/>
      <c r="W327" s="331"/>
      <c r="X327" s="324"/>
      <c r="Y327" s="205"/>
      <c r="Z327" s="205"/>
      <c r="AA327" s="205"/>
      <c r="AB327" s="17"/>
      <c r="AC327" s="17"/>
      <c r="AD327" s="17"/>
      <c r="AE327" s="17"/>
    </row>
    <row r="328">
      <c r="A328" s="154"/>
      <c r="B328" s="168"/>
      <c r="C328" s="324"/>
      <c r="D328" s="154"/>
      <c r="E328" s="168"/>
      <c r="F328" s="324"/>
      <c r="G328" s="154"/>
      <c r="H328" s="168"/>
      <c r="I328" s="324"/>
      <c r="J328" s="154"/>
      <c r="K328" s="168"/>
      <c r="L328" s="324"/>
      <c r="M328" s="330"/>
      <c r="N328" s="331"/>
      <c r="O328" s="332"/>
      <c r="P328" s="330"/>
      <c r="Q328" s="331"/>
      <c r="R328" s="332"/>
      <c r="S328" s="330"/>
      <c r="T328" s="331"/>
      <c r="U328" s="332"/>
      <c r="V328" s="154"/>
      <c r="W328" s="331"/>
      <c r="X328" s="324"/>
      <c r="Y328" s="205"/>
      <c r="Z328" s="205"/>
      <c r="AA328" s="205"/>
      <c r="AB328" s="17"/>
      <c r="AC328" s="17"/>
      <c r="AD328" s="17"/>
      <c r="AE328" s="17"/>
    </row>
    <row r="329">
      <c r="A329" s="154"/>
      <c r="B329" s="168"/>
      <c r="C329" s="324"/>
      <c r="D329" s="154"/>
      <c r="E329" s="168"/>
      <c r="F329" s="324"/>
      <c r="G329" s="154"/>
      <c r="H329" s="168"/>
      <c r="I329" s="324"/>
      <c r="J329" s="154"/>
      <c r="K329" s="168"/>
      <c r="L329" s="324"/>
      <c r="M329" s="330"/>
      <c r="N329" s="331"/>
      <c r="O329" s="332"/>
      <c r="P329" s="330"/>
      <c r="Q329" s="331"/>
      <c r="R329" s="332"/>
      <c r="S329" s="330"/>
      <c r="T329" s="331"/>
      <c r="U329" s="332"/>
      <c r="V329" s="154"/>
      <c r="W329" s="331"/>
      <c r="X329" s="324"/>
      <c r="Y329" s="205"/>
      <c r="Z329" s="205"/>
      <c r="AA329" s="205"/>
      <c r="AB329" s="17"/>
      <c r="AC329" s="17"/>
      <c r="AD329" s="17"/>
      <c r="AE329" s="17"/>
    </row>
    <row r="330">
      <c r="A330" s="154"/>
      <c r="B330" s="168"/>
      <c r="C330" s="324"/>
      <c r="D330" s="154"/>
      <c r="E330" s="168"/>
      <c r="F330" s="324"/>
      <c r="G330" s="154"/>
      <c r="H330" s="168"/>
      <c r="I330" s="324"/>
      <c r="J330" s="154"/>
      <c r="K330" s="168"/>
      <c r="L330" s="324"/>
      <c r="M330" s="330"/>
      <c r="N330" s="331"/>
      <c r="O330" s="332"/>
      <c r="P330" s="330"/>
      <c r="Q330" s="331"/>
      <c r="R330" s="332"/>
      <c r="S330" s="330"/>
      <c r="T330" s="331"/>
      <c r="U330" s="332"/>
      <c r="V330" s="154"/>
      <c r="W330" s="331"/>
      <c r="X330" s="324"/>
      <c r="Y330" s="205"/>
      <c r="Z330" s="205"/>
      <c r="AA330" s="205"/>
      <c r="AB330" s="17"/>
      <c r="AC330" s="17"/>
      <c r="AD330" s="17"/>
      <c r="AE330" s="17"/>
    </row>
    <row r="331">
      <c r="A331" s="154"/>
      <c r="B331" s="168"/>
      <c r="C331" s="324"/>
      <c r="D331" s="154"/>
      <c r="E331" s="168"/>
      <c r="F331" s="324"/>
      <c r="G331" s="154"/>
      <c r="H331" s="168"/>
      <c r="I331" s="324"/>
      <c r="J331" s="154"/>
      <c r="K331" s="168"/>
      <c r="L331" s="324"/>
      <c r="M331" s="330"/>
      <c r="N331" s="331"/>
      <c r="O331" s="332"/>
      <c r="P331" s="330"/>
      <c r="Q331" s="331"/>
      <c r="R331" s="332"/>
      <c r="S331" s="330"/>
      <c r="T331" s="331"/>
      <c r="U331" s="332"/>
      <c r="V331" s="154"/>
      <c r="W331" s="331"/>
      <c r="X331" s="324"/>
      <c r="Y331" s="205"/>
      <c r="Z331" s="205"/>
      <c r="AA331" s="205"/>
      <c r="AB331" s="17"/>
      <c r="AC331" s="17"/>
      <c r="AD331" s="17"/>
      <c r="AE331" s="17"/>
    </row>
    <row r="332">
      <c r="A332" s="154"/>
      <c r="B332" s="168"/>
      <c r="C332" s="324"/>
      <c r="D332" s="154"/>
      <c r="E332" s="168"/>
      <c r="F332" s="324"/>
      <c r="G332" s="154"/>
      <c r="H332" s="168"/>
      <c r="I332" s="324"/>
      <c r="J332" s="154"/>
      <c r="K332" s="168"/>
      <c r="L332" s="324"/>
      <c r="M332" s="330"/>
      <c r="N332" s="331"/>
      <c r="O332" s="332"/>
      <c r="P332" s="330"/>
      <c r="Q332" s="331"/>
      <c r="R332" s="332"/>
      <c r="S332" s="330"/>
      <c r="T332" s="331"/>
      <c r="U332" s="332"/>
      <c r="V332" s="154"/>
      <c r="W332" s="331"/>
      <c r="X332" s="324"/>
      <c r="Y332" s="205"/>
      <c r="Z332" s="205"/>
      <c r="AA332" s="205"/>
      <c r="AB332" s="17"/>
      <c r="AC332" s="17"/>
      <c r="AD332" s="17"/>
      <c r="AE332" s="17"/>
    </row>
    <row r="333">
      <c r="A333" s="154"/>
      <c r="B333" s="168"/>
      <c r="C333" s="324"/>
      <c r="D333" s="154"/>
      <c r="E333" s="168"/>
      <c r="F333" s="324"/>
      <c r="G333" s="154"/>
      <c r="H333" s="168"/>
      <c r="I333" s="324"/>
      <c r="J333" s="154"/>
      <c r="K333" s="168"/>
      <c r="L333" s="324"/>
      <c r="M333" s="330"/>
      <c r="N333" s="331"/>
      <c r="O333" s="332"/>
      <c r="P333" s="330"/>
      <c r="Q333" s="331"/>
      <c r="R333" s="332"/>
      <c r="S333" s="330"/>
      <c r="T333" s="331"/>
      <c r="U333" s="332"/>
      <c r="V333" s="154"/>
      <c r="W333" s="331"/>
      <c r="X333" s="324"/>
      <c r="Y333" s="205"/>
      <c r="Z333" s="205"/>
      <c r="AA333" s="205"/>
      <c r="AB333" s="17"/>
      <c r="AC333" s="17"/>
      <c r="AD333" s="17"/>
      <c r="AE333" s="17"/>
    </row>
    <row r="334">
      <c r="A334" s="154"/>
      <c r="B334" s="168"/>
      <c r="C334" s="324"/>
      <c r="D334" s="154"/>
      <c r="E334" s="168"/>
      <c r="F334" s="324"/>
      <c r="G334" s="154"/>
      <c r="H334" s="168"/>
      <c r="I334" s="324"/>
      <c r="J334" s="154"/>
      <c r="K334" s="168"/>
      <c r="L334" s="324"/>
      <c r="M334" s="330"/>
      <c r="N334" s="331"/>
      <c r="O334" s="332"/>
      <c r="P334" s="330"/>
      <c r="Q334" s="331"/>
      <c r="R334" s="332"/>
      <c r="S334" s="330"/>
      <c r="T334" s="331"/>
      <c r="U334" s="332"/>
      <c r="V334" s="154"/>
      <c r="W334" s="331"/>
      <c r="X334" s="324"/>
      <c r="Y334" s="205"/>
      <c r="Z334" s="205"/>
      <c r="AA334" s="205"/>
      <c r="AB334" s="17"/>
      <c r="AC334" s="17"/>
      <c r="AD334" s="17"/>
      <c r="AE334" s="17"/>
    </row>
    <row r="335">
      <c r="A335" s="154"/>
      <c r="B335" s="168"/>
      <c r="C335" s="324"/>
      <c r="D335" s="154"/>
      <c r="E335" s="168"/>
      <c r="F335" s="324"/>
      <c r="G335" s="154"/>
      <c r="H335" s="168"/>
      <c r="I335" s="324"/>
      <c r="J335" s="154"/>
      <c r="K335" s="168"/>
      <c r="L335" s="324"/>
      <c r="M335" s="330"/>
      <c r="N335" s="331"/>
      <c r="O335" s="332"/>
      <c r="P335" s="330"/>
      <c r="Q335" s="331"/>
      <c r="R335" s="332"/>
      <c r="S335" s="330"/>
      <c r="T335" s="331"/>
      <c r="U335" s="332"/>
      <c r="V335" s="154"/>
      <c r="W335" s="331"/>
      <c r="X335" s="324"/>
      <c r="Y335" s="205"/>
      <c r="Z335" s="205"/>
      <c r="AA335" s="205"/>
      <c r="AB335" s="17"/>
      <c r="AC335" s="17"/>
      <c r="AD335" s="17"/>
      <c r="AE335" s="17"/>
    </row>
    <row r="336">
      <c r="A336" s="154"/>
      <c r="B336" s="168"/>
      <c r="C336" s="324"/>
      <c r="D336" s="154"/>
      <c r="E336" s="168"/>
      <c r="F336" s="324"/>
      <c r="G336" s="154"/>
      <c r="H336" s="168"/>
      <c r="I336" s="324"/>
      <c r="J336" s="154"/>
      <c r="K336" s="168"/>
      <c r="L336" s="324"/>
      <c r="M336" s="330"/>
      <c r="N336" s="331"/>
      <c r="O336" s="332"/>
      <c r="P336" s="330"/>
      <c r="Q336" s="331"/>
      <c r="R336" s="332"/>
      <c r="S336" s="330"/>
      <c r="T336" s="331"/>
      <c r="U336" s="332"/>
      <c r="V336" s="154"/>
      <c r="W336" s="331"/>
      <c r="X336" s="324"/>
      <c r="Y336" s="205"/>
      <c r="Z336" s="205"/>
      <c r="AA336" s="205"/>
      <c r="AB336" s="17"/>
      <c r="AC336" s="17"/>
      <c r="AD336" s="17"/>
      <c r="AE336" s="17"/>
    </row>
    <row r="337">
      <c r="A337" s="154"/>
      <c r="B337" s="168"/>
      <c r="C337" s="324"/>
      <c r="D337" s="154"/>
      <c r="E337" s="168"/>
      <c r="F337" s="324"/>
      <c r="G337" s="154"/>
      <c r="H337" s="168"/>
      <c r="I337" s="324"/>
      <c r="J337" s="154"/>
      <c r="K337" s="168"/>
      <c r="L337" s="324"/>
      <c r="M337" s="330"/>
      <c r="N337" s="331"/>
      <c r="O337" s="332"/>
      <c r="P337" s="330"/>
      <c r="Q337" s="331"/>
      <c r="R337" s="332"/>
      <c r="S337" s="330"/>
      <c r="T337" s="331"/>
      <c r="U337" s="332"/>
      <c r="V337" s="154"/>
      <c r="W337" s="331"/>
      <c r="X337" s="324"/>
      <c r="Y337" s="205"/>
      <c r="Z337" s="205"/>
      <c r="AA337" s="205"/>
      <c r="AB337" s="17"/>
      <c r="AC337" s="17"/>
      <c r="AD337" s="17"/>
      <c r="AE337" s="17"/>
    </row>
    <row r="338">
      <c r="A338" s="154"/>
      <c r="B338" s="168"/>
      <c r="C338" s="324"/>
      <c r="D338" s="154"/>
      <c r="E338" s="168"/>
      <c r="F338" s="324"/>
      <c r="G338" s="154"/>
      <c r="H338" s="168"/>
      <c r="I338" s="324"/>
      <c r="J338" s="154"/>
      <c r="K338" s="168"/>
      <c r="L338" s="324"/>
      <c r="M338" s="330"/>
      <c r="N338" s="331"/>
      <c r="O338" s="332"/>
      <c r="P338" s="330"/>
      <c r="Q338" s="331"/>
      <c r="R338" s="332"/>
      <c r="S338" s="330"/>
      <c r="T338" s="331"/>
      <c r="U338" s="332"/>
      <c r="V338" s="154"/>
      <c r="W338" s="331"/>
      <c r="X338" s="324"/>
      <c r="Y338" s="205"/>
      <c r="Z338" s="205"/>
      <c r="AA338" s="205"/>
      <c r="AB338" s="17"/>
      <c r="AC338" s="17"/>
      <c r="AD338" s="17"/>
      <c r="AE338" s="17"/>
    </row>
    <row r="339">
      <c r="A339" s="154"/>
      <c r="B339" s="168"/>
      <c r="C339" s="324"/>
      <c r="D339" s="154"/>
      <c r="E339" s="168"/>
      <c r="F339" s="324"/>
      <c r="G339" s="154"/>
      <c r="H339" s="168"/>
      <c r="I339" s="324"/>
      <c r="J339" s="154"/>
      <c r="K339" s="168"/>
      <c r="L339" s="324"/>
      <c r="M339" s="330"/>
      <c r="N339" s="331"/>
      <c r="O339" s="332"/>
      <c r="P339" s="330"/>
      <c r="Q339" s="331"/>
      <c r="R339" s="332"/>
      <c r="S339" s="330"/>
      <c r="T339" s="331"/>
      <c r="U339" s="332"/>
      <c r="V339" s="154"/>
      <c r="W339" s="331"/>
      <c r="X339" s="324"/>
      <c r="Y339" s="205"/>
      <c r="Z339" s="205"/>
      <c r="AA339" s="205"/>
      <c r="AB339" s="17"/>
      <c r="AC339" s="17"/>
      <c r="AD339" s="17"/>
      <c r="AE339" s="17"/>
    </row>
    <row r="340">
      <c r="A340" s="154"/>
      <c r="B340" s="168"/>
      <c r="C340" s="324"/>
      <c r="D340" s="154"/>
      <c r="E340" s="168"/>
      <c r="F340" s="324"/>
      <c r="G340" s="154"/>
      <c r="H340" s="168"/>
      <c r="I340" s="324"/>
      <c r="J340" s="154"/>
      <c r="K340" s="168"/>
      <c r="L340" s="324"/>
      <c r="M340" s="330"/>
      <c r="N340" s="331"/>
      <c r="O340" s="332"/>
      <c r="P340" s="330"/>
      <c r="Q340" s="331"/>
      <c r="R340" s="332"/>
      <c r="S340" s="330"/>
      <c r="T340" s="331"/>
      <c r="U340" s="332"/>
      <c r="V340" s="154"/>
      <c r="W340" s="331"/>
      <c r="X340" s="324"/>
      <c r="Y340" s="205"/>
      <c r="Z340" s="205"/>
      <c r="AA340" s="205"/>
      <c r="AB340" s="17"/>
      <c r="AC340" s="17"/>
      <c r="AD340" s="17"/>
      <c r="AE340" s="17"/>
    </row>
    <row r="341">
      <c r="A341" s="154"/>
      <c r="B341" s="168"/>
      <c r="C341" s="324"/>
      <c r="D341" s="154"/>
      <c r="E341" s="168"/>
      <c r="F341" s="324"/>
      <c r="G341" s="154"/>
      <c r="H341" s="168"/>
      <c r="I341" s="324"/>
      <c r="J341" s="154"/>
      <c r="K341" s="168"/>
      <c r="L341" s="324"/>
      <c r="M341" s="330"/>
      <c r="N341" s="331"/>
      <c r="O341" s="332"/>
      <c r="P341" s="330"/>
      <c r="Q341" s="331"/>
      <c r="R341" s="332"/>
      <c r="S341" s="330"/>
      <c r="T341" s="331"/>
      <c r="U341" s="332"/>
      <c r="V341" s="154"/>
      <c r="W341" s="331"/>
      <c r="X341" s="324"/>
      <c r="Y341" s="205"/>
      <c r="Z341" s="205"/>
      <c r="AA341" s="205"/>
      <c r="AB341" s="17"/>
      <c r="AC341" s="17"/>
      <c r="AD341" s="17"/>
      <c r="AE341" s="17"/>
    </row>
    <row r="342">
      <c r="A342" s="154"/>
      <c r="B342" s="168"/>
      <c r="C342" s="324"/>
      <c r="D342" s="154"/>
      <c r="E342" s="168"/>
      <c r="F342" s="324"/>
      <c r="G342" s="154"/>
      <c r="H342" s="168"/>
      <c r="I342" s="324"/>
      <c r="J342" s="154"/>
      <c r="K342" s="168"/>
      <c r="L342" s="324"/>
      <c r="M342" s="330"/>
      <c r="N342" s="331"/>
      <c r="O342" s="332"/>
      <c r="P342" s="330"/>
      <c r="Q342" s="331"/>
      <c r="R342" s="332"/>
      <c r="S342" s="330"/>
      <c r="T342" s="331"/>
      <c r="U342" s="332"/>
      <c r="V342" s="154"/>
      <c r="W342" s="331"/>
      <c r="X342" s="324"/>
      <c r="Y342" s="205"/>
      <c r="Z342" s="205"/>
      <c r="AA342" s="205"/>
      <c r="AB342" s="17"/>
      <c r="AC342" s="17"/>
      <c r="AD342" s="17"/>
      <c r="AE342" s="17"/>
    </row>
    <row r="343">
      <c r="A343" s="154"/>
      <c r="B343" s="168"/>
      <c r="C343" s="324"/>
      <c r="D343" s="154"/>
      <c r="E343" s="168"/>
      <c r="F343" s="324"/>
      <c r="G343" s="154"/>
      <c r="H343" s="168"/>
      <c r="I343" s="324"/>
      <c r="J343" s="154"/>
      <c r="K343" s="168"/>
      <c r="L343" s="324"/>
      <c r="M343" s="330"/>
      <c r="N343" s="331"/>
      <c r="O343" s="332"/>
      <c r="P343" s="330"/>
      <c r="Q343" s="331"/>
      <c r="R343" s="332"/>
      <c r="S343" s="330"/>
      <c r="T343" s="331"/>
      <c r="U343" s="332"/>
      <c r="V343" s="154"/>
      <c r="W343" s="331"/>
      <c r="X343" s="324"/>
      <c r="Y343" s="205"/>
      <c r="Z343" s="205"/>
      <c r="AA343" s="205"/>
      <c r="AB343" s="17"/>
      <c r="AC343" s="17"/>
      <c r="AD343" s="17"/>
      <c r="AE343" s="17"/>
    </row>
    <row r="344">
      <c r="A344" s="154"/>
      <c r="B344" s="168"/>
      <c r="C344" s="324"/>
      <c r="D344" s="154"/>
      <c r="E344" s="168"/>
      <c r="F344" s="324"/>
      <c r="G344" s="154"/>
      <c r="H344" s="168"/>
      <c r="I344" s="324"/>
      <c r="J344" s="154"/>
      <c r="K344" s="168"/>
      <c r="L344" s="324"/>
      <c r="M344" s="330"/>
      <c r="N344" s="331"/>
      <c r="O344" s="332"/>
      <c r="P344" s="330"/>
      <c r="Q344" s="331"/>
      <c r="R344" s="332"/>
      <c r="S344" s="330"/>
      <c r="T344" s="331"/>
      <c r="U344" s="332"/>
      <c r="V344" s="154"/>
      <c r="W344" s="331"/>
      <c r="X344" s="324"/>
      <c r="Y344" s="205"/>
      <c r="Z344" s="205"/>
      <c r="AA344" s="205"/>
      <c r="AB344" s="17"/>
      <c r="AC344" s="17"/>
      <c r="AD344" s="17"/>
      <c r="AE344" s="17"/>
    </row>
    <row r="345">
      <c r="A345" s="154"/>
      <c r="B345" s="168"/>
      <c r="C345" s="324"/>
      <c r="D345" s="154"/>
      <c r="E345" s="168"/>
      <c r="F345" s="324"/>
      <c r="G345" s="154"/>
      <c r="H345" s="168"/>
      <c r="I345" s="324"/>
      <c r="J345" s="154"/>
      <c r="K345" s="168"/>
      <c r="L345" s="324"/>
      <c r="M345" s="330"/>
      <c r="N345" s="331"/>
      <c r="O345" s="332"/>
      <c r="P345" s="330"/>
      <c r="Q345" s="331"/>
      <c r="R345" s="332"/>
      <c r="S345" s="330"/>
      <c r="T345" s="331"/>
      <c r="U345" s="332"/>
      <c r="V345" s="154"/>
      <c r="W345" s="331"/>
      <c r="X345" s="324"/>
      <c r="Y345" s="205"/>
      <c r="Z345" s="205"/>
      <c r="AA345" s="205"/>
      <c r="AB345" s="17"/>
      <c r="AC345" s="17"/>
      <c r="AD345" s="17"/>
      <c r="AE345" s="17"/>
    </row>
    <row r="346">
      <c r="A346" s="154"/>
      <c r="B346" s="168"/>
      <c r="C346" s="324"/>
      <c r="D346" s="154"/>
      <c r="E346" s="168"/>
      <c r="F346" s="324"/>
      <c r="G346" s="154"/>
      <c r="H346" s="168"/>
      <c r="I346" s="324"/>
      <c r="J346" s="154"/>
      <c r="K346" s="168"/>
      <c r="L346" s="324"/>
      <c r="M346" s="330"/>
      <c r="N346" s="331"/>
      <c r="O346" s="332"/>
      <c r="P346" s="330"/>
      <c r="Q346" s="331"/>
      <c r="R346" s="332"/>
      <c r="S346" s="330"/>
      <c r="T346" s="331"/>
      <c r="U346" s="332"/>
      <c r="V346" s="154"/>
      <c r="W346" s="331"/>
      <c r="X346" s="324"/>
      <c r="Y346" s="205"/>
      <c r="Z346" s="205"/>
      <c r="AA346" s="205"/>
      <c r="AB346" s="17"/>
      <c r="AC346" s="17"/>
      <c r="AD346" s="17"/>
      <c r="AE346" s="17"/>
    </row>
    <row r="347">
      <c r="A347" s="154"/>
      <c r="B347" s="168"/>
      <c r="C347" s="324"/>
      <c r="D347" s="154"/>
      <c r="E347" s="168"/>
      <c r="F347" s="324"/>
      <c r="G347" s="154"/>
      <c r="H347" s="168"/>
      <c r="I347" s="324"/>
      <c r="J347" s="154"/>
      <c r="K347" s="168"/>
      <c r="L347" s="324"/>
      <c r="M347" s="330"/>
      <c r="N347" s="331"/>
      <c r="O347" s="332"/>
      <c r="P347" s="330"/>
      <c r="Q347" s="331"/>
      <c r="R347" s="332"/>
      <c r="S347" s="330"/>
      <c r="T347" s="331"/>
      <c r="U347" s="332"/>
      <c r="V347" s="154"/>
      <c r="W347" s="331"/>
      <c r="X347" s="324"/>
      <c r="Y347" s="205"/>
      <c r="Z347" s="205"/>
      <c r="AA347" s="205"/>
      <c r="AB347" s="17"/>
      <c r="AC347" s="17"/>
      <c r="AD347" s="17"/>
      <c r="AE347" s="17"/>
    </row>
    <row r="348">
      <c r="A348" s="154"/>
      <c r="B348" s="168"/>
      <c r="C348" s="324"/>
      <c r="D348" s="154"/>
      <c r="E348" s="168"/>
      <c r="F348" s="324"/>
      <c r="G348" s="154"/>
      <c r="H348" s="168"/>
      <c r="I348" s="324"/>
      <c r="J348" s="154"/>
      <c r="K348" s="168"/>
      <c r="L348" s="324"/>
      <c r="M348" s="330"/>
      <c r="N348" s="331"/>
      <c r="O348" s="332"/>
      <c r="P348" s="330"/>
      <c r="Q348" s="331"/>
      <c r="R348" s="332"/>
      <c r="S348" s="330"/>
      <c r="T348" s="331"/>
      <c r="U348" s="332"/>
      <c r="V348" s="154"/>
      <c r="W348" s="331"/>
      <c r="X348" s="324"/>
      <c r="Y348" s="205"/>
      <c r="Z348" s="205"/>
      <c r="AA348" s="205"/>
      <c r="AB348" s="17"/>
      <c r="AC348" s="17"/>
      <c r="AD348" s="17"/>
      <c r="AE348" s="17"/>
    </row>
    <row r="349">
      <c r="A349" s="154"/>
      <c r="B349" s="168"/>
      <c r="C349" s="324"/>
      <c r="D349" s="154"/>
      <c r="E349" s="168"/>
      <c r="F349" s="324"/>
      <c r="G349" s="154"/>
      <c r="H349" s="168"/>
      <c r="I349" s="324"/>
      <c r="J349" s="154"/>
      <c r="K349" s="168"/>
      <c r="L349" s="324"/>
      <c r="M349" s="330"/>
      <c r="N349" s="331"/>
      <c r="O349" s="332"/>
      <c r="P349" s="330"/>
      <c r="Q349" s="331"/>
      <c r="R349" s="332"/>
      <c r="S349" s="330"/>
      <c r="T349" s="331"/>
      <c r="U349" s="332"/>
      <c r="V349" s="154"/>
      <c r="W349" s="331"/>
      <c r="X349" s="324"/>
      <c r="Y349" s="205"/>
      <c r="Z349" s="205"/>
      <c r="AA349" s="205"/>
      <c r="AB349" s="17"/>
      <c r="AC349" s="17"/>
      <c r="AD349" s="17"/>
      <c r="AE349" s="17"/>
    </row>
    <row r="350">
      <c r="A350" s="154"/>
      <c r="B350" s="168"/>
      <c r="C350" s="324"/>
      <c r="D350" s="154"/>
      <c r="E350" s="168"/>
      <c r="F350" s="324"/>
      <c r="G350" s="154"/>
      <c r="H350" s="168"/>
      <c r="I350" s="324"/>
      <c r="J350" s="154"/>
      <c r="K350" s="168"/>
      <c r="L350" s="324"/>
      <c r="M350" s="330"/>
      <c r="N350" s="331"/>
      <c r="O350" s="332"/>
      <c r="P350" s="330"/>
      <c r="Q350" s="331"/>
      <c r="R350" s="332"/>
      <c r="S350" s="330"/>
      <c r="T350" s="331"/>
      <c r="U350" s="332"/>
      <c r="V350" s="154"/>
      <c r="W350" s="331"/>
      <c r="X350" s="324"/>
      <c r="Y350" s="205"/>
      <c r="Z350" s="205"/>
      <c r="AA350" s="205"/>
      <c r="AB350" s="17"/>
      <c r="AC350" s="17"/>
      <c r="AD350" s="17"/>
      <c r="AE350" s="17"/>
    </row>
    <row r="351">
      <c r="A351" s="154"/>
      <c r="B351" s="168"/>
      <c r="C351" s="324"/>
      <c r="D351" s="154"/>
      <c r="E351" s="168"/>
      <c r="F351" s="324"/>
      <c r="G351" s="154"/>
      <c r="H351" s="168"/>
      <c r="I351" s="324"/>
      <c r="J351" s="154"/>
      <c r="K351" s="168"/>
      <c r="L351" s="324"/>
      <c r="M351" s="330"/>
      <c r="N351" s="331"/>
      <c r="O351" s="332"/>
      <c r="P351" s="330"/>
      <c r="Q351" s="331"/>
      <c r="R351" s="332"/>
      <c r="S351" s="330"/>
      <c r="T351" s="331"/>
      <c r="U351" s="332"/>
      <c r="V351" s="154"/>
      <c r="W351" s="331"/>
      <c r="X351" s="324"/>
      <c r="Y351" s="205"/>
      <c r="Z351" s="205"/>
      <c r="AA351" s="205"/>
      <c r="AB351" s="17"/>
      <c r="AC351" s="17"/>
      <c r="AD351" s="17"/>
      <c r="AE351" s="17"/>
    </row>
    <row r="352">
      <c r="A352" s="154"/>
      <c r="B352" s="168"/>
      <c r="C352" s="324"/>
      <c r="D352" s="154"/>
      <c r="E352" s="168"/>
      <c r="F352" s="324"/>
      <c r="G352" s="154"/>
      <c r="H352" s="168"/>
      <c r="I352" s="324"/>
      <c r="J352" s="154"/>
      <c r="K352" s="168"/>
      <c r="L352" s="324"/>
      <c r="M352" s="330"/>
      <c r="N352" s="331"/>
      <c r="O352" s="332"/>
      <c r="P352" s="330"/>
      <c r="Q352" s="331"/>
      <c r="R352" s="332"/>
      <c r="S352" s="330"/>
      <c r="T352" s="331"/>
      <c r="U352" s="332"/>
      <c r="V352" s="154"/>
      <c r="W352" s="331"/>
      <c r="X352" s="324"/>
      <c r="Y352" s="205"/>
      <c r="Z352" s="205"/>
      <c r="AA352" s="205"/>
      <c r="AB352" s="17"/>
      <c r="AC352" s="17"/>
      <c r="AD352" s="17"/>
      <c r="AE352" s="17"/>
    </row>
    <row r="353">
      <c r="A353" s="154"/>
      <c r="B353" s="168"/>
      <c r="C353" s="324"/>
      <c r="D353" s="154"/>
      <c r="E353" s="168"/>
      <c r="F353" s="324"/>
      <c r="G353" s="154"/>
      <c r="H353" s="168"/>
      <c r="I353" s="324"/>
      <c r="J353" s="154"/>
      <c r="K353" s="168"/>
      <c r="L353" s="324"/>
      <c r="M353" s="330"/>
      <c r="N353" s="331"/>
      <c r="O353" s="332"/>
      <c r="P353" s="330"/>
      <c r="Q353" s="331"/>
      <c r="R353" s="332"/>
      <c r="S353" s="330"/>
      <c r="T353" s="331"/>
      <c r="U353" s="332"/>
      <c r="V353" s="154"/>
      <c r="W353" s="331"/>
      <c r="X353" s="324"/>
      <c r="Y353" s="205"/>
      <c r="Z353" s="205"/>
      <c r="AA353" s="205"/>
      <c r="AB353" s="17"/>
      <c r="AC353" s="17"/>
      <c r="AD353" s="17"/>
      <c r="AE353" s="17"/>
    </row>
    <row r="354">
      <c r="A354" s="154"/>
      <c r="B354" s="168"/>
      <c r="C354" s="324"/>
      <c r="D354" s="154"/>
      <c r="E354" s="168"/>
      <c r="F354" s="324"/>
      <c r="G354" s="154"/>
      <c r="H354" s="168"/>
      <c r="I354" s="324"/>
      <c r="J354" s="154"/>
      <c r="K354" s="168"/>
      <c r="L354" s="324"/>
      <c r="M354" s="330"/>
      <c r="N354" s="331"/>
      <c r="O354" s="332"/>
      <c r="P354" s="330"/>
      <c r="Q354" s="331"/>
      <c r="R354" s="332"/>
      <c r="S354" s="330"/>
      <c r="T354" s="331"/>
      <c r="U354" s="332"/>
      <c r="V354" s="154"/>
      <c r="W354" s="331"/>
      <c r="X354" s="324"/>
      <c r="Y354" s="205"/>
      <c r="Z354" s="205"/>
      <c r="AA354" s="205"/>
      <c r="AB354" s="17"/>
      <c r="AC354" s="17"/>
      <c r="AD354" s="17"/>
      <c r="AE354" s="17"/>
    </row>
    <row r="355">
      <c r="A355" s="154"/>
      <c r="B355" s="168"/>
      <c r="C355" s="324"/>
      <c r="D355" s="154"/>
      <c r="E355" s="168"/>
      <c r="F355" s="324"/>
      <c r="G355" s="154"/>
      <c r="H355" s="168"/>
      <c r="I355" s="324"/>
      <c r="J355" s="154"/>
      <c r="K355" s="168"/>
      <c r="L355" s="324"/>
      <c r="M355" s="330"/>
      <c r="N355" s="331"/>
      <c r="O355" s="332"/>
      <c r="P355" s="330"/>
      <c r="Q355" s="331"/>
      <c r="R355" s="332"/>
      <c r="S355" s="330"/>
      <c r="T355" s="331"/>
      <c r="U355" s="332"/>
      <c r="V355" s="154"/>
      <c r="W355" s="331"/>
      <c r="X355" s="324"/>
      <c r="Y355" s="205"/>
      <c r="Z355" s="205"/>
      <c r="AA355" s="205"/>
      <c r="AB355" s="17"/>
      <c r="AC355" s="17"/>
      <c r="AD355" s="17"/>
      <c r="AE355" s="17"/>
    </row>
    <row r="356">
      <c r="A356" s="154"/>
      <c r="B356" s="168"/>
      <c r="C356" s="324"/>
      <c r="D356" s="154"/>
      <c r="E356" s="168"/>
      <c r="F356" s="324"/>
      <c r="G356" s="154"/>
      <c r="H356" s="168"/>
      <c r="I356" s="324"/>
      <c r="J356" s="154"/>
      <c r="K356" s="168"/>
      <c r="L356" s="324"/>
      <c r="M356" s="330"/>
      <c r="N356" s="331"/>
      <c r="O356" s="332"/>
      <c r="P356" s="330"/>
      <c r="Q356" s="331"/>
      <c r="R356" s="332"/>
      <c r="S356" s="330"/>
      <c r="T356" s="331"/>
      <c r="U356" s="332"/>
      <c r="V356" s="154"/>
      <c r="W356" s="331"/>
      <c r="X356" s="324"/>
      <c r="Y356" s="205"/>
      <c r="Z356" s="205"/>
      <c r="AA356" s="205"/>
      <c r="AB356" s="17"/>
      <c r="AC356" s="17"/>
      <c r="AD356" s="17"/>
      <c r="AE356" s="17"/>
    </row>
    <row r="357">
      <c r="A357" s="154"/>
      <c r="B357" s="168"/>
      <c r="C357" s="324"/>
      <c r="D357" s="154"/>
      <c r="E357" s="168"/>
      <c r="F357" s="324"/>
      <c r="G357" s="154"/>
      <c r="H357" s="168"/>
      <c r="I357" s="324"/>
      <c r="J357" s="154"/>
      <c r="K357" s="168"/>
      <c r="L357" s="324"/>
      <c r="M357" s="330"/>
      <c r="N357" s="331"/>
      <c r="O357" s="332"/>
      <c r="P357" s="330"/>
      <c r="Q357" s="331"/>
      <c r="R357" s="332"/>
      <c r="S357" s="330"/>
      <c r="T357" s="331"/>
      <c r="U357" s="332"/>
      <c r="V357" s="154"/>
      <c r="W357" s="331"/>
      <c r="X357" s="324"/>
      <c r="Y357" s="205"/>
      <c r="Z357" s="205"/>
      <c r="AA357" s="205"/>
      <c r="AB357" s="17"/>
      <c r="AC357" s="17"/>
      <c r="AD357" s="17"/>
      <c r="AE357" s="17"/>
    </row>
    <row r="358">
      <c r="A358" s="154"/>
      <c r="B358" s="168"/>
      <c r="C358" s="324"/>
      <c r="D358" s="154"/>
      <c r="E358" s="168"/>
      <c r="F358" s="324"/>
      <c r="G358" s="154"/>
      <c r="H358" s="168"/>
      <c r="I358" s="324"/>
      <c r="J358" s="154"/>
      <c r="K358" s="168"/>
      <c r="L358" s="324"/>
      <c r="M358" s="330"/>
      <c r="N358" s="331"/>
      <c r="O358" s="332"/>
      <c r="P358" s="330"/>
      <c r="Q358" s="331"/>
      <c r="R358" s="332"/>
      <c r="S358" s="330"/>
      <c r="T358" s="331"/>
      <c r="U358" s="332"/>
      <c r="V358" s="154"/>
      <c r="W358" s="331"/>
      <c r="X358" s="324"/>
      <c r="Y358" s="205"/>
      <c r="Z358" s="205"/>
      <c r="AA358" s="205"/>
      <c r="AB358" s="17"/>
      <c r="AC358" s="17"/>
      <c r="AD358" s="17"/>
      <c r="AE358" s="17"/>
    </row>
    <row r="359">
      <c r="A359" s="154"/>
      <c r="B359" s="168"/>
      <c r="C359" s="324"/>
      <c r="D359" s="154"/>
      <c r="E359" s="168"/>
      <c r="F359" s="324"/>
      <c r="G359" s="154"/>
      <c r="H359" s="168"/>
      <c r="I359" s="324"/>
      <c r="J359" s="154"/>
      <c r="K359" s="168"/>
      <c r="L359" s="324"/>
      <c r="M359" s="330"/>
      <c r="N359" s="331"/>
      <c r="O359" s="332"/>
      <c r="P359" s="330"/>
      <c r="Q359" s="331"/>
      <c r="R359" s="332"/>
      <c r="S359" s="330"/>
      <c r="T359" s="331"/>
      <c r="U359" s="332"/>
      <c r="V359" s="154"/>
      <c r="W359" s="331"/>
      <c r="X359" s="324"/>
      <c r="Y359" s="205"/>
      <c r="Z359" s="205"/>
      <c r="AA359" s="205"/>
      <c r="AB359" s="17"/>
      <c r="AC359" s="17"/>
      <c r="AD359" s="17"/>
      <c r="AE359" s="17"/>
    </row>
    <row r="360">
      <c r="A360" s="154"/>
      <c r="B360" s="168"/>
      <c r="C360" s="324"/>
      <c r="D360" s="154"/>
      <c r="E360" s="168"/>
      <c r="F360" s="324"/>
      <c r="G360" s="154"/>
      <c r="H360" s="168"/>
      <c r="I360" s="324"/>
      <c r="J360" s="154"/>
      <c r="K360" s="168"/>
      <c r="L360" s="324"/>
      <c r="M360" s="330"/>
      <c r="N360" s="331"/>
      <c r="O360" s="332"/>
      <c r="P360" s="330"/>
      <c r="Q360" s="331"/>
      <c r="R360" s="332"/>
      <c r="S360" s="330"/>
      <c r="T360" s="331"/>
      <c r="U360" s="332"/>
      <c r="V360" s="154"/>
      <c r="W360" s="331"/>
      <c r="X360" s="324"/>
      <c r="Y360" s="205"/>
      <c r="Z360" s="205"/>
      <c r="AA360" s="205"/>
      <c r="AB360" s="17"/>
      <c r="AC360" s="17"/>
      <c r="AD360" s="17"/>
      <c r="AE360" s="17"/>
    </row>
    <row r="361">
      <c r="A361" s="154"/>
      <c r="B361" s="168"/>
      <c r="C361" s="324"/>
      <c r="D361" s="154"/>
      <c r="E361" s="168"/>
      <c r="F361" s="324"/>
      <c r="G361" s="154"/>
      <c r="H361" s="168"/>
      <c r="I361" s="324"/>
      <c r="J361" s="154"/>
      <c r="K361" s="168"/>
      <c r="L361" s="324"/>
      <c r="M361" s="330"/>
      <c r="N361" s="331"/>
      <c r="O361" s="332"/>
      <c r="P361" s="330"/>
      <c r="Q361" s="331"/>
      <c r="R361" s="332"/>
      <c r="S361" s="330"/>
      <c r="T361" s="331"/>
      <c r="U361" s="332"/>
      <c r="V361" s="154"/>
      <c r="W361" s="331"/>
      <c r="X361" s="324"/>
      <c r="Y361" s="205"/>
      <c r="Z361" s="205"/>
      <c r="AA361" s="205"/>
      <c r="AB361" s="17"/>
      <c r="AC361" s="17"/>
      <c r="AD361" s="17"/>
      <c r="AE361" s="17"/>
    </row>
    <row r="362">
      <c r="A362" s="154"/>
      <c r="B362" s="168"/>
      <c r="C362" s="324"/>
      <c r="D362" s="154"/>
      <c r="E362" s="168"/>
      <c r="F362" s="324"/>
      <c r="G362" s="154"/>
      <c r="H362" s="168"/>
      <c r="I362" s="324"/>
      <c r="J362" s="154"/>
      <c r="K362" s="168"/>
      <c r="L362" s="324"/>
      <c r="M362" s="330"/>
      <c r="N362" s="331"/>
      <c r="O362" s="332"/>
      <c r="P362" s="330"/>
      <c r="Q362" s="331"/>
      <c r="R362" s="332"/>
      <c r="S362" s="330"/>
      <c r="T362" s="331"/>
      <c r="U362" s="332"/>
      <c r="V362" s="154"/>
      <c r="W362" s="331"/>
      <c r="X362" s="324"/>
      <c r="Y362" s="205"/>
      <c r="Z362" s="205"/>
      <c r="AA362" s="205"/>
      <c r="AB362" s="17"/>
      <c r="AC362" s="17"/>
      <c r="AD362" s="17"/>
      <c r="AE362" s="17"/>
    </row>
    <row r="363">
      <c r="A363" s="154"/>
      <c r="B363" s="168"/>
      <c r="C363" s="324"/>
      <c r="D363" s="154"/>
      <c r="E363" s="168"/>
      <c r="F363" s="324"/>
      <c r="G363" s="154"/>
      <c r="H363" s="168"/>
      <c r="I363" s="324"/>
      <c r="J363" s="154"/>
      <c r="K363" s="168"/>
      <c r="L363" s="324"/>
      <c r="M363" s="330"/>
      <c r="N363" s="331"/>
      <c r="O363" s="332"/>
      <c r="P363" s="330"/>
      <c r="Q363" s="331"/>
      <c r="R363" s="332"/>
      <c r="S363" s="330"/>
      <c r="T363" s="331"/>
      <c r="U363" s="332"/>
      <c r="V363" s="154"/>
      <c r="W363" s="331"/>
      <c r="X363" s="324"/>
      <c r="Y363" s="205"/>
      <c r="Z363" s="205"/>
      <c r="AA363" s="205"/>
      <c r="AB363" s="17"/>
      <c r="AC363" s="17"/>
      <c r="AD363" s="17"/>
      <c r="AE363" s="17"/>
    </row>
    <row r="364">
      <c r="A364" s="154"/>
      <c r="B364" s="168"/>
      <c r="C364" s="324"/>
      <c r="D364" s="154"/>
      <c r="E364" s="168"/>
      <c r="F364" s="324"/>
      <c r="G364" s="154"/>
      <c r="H364" s="168"/>
      <c r="I364" s="324"/>
      <c r="J364" s="154"/>
      <c r="K364" s="168"/>
      <c r="L364" s="324"/>
      <c r="M364" s="330"/>
      <c r="N364" s="331"/>
      <c r="O364" s="332"/>
      <c r="P364" s="330"/>
      <c r="Q364" s="331"/>
      <c r="R364" s="332"/>
      <c r="S364" s="330"/>
      <c r="T364" s="331"/>
      <c r="U364" s="332"/>
      <c r="V364" s="154"/>
      <c r="W364" s="331"/>
      <c r="X364" s="324"/>
      <c r="Y364" s="205"/>
      <c r="Z364" s="205"/>
      <c r="AA364" s="205"/>
      <c r="AB364" s="17"/>
      <c r="AC364" s="17"/>
      <c r="AD364" s="17"/>
      <c r="AE364" s="17"/>
    </row>
    <row r="365">
      <c r="A365" s="154"/>
      <c r="B365" s="168"/>
      <c r="C365" s="324"/>
      <c r="D365" s="154"/>
      <c r="E365" s="168"/>
      <c r="F365" s="324"/>
      <c r="G365" s="154"/>
      <c r="H365" s="168"/>
      <c r="I365" s="324"/>
      <c r="J365" s="154"/>
      <c r="K365" s="168"/>
      <c r="L365" s="324"/>
      <c r="M365" s="330"/>
      <c r="N365" s="331"/>
      <c r="O365" s="332"/>
      <c r="P365" s="330"/>
      <c r="Q365" s="331"/>
      <c r="R365" s="332"/>
      <c r="S365" s="330"/>
      <c r="T365" s="331"/>
      <c r="U365" s="332"/>
      <c r="V365" s="154"/>
      <c r="W365" s="331"/>
      <c r="X365" s="324"/>
      <c r="Y365" s="205"/>
      <c r="Z365" s="205"/>
      <c r="AA365" s="205"/>
      <c r="AB365" s="17"/>
      <c r="AC365" s="17"/>
      <c r="AD365" s="17"/>
      <c r="AE365" s="17"/>
    </row>
    <row r="366">
      <c r="A366" s="154"/>
      <c r="B366" s="168"/>
      <c r="C366" s="324"/>
      <c r="D366" s="154"/>
      <c r="E366" s="168"/>
      <c r="F366" s="324"/>
      <c r="G366" s="154"/>
      <c r="H366" s="168"/>
      <c r="I366" s="324"/>
      <c r="J366" s="154"/>
      <c r="K366" s="168"/>
      <c r="L366" s="324"/>
      <c r="M366" s="330"/>
      <c r="N366" s="331"/>
      <c r="O366" s="332"/>
      <c r="P366" s="330"/>
      <c r="Q366" s="331"/>
      <c r="R366" s="332"/>
      <c r="S366" s="330"/>
      <c r="T366" s="331"/>
      <c r="U366" s="332"/>
      <c r="V366" s="154"/>
      <c r="W366" s="331"/>
      <c r="X366" s="324"/>
      <c r="Y366" s="205"/>
      <c r="Z366" s="205"/>
      <c r="AA366" s="205"/>
      <c r="AB366" s="17"/>
      <c r="AC366" s="17"/>
      <c r="AD366" s="17"/>
      <c r="AE366" s="17"/>
    </row>
    <row r="367">
      <c r="A367" s="154"/>
      <c r="B367" s="168"/>
      <c r="C367" s="324"/>
      <c r="D367" s="154"/>
      <c r="E367" s="168"/>
      <c r="F367" s="324"/>
      <c r="G367" s="154"/>
      <c r="H367" s="168"/>
      <c r="I367" s="324"/>
      <c r="J367" s="154"/>
      <c r="K367" s="168"/>
      <c r="L367" s="324"/>
      <c r="M367" s="330"/>
      <c r="N367" s="331"/>
      <c r="O367" s="332"/>
      <c r="P367" s="330"/>
      <c r="Q367" s="331"/>
      <c r="R367" s="332"/>
      <c r="S367" s="330"/>
      <c r="T367" s="331"/>
      <c r="U367" s="332"/>
      <c r="V367" s="154"/>
      <c r="W367" s="331"/>
      <c r="X367" s="324"/>
      <c r="Y367" s="205"/>
      <c r="Z367" s="205"/>
      <c r="AA367" s="205"/>
      <c r="AB367" s="17"/>
      <c r="AC367" s="17"/>
      <c r="AD367" s="17"/>
      <c r="AE367" s="17"/>
    </row>
    <row r="368">
      <c r="A368" s="154"/>
      <c r="B368" s="168"/>
      <c r="C368" s="324"/>
      <c r="D368" s="154"/>
      <c r="E368" s="168"/>
      <c r="F368" s="324"/>
      <c r="G368" s="154"/>
      <c r="H368" s="168"/>
      <c r="I368" s="324"/>
      <c r="J368" s="154"/>
      <c r="K368" s="168"/>
      <c r="L368" s="324"/>
      <c r="M368" s="330"/>
      <c r="N368" s="331"/>
      <c r="O368" s="332"/>
      <c r="P368" s="330"/>
      <c r="Q368" s="331"/>
      <c r="R368" s="332"/>
      <c r="S368" s="330"/>
      <c r="T368" s="331"/>
      <c r="U368" s="332"/>
      <c r="V368" s="154"/>
      <c r="W368" s="331"/>
      <c r="X368" s="324"/>
      <c r="Y368" s="205"/>
      <c r="Z368" s="205"/>
      <c r="AA368" s="205"/>
      <c r="AB368" s="17"/>
      <c r="AC368" s="17"/>
      <c r="AD368" s="17"/>
      <c r="AE368" s="17"/>
    </row>
    <row r="369">
      <c r="A369" s="154"/>
      <c r="B369" s="168"/>
      <c r="C369" s="324"/>
      <c r="D369" s="154"/>
      <c r="E369" s="168"/>
      <c r="F369" s="324"/>
      <c r="G369" s="154"/>
      <c r="H369" s="168"/>
      <c r="I369" s="324"/>
      <c r="J369" s="154"/>
      <c r="K369" s="168"/>
      <c r="L369" s="324"/>
      <c r="M369" s="330"/>
      <c r="N369" s="331"/>
      <c r="O369" s="332"/>
      <c r="P369" s="330"/>
      <c r="Q369" s="331"/>
      <c r="R369" s="332"/>
      <c r="S369" s="330"/>
      <c r="T369" s="331"/>
      <c r="U369" s="332"/>
      <c r="V369" s="154"/>
      <c r="W369" s="331"/>
      <c r="X369" s="324"/>
      <c r="Y369" s="205"/>
      <c r="Z369" s="205"/>
      <c r="AA369" s="205"/>
      <c r="AB369" s="17"/>
      <c r="AC369" s="17"/>
      <c r="AD369" s="17"/>
      <c r="AE369" s="17"/>
    </row>
    <row r="370">
      <c r="A370" s="154"/>
      <c r="B370" s="168"/>
      <c r="C370" s="324"/>
      <c r="D370" s="154"/>
      <c r="E370" s="168"/>
      <c r="F370" s="324"/>
      <c r="G370" s="154"/>
      <c r="H370" s="168"/>
      <c r="I370" s="324"/>
      <c r="J370" s="154"/>
      <c r="K370" s="168"/>
      <c r="L370" s="324"/>
      <c r="M370" s="330"/>
      <c r="N370" s="331"/>
      <c r="O370" s="332"/>
      <c r="P370" s="330"/>
      <c r="Q370" s="331"/>
      <c r="R370" s="332"/>
      <c r="S370" s="330"/>
      <c r="T370" s="331"/>
      <c r="U370" s="332"/>
      <c r="V370" s="154"/>
      <c r="W370" s="331"/>
      <c r="X370" s="324"/>
      <c r="Y370" s="205"/>
      <c r="Z370" s="205"/>
      <c r="AA370" s="205"/>
      <c r="AB370" s="17"/>
      <c r="AC370" s="17"/>
      <c r="AD370" s="17"/>
      <c r="AE370" s="17"/>
    </row>
    <row r="371">
      <c r="A371" s="154"/>
      <c r="B371" s="168"/>
      <c r="C371" s="324"/>
      <c r="D371" s="154"/>
      <c r="E371" s="168"/>
      <c r="F371" s="324"/>
      <c r="G371" s="154"/>
      <c r="H371" s="168"/>
      <c r="I371" s="324"/>
      <c r="J371" s="154"/>
      <c r="K371" s="168"/>
      <c r="L371" s="324"/>
      <c r="M371" s="330"/>
      <c r="N371" s="331"/>
      <c r="O371" s="332"/>
      <c r="P371" s="330"/>
      <c r="Q371" s="331"/>
      <c r="R371" s="332"/>
      <c r="S371" s="330"/>
      <c r="T371" s="331"/>
      <c r="U371" s="332"/>
      <c r="V371" s="154"/>
      <c r="W371" s="331"/>
      <c r="X371" s="324"/>
      <c r="Y371" s="205"/>
      <c r="Z371" s="205"/>
      <c r="AA371" s="205"/>
      <c r="AB371" s="17"/>
      <c r="AC371" s="17"/>
      <c r="AD371" s="17"/>
      <c r="AE371" s="17"/>
    </row>
    <row r="372">
      <c r="A372" s="154"/>
      <c r="B372" s="168"/>
      <c r="C372" s="324"/>
      <c r="D372" s="154"/>
      <c r="E372" s="168"/>
      <c r="F372" s="324"/>
      <c r="G372" s="154"/>
      <c r="H372" s="168"/>
      <c r="I372" s="324"/>
      <c r="J372" s="154"/>
      <c r="K372" s="168"/>
      <c r="L372" s="324"/>
      <c r="M372" s="330"/>
      <c r="N372" s="331"/>
      <c r="O372" s="332"/>
      <c r="P372" s="330"/>
      <c r="Q372" s="331"/>
      <c r="R372" s="332"/>
      <c r="S372" s="330"/>
      <c r="T372" s="331"/>
      <c r="U372" s="332"/>
      <c r="V372" s="154"/>
      <c r="W372" s="331"/>
      <c r="X372" s="324"/>
      <c r="Y372" s="205"/>
      <c r="Z372" s="205"/>
      <c r="AA372" s="205"/>
      <c r="AB372" s="17"/>
      <c r="AC372" s="17"/>
      <c r="AD372" s="17"/>
      <c r="AE372" s="17"/>
    </row>
    <row r="373">
      <c r="A373" s="154"/>
      <c r="B373" s="168"/>
      <c r="C373" s="324"/>
      <c r="D373" s="154"/>
      <c r="E373" s="168"/>
      <c r="F373" s="324"/>
      <c r="G373" s="154"/>
      <c r="H373" s="168"/>
      <c r="I373" s="324"/>
      <c r="J373" s="154"/>
      <c r="K373" s="168"/>
      <c r="L373" s="324"/>
      <c r="M373" s="330"/>
      <c r="N373" s="331"/>
      <c r="O373" s="332"/>
      <c r="P373" s="330"/>
      <c r="Q373" s="331"/>
      <c r="R373" s="332"/>
      <c r="S373" s="330"/>
      <c r="T373" s="331"/>
      <c r="U373" s="332"/>
      <c r="V373" s="154"/>
      <c r="W373" s="331"/>
      <c r="X373" s="324"/>
      <c r="Y373" s="205"/>
      <c r="Z373" s="205"/>
      <c r="AA373" s="205"/>
      <c r="AB373" s="17"/>
      <c r="AC373" s="17"/>
      <c r="AD373" s="17"/>
      <c r="AE373" s="17"/>
    </row>
    <row r="374">
      <c r="A374" s="154"/>
      <c r="B374" s="168"/>
      <c r="C374" s="324"/>
      <c r="D374" s="154"/>
      <c r="E374" s="168"/>
      <c r="F374" s="324"/>
      <c r="G374" s="154"/>
      <c r="H374" s="168"/>
      <c r="I374" s="324"/>
      <c r="J374" s="154"/>
      <c r="K374" s="168"/>
      <c r="L374" s="324"/>
      <c r="M374" s="330"/>
      <c r="N374" s="331"/>
      <c r="O374" s="332"/>
      <c r="P374" s="330"/>
      <c r="Q374" s="331"/>
      <c r="R374" s="332"/>
      <c r="S374" s="330"/>
      <c r="T374" s="331"/>
      <c r="U374" s="332"/>
      <c r="V374" s="154"/>
      <c r="W374" s="331"/>
      <c r="X374" s="324"/>
      <c r="Y374" s="205"/>
      <c r="Z374" s="205"/>
      <c r="AA374" s="205"/>
      <c r="AB374" s="17"/>
      <c r="AC374" s="17"/>
      <c r="AD374" s="17"/>
      <c r="AE374" s="17"/>
    </row>
    <row r="375">
      <c r="A375" s="154"/>
      <c r="B375" s="168"/>
      <c r="C375" s="324"/>
      <c r="D375" s="154"/>
      <c r="E375" s="168"/>
      <c r="F375" s="324"/>
      <c r="G375" s="154"/>
      <c r="H375" s="168"/>
      <c r="I375" s="324"/>
      <c r="J375" s="154"/>
      <c r="K375" s="168"/>
      <c r="L375" s="324"/>
      <c r="M375" s="330"/>
      <c r="N375" s="331"/>
      <c r="O375" s="332"/>
      <c r="P375" s="330"/>
      <c r="Q375" s="331"/>
      <c r="R375" s="332"/>
      <c r="S375" s="330"/>
      <c r="T375" s="331"/>
      <c r="U375" s="332"/>
      <c r="V375" s="154"/>
      <c r="W375" s="331"/>
      <c r="X375" s="324"/>
      <c r="Y375" s="205"/>
      <c r="Z375" s="205"/>
      <c r="AA375" s="205"/>
      <c r="AB375" s="17"/>
      <c r="AC375" s="17"/>
      <c r="AD375" s="17"/>
      <c r="AE375" s="17"/>
    </row>
    <row r="376">
      <c r="A376" s="154"/>
      <c r="B376" s="168"/>
      <c r="C376" s="324"/>
      <c r="D376" s="154"/>
      <c r="E376" s="168"/>
      <c r="F376" s="324"/>
      <c r="G376" s="154"/>
      <c r="H376" s="168"/>
      <c r="I376" s="324"/>
      <c r="J376" s="154"/>
      <c r="K376" s="168"/>
      <c r="L376" s="324"/>
      <c r="M376" s="330"/>
      <c r="N376" s="331"/>
      <c r="O376" s="332"/>
      <c r="P376" s="330"/>
      <c r="Q376" s="331"/>
      <c r="R376" s="332"/>
      <c r="S376" s="330"/>
      <c r="T376" s="331"/>
      <c r="U376" s="332"/>
      <c r="V376" s="154"/>
      <c r="W376" s="331"/>
      <c r="X376" s="324"/>
      <c r="Y376" s="205"/>
      <c r="Z376" s="205"/>
      <c r="AA376" s="205"/>
      <c r="AB376" s="17"/>
      <c r="AC376" s="17"/>
      <c r="AD376" s="17"/>
      <c r="AE376" s="17"/>
    </row>
    <row r="377">
      <c r="A377" s="154"/>
      <c r="B377" s="168"/>
      <c r="C377" s="324"/>
      <c r="D377" s="154"/>
      <c r="E377" s="168"/>
      <c r="F377" s="324"/>
      <c r="G377" s="154"/>
      <c r="H377" s="168"/>
      <c r="I377" s="324"/>
      <c r="J377" s="154"/>
      <c r="K377" s="168"/>
      <c r="L377" s="324"/>
      <c r="M377" s="330"/>
      <c r="N377" s="331"/>
      <c r="O377" s="332"/>
      <c r="P377" s="330"/>
      <c r="Q377" s="331"/>
      <c r="R377" s="332"/>
      <c r="S377" s="330"/>
      <c r="T377" s="331"/>
      <c r="U377" s="332"/>
      <c r="V377" s="154"/>
      <c r="W377" s="331"/>
      <c r="X377" s="324"/>
      <c r="Y377" s="205"/>
      <c r="Z377" s="205"/>
      <c r="AA377" s="205"/>
      <c r="AB377" s="17"/>
      <c r="AC377" s="17"/>
      <c r="AD377" s="17"/>
      <c r="AE377" s="17"/>
    </row>
    <row r="378">
      <c r="A378" s="154"/>
      <c r="B378" s="168"/>
      <c r="C378" s="324"/>
      <c r="D378" s="154"/>
      <c r="E378" s="168"/>
      <c r="F378" s="324"/>
      <c r="G378" s="154"/>
      <c r="H378" s="168"/>
      <c r="I378" s="324"/>
      <c r="J378" s="154"/>
      <c r="K378" s="168"/>
      <c r="L378" s="324"/>
      <c r="M378" s="330"/>
      <c r="N378" s="331"/>
      <c r="O378" s="332"/>
      <c r="P378" s="330"/>
      <c r="Q378" s="331"/>
      <c r="R378" s="332"/>
      <c r="S378" s="330"/>
      <c r="T378" s="331"/>
      <c r="U378" s="332"/>
      <c r="V378" s="154"/>
      <c r="W378" s="331"/>
      <c r="X378" s="324"/>
      <c r="Y378" s="205"/>
      <c r="Z378" s="205"/>
      <c r="AA378" s="205"/>
      <c r="AB378" s="17"/>
      <c r="AC378" s="17"/>
      <c r="AD378" s="17"/>
      <c r="AE378" s="17"/>
    </row>
    <row r="379">
      <c r="A379" s="154"/>
      <c r="B379" s="168"/>
      <c r="C379" s="324"/>
      <c r="D379" s="154"/>
      <c r="E379" s="168"/>
      <c r="F379" s="324"/>
      <c r="G379" s="154"/>
      <c r="H379" s="168"/>
      <c r="I379" s="324"/>
      <c r="J379" s="154"/>
      <c r="K379" s="168"/>
      <c r="L379" s="324"/>
      <c r="M379" s="330"/>
      <c r="N379" s="331"/>
      <c r="O379" s="332"/>
      <c r="P379" s="330"/>
      <c r="Q379" s="331"/>
      <c r="R379" s="332"/>
      <c r="S379" s="330"/>
      <c r="T379" s="331"/>
      <c r="U379" s="332"/>
      <c r="V379" s="154"/>
      <c r="W379" s="331"/>
      <c r="X379" s="324"/>
      <c r="Y379" s="205"/>
      <c r="Z379" s="205"/>
      <c r="AA379" s="205"/>
      <c r="AB379" s="17"/>
      <c r="AC379" s="17"/>
      <c r="AD379" s="17"/>
      <c r="AE379" s="17"/>
    </row>
    <row r="380">
      <c r="A380" s="154"/>
      <c r="B380" s="168"/>
      <c r="C380" s="324"/>
      <c r="D380" s="154"/>
      <c r="E380" s="168"/>
      <c r="F380" s="324"/>
      <c r="G380" s="154"/>
      <c r="H380" s="168"/>
      <c r="I380" s="324"/>
      <c r="J380" s="154"/>
      <c r="K380" s="168"/>
      <c r="L380" s="324"/>
      <c r="M380" s="330"/>
      <c r="N380" s="331"/>
      <c r="O380" s="332"/>
      <c r="P380" s="330"/>
      <c r="Q380" s="331"/>
      <c r="R380" s="332"/>
      <c r="S380" s="330"/>
      <c r="T380" s="331"/>
      <c r="U380" s="332"/>
      <c r="V380" s="154"/>
      <c r="W380" s="331"/>
      <c r="X380" s="324"/>
      <c r="Y380" s="205"/>
      <c r="Z380" s="205"/>
      <c r="AA380" s="205"/>
      <c r="AB380" s="17"/>
      <c r="AC380" s="17"/>
      <c r="AD380" s="17"/>
      <c r="AE380" s="17"/>
    </row>
    <row r="381">
      <c r="A381" s="154"/>
      <c r="B381" s="168"/>
      <c r="C381" s="324"/>
      <c r="D381" s="154"/>
      <c r="E381" s="168"/>
      <c r="F381" s="324"/>
      <c r="G381" s="154"/>
      <c r="H381" s="168"/>
      <c r="I381" s="324"/>
      <c r="J381" s="154"/>
      <c r="K381" s="168"/>
      <c r="L381" s="324"/>
      <c r="M381" s="330"/>
      <c r="N381" s="331"/>
      <c r="O381" s="332"/>
      <c r="P381" s="330"/>
      <c r="Q381" s="331"/>
      <c r="R381" s="332"/>
      <c r="S381" s="330"/>
      <c r="T381" s="331"/>
      <c r="U381" s="332"/>
      <c r="V381" s="154"/>
      <c r="W381" s="331"/>
      <c r="X381" s="324"/>
      <c r="Y381" s="205"/>
      <c r="Z381" s="205"/>
      <c r="AA381" s="205"/>
      <c r="AB381" s="17"/>
      <c r="AC381" s="17"/>
      <c r="AD381" s="17"/>
      <c r="AE381" s="17"/>
    </row>
    <row r="382">
      <c r="A382" s="154"/>
      <c r="B382" s="168"/>
      <c r="C382" s="324"/>
      <c r="D382" s="154"/>
      <c r="E382" s="168"/>
      <c r="F382" s="324"/>
      <c r="G382" s="154"/>
      <c r="H382" s="168"/>
      <c r="I382" s="324"/>
      <c r="J382" s="154"/>
      <c r="K382" s="168"/>
      <c r="L382" s="324"/>
      <c r="M382" s="330"/>
      <c r="N382" s="331"/>
      <c r="O382" s="332"/>
      <c r="P382" s="330"/>
      <c r="Q382" s="331"/>
      <c r="R382" s="332"/>
      <c r="S382" s="330"/>
      <c r="T382" s="331"/>
      <c r="U382" s="332"/>
      <c r="V382" s="154"/>
      <c r="W382" s="331"/>
      <c r="X382" s="324"/>
      <c r="Y382" s="205"/>
      <c r="Z382" s="205"/>
      <c r="AA382" s="205"/>
      <c r="AB382" s="17"/>
      <c r="AC382" s="17"/>
      <c r="AD382" s="17"/>
      <c r="AE382" s="17"/>
    </row>
    <row r="383">
      <c r="A383" s="154"/>
      <c r="B383" s="168"/>
      <c r="C383" s="324"/>
      <c r="D383" s="154"/>
      <c r="E383" s="168"/>
      <c r="F383" s="324"/>
      <c r="G383" s="154"/>
      <c r="H383" s="168"/>
      <c r="I383" s="324"/>
      <c r="J383" s="154"/>
      <c r="K383" s="168"/>
      <c r="L383" s="324"/>
      <c r="M383" s="330"/>
      <c r="N383" s="331"/>
      <c r="O383" s="332"/>
      <c r="P383" s="330"/>
      <c r="Q383" s="331"/>
      <c r="R383" s="332"/>
      <c r="S383" s="330"/>
      <c r="T383" s="331"/>
      <c r="U383" s="332"/>
      <c r="V383" s="154"/>
      <c r="W383" s="331"/>
      <c r="X383" s="324"/>
      <c r="Y383" s="205"/>
      <c r="Z383" s="205"/>
      <c r="AA383" s="205"/>
      <c r="AB383" s="17"/>
      <c r="AC383" s="17"/>
      <c r="AD383" s="17"/>
      <c r="AE383" s="17"/>
    </row>
    <row r="384">
      <c r="A384" s="154"/>
      <c r="B384" s="168"/>
      <c r="C384" s="324"/>
      <c r="D384" s="154"/>
      <c r="E384" s="168"/>
      <c r="F384" s="324"/>
      <c r="G384" s="154"/>
      <c r="H384" s="168"/>
      <c r="I384" s="324"/>
      <c r="J384" s="154"/>
      <c r="K384" s="168"/>
      <c r="L384" s="324"/>
      <c r="M384" s="330"/>
      <c r="N384" s="331"/>
      <c r="O384" s="332"/>
      <c r="P384" s="330"/>
      <c r="Q384" s="331"/>
      <c r="R384" s="332"/>
      <c r="S384" s="330"/>
      <c r="T384" s="331"/>
      <c r="U384" s="332"/>
      <c r="V384" s="154"/>
      <c r="W384" s="331"/>
      <c r="X384" s="324"/>
      <c r="Y384" s="205"/>
      <c r="Z384" s="205"/>
      <c r="AA384" s="205"/>
      <c r="AB384" s="17"/>
      <c r="AC384" s="17"/>
      <c r="AD384" s="17"/>
      <c r="AE384" s="17"/>
    </row>
    <row r="385">
      <c r="A385" s="154"/>
      <c r="B385" s="168"/>
      <c r="C385" s="324"/>
      <c r="D385" s="154"/>
      <c r="E385" s="168"/>
      <c r="F385" s="324"/>
      <c r="G385" s="154"/>
      <c r="H385" s="168"/>
      <c r="I385" s="324"/>
      <c r="J385" s="154"/>
      <c r="K385" s="168"/>
      <c r="L385" s="324"/>
      <c r="M385" s="330"/>
      <c r="N385" s="331"/>
      <c r="O385" s="332"/>
      <c r="P385" s="330"/>
      <c r="Q385" s="331"/>
      <c r="R385" s="332"/>
      <c r="S385" s="330"/>
      <c r="T385" s="331"/>
      <c r="U385" s="332"/>
      <c r="V385" s="154"/>
      <c r="W385" s="331"/>
      <c r="X385" s="324"/>
      <c r="Y385" s="205"/>
      <c r="Z385" s="205"/>
      <c r="AA385" s="205"/>
      <c r="AB385" s="17"/>
      <c r="AC385" s="17"/>
      <c r="AD385" s="17"/>
      <c r="AE385" s="17"/>
    </row>
    <row r="386">
      <c r="A386" s="154"/>
      <c r="B386" s="168"/>
      <c r="C386" s="324"/>
      <c r="D386" s="154"/>
      <c r="E386" s="168"/>
      <c r="F386" s="324"/>
      <c r="G386" s="154"/>
      <c r="H386" s="168"/>
      <c r="I386" s="324"/>
      <c r="J386" s="154"/>
      <c r="K386" s="168"/>
      <c r="L386" s="324"/>
      <c r="M386" s="330"/>
      <c r="N386" s="331"/>
      <c r="O386" s="332"/>
      <c r="P386" s="330"/>
      <c r="Q386" s="331"/>
      <c r="R386" s="332"/>
      <c r="S386" s="330"/>
      <c r="T386" s="331"/>
      <c r="U386" s="332"/>
      <c r="V386" s="154"/>
      <c r="W386" s="331"/>
      <c r="X386" s="324"/>
      <c r="Y386" s="205"/>
      <c r="Z386" s="205"/>
      <c r="AA386" s="205"/>
      <c r="AB386" s="17"/>
      <c r="AC386" s="17"/>
      <c r="AD386" s="17"/>
      <c r="AE386" s="17"/>
    </row>
    <row r="387">
      <c r="A387" s="154"/>
      <c r="B387" s="168"/>
      <c r="C387" s="324"/>
      <c r="D387" s="154"/>
      <c r="E387" s="168"/>
      <c r="F387" s="324"/>
      <c r="G387" s="154"/>
      <c r="H387" s="168"/>
      <c r="I387" s="324"/>
      <c r="J387" s="154"/>
      <c r="K387" s="168"/>
      <c r="L387" s="324"/>
      <c r="M387" s="330"/>
      <c r="N387" s="331"/>
      <c r="O387" s="332"/>
      <c r="P387" s="330"/>
      <c r="Q387" s="331"/>
      <c r="R387" s="332"/>
      <c r="S387" s="330"/>
      <c r="T387" s="331"/>
      <c r="U387" s="332"/>
      <c r="V387" s="154"/>
      <c r="W387" s="331"/>
      <c r="X387" s="324"/>
      <c r="Y387" s="205"/>
      <c r="Z387" s="205"/>
      <c r="AA387" s="205"/>
      <c r="AB387" s="17"/>
      <c r="AC387" s="17"/>
      <c r="AD387" s="17"/>
      <c r="AE387" s="17"/>
    </row>
    <row r="388">
      <c r="A388" s="154"/>
      <c r="B388" s="168"/>
      <c r="C388" s="324"/>
      <c r="D388" s="154"/>
      <c r="E388" s="168"/>
      <c r="F388" s="324"/>
      <c r="G388" s="154"/>
      <c r="H388" s="168"/>
      <c r="I388" s="324"/>
      <c r="J388" s="154"/>
      <c r="K388" s="168"/>
      <c r="L388" s="324"/>
      <c r="M388" s="330"/>
      <c r="N388" s="331"/>
      <c r="O388" s="332"/>
      <c r="P388" s="330"/>
      <c r="Q388" s="331"/>
      <c r="R388" s="332"/>
      <c r="S388" s="330"/>
      <c r="T388" s="331"/>
      <c r="U388" s="332"/>
      <c r="V388" s="154"/>
      <c r="W388" s="331"/>
      <c r="X388" s="324"/>
      <c r="Y388" s="205"/>
      <c r="Z388" s="205"/>
      <c r="AA388" s="205"/>
      <c r="AB388" s="17"/>
      <c r="AC388" s="17"/>
      <c r="AD388" s="17"/>
      <c r="AE388" s="17"/>
    </row>
    <row r="389">
      <c r="A389" s="154"/>
      <c r="B389" s="168"/>
      <c r="C389" s="324"/>
      <c r="D389" s="154"/>
      <c r="E389" s="168"/>
      <c r="F389" s="324"/>
      <c r="G389" s="154"/>
      <c r="H389" s="168"/>
      <c r="I389" s="324"/>
      <c r="J389" s="154"/>
      <c r="K389" s="168"/>
      <c r="L389" s="324"/>
      <c r="M389" s="330"/>
      <c r="N389" s="331"/>
      <c r="O389" s="332"/>
      <c r="P389" s="330"/>
      <c r="Q389" s="331"/>
      <c r="R389" s="332"/>
      <c r="S389" s="330"/>
      <c r="T389" s="331"/>
      <c r="U389" s="332"/>
      <c r="V389" s="154"/>
      <c r="W389" s="331"/>
      <c r="X389" s="324"/>
      <c r="Y389" s="205"/>
      <c r="Z389" s="205"/>
      <c r="AA389" s="205"/>
      <c r="AB389" s="17"/>
      <c r="AC389" s="17"/>
      <c r="AD389" s="17"/>
      <c r="AE389" s="17"/>
    </row>
    <row r="390">
      <c r="A390" s="154"/>
      <c r="B390" s="168"/>
      <c r="C390" s="324"/>
      <c r="D390" s="154"/>
      <c r="E390" s="168"/>
      <c r="F390" s="324"/>
      <c r="G390" s="154"/>
      <c r="H390" s="168"/>
      <c r="I390" s="324"/>
      <c r="J390" s="154"/>
      <c r="K390" s="168"/>
      <c r="L390" s="324"/>
      <c r="M390" s="330"/>
      <c r="N390" s="331"/>
      <c r="O390" s="332"/>
      <c r="P390" s="330"/>
      <c r="Q390" s="331"/>
      <c r="R390" s="332"/>
      <c r="S390" s="330"/>
      <c r="T390" s="331"/>
      <c r="U390" s="332"/>
      <c r="V390" s="154"/>
      <c r="W390" s="331"/>
      <c r="X390" s="324"/>
      <c r="Y390" s="205"/>
      <c r="Z390" s="205"/>
      <c r="AA390" s="205"/>
      <c r="AB390" s="17"/>
      <c r="AC390" s="17"/>
      <c r="AD390" s="17"/>
      <c r="AE390" s="17"/>
    </row>
    <row r="391">
      <c r="A391" s="154"/>
      <c r="B391" s="168"/>
      <c r="C391" s="324"/>
      <c r="D391" s="154"/>
      <c r="E391" s="168"/>
      <c r="F391" s="324"/>
      <c r="G391" s="154"/>
      <c r="H391" s="168"/>
      <c r="I391" s="324"/>
      <c r="J391" s="154"/>
      <c r="K391" s="168"/>
      <c r="L391" s="324"/>
      <c r="M391" s="330"/>
      <c r="N391" s="331"/>
      <c r="O391" s="332"/>
      <c r="P391" s="330"/>
      <c r="Q391" s="331"/>
      <c r="R391" s="332"/>
      <c r="S391" s="330"/>
      <c r="T391" s="331"/>
      <c r="U391" s="332"/>
      <c r="V391" s="154"/>
      <c r="W391" s="331"/>
      <c r="X391" s="324"/>
      <c r="Y391" s="205"/>
      <c r="Z391" s="205"/>
      <c r="AA391" s="205"/>
      <c r="AB391" s="17"/>
      <c r="AC391" s="17"/>
      <c r="AD391" s="17"/>
      <c r="AE391" s="17"/>
    </row>
    <row r="392">
      <c r="A392" s="154"/>
      <c r="B392" s="168"/>
      <c r="C392" s="324"/>
      <c r="D392" s="154"/>
      <c r="E392" s="168"/>
      <c r="F392" s="324"/>
      <c r="G392" s="154"/>
      <c r="H392" s="168"/>
      <c r="I392" s="324"/>
      <c r="J392" s="154"/>
      <c r="K392" s="168"/>
      <c r="L392" s="324"/>
      <c r="M392" s="330"/>
      <c r="N392" s="331"/>
      <c r="O392" s="332"/>
      <c r="P392" s="330"/>
      <c r="Q392" s="331"/>
      <c r="R392" s="332"/>
      <c r="S392" s="330"/>
      <c r="T392" s="331"/>
      <c r="U392" s="332"/>
      <c r="V392" s="154"/>
      <c r="W392" s="331"/>
      <c r="X392" s="324"/>
      <c r="Y392" s="205"/>
      <c r="Z392" s="205"/>
      <c r="AA392" s="205"/>
      <c r="AB392" s="17"/>
      <c r="AC392" s="17"/>
      <c r="AD392" s="17"/>
      <c r="AE392" s="17"/>
    </row>
    <row r="393">
      <c r="A393" s="154"/>
      <c r="B393" s="168"/>
      <c r="C393" s="324"/>
      <c r="D393" s="154"/>
      <c r="E393" s="168"/>
      <c r="F393" s="324"/>
      <c r="G393" s="154"/>
      <c r="H393" s="168"/>
      <c r="I393" s="324"/>
      <c r="J393" s="154"/>
      <c r="K393" s="168"/>
      <c r="L393" s="324"/>
      <c r="M393" s="330"/>
      <c r="N393" s="331"/>
      <c r="O393" s="332"/>
      <c r="P393" s="330"/>
      <c r="Q393" s="331"/>
      <c r="R393" s="332"/>
      <c r="S393" s="330"/>
      <c r="T393" s="331"/>
      <c r="U393" s="332"/>
      <c r="V393" s="154"/>
      <c r="W393" s="331"/>
      <c r="X393" s="324"/>
      <c r="Y393" s="205"/>
      <c r="Z393" s="205"/>
      <c r="AA393" s="205"/>
      <c r="AB393" s="17"/>
      <c r="AC393" s="17"/>
      <c r="AD393" s="17"/>
      <c r="AE393" s="17"/>
    </row>
    <row r="394">
      <c r="A394" s="154"/>
      <c r="B394" s="168"/>
      <c r="C394" s="324"/>
      <c r="D394" s="154"/>
      <c r="E394" s="168"/>
      <c r="F394" s="324"/>
      <c r="G394" s="154"/>
      <c r="H394" s="168"/>
      <c r="I394" s="324"/>
      <c r="J394" s="154"/>
      <c r="K394" s="168"/>
      <c r="L394" s="324"/>
      <c r="M394" s="330"/>
      <c r="N394" s="331"/>
      <c r="O394" s="332"/>
      <c r="P394" s="330"/>
      <c r="Q394" s="331"/>
      <c r="R394" s="332"/>
      <c r="S394" s="330"/>
      <c r="T394" s="331"/>
      <c r="U394" s="332"/>
      <c r="V394" s="154"/>
      <c r="W394" s="331"/>
      <c r="X394" s="324"/>
      <c r="Y394" s="205"/>
      <c r="Z394" s="205"/>
      <c r="AA394" s="205"/>
      <c r="AB394" s="17"/>
      <c r="AC394" s="17"/>
      <c r="AD394" s="17"/>
      <c r="AE394" s="17"/>
    </row>
    <row r="395">
      <c r="A395" s="154"/>
      <c r="B395" s="168"/>
      <c r="C395" s="324"/>
      <c r="D395" s="154"/>
      <c r="E395" s="168"/>
      <c r="F395" s="324"/>
      <c r="G395" s="154"/>
      <c r="H395" s="168"/>
      <c r="I395" s="324"/>
      <c r="J395" s="154"/>
      <c r="K395" s="168"/>
      <c r="L395" s="324"/>
      <c r="M395" s="330"/>
      <c r="N395" s="331"/>
      <c r="O395" s="332"/>
      <c r="P395" s="330"/>
      <c r="Q395" s="331"/>
      <c r="R395" s="332"/>
      <c r="S395" s="330"/>
      <c r="T395" s="331"/>
      <c r="U395" s="332"/>
      <c r="V395" s="154"/>
      <c r="W395" s="331"/>
      <c r="X395" s="324"/>
      <c r="Y395" s="205"/>
      <c r="Z395" s="205"/>
      <c r="AA395" s="205"/>
      <c r="AB395" s="17"/>
      <c r="AC395" s="17"/>
      <c r="AD395" s="17"/>
      <c r="AE395" s="17"/>
    </row>
    <row r="396">
      <c r="A396" s="154"/>
      <c r="B396" s="168"/>
      <c r="C396" s="324"/>
      <c r="D396" s="154"/>
      <c r="E396" s="168"/>
      <c r="F396" s="324"/>
      <c r="G396" s="154"/>
      <c r="H396" s="168"/>
      <c r="I396" s="324"/>
      <c r="J396" s="154"/>
      <c r="K396" s="168"/>
      <c r="L396" s="324"/>
      <c r="M396" s="330"/>
      <c r="N396" s="331"/>
      <c r="O396" s="332"/>
      <c r="P396" s="330"/>
      <c r="Q396" s="331"/>
      <c r="R396" s="332"/>
      <c r="S396" s="330"/>
      <c r="T396" s="331"/>
      <c r="U396" s="332"/>
      <c r="V396" s="154"/>
      <c r="W396" s="331"/>
      <c r="X396" s="324"/>
      <c r="Y396" s="205"/>
      <c r="Z396" s="205"/>
      <c r="AA396" s="205"/>
      <c r="AB396" s="17"/>
      <c r="AC396" s="17"/>
      <c r="AD396" s="17"/>
      <c r="AE396" s="17"/>
    </row>
    <row r="397">
      <c r="A397" s="154"/>
      <c r="B397" s="168"/>
      <c r="C397" s="324"/>
      <c r="D397" s="154"/>
      <c r="E397" s="168"/>
      <c r="F397" s="324"/>
      <c r="G397" s="154"/>
      <c r="H397" s="168"/>
      <c r="I397" s="324"/>
      <c r="J397" s="154"/>
      <c r="K397" s="168"/>
      <c r="L397" s="324"/>
      <c r="M397" s="330"/>
      <c r="N397" s="331"/>
      <c r="O397" s="332"/>
      <c r="P397" s="330"/>
      <c r="Q397" s="331"/>
      <c r="R397" s="332"/>
      <c r="S397" s="330"/>
      <c r="T397" s="331"/>
      <c r="U397" s="332"/>
      <c r="V397" s="154"/>
      <c r="W397" s="331"/>
      <c r="X397" s="324"/>
      <c r="Y397" s="205"/>
      <c r="Z397" s="205"/>
      <c r="AA397" s="205"/>
      <c r="AB397" s="17"/>
      <c r="AC397" s="17"/>
      <c r="AD397" s="17"/>
      <c r="AE397" s="17"/>
    </row>
    <row r="398">
      <c r="A398" s="154"/>
      <c r="B398" s="168"/>
      <c r="C398" s="324"/>
      <c r="D398" s="154"/>
      <c r="E398" s="168"/>
      <c r="F398" s="324"/>
      <c r="G398" s="154"/>
      <c r="H398" s="168"/>
      <c r="I398" s="324"/>
      <c r="J398" s="154"/>
      <c r="K398" s="168"/>
      <c r="L398" s="324"/>
      <c r="M398" s="330"/>
      <c r="N398" s="331"/>
      <c r="O398" s="332"/>
      <c r="P398" s="330"/>
      <c r="Q398" s="331"/>
      <c r="R398" s="332"/>
      <c r="S398" s="330"/>
      <c r="T398" s="331"/>
      <c r="U398" s="332"/>
      <c r="V398" s="154"/>
      <c r="W398" s="331"/>
      <c r="X398" s="324"/>
      <c r="Y398" s="205"/>
      <c r="Z398" s="205"/>
      <c r="AA398" s="205"/>
      <c r="AB398" s="17"/>
      <c r="AC398" s="17"/>
      <c r="AD398" s="17"/>
      <c r="AE398" s="17"/>
    </row>
    <row r="399">
      <c r="A399" s="154"/>
      <c r="B399" s="168"/>
      <c r="C399" s="324"/>
      <c r="D399" s="154"/>
      <c r="E399" s="168"/>
      <c r="F399" s="324"/>
      <c r="G399" s="154"/>
      <c r="H399" s="168"/>
      <c r="I399" s="324"/>
      <c r="J399" s="154"/>
      <c r="K399" s="168"/>
      <c r="L399" s="324"/>
      <c r="M399" s="330"/>
      <c r="N399" s="331"/>
      <c r="O399" s="332"/>
      <c r="P399" s="330"/>
      <c r="Q399" s="331"/>
      <c r="R399" s="332"/>
      <c r="S399" s="330"/>
      <c r="T399" s="331"/>
      <c r="U399" s="332"/>
      <c r="V399" s="154"/>
      <c r="W399" s="331"/>
      <c r="X399" s="324"/>
      <c r="Y399" s="205"/>
      <c r="Z399" s="205"/>
      <c r="AA399" s="205"/>
      <c r="AB399" s="17"/>
      <c r="AC399" s="17"/>
      <c r="AD399" s="17"/>
      <c r="AE399" s="17"/>
    </row>
    <row r="400">
      <c r="A400" s="154"/>
      <c r="B400" s="168"/>
      <c r="C400" s="324"/>
      <c r="D400" s="154"/>
      <c r="E400" s="168"/>
      <c r="F400" s="324"/>
      <c r="G400" s="154"/>
      <c r="H400" s="168"/>
      <c r="I400" s="324"/>
      <c r="J400" s="154"/>
      <c r="K400" s="168"/>
      <c r="L400" s="324"/>
      <c r="M400" s="330"/>
      <c r="N400" s="331"/>
      <c r="O400" s="332"/>
      <c r="P400" s="330"/>
      <c r="Q400" s="331"/>
      <c r="R400" s="332"/>
      <c r="S400" s="330"/>
      <c r="T400" s="331"/>
      <c r="U400" s="332"/>
      <c r="V400" s="154"/>
      <c r="W400" s="331"/>
      <c r="X400" s="324"/>
      <c r="Y400" s="205"/>
      <c r="Z400" s="205"/>
      <c r="AA400" s="205"/>
      <c r="AB400" s="17"/>
      <c r="AC400" s="17"/>
      <c r="AD400" s="17"/>
      <c r="AE400" s="17"/>
    </row>
    <row r="401">
      <c r="A401" s="154"/>
      <c r="B401" s="168"/>
      <c r="C401" s="324"/>
      <c r="D401" s="154"/>
      <c r="E401" s="168"/>
      <c r="F401" s="324"/>
      <c r="G401" s="154"/>
      <c r="H401" s="168"/>
      <c r="I401" s="324"/>
      <c r="J401" s="154"/>
      <c r="K401" s="168"/>
      <c r="L401" s="324"/>
      <c r="M401" s="330"/>
      <c r="N401" s="331"/>
      <c r="O401" s="332"/>
      <c r="P401" s="330"/>
      <c r="Q401" s="331"/>
      <c r="R401" s="332"/>
      <c r="S401" s="330"/>
      <c r="T401" s="331"/>
      <c r="U401" s="332"/>
      <c r="V401" s="154"/>
      <c r="W401" s="331"/>
      <c r="X401" s="324"/>
      <c r="Y401" s="205"/>
      <c r="Z401" s="205"/>
      <c r="AA401" s="205"/>
      <c r="AB401" s="17"/>
      <c r="AC401" s="17"/>
      <c r="AD401" s="17"/>
      <c r="AE401" s="17"/>
    </row>
    <row r="402">
      <c r="A402" s="154"/>
      <c r="B402" s="168"/>
      <c r="C402" s="324"/>
      <c r="D402" s="154"/>
      <c r="E402" s="168"/>
      <c r="F402" s="324"/>
      <c r="G402" s="154"/>
      <c r="H402" s="168"/>
      <c r="I402" s="324"/>
      <c r="J402" s="154"/>
      <c r="K402" s="168"/>
      <c r="L402" s="324"/>
      <c r="M402" s="330"/>
      <c r="N402" s="331"/>
      <c r="O402" s="332"/>
      <c r="P402" s="330"/>
      <c r="Q402" s="331"/>
      <c r="R402" s="332"/>
      <c r="S402" s="330"/>
      <c r="T402" s="331"/>
      <c r="U402" s="332"/>
      <c r="V402" s="154"/>
      <c r="W402" s="331"/>
      <c r="X402" s="324"/>
      <c r="Y402" s="205"/>
      <c r="Z402" s="205"/>
      <c r="AA402" s="205"/>
      <c r="AB402" s="17"/>
      <c r="AC402" s="17"/>
      <c r="AD402" s="17"/>
      <c r="AE402" s="17"/>
    </row>
    <row r="403">
      <c r="A403" s="154"/>
      <c r="B403" s="168"/>
      <c r="C403" s="324"/>
      <c r="D403" s="154"/>
      <c r="E403" s="168"/>
      <c r="F403" s="324"/>
      <c r="G403" s="154"/>
      <c r="H403" s="168"/>
      <c r="I403" s="324"/>
      <c r="J403" s="154"/>
      <c r="K403" s="168"/>
      <c r="L403" s="324"/>
      <c r="M403" s="330"/>
      <c r="N403" s="331"/>
      <c r="O403" s="332"/>
      <c r="P403" s="330"/>
      <c r="Q403" s="331"/>
      <c r="R403" s="332"/>
      <c r="S403" s="330"/>
      <c r="T403" s="331"/>
      <c r="U403" s="332"/>
      <c r="V403" s="154"/>
      <c r="W403" s="331"/>
      <c r="X403" s="324"/>
      <c r="Y403" s="205"/>
      <c r="Z403" s="205"/>
      <c r="AA403" s="205"/>
      <c r="AB403" s="17"/>
      <c r="AC403" s="17"/>
      <c r="AD403" s="17"/>
      <c r="AE403" s="17"/>
    </row>
    <row r="404">
      <c r="A404" s="154"/>
      <c r="B404" s="168"/>
      <c r="C404" s="324"/>
      <c r="D404" s="154"/>
      <c r="E404" s="168"/>
      <c r="F404" s="324"/>
      <c r="G404" s="154"/>
      <c r="H404" s="168"/>
      <c r="I404" s="324"/>
      <c r="J404" s="154"/>
      <c r="K404" s="168"/>
      <c r="L404" s="324"/>
      <c r="M404" s="330"/>
      <c r="N404" s="331"/>
      <c r="O404" s="332"/>
      <c r="P404" s="330"/>
      <c r="Q404" s="331"/>
      <c r="R404" s="332"/>
      <c r="S404" s="330"/>
      <c r="T404" s="331"/>
      <c r="U404" s="332"/>
      <c r="V404" s="154"/>
      <c r="W404" s="331"/>
      <c r="X404" s="324"/>
      <c r="Y404" s="205"/>
      <c r="Z404" s="205"/>
      <c r="AA404" s="205"/>
      <c r="AB404" s="17"/>
      <c r="AC404" s="17"/>
      <c r="AD404" s="17"/>
      <c r="AE404" s="17"/>
    </row>
    <row r="405">
      <c r="A405" s="154"/>
      <c r="B405" s="168"/>
      <c r="C405" s="324"/>
      <c r="D405" s="154"/>
      <c r="E405" s="168"/>
      <c r="F405" s="324"/>
      <c r="G405" s="154"/>
      <c r="H405" s="168"/>
      <c r="I405" s="324"/>
      <c r="J405" s="154"/>
      <c r="K405" s="168"/>
      <c r="L405" s="324"/>
      <c r="M405" s="330"/>
      <c r="N405" s="331"/>
      <c r="O405" s="332"/>
      <c r="P405" s="330"/>
      <c r="Q405" s="331"/>
      <c r="R405" s="332"/>
      <c r="S405" s="330"/>
      <c r="T405" s="331"/>
      <c r="U405" s="332"/>
      <c r="V405" s="154"/>
      <c r="W405" s="331"/>
      <c r="X405" s="324"/>
      <c r="Y405" s="205"/>
      <c r="Z405" s="205"/>
      <c r="AA405" s="205"/>
      <c r="AB405" s="17"/>
      <c r="AC405" s="17"/>
      <c r="AD405" s="17"/>
      <c r="AE405" s="17"/>
    </row>
    <row r="406">
      <c r="A406" s="154"/>
      <c r="B406" s="168"/>
      <c r="C406" s="324"/>
      <c r="D406" s="154"/>
      <c r="E406" s="168"/>
      <c r="F406" s="324"/>
      <c r="G406" s="154"/>
      <c r="H406" s="168"/>
      <c r="I406" s="324"/>
      <c r="J406" s="154"/>
      <c r="K406" s="168"/>
      <c r="L406" s="324"/>
      <c r="M406" s="330"/>
      <c r="N406" s="331"/>
      <c r="O406" s="332"/>
      <c r="P406" s="330"/>
      <c r="Q406" s="331"/>
      <c r="R406" s="332"/>
      <c r="S406" s="330"/>
      <c r="T406" s="331"/>
      <c r="U406" s="332"/>
      <c r="V406" s="154"/>
      <c r="W406" s="331"/>
      <c r="X406" s="324"/>
      <c r="Y406" s="205"/>
      <c r="Z406" s="205"/>
      <c r="AA406" s="205"/>
      <c r="AB406" s="17"/>
      <c r="AC406" s="17"/>
      <c r="AD406" s="17"/>
      <c r="AE406" s="17"/>
    </row>
    <row r="407">
      <c r="A407" s="154"/>
      <c r="B407" s="168"/>
      <c r="C407" s="324"/>
      <c r="D407" s="154"/>
      <c r="E407" s="168"/>
      <c r="F407" s="324"/>
      <c r="G407" s="154"/>
      <c r="H407" s="168"/>
      <c r="I407" s="324"/>
      <c r="J407" s="154"/>
      <c r="K407" s="168"/>
      <c r="L407" s="324"/>
      <c r="M407" s="330"/>
      <c r="N407" s="331"/>
      <c r="O407" s="332"/>
      <c r="P407" s="330"/>
      <c r="Q407" s="331"/>
      <c r="R407" s="332"/>
      <c r="S407" s="330"/>
      <c r="T407" s="331"/>
      <c r="U407" s="332"/>
      <c r="V407" s="154"/>
      <c r="W407" s="331"/>
      <c r="X407" s="324"/>
      <c r="Y407" s="205"/>
      <c r="Z407" s="205"/>
      <c r="AA407" s="205"/>
      <c r="AB407" s="17"/>
      <c r="AC407" s="17"/>
      <c r="AD407" s="17"/>
      <c r="AE407" s="17"/>
    </row>
    <row r="408">
      <c r="A408" s="154"/>
      <c r="B408" s="168"/>
      <c r="C408" s="324"/>
      <c r="D408" s="154"/>
      <c r="E408" s="168"/>
      <c r="F408" s="324"/>
      <c r="G408" s="154"/>
      <c r="H408" s="168"/>
      <c r="I408" s="324"/>
      <c r="J408" s="154"/>
      <c r="K408" s="168"/>
      <c r="L408" s="324"/>
      <c r="M408" s="330"/>
      <c r="N408" s="331"/>
      <c r="O408" s="332"/>
      <c r="P408" s="330"/>
      <c r="Q408" s="331"/>
      <c r="R408" s="332"/>
      <c r="S408" s="330"/>
      <c r="T408" s="331"/>
      <c r="U408" s="332"/>
      <c r="V408" s="154"/>
      <c r="W408" s="331"/>
      <c r="X408" s="324"/>
      <c r="Y408" s="205"/>
      <c r="Z408" s="205"/>
      <c r="AA408" s="205"/>
      <c r="AB408" s="17"/>
      <c r="AC408" s="17"/>
      <c r="AD408" s="17"/>
      <c r="AE408" s="17"/>
    </row>
    <row r="409">
      <c r="A409" s="154"/>
      <c r="B409" s="168"/>
      <c r="C409" s="324"/>
      <c r="D409" s="154"/>
      <c r="E409" s="168"/>
      <c r="F409" s="324"/>
      <c r="G409" s="154"/>
      <c r="H409" s="168"/>
      <c r="I409" s="324"/>
      <c r="J409" s="154"/>
      <c r="K409" s="168"/>
      <c r="L409" s="324"/>
      <c r="M409" s="330"/>
      <c r="N409" s="331"/>
      <c r="O409" s="332"/>
      <c r="P409" s="330"/>
      <c r="Q409" s="331"/>
      <c r="R409" s="332"/>
      <c r="S409" s="330"/>
      <c r="T409" s="331"/>
      <c r="U409" s="332"/>
      <c r="V409" s="154"/>
      <c r="W409" s="331"/>
      <c r="X409" s="324"/>
      <c r="Y409" s="205"/>
      <c r="Z409" s="205"/>
      <c r="AA409" s="205"/>
      <c r="AB409" s="17"/>
      <c r="AC409" s="17"/>
      <c r="AD409" s="17"/>
      <c r="AE409" s="17"/>
    </row>
    <row r="410">
      <c r="A410" s="154"/>
      <c r="B410" s="168"/>
      <c r="C410" s="324"/>
      <c r="D410" s="154"/>
      <c r="E410" s="168"/>
      <c r="F410" s="324"/>
      <c r="G410" s="154"/>
      <c r="H410" s="168"/>
      <c r="I410" s="324"/>
      <c r="J410" s="154"/>
      <c r="K410" s="168"/>
      <c r="L410" s="324"/>
      <c r="M410" s="330"/>
      <c r="N410" s="331"/>
      <c r="O410" s="332"/>
      <c r="P410" s="330"/>
      <c r="Q410" s="331"/>
      <c r="R410" s="332"/>
      <c r="S410" s="330"/>
      <c r="T410" s="331"/>
      <c r="U410" s="332"/>
      <c r="V410" s="154"/>
      <c r="W410" s="331"/>
      <c r="X410" s="324"/>
      <c r="Y410" s="205"/>
      <c r="Z410" s="205"/>
      <c r="AA410" s="205"/>
      <c r="AB410" s="17"/>
      <c r="AC410" s="17"/>
      <c r="AD410" s="17"/>
      <c r="AE410" s="17"/>
    </row>
    <row r="411">
      <c r="A411" s="154"/>
      <c r="B411" s="168"/>
      <c r="C411" s="324"/>
      <c r="D411" s="154"/>
      <c r="E411" s="168"/>
      <c r="F411" s="324"/>
      <c r="G411" s="154"/>
      <c r="H411" s="168"/>
      <c r="I411" s="324"/>
      <c r="J411" s="154"/>
      <c r="K411" s="168"/>
      <c r="L411" s="324"/>
      <c r="M411" s="330"/>
      <c r="N411" s="331"/>
      <c r="O411" s="332"/>
      <c r="P411" s="330"/>
      <c r="Q411" s="331"/>
      <c r="R411" s="332"/>
      <c r="S411" s="330"/>
      <c r="T411" s="331"/>
      <c r="U411" s="332"/>
      <c r="V411" s="154"/>
      <c r="W411" s="331"/>
      <c r="X411" s="324"/>
      <c r="Y411" s="205"/>
      <c r="Z411" s="205"/>
      <c r="AA411" s="205"/>
      <c r="AB411" s="17"/>
      <c r="AC411" s="17"/>
      <c r="AD411" s="17"/>
      <c r="AE411" s="17"/>
    </row>
    <row r="412">
      <c r="A412" s="154"/>
      <c r="B412" s="168"/>
      <c r="C412" s="324"/>
      <c r="D412" s="154"/>
      <c r="E412" s="168"/>
      <c r="F412" s="324"/>
      <c r="G412" s="154"/>
      <c r="H412" s="168"/>
      <c r="I412" s="324"/>
      <c r="J412" s="154"/>
      <c r="K412" s="168"/>
      <c r="L412" s="324"/>
      <c r="M412" s="330"/>
      <c r="N412" s="331"/>
      <c r="O412" s="332"/>
      <c r="P412" s="330"/>
      <c r="Q412" s="331"/>
      <c r="R412" s="332"/>
      <c r="S412" s="330"/>
      <c r="T412" s="331"/>
      <c r="U412" s="332"/>
      <c r="V412" s="154"/>
      <c r="W412" s="331"/>
      <c r="X412" s="324"/>
      <c r="Y412" s="205"/>
      <c r="Z412" s="205"/>
      <c r="AA412" s="205"/>
      <c r="AB412" s="17"/>
      <c r="AC412" s="17"/>
      <c r="AD412" s="17"/>
      <c r="AE412" s="17"/>
    </row>
    <row r="413">
      <c r="A413" s="154"/>
      <c r="B413" s="168"/>
      <c r="C413" s="324"/>
      <c r="D413" s="154"/>
      <c r="E413" s="168"/>
      <c r="F413" s="324"/>
      <c r="G413" s="154"/>
      <c r="H413" s="168"/>
      <c r="I413" s="324"/>
      <c r="J413" s="154"/>
      <c r="K413" s="168"/>
      <c r="L413" s="324"/>
      <c r="M413" s="330"/>
      <c r="N413" s="331"/>
      <c r="O413" s="332"/>
      <c r="P413" s="330"/>
      <c r="Q413" s="331"/>
      <c r="R413" s="332"/>
      <c r="S413" s="330"/>
      <c r="T413" s="331"/>
      <c r="U413" s="332"/>
      <c r="V413" s="154"/>
      <c r="W413" s="331"/>
      <c r="X413" s="324"/>
      <c r="Y413" s="205"/>
      <c r="Z413" s="205"/>
      <c r="AA413" s="205"/>
      <c r="AB413" s="17"/>
      <c r="AC413" s="17"/>
      <c r="AD413" s="17"/>
      <c r="AE413" s="17"/>
    </row>
    <row r="414">
      <c r="A414" s="154"/>
      <c r="B414" s="168"/>
      <c r="C414" s="324"/>
      <c r="D414" s="154"/>
      <c r="E414" s="168"/>
      <c r="F414" s="324"/>
      <c r="G414" s="154"/>
      <c r="H414" s="168"/>
      <c r="I414" s="324"/>
      <c r="J414" s="154"/>
      <c r="K414" s="168"/>
      <c r="L414" s="324"/>
      <c r="M414" s="330"/>
      <c r="N414" s="331"/>
      <c r="O414" s="332"/>
      <c r="P414" s="330"/>
      <c r="Q414" s="331"/>
      <c r="R414" s="332"/>
      <c r="S414" s="330"/>
      <c r="T414" s="331"/>
      <c r="U414" s="332"/>
      <c r="V414" s="154"/>
      <c r="W414" s="331"/>
      <c r="X414" s="324"/>
      <c r="Y414" s="205"/>
      <c r="Z414" s="205"/>
      <c r="AA414" s="205"/>
      <c r="AB414" s="17"/>
      <c r="AC414" s="17"/>
      <c r="AD414" s="17"/>
      <c r="AE414" s="17"/>
    </row>
    <row r="415">
      <c r="A415" s="154"/>
      <c r="B415" s="168"/>
      <c r="C415" s="324"/>
      <c r="D415" s="154"/>
      <c r="E415" s="168"/>
      <c r="F415" s="324"/>
      <c r="G415" s="154"/>
      <c r="H415" s="168"/>
      <c r="I415" s="324"/>
      <c r="J415" s="154"/>
      <c r="K415" s="168"/>
      <c r="L415" s="324"/>
      <c r="M415" s="330"/>
      <c r="N415" s="331"/>
      <c r="O415" s="332"/>
      <c r="P415" s="330"/>
      <c r="Q415" s="331"/>
      <c r="R415" s="332"/>
      <c r="S415" s="330"/>
      <c r="T415" s="331"/>
      <c r="U415" s="332"/>
      <c r="V415" s="154"/>
      <c r="W415" s="331"/>
      <c r="X415" s="324"/>
      <c r="Y415" s="205"/>
      <c r="Z415" s="205"/>
      <c r="AA415" s="205"/>
      <c r="AB415" s="17"/>
      <c r="AC415" s="17"/>
      <c r="AD415" s="17"/>
      <c r="AE415" s="17"/>
    </row>
    <row r="416">
      <c r="A416" s="154"/>
      <c r="B416" s="168"/>
      <c r="C416" s="324"/>
      <c r="D416" s="154"/>
      <c r="E416" s="168"/>
      <c r="F416" s="324"/>
      <c r="G416" s="154"/>
      <c r="H416" s="168"/>
      <c r="I416" s="324"/>
      <c r="J416" s="154"/>
      <c r="K416" s="168"/>
      <c r="L416" s="324"/>
      <c r="M416" s="330"/>
      <c r="N416" s="331"/>
      <c r="O416" s="332"/>
      <c r="P416" s="330"/>
      <c r="Q416" s="331"/>
      <c r="R416" s="332"/>
      <c r="S416" s="330"/>
      <c r="T416" s="331"/>
      <c r="U416" s="332"/>
      <c r="V416" s="154"/>
      <c r="W416" s="331"/>
      <c r="X416" s="324"/>
      <c r="Y416" s="205"/>
      <c r="Z416" s="205"/>
      <c r="AA416" s="205"/>
      <c r="AB416" s="17"/>
      <c r="AC416" s="17"/>
      <c r="AD416" s="17"/>
      <c r="AE416" s="17"/>
    </row>
    <row r="417">
      <c r="A417" s="154"/>
      <c r="B417" s="168"/>
      <c r="C417" s="324"/>
      <c r="D417" s="154"/>
      <c r="E417" s="168"/>
      <c r="F417" s="324"/>
      <c r="G417" s="154"/>
      <c r="H417" s="168"/>
      <c r="I417" s="324"/>
      <c r="J417" s="154"/>
      <c r="K417" s="168"/>
      <c r="L417" s="324"/>
      <c r="M417" s="330"/>
      <c r="N417" s="331"/>
      <c r="O417" s="332"/>
      <c r="P417" s="330"/>
      <c r="Q417" s="331"/>
      <c r="R417" s="332"/>
      <c r="S417" s="330"/>
      <c r="T417" s="331"/>
      <c r="U417" s="332"/>
      <c r="V417" s="154"/>
      <c r="W417" s="331"/>
      <c r="X417" s="324"/>
      <c r="Y417" s="205"/>
      <c r="Z417" s="205"/>
      <c r="AA417" s="205"/>
      <c r="AB417" s="17"/>
      <c r="AC417" s="17"/>
      <c r="AD417" s="17"/>
      <c r="AE417" s="17"/>
    </row>
    <row r="418">
      <c r="A418" s="154"/>
      <c r="B418" s="168"/>
      <c r="C418" s="324"/>
      <c r="D418" s="154"/>
      <c r="E418" s="168"/>
      <c r="F418" s="324"/>
      <c r="G418" s="154"/>
      <c r="H418" s="168"/>
      <c r="I418" s="324"/>
      <c r="J418" s="154"/>
      <c r="K418" s="168"/>
      <c r="L418" s="324"/>
      <c r="M418" s="330"/>
      <c r="N418" s="331"/>
      <c r="O418" s="332"/>
      <c r="P418" s="330"/>
      <c r="Q418" s="331"/>
      <c r="R418" s="332"/>
      <c r="S418" s="330"/>
      <c r="T418" s="331"/>
      <c r="U418" s="332"/>
      <c r="V418" s="154"/>
      <c r="W418" s="331"/>
      <c r="X418" s="324"/>
      <c r="Y418" s="205"/>
      <c r="Z418" s="205"/>
      <c r="AA418" s="205"/>
      <c r="AB418" s="17"/>
      <c r="AC418" s="17"/>
      <c r="AD418" s="17"/>
      <c r="AE418" s="17"/>
    </row>
    <row r="419">
      <c r="A419" s="154"/>
      <c r="B419" s="168"/>
      <c r="C419" s="324"/>
      <c r="D419" s="154"/>
      <c r="E419" s="168"/>
      <c r="F419" s="324"/>
      <c r="G419" s="154"/>
      <c r="H419" s="168"/>
      <c r="I419" s="324"/>
      <c r="J419" s="154"/>
      <c r="K419" s="168"/>
      <c r="L419" s="324"/>
      <c r="M419" s="330"/>
      <c r="N419" s="331"/>
      <c r="O419" s="332"/>
      <c r="P419" s="330"/>
      <c r="Q419" s="331"/>
      <c r="R419" s="332"/>
      <c r="S419" s="330"/>
      <c r="T419" s="331"/>
      <c r="U419" s="332"/>
      <c r="V419" s="154"/>
      <c r="W419" s="331"/>
      <c r="X419" s="324"/>
      <c r="Y419" s="205"/>
      <c r="Z419" s="205"/>
      <c r="AA419" s="205"/>
      <c r="AB419" s="17"/>
      <c r="AC419" s="17"/>
      <c r="AD419" s="17"/>
      <c r="AE419" s="17"/>
    </row>
    <row r="420">
      <c r="A420" s="154"/>
      <c r="B420" s="168"/>
      <c r="C420" s="324"/>
      <c r="D420" s="154"/>
      <c r="E420" s="168"/>
      <c r="F420" s="324"/>
      <c r="G420" s="154"/>
      <c r="H420" s="168"/>
      <c r="I420" s="324"/>
      <c r="J420" s="154"/>
      <c r="K420" s="168"/>
      <c r="L420" s="324"/>
      <c r="M420" s="330"/>
      <c r="N420" s="331"/>
      <c r="O420" s="332"/>
      <c r="P420" s="330"/>
      <c r="Q420" s="331"/>
      <c r="R420" s="332"/>
      <c r="S420" s="330"/>
      <c r="T420" s="331"/>
      <c r="U420" s="332"/>
      <c r="V420" s="154"/>
      <c r="W420" s="331"/>
      <c r="X420" s="324"/>
      <c r="Y420" s="205"/>
      <c r="Z420" s="205"/>
      <c r="AA420" s="205"/>
      <c r="AB420" s="17"/>
      <c r="AC420" s="17"/>
      <c r="AD420" s="17"/>
      <c r="AE420" s="17"/>
    </row>
    <row r="421">
      <c r="A421" s="154"/>
      <c r="B421" s="168"/>
      <c r="C421" s="324"/>
      <c r="D421" s="154"/>
      <c r="E421" s="168"/>
      <c r="F421" s="324"/>
      <c r="G421" s="154"/>
      <c r="H421" s="168"/>
      <c r="I421" s="324"/>
      <c r="J421" s="154"/>
      <c r="K421" s="168"/>
      <c r="L421" s="324"/>
      <c r="M421" s="330"/>
      <c r="N421" s="331"/>
      <c r="O421" s="332"/>
      <c r="P421" s="330"/>
      <c r="Q421" s="331"/>
      <c r="R421" s="332"/>
      <c r="S421" s="330"/>
      <c r="T421" s="331"/>
      <c r="U421" s="332"/>
      <c r="V421" s="154"/>
      <c r="W421" s="331"/>
      <c r="X421" s="324"/>
      <c r="Y421" s="205"/>
      <c r="Z421" s="205"/>
      <c r="AA421" s="205"/>
      <c r="AB421" s="17"/>
      <c r="AC421" s="17"/>
      <c r="AD421" s="17"/>
      <c r="AE421" s="17"/>
    </row>
    <row r="422">
      <c r="A422" s="154"/>
      <c r="B422" s="168"/>
      <c r="C422" s="324"/>
      <c r="D422" s="154"/>
      <c r="E422" s="168"/>
      <c r="F422" s="324"/>
      <c r="G422" s="154"/>
      <c r="H422" s="168"/>
      <c r="I422" s="324"/>
      <c r="J422" s="154"/>
      <c r="K422" s="168"/>
      <c r="L422" s="324"/>
      <c r="M422" s="330"/>
      <c r="N422" s="331"/>
      <c r="O422" s="332"/>
      <c r="P422" s="330"/>
      <c r="Q422" s="331"/>
      <c r="R422" s="332"/>
      <c r="S422" s="330"/>
      <c r="T422" s="331"/>
      <c r="U422" s="332"/>
      <c r="V422" s="154"/>
      <c r="W422" s="331"/>
      <c r="X422" s="324"/>
      <c r="Y422" s="205"/>
      <c r="Z422" s="205"/>
      <c r="AA422" s="205"/>
      <c r="AB422" s="17"/>
      <c r="AC422" s="17"/>
      <c r="AD422" s="17"/>
      <c r="AE422" s="17"/>
    </row>
    <row r="423">
      <c r="A423" s="154"/>
      <c r="B423" s="168"/>
      <c r="C423" s="324"/>
      <c r="D423" s="154"/>
      <c r="E423" s="168"/>
      <c r="F423" s="324"/>
      <c r="G423" s="154"/>
      <c r="H423" s="168"/>
      <c r="I423" s="324"/>
      <c r="J423" s="154"/>
      <c r="K423" s="168"/>
      <c r="L423" s="324"/>
      <c r="M423" s="330"/>
      <c r="N423" s="331"/>
      <c r="O423" s="332"/>
      <c r="P423" s="330"/>
      <c r="Q423" s="331"/>
      <c r="R423" s="332"/>
      <c r="S423" s="330"/>
      <c r="T423" s="331"/>
      <c r="U423" s="332"/>
      <c r="V423" s="154"/>
      <c r="W423" s="331"/>
      <c r="X423" s="324"/>
      <c r="Y423" s="205"/>
      <c r="Z423" s="205"/>
      <c r="AA423" s="205"/>
      <c r="AB423" s="17"/>
      <c r="AC423" s="17"/>
      <c r="AD423" s="17"/>
      <c r="AE423" s="17"/>
    </row>
    <row r="424">
      <c r="A424" s="154"/>
      <c r="B424" s="168"/>
      <c r="C424" s="324"/>
      <c r="D424" s="154"/>
      <c r="E424" s="168"/>
      <c r="F424" s="324"/>
      <c r="G424" s="154"/>
      <c r="H424" s="168"/>
      <c r="I424" s="324"/>
      <c r="J424" s="154"/>
      <c r="K424" s="168"/>
      <c r="L424" s="324"/>
      <c r="M424" s="330"/>
      <c r="N424" s="331"/>
      <c r="O424" s="332"/>
      <c r="P424" s="330"/>
      <c r="Q424" s="331"/>
      <c r="R424" s="332"/>
      <c r="S424" s="330"/>
      <c r="T424" s="331"/>
      <c r="U424" s="332"/>
      <c r="V424" s="154"/>
      <c r="W424" s="331"/>
      <c r="X424" s="324"/>
      <c r="Y424" s="205"/>
      <c r="Z424" s="205"/>
      <c r="AA424" s="205"/>
      <c r="AB424" s="17"/>
      <c r="AC424" s="17"/>
      <c r="AD424" s="17"/>
      <c r="AE424" s="17"/>
    </row>
    <row r="425">
      <c r="A425" s="154"/>
      <c r="B425" s="168"/>
      <c r="C425" s="324"/>
      <c r="D425" s="154"/>
      <c r="E425" s="168"/>
      <c r="F425" s="324"/>
      <c r="G425" s="154"/>
      <c r="H425" s="168"/>
      <c r="I425" s="324"/>
      <c r="J425" s="154"/>
      <c r="K425" s="168"/>
      <c r="L425" s="324"/>
      <c r="M425" s="330"/>
      <c r="N425" s="331"/>
      <c r="O425" s="332"/>
      <c r="P425" s="330"/>
      <c r="Q425" s="331"/>
      <c r="R425" s="332"/>
      <c r="S425" s="330"/>
      <c r="T425" s="331"/>
      <c r="U425" s="332"/>
      <c r="V425" s="154"/>
      <c r="W425" s="331"/>
      <c r="X425" s="324"/>
      <c r="Y425" s="205"/>
      <c r="Z425" s="205"/>
      <c r="AA425" s="205"/>
      <c r="AB425" s="17"/>
      <c r="AC425" s="17"/>
      <c r="AD425" s="17"/>
      <c r="AE425" s="17"/>
    </row>
    <row r="426">
      <c r="A426" s="154"/>
      <c r="B426" s="168"/>
      <c r="C426" s="324"/>
      <c r="D426" s="154"/>
      <c r="E426" s="168"/>
      <c r="F426" s="324"/>
      <c r="G426" s="154"/>
      <c r="H426" s="168"/>
      <c r="I426" s="324"/>
      <c r="J426" s="154"/>
      <c r="K426" s="168"/>
      <c r="L426" s="324"/>
      <c r="M426" s="330"/>
      <c r="N426" s="331"/>
      <c r="O426" s="332"/>
      <c r="P426" s="330"/>
      <c r="Q426" s="331"/>
      <c r="R426" s="332"/>
      <c r="S426" s="330"/>
      <c r="T426" s="331"/>
      <c r="U426" s="332"/>
      <c r="V426" s="154"/>
      <c r="W426" s="331"/>
      <c r="X426" s="324"/>
      <c r="Y426" s="205"/>
      <c r="Z426" s="205"/>
      <c r="AA426" s="205"/>
      <c r="AB426" s="17"/>
      <c r="AC426" s="17"/>
      <c r="AD426" s="17"/>
      <c r="AE426" s="17"/>
    </row>
    <row r="427">
      <c r="A427" s="154"/>
      <c r="B427" s="168"/>
      <c r="C427" s="324"/>
      <c r="D427" s="154"/>
      <c r="E427" s="168"/>
      <c r="F427" s="324"/>
      <c r="G427" s="154"/>
      <c r="H427" s="168"/>
      <c r="I427" s="324"/>
      <c r="J427" s="154"/>
      <c r="K427" s="168"/>
      <c r="L427" s="324"/>
      <c r="M427" s="330"/>
      <c r="N427" s="331"/>
      <c r="O427" s="332"/>
      <c r="P427" s="330"/>
      <c r="Q427" s="331"/>
      <c r="R427" s="332"/>
      <c r="S427" s="330"/>
      <c r="T427" s="331"/>
      <c r="U427" s="332"/>
      <c r="V427" s="154"/>
      <c r="W427" s="331"/>
      <c r="X427" s="324"/>
      <c r="Y427" s="205"/>
      <c r="Z427" s="205"/>
      <c r="AA427" s="205"/>
      <c r="AB427" s="17"/>
      <c r="AC427" s="17"/>
      <c r="AD427" s="17"/>
      <c r="AE427" s="17"/>
    </row>
    <row r="428">
      <c r="A428" s="154"/>
      <c r="B428" s="168"/>
      <c r="C428" s="324"/>
      <c r="D428" s="154"/>
      <c r="E428" s="168"/>
      <c r="F428" s="324"/>
      <c r="G428" s="154"/>
      <c r="H428" s="168"/>
      <c r="I428" s="324"/>
      <c r="J428" s="154"/>
      <c r="K428" s="168"/>
      <c r="L428" s="324"/>
      <c r="M428" s="330"/>
      <c r="N428" s="331"/>
      <c r="O428" s="332"/>
      <c r="P428" s="330"/>
      <c r="Q428" s="331"/>
      <c r="R428" s="332"/>
      <c r="S428" s="330"/>
      <c r="T428" s="331"/>
      <c r="U428" s="332"/>
      <c r="V428" s="154"/>
      <c r="W428" s="331"/>
      <c r="X428" s="324"/>
      <c r="Y428" s="205"/>
      <c r="Z428" s="205"/>
      <c r="AA428" s="205"/>
      <c r="AB428" s="17"/>
      <c r="AC428" s="17"/>
      <c r="AD428" s="17"/>
      <c r="AE428" s="17"/>
    </row>
    <row r="429">
      <c r="A429" s="154"/>
      <c r="B429" s="168"/>
      <c r="C429" s="324"/>
      <c r="D429" s="154"/>
      <c r="E429" s="168"/>
      <c r="F429" s="324"/>
      <c r="G429" s="154"/>
      <c r="H429" s="168"/>
      <c r="I429" s="324"/>
      <c r="J429" s="154"/>
      <c r="K429" s="168"/>
      <c r="L429" s="324"/>
      <c r="M429" s="330"/>
      <c r="N429" s="331"/>
      <c r="O429" s="332"/>
      <c r="P429" s="330"/>
      <c r="Q429" s="331"/>
      <c r="R429" s="332"/>
      <c r="S429" s="330"/>
      <c r="T429" s="331"/>
      <c r="U429" s="332"/>
      <c r="V429" s="154"/>
      <c r="W429" s="331"/>
      <c r="X429" s="324"/>
      <c r="Y429" s="205"/>
      <c r="Z429" s="205"/>
      <c r="AA429" s="205"/>
      <c r="AB429" s="17"/>
      <c r="AC429" s="17"/>
      <c r="AD429" s="17"/>
      <c r="AE429" s="17"/>
    </row>
    <row r="430">
      <c r="A430" s="154"/>
      <c r="B430" s="168"/>
      <c r="C430" s="324"/>
      <c r="D430" s="154"/>
      <c r="E430" s="168"/>
      <c r="F430" s="324"/>
      <c r="G430" s="154"/>
      <c r="H430" s="168"/>
      <c r="I430" s="324"/>
      <c r="J430" s="154"/>
      <c r="K430" s="168"/>
      <c r="L430" s="324"/>
      <c r="M430" s="330"/>
      <c r="N430" s="331"/>
      <c r="O430" s="332"/>
      <c r="P430" s="330"/>
      <c r="Q430" s="331"/>
      <c r="R430" s="332"/>
      <c r="S430" s="330"/>
      <c r="T430" s="331"/>
      <c r="U430" s="332"/>
      <c r="V430" s="154"/>
      <c r="W430" s="331"/>
      <c r="X430" s="324"/>
      <c r="Y430" s="205"/>
      <c r="Z430" s="205"/>
      <c r="AA430" s="205"/>
      <c r="AB430" s="17"/>
      <c r="AC430" s="17"/>
      <c r="AD430" s="17"/>
      <c r="AE430" s="17"/>
    </row>
    <row r="431">
      <c r="A431" s="154"/>
      <c r="B431" s="168"/>
      <c r="C431" s="324"/>
      <c r="D431" s="154"/>
      <c r="E431" s="168"/>
      <c r="F431" s="324"/>
      <c r="G431" s="154"/>
      <c r="H431" s="168"/>
      <c r="I431" s="324"/>
      <c r="J431" s="154"/>
      <c r="K431" s="168"/>
      <c r="L431" s="324"/>
      <c r="M431" s="330"/>
      <c r="N431" s="331"/>
      <c r="O431" s="332"/>
      <c r="P431" s="330"/>
      <c r="Q431" s="331"/>
      <c r="R431" s="332"/>
      <c r="S431" s="330"/>
      <c r="T431" s="331"/>
      <c r="U431" s="332"/>
      <c r="V431" s="154"/>
      <c r="W431" s="331"/>
      <c r="X431" s="324"/>
      <c r="Y431" s="205"/>
      <c r="Z431" s="205"/>
      <c r="AA431" s="205"/>
      <c r="AB431" s="17"/>
      <c r="AC431" s="17"/>
      <c r="AD431" s="17"/>
      <c r="AE431" s="17"/>
    </row>
    <row r="432">
      <c r="A432" s="154"/>
      <c r="B432" s="168"/>
      <c r="C432" s="324"/>
      <c r="D432" s="154"/>
      <c r="E432" s="168"/>
      <c r="F432" s="324"/>
      <c r="G432" s="154"/>
      <c r="H432" s="168"/>
      <c r="I432" s="324"/>
      <c r="J432" s="154"/>
      <c r="K432" s="168"/>
      <c r="L432" s="324"/>
      <c r="M432" s="330"/>
      <c r="N432" s="331"/>
      <c r="O432" s="332"/>
      <c r="P432" s="330"/>
      <c r="Q432" s="331"/>
      <c r="R432" s="332"/>
      <c r="S432" s="330"/>
      <c r="T432" s="331"/>
      <c r="U432" s="332"/>
      <c r="V432" s="154"/>
      <c r="W432" s="331"/>
      <c r="X432" s="324"/>
      <c r="Y432" s="205"/>
      <c r="Z432" s="205"/>
      <c r="AA432" s="205"/>
      <c r="AB432" s="17"/>
      <c r="AC432" s="17"/>
      <c r="AD432" s="17"/>
      <c r="AE432" s="17"/>
    </row>
    <row r="433">
      <c r="A433" s="154"/>
      <c r="B433" s="168"/>
      <c r="C433" s="324"/>
      <c r="D433" s="154"/>
      <c r="E433" s="168"/>
      <c r="F433" s="324"/>
      <c r="G433" s="154"/>
      <c r="H433" s="168"/>
      <c r="I433" s="324"/>
      <c r="J433" s="154"/>
      <c r="K433" s="168"/>
      <c r="L433" s="324"/>
      <c r="M433" s="330"/>
      <c r="N433" s="331"/>
      <c r="O433" s="332"/>
      <c r="P433" s="330"/>
      <c r="Q433" s="331"/>
      <c r="R433" s="332"/>
      <c r="S433" s="330"/>
      <c r="T433" s="331"/>
      <c r="U433" s="332"/>
      <c r="V433" s="154"/>
      <c r="W433" s="331"/>
      <c r="X433" s="324"/>
      <c r="Y433" s="205"/>
      <c r="Z433" s="205"/>
      <c r="AA433" s="205"/>
      <c r="AB433" s="17"/>
      <c r="AC433" s="17"/>
      <c r="AD433" s="17"/>
      <c r="AE433" s="17"/>
    </row>
    <row r="434">
      <c r="A434" s="154"/>
      <c r="B434" s="168"/>
      <c r="C434" s="324"/>
      <c r="D434" s="154"/>
      <c r="E434" s="168"/>
      <c r="F434" s="324"/>
      <c r="G434" s="154"/>
      <c r="H434" s="168"/>
      <c r="I434" s="324"/>
      <c r="J434" s="154"/>
      <c r="K434" s="168"/>
      <c r="L434" s="324"/>
      <c r="M434" s="330"/>
      <c r="N434" s="331"/>
      <c r="O434" s="332"/>
      <c r="P434" s="330"/>
      <c r="Q434" s="331"/>
      <c r="R434" s="332"/>
      <c r="S434" s="330"/>
      <c r="T434" s="331"/>
      <c r="U434" s="332"/>
      <c r="V434" s="154"/>
      <c r="W434" s="331"/>
      <c r="X434" s="324"/>
      <c r="Y434" s="205"/>
      <c r="Z434" s="205"/>
      <c r="AA434" s="205"/>
      <c r="AB434" s="17"/>
      <c r="AC434" s="17"/>
      <c r="AD434" s="17"/>
      <c r="AE434" s="17"/>
    </row>
    <row r="435">
      <c r="A435" s="154"/>
      <c r="B435" s="168"/>
      <c r="C435" s="324"/>
      <c r="D435" s="154"/>
      <c r="E435" s="168"/>
      <c r="F435" s="324"/>
      <c r="G435" s="154"/>
      <c r="H435" s="168"/>
      <c r="I435" s="324"/>
      <c r="J435" s="154"/>
      <c r="K435" s="168"/>
      <c r="L435" s="324"/>
      <c r="M435" s="330"/>
      <c r="N435" s="331"/>
      <c r="O435" s="332"/>
      <c r="P435" s="330"/>
      <c r="Q435" s="331"/>
      <c r="R435" s="332"/>
      <c r="S435" s="330"/>
      <c r="T435" s="331"/>
      <c r="U435" s="332"/>
      <c r="V435" s="154"/>
      <c r="W435" s="331"/>
      <c r="X435" s="324"/>
      <c r="Y435" s="205"/>
      <c r="Z435" s="205"/>
      <c r="AA435" s="205"/>
      <c r="AB435" s="17"/>
      <c r="AC435" s="17"/>
      <c r="AD435" s="17"/>
      <c r="AE435" s="17"/>
    </row>
    <row r="436">
      <c r="A436" s="154"/>
      <c r="B436" s="168"/>
      <c r="C436" s="324"/>
      <c r="D436" s="154"/>
      <c r="E436" s="168"/>
      <c r="F436" s="324"/>
      <c r="G436" s="154"/>
      <c r="H436" s="168"/>
      <c r="I436" s="324"/>
      <c r="J436" s="154"/>
      <c r="K436" s="168"/>
      <c r="L436" s="324"/>
      <c r="M436" s="330"/>
      <c r="N436" s="331"/>
      <c r="O436" s="332"/>
      <c r="P436" s="330"/>
      <c r="Q436" s="331"/>
      <c r="R436" s="332"/>
      <c r="S436" s="330"/>
      <c r="T436" s="331"/>
      <c r="U436" s="332"/>
      <c r="V436" s="154"/>
      <c r="W436" s="331"/>
      <c r="X436" s="324"/>
      <c r="Y436" s="205"/>
      <c r="Z436" s="205"/>
      <c r="AA436" s="205"/>
      <c r="AB436" s="17"/>
      <c r="AC436" s="17"/>
      <c r="AD436" s="17"/>
      <c r="AE436" s="17"/>
    </row>
    <row r="437">
      <c r="A437" s="154"/>
      <c r="B437" s="168"/>
      <c r="C437" s="324"/>
      <c r="D437" s="154"/>
      <c r="E437" s="168"/>
      <c r="F437" s="324"/>
      <c r="G437" s="154"/>
      <c r="H437" s="168"/>
      <c r="I437" s="324"/>
      <c r="J437" s="154"/>
      <c r="K437" s="168"/>
      <c r="L437" s="324"/>
      <c r="M437" s="330"/>
      <c r="N437" s="331"/>
      <c r="O437" s="332"/>
      <c r="P437" s="330"/>
      <c r="Q437" s="331"/>
      <c r="R437" s="332"/>
      <c r="S437" s="330"/>
      <c r="T437" s="331"/>
      <c r="U437" s="332"/>
      <c r="V437" s="154"/>
      <c r="W437" s="331"/>
      <c r="X437" s="324"/>
      <c r="Y437" s="205"/>
      <c r="Z437" s="205"/>
      <c r="AA437" s="205"/>
      <c r="AB437" s="17"/>
      <c r="AC437" s="17"/>
      <c r="AD437" s="17"/>
      <c r="AE437" s="17"/>
    </row>
    <row r="438">
      <c r="A438" s="154"/>
      <c r="B438" s="168"/>
      <c r="C438" s="324"/>
      <c r="D438" s="154"/>
      <c r="E438" s="168"/>
      <c r="F438" s="324"/>
      <c r="G438" s="154"/>
      <c r="H438" s="168"/>
      <c r="I438" s="324"/>
      <c r="J438" s="154"/>
      <c r="K438" s="168"/>
      <c r="L438" s="324"/>
      <c r="M438" s="330"/>
      <c r="N438" s="331"/>
      <c r="O438" s="332"/>
      <c r="P438" s="330"/>
      <c r="Q438" s="331"/>
      <c r="R438" s="332"/>
      <c r="S438" s="330"/>
      <c r="T438" s="331"/>
      <c r="U438" s="332"/>
      <c r="V438" s="154"/>
      <c r="W438" s="331"/>
      <c r="X438" s="324"/>
      <c r="Y438" s="205"/>
      <c r="Z438" s="205"/>
      <c r="AA438" s="205"/>
      <c r="AB438" s="17"/>
      <c r="AC438" s="17"/>
      <c r="AD438" s="17"/>
      <c r="AE438" s="17"/>
    </row>
    <row r="439">
      <c r="A439" s="154"/>
      <c r="B439" s="168"/>
      <c r="C439" s="324"/>
      <c r="D439" s="154"/>
      <c r="E439" s="168"/>
      <c r="F439" s="324"/>
      <c r="G439" s="154"/>
      <c r="H439" s="168"/>
      <c r="I439" s="324"/>
      <c r="J439" s="154"/>
      <c r="K439" s="168"/>
      <c r="L439" s="324"/>
      <c r="M439" s="330"/>
      <c r="N439" s="331"/>
      <c r="O439" s="332"/>
      <c r="P439" s="330"/>
      <c r="Q439" s="331"/>
      <c r="R439" s="332"/>
      <c r="S439" s="330"/>
      <c r="T439" s="331"/>
      <c r="U439" s="332"/>
      <c r="V439" s="154"/>
      <c r="W439" s="331"/>
      <c r="X439" s="324"/>
      <c r="Y439" s="205"/>
      <c r="Z439" s="205"/>
      <c r="AA439" s="205"/>
      <c r="AB439" s="17"/>
      <c r="AC439" s="17"/>
      <c r="AD439" s="17"/>
      <c r="AE439" s="17"/>
    </row>
    <row r="440">
      <c r="A440" s="154"/>
      <c r="B440" s="168"/>
      <c r="C440" s="324"/>
      <c r="D440" s="154"/>
      <c r="E440" s="168"/>
      <c r="F440" s="324"/>
      <c r="G440" s="154"/>
      <c r="H440" s="168"/>
      <c r="I440" s="324"/>
      <c r="J440" s="154"/>
      <c r="K440" s="168"/>
      <c r="L440" s="324"/>
      <c r="M440" s="330"/>
      <c r="N440" s="331"/>
      <c r="O440" s="332"/>
      <c r="P440" s="330"/>
      <c r="Q440" s="331"/>
      <c r="R440" s="332"/>
      <c r="S440" s="330"/>
      <c r="T440" s="331"/>
      <c r="U440" s="332"/>
      <c r="V440" s="154"/>
      <c r="W440" s="331"/>
      <c r="X440" s="324"/>
      <c r="Y440" s="205"/>
      <c r="Z440" s="205"/>
      <c r="AA440" s="205"/>
      <c r="AB440" s="17"/>
      <c r="AC440" s="17"/>
      <c r="AD440" s="17"/>
      <c r="AE440" s="17"/>
    </row>
    <row r="441">
      <c r="A441" s="154"/>
      <c r="B441" s="168"/>
      <c r="C441" s="324"/>
      <c r="D441" s="154"/>
      <c r="E441" s="168"/>
      <c r="F441" s="324"/>
      <c r="G441" s="154"/>
      <c r="H441" s="168"/>
      <c r="I441" s="324"/>
      <c r="J441" s="154"/>
      <c r="K441" s="168"/>
      <c r="L441" s="324"/>
      <c r="M441" s="330"/>
      <c r="N441" s="331"/>
      <c r="O441" s="332"/>
      <c r="P441" s="330"/>
      <c r="Q441" s="331"/>
      <c r="R441" s="332"/>
      <c r="S441" s="330"/>
      <c r="T441" s="331"/>
      <c r="U441" s="332"/>
      <c r="V441" s="154"/>
      <c r="W441" s="331"/>
      <c r="X441" s="324"/>
      <c r="Y441" s="205"/>
      <c r="Z441" s="205"/>
      <c r="AA441" s="205"/>
      <c r="AB441" s="17"/>
      <c r="AC441" s="17"/>
      <c r="AD441" s="17"/>
      <c r="AE441" s="17"/>
    </row>
    <row r="442">
      <c r="A442" s="154"/>
      <c r="B442" s="168"/>
      <c r="C442" s="324"/>
      <c r="D442" s="154"/>
      <c r="E442" s="168"/>
      <c r="F442" s="324"/>
      <c r="G442" s="154"/>
      <c r="H442" s="168"/>
      <c r="I442" s="324"/>
      <c r="J442" s="154"/>
      <c r="K442" s="168"/>
      <c r="L442" s="324"/>
      <c r="M442" s="330"/>
      <c r="N442" s="331"/>
      <c r="O442" s="332"/>
      <c r="P442" s="330"/>
      <c r="Q442" s="331"/>
      <c r="R442" s="332"/>
      <c r="S442" s="330"/>
      <c r="T442" s="331"/>
      <c r="U442" s="332"/>
      <c r="V442" s="154"/>
      <c r="W442" s="331"/>
      <c r="X442" s="324"/>
      <c r="Y442" s="205"/>
      <c r="Z442" s="205"/>
      <c r="AA442" s="205"/>
      <c r="AB442" s="17"/>
      <c r="AC442" s="17"/>
      <c r="AD442" s="17"/>
      <c r="AE442" s="17"/>
    </row>
    <row r="443">
      <c r="A443" s="154"/>
      <c r="B443" s="168"/>
      <c r="C443" s="324"/>
      <c r="D443" s="154"/>
      <c r="E443" s="168"/>
      <c r="F443" s="324"/>
      <c r="G443" s="154"/>
      <c r="H443" s="168"/>
      <c r="I443" s="324"/>
      <c r="J443" s="154"/>
      <c r="K443" s="168"/>
      <c r="L443" s="324"/>
      <c r="M443" s="330"/>
      <c r="N443" s="331"/>
      <c r="O443" s="332"/>
      <c r="P443" s="330"/>
      <c r="Q443" s="331"/>
      <c r="R443" s="332"/>
      <c r="S443" s="330"/>
      <c r="T443" s="331"/>
      <c r="U443" s="332"/>
      <c r="V443" s="154"/>
      <c r="W443" s="331"/>
      <c r="X443" s="324"/>
      <c r="Y443" s="205"/>
      <c r="Z443" s="205"/>
      <c r="AA443" s="205"/>
      <c r="AB443" s="17"/>
      <c r="AC443" s="17"/>
      <c r="AD443" s="17"/>
      <c r="AE443" s="17"/>
    </row>
    <row r="444">
      <c r="A444" s="154"/>
      <c r="B444" s="168"/>
      <c r="C444" s="324"/>
      <c r="D444" s="154"/>
      <c r="E444" s="168"/>
      <c r="F444" s="324"/>
      <c r="G444" s="154"/>
      <c r="H444" s="168"/>
      <c r="I444" s="324"/>
      <c r="J444" s="154"/>
      <c r="K444" s="168"/>
      <c r="L444" s="324"/>
      <c r="M444" s="330"/>
      <c r="N444" s="331"/>
      <c r="O444" s="332"/>
      <c r="P444" s="330"/>
      <c r="Q444" s="331"/>
      <c r="R444" s="332"/>
      <c r="S444" s="330"/>
      <c r="T444" s="331"/>
      <c r="U444" s="332"/>
      <c r="V444" s="154"/>
      <c r="W444" s="331"/>
      <c r="X444" s="324"/>
      <c r="Y444" s="205"/>
      <c r="Z444" s="205"/>
      <c r="AA444" s="205"/>
      <c r="AB444" s="17"/>
      <c r="AC444" s="17"/>
      <c r="AD444" s="17"/>
      <c r="AE444" s="17"/>
    </row>
    <row r="445">
      <c r="A445" s="154"/>
      <c r="B445" s="168"/>
      <c r="C445" s="324"/>
      <c r="D445" s="154"/>
      <c r="E445" s="168"/>
      <c r="F445" s="324"/>
      <c r="G445" s="154"/>
      <c r="H445" s="168"/>
      <c r="I445" s="324"/>
      <c r="J445" s="154"/>
      <c r="K445" s="168"/>
      <c r="L445" s="324"/>
      <c r="M445" s="330"/>
      <c r="N445" s="331"/>
      <c r="O445" s="332"/>
      <c r="P445" s="330"/>
      <c r="Q445" s="331"/>
      <c r="R445" s="332"/>
      <c r="S445" s="330"/>
      <c r="T445" s="331"/>
      <c r="U445" s="332"/>
      <c r="V445" s="154"/>
      <c r="W445" s="331"/>
      <c r="X445" s="324"/>
      <c r="Y445" s="205"/>
      <c r="Z445" s="205"/>
      <c r="AA445" s="205"/>
      <c r="AB445" s="17"/>
      <c r="AC445" s="17"/>
      <c r="AD445" s="17"/>
      <c r="AE445" s="17"/>
    </row>
    <row r="446">
      <c r="A446" s="154"/>
      <c r="B446" s="168"/>
      <c r="C446" s="324"/>
      <c r="D446" s="154"/>
      <c r="E446" s="168"/>
      <c r="F446" s="324"/>
      <c r="G446" s="154"/>
      <c r="H446" s="168"/>
      <c r="I446" s="324"/>
      <c r="J446" s="154"/>
      <c r="K446" s="168"/>
      <c r="L446" s="324"/>
      <c r="M446" s="330"/>
      <c r="N446" s="331"/>
      <c r="O446" s="332"/>
      <c r="P446" s="330"/>
      <c r="Q446" s="331"/>
      <c r="R446" s="332"/>
      <c r="S446" s="330"/>
      <c r="T446" s="331"/>
      <c r="U446" s="332"/>
      <c r="V446" s="154"/>
      <c r="W446" s="331"/>
      <c r="X446" s="324"/>
      <c r="Y446" s="205"/>
      <c r="Z446" s="205"/>
      <c r="AA446" s="205"/>
      <c r="AB446" s="17"/>
      <c r="AC446" s="17"/>
      <c r="AD446" s="17"/>
      <c r="AE446" s="17"/>
    </row>
    <row r="447">
      <c r="A447" s="154"/>
      <c r="B447" s="168"/>
      <c r="C447" s="324"/>
      <c r="D447" s="154"/>
      <c r="E447" s="168"/>
      <c r="F447" s="324"/>
      <c r="G447" s="154"/>
      <c r="H447" s="168"/>
      <c r="I447" s="324"/>
      <c r="J447" s="154"/>
      <c r="K447" s="168"/>
      <c r="L447" s="324"/>
      <c r="M447" s="330"/>
      <c r="N447" s="331"/>
      <c r="O447" s="332"/>
      <c r="P447" s="330"/>
      <c r="Q447" s="331"/>
      <c r="R447" s="332"/>
      <c r="S447" s="330"/>
      <c r="T447" s="331"/>
      <c r="U447" s="332"/>
      <c r="V447" s="154"/>
      <c r="W447" s="331"/>
      <c r="X447" s="324"/>
      <c r="Y447" s="205"/>
      <c r="Z447" s="205"/>
      <c r="AA447" s="205"/>
      <c r="AB447" s="17"/>
      <c r="AC447" s="17"/>
      <c r="AD447" s="17"/>
      <c r="AE447" s="17"/>
    </row>
    <row r="448">
      <c r="A448" s="154"/>
      <c r="B448" s="168"/>
      <c r="C448" s="324"/>
      <c r="D448" s="154"/>
      <c r="E448" s="168"/>
      <c r="F448" s="324"/>
      <c r="G448" s="154"/>
      <c r="H448" s="168"/>
      <c r="I448" s="324"/>
      <c r="J448" s="154"/>
      <c r="K448" s="168"/>
      <c r="L448" s="324"/>
      <c r="M448" s="330"/>
      <c r="N448" s="331"/>
      <c r="O448" s="332"/>
      <c r="P448" s="330"/>
      <c r="Q448" s="331"/>
      <c r="R448" s="332"/>
      <c r="S448" s="330"/>
      <c r="T448" s="331"/>
      <c r="U448" s="332"/>
      <c r="V448" s="154"/>
      <c r="W448" s="331"/>
      <c r="X448" s="324"/>
      <c r="Y448" s="205"/>
      <c r="Z448" s="205"/>
      <c r="AA448" s="205"/>
      <c r="AB448" s="17"/>
      <c r="AC448" s="17"/>
      <c r="AD448" s="17"/>
      <c r="AE448" s="17"/>
    </row>
    <row r="449">
      <c r="A449" s="154"/>
      <c r="B449" s="168"/>
      <c r="C449" s="324"/>
      <c r="D449" s="154"/>
      <c r="E449" s="168"/>
      <c r="F449" s="324"/>
      <c r="G449" s="154"/>
      <c r="H449" s="168"/>
      <c r="I449" s="324"/>
      <c r="J449" s="154"/>
      <c r="K449" s="168"/>
      <c r="L449" s="324"/>
      <c r="M449" s="330"/>
      <c r="N449" s="331"/>
      <c r="O449" s="332"/>
      <c r="P449" s="330"/>
      <c r="Q449" s="331"/>
      <c r="R449" s="332"/>
      <c r="S449" s="330"/>
      <c r="T449" s="331"/>
      <c r="U449" s="332"/>
      <c r="V449" s="154"/>
      <c r="W449" s="331"/>
      <c r="X449" s="324"/>
      <c r="Y449" s="205"/>
      <c r="Z449" s="205"/>
      <c r="AA449" s="205"/>
      <c r="AB449" s="17"/>
      <c r="AC449" s="17"/>
      <c r="AD449" s="17"/>
      <c r="AE449" s="17"/>
    </row>
    <row r="450">
      <c r="A450" s="154"/>
      <c r="B450" s="168"/>
      <c r="C450" s="324"/>
      <c r="D450" s="154"/>
      <c r="E450" s="168"/>
      <c r="F450" s="324"/>
      <c r="G450" s="154"/>
      <c r="H450" s="168"/>
      <c r="I450" s="324"/>
      <c r="J450" s="154"/>
      <c r="K450" s="168"/>
      <c r="L450" s="324"/>
      <c r="M450" s="330"/>
      <c r="N450" s="331"/>
      <c r="O450" s="332"/>
      <c r="P450" s="330"/>
      <c r="Q450" s="331"/>
      <c r="R450" s="332"/>
      <c r="S450" s="330"/>
      <c r="T450" s="331"/>
      <c r="U450" s="332"/>
      <c r="V450" s="154"/>
      <c r="W450" s="331"/>
      <c r="X450" s="324"/>
      <c r="Y450" s="205"/>
      <c r="Z450" s="205"/>
      <c r="AA450" s="205"/>
      <c r="AB450" s="17"/>
      <c r="AC450" s="17"/>
      <c r="AD450" s="17"/>
      <c r="AE450" s="17"/>
    </row>
    <row r="451">
      <c r="A451" s="154"/>
      <c r="B451" s="168"/>
      <c r="C451" s="324"/>
      <c r="D451" s="154"/>
      <c r="E451" s="168"/>
      <c r="F451" s="324"/>
      <c r="G451" s="154"/>
      <c r="H451" s="168"/>
      <c r="I451" s="324"/>
      <c r="J451" s="154"/>
      <c r="K451" s="168"/>
      <c r="L451" s="324"/>
      <c r="M451" s="330"/>
      <c r="N451" s="331"/>
      <c r="O451" s="332"/>
      <c r="P451" s="330"/>
      <c r="Q451" s="331"/>
      <c r="R451" s="332"/>
      <c r="S451" s="330"/>
      <c r="T451" s="331"/>
      <c r="U451" s="332"/>
      <c r="V451" s="154"/>
      <c r="W451" s="331"/>
      <c r="X451" s="324"/>
      <c r="Y451" s="205"/>
      <c r="Z451" s="205"/>
      <c r="AA451" s="205"/>
      <c r="AB451" s="17"/>
      <c r="AC451" s="17"/>
      <c r="AD451" s="17"/>
      <c r="AE451" s="17"/>
    </row>
    <row r="452">
      <c r="A452" s="154"/>
      <c r="B452" s="168"/>
      <c r="C452" s="324"/>
      <c r="D452" s="154"/>
      <c r="E452" s="168"/>
      <c r="F452" s="324"/>
      <c r="G452" s="154"/>
      <c r="H452" s="168"/>
      <c r="I452" s="324"/>
      <c r="J452" s="154"/>
      <c r="K452" s="168"/>
      <c r="L452" s="324"/>
      <c r="M452" s="330"/>
      <c r="N452" s="331"/>
      <c r="O452" s="332"/>
      <c r="P452" s="330"/>
      <c r="Q452" s="331"/>
      <c r="R452" s="332"/>
      <c r="S452" s="330"/>
      <c r="T452" s="331"/>
      <c r="U452" s="332"/>
      <c r="V452" s="154"/>
      <c r="W452" s="331"/>
      <c r="X452" s="324"/>
      <c r="Y452" s="205"/>
      <c r="Z452" s="205"/>
      <c r="AA452" s="205"/>
      <c r="AB452" s="17"/>
      <c r="AC452" s="17"/>
      <c r="AD452" s="17"/>
      <c r="AE452" s="17"/>
    </row>
    <row r="453">
      <c r="A453" s="154"/>
      <c r="B453" s="168"/>
      <c r="C453" s="324"/>
      <c r="D453" s="154"/>
      <c r="E453" s="168"/>
      <c r="F453" s="324"/>
      <c r="G453" s="154"/>
      <c r="H453" s="168"/>
      <c r="I453" s="324"/>
      <c r="J453" s="154"/>
      <c r="K453" s="168"/>
      <c r="L453" s="324"/>
      <c r="M453" s="330"/>
      <c r="N453" s="331"/>
      <c r="O453" s="332"/>
      <c r="P453" s="330"/>
      <c r="Q453" s="331"/>
      <c r="R453" s="332"/>
      <c r="S453" s="330"/>
      <c r="T453" s="331"/>
      <c r="U453" s="332"/>
      <c r="V453" s="154"/>
      <c r="W453" s="331"/>
      <c r="X453" s="324"/>
      <c r="Y453" s="205"/>
      <c r="Z453" s="205"/>
      <c r="AA453" s="205"/>
      <c r="AB453" s="17"/>
      <c r="AC453" s="17"/>
      <c r="AD453" s="17"/>
      <c r="AE453" s="17"/>
    </row>
    <row r="454">
      <c r="A454" s="154"/>
      <c r="B454" s="168"/>
      <c r="C454" s="324"/>
      <c r="D454" s="154"/>
      <c r="E454" s="168"/>
      <c r="F454" s="324"/>
      <c r="G454" s="154"/>
      <c r="H454" s="168"/>
      <c r="I454" s="324"/>
      <c r="J454" s="154"/>
      <c r="K454" s="168"/>
      <c r="L454" s="324"/>
      <c r="M454" s="330"/>
      <c r="N454" s="331"/>
      <c r="O454" s="332"/>
      <c r="P454" s="330"/>
      <c r="Q454" s="331"/>
      <c r="R454" s="332"/>
      <c r="S454" s="330"/>
      <c r="T454" s="331"/>
      <c r="U454" s="332"/>
      <c r="V454" s="154"/>
      <c r="W454" s="331"/>
      <c r="X454" s="324"/>
      <c r="Y454" s="205"/>
      <c r="Z454" s="205"/>
      <c r="AA454" s="205"/>
      <c r="AB454" s="17"/>
      <c r="AC454" s="17"/>
      <c r="AD454" s="17"/>
      <c r="AE454" s="17"/>
    </row>
    <row r="455">
      <c r="A455" s="154"/>
      <c r="B455" s="168"/>
      <c r="C455" s="324"/>
      <c r="D455" s="154"/>
      <c r="E455" s="168"/>
      <c r="F455" s="324"/>
      <c r="G455" s="154"/>
      <c r="H455" s="168"/>
      <c r="I455" s="324"/>
      <c r="J455" s="154"/>
      <c r="K455" s="168"/>
      <c r="L455" s="324"/>
      <c r="M455" s="330"/>
      <c r="N455" s="331"/>
      <c r="O455" s="332"/>
      <c r="P455" s="330"/>
      <c r="Q455" s="331"/>
      <c r="R455" s="332"/>
      <c r="S455" s="330"/>
      <c r="T455" s="331"/>
      <c r="U455" s="332"/>
      <c r="V455" s="154"/>
      <c r="W455" s="331"/>
      <c r="X455" s="324"/>
      <c r="Y455" s="205"/>
      <c r="Z455" s="205"/>
      <c r="AA455" s="205"/>
      <c r="AB455" s="17"/>
      <c r="AC455" s="17"/>
      <c r="AD455" s="17"/>
      <c r="AE455" s="17"/>
    </row>
    <row r="456">
      <c r="A456" s="154"/>
      <c r="B456" s="168"/>
      <c r="C456" s="324"/>
      <c r="D456" s="154"/>
      <c r="E456" s="168"/>
      <c r="F456" s="324"/>
      <c r="G456" s="154"/>
      <c r="H456" s="168"/>
      <c r="I456" s="324"/>
      <c r="J456" s="154"/>
      <c r="K456" s="168"/>
      <c r="L456" s="324"/>
      <c r="M456" s="330"/>
      <c r="N456" s="331"/>
      <c r="O456" s="332"/>
      <c r="P456" s="330"/>
      <c r="Q456" s="331"/>
      <c r="R456" s="332"/>
      <c r="S456" s="330"/>
      <c r="T456" s="331"/>
      <c r="U456" s="332"/>
      <c r="V456" s="154"/>
      <c r="W456" s="331"/>
      <c r="X456" s="324"/>
      <c r="Y456" s="205"/>
      <c r="Z456" s="205"/>
      <c r="AA456" s="205"/>
      <c r="AB456" s="17"/>
      <c r="AC456" s="17"/>
      <c r="AD456" s="17"/>
      <c r="AE456" s="17"/>
    </row>
    <row r="457">
      <c r="A457" s="154"/>
      <c r="B457" s="168"/>
      <c r="C457" s="324"/>
      <c r="D457" s="154"/>
      <c r="E457" s="168"/>
      <c r="F457" s="324"/>
      <c r="G457" s="154"/>
      <c r="H457" s="168"/>
      <c r="I457" s="324"/>
      <c r="J457" s="154"/>
      <c r="K457" s="168"/>
      <c r="L457" s="324"/>
      <c r="M457" s="330"/>
      <c r="N457" s="331"/>
      <c r="O457" s="332"/>
      <c r="P457" s="330"/>
      <c r="Q457" s="331"/>
      <c r="R457" s="332"/>
      <c r="S457" s="330"/>
      <c r="T457" s="331"/>
      <c r="U457" s="332"/>
      <c r="V457" s="154"/>
      <c r="W457" s="331"/>
      <c r="X457" s="324"/>
      <c r="Y457" s="205"/>
      <c r="Z457" s="205"/>
      <c r="AA457" s="205"/>
      <c r="AB457" s="17"/>
      <c r="AC457" s="17"/>
      <c r="AD457" s="17"/>
      <c r="AE457" s="17"/>
    </row>
    <row r="458">
      <c r="A458" s="154"/>
      <c r="B458" s="168"/>
      <c r="C458" s="324"/>
      <c r="D458" s="154"/>
      <c r="E458" s="168"/>
      <c r="F458" s="324"/>
      <c r="G458" s="154"/>
      <c r="H458" s="168"/>
      <c r="I458" s="324"/>
      <c r="J458" s="154"/>
      <c r="K458" s="168"/>
      <c r="L458" s="324"/>
      <c r="M458" s="330"/>
      <c r="N458" s="331"/>
      <c r="O458" s="332"/>
      <c r="P458" s="330"/>
      <c r="Q458" s="331"/>
      <c r="R458" s="332"/>
      <c r="S458" s="330"/>
      <c r="T458" s="331"/>
      <c r="U458" s="332"/>
      <c r="V458" s="154"/>
      <c r="W458" s="331"/>
      <c r="X458" s="324"/>
      <c r="Y458" s="205"/>
      <c r="Z458" s="205"/>
      <c r="AA458" s="205"/>
      <c r="AB458" s="17"/>
      <c r="AC458" s="17"/>
      <c r="AD458" s="17"/>
      <c r="AE458" s="17"/>
    </row>
    <row r="459">
      <c r="A459" s="154"/>
      <c r="B459" s="168"/>
      <c r="C459" s="324"/>
      <c r="D459" s="154"/>
      <c r="E459" s="168"/>
      <c r="F459" s="324"/>
      <c r="G459" s="154"/>
      <c r="H459" s="168"/>
      <c r="I459" s="324"/>
      <c r="J459" s="154"/>
      <c r="K459" s="168"/>
      <c r="L459" s="324"/>
      <c r="M459" s="330"/>
      <c r="N459" s="331"/>
      <c r="O459" s="332"/>
      <c r="P459" s="330"/>
      <c r="Q459" s="331"/>
      <c r="R459" s="332"/>
      <c r="S459" s="330"/>
      <c r="T459" s="331"/>
      <c r="U459" s="332"/>
      <c r="V459" s="154"/>
      <c r="W459" s="331"/>
      <c r="X459" s="324"/>
      <c r="Y459" s="205"/>
      <c r="Z459" s="205"/>
      <c r="AA459" s="205"/>
      <c r="AB459" s="17"/>
      <c r="AC459" s="17"/>
      <c r="AD459" s="17"/>
      <c r="AE459" s="17"/>
    </row>
    <row r="460">
      <c r="A460" s="154"/>
      <c r="B460" s="168"/>
      <c r="C460" s="324"/>
      <c r="D460" s="154"/>
      <c r="E460" s="168"/>
      <c r="F460" s="324"/>
      <c r="G460" s="154"/>
      <c r="H460" s="168"/>
      <c r="I460" s="324"/>
      <c r="J460" s="154"/>
      <c r="K460" s="168"/>
      <c r="L460" s="324"/>
      <c r="M460" s="330"/>
      <c r="N460" s="331"/>
      <c r="O460" s="332"/>
      <c r="P460" s="330"/>
      <c r="Q460" s="331"/>
      <c r="R460" s="332"/>
      <c r="S460" s="330"/>
      <c r="T460" s="331"/>
      <c r="U460" s="332"/>
      <c r="V460" s="154"/>
      <c r="W460" s="331"/>
      <c r="X460" s="324"/>
      <c r="Y460" s="205"/>
      <c r="Z460" s="205"/>
      <c r="AA460" s="205"/>
      <c r="AB460" s="17"/>
      <c r="AC460" s="17"/>
      <c r="AD460" s="17"/>
      <c r="AE460" s="17"/>
    </row>
    <row r="461">
      <c r="A461" s="154"/>
      <c r="B461" s="168"/>
      <c r="C461" s="324"/>
      <c r="D461" s="154"/>
      <c r="E461" s="168"/>
      <c r="F461" s="324"/>
      <c r="G461" s="154"/>
      <c r="H461" s="168"/>
      <c r="I461" s="324"/>
      <c r="J461" s="154"/>
      <c r="K461" s="168"/>
      <c r="L461" s="324"/>
      <c r="M461" s="330"/>
      <c r="N461" s="331"/>
      <c r="O461" s="332"/>
      <c r="P461" s="330"/>
      <c r="Q461" s="331"/>
      <c r="R461" s="332"/>
      <c r="S461" s="330"/>
      <c r="T461" s="331"/>
      <c r="U461" s="332"/>
      <c r="V461" s="154"/>
      <c r="W461" s="331"/>
      <c r="X461" s="324"/>
      <c r="Y461" s="205"/>
      <c r="Z461" s="205"/>
      <c r="AA461" s="205"/>
      <c r="AB461" s="17"/>
      <c r="AC461" s="17"/>
      <c r="AD461" s="17"/>
      <c r="AE461" s="17"/>
    </row>
    <row r="462">
      <c r="A462" s="154"/>
      <c r="B462" s="168"/>
      <c r="C462" s="324"/>
      <c r="D462" s="154"/>
      <c r="E462" s="168"/>
      <c r="F462" s="324"/>
      <c r="G462" s="154"/>
      <c r="H462" s="168"/>
      <c r="I462" s="324"/>
      <c r="J462" s="154"/>
      <c r="K462" s="168"/>
      <c r="L462" s="324"/>
      <c r="M462" s="330"/>
      <c r="N462" s="331"/>
      <c r="O462" s="332"/>
      <c r="P462" s="330"/>
      <c r="Q462" s="331"/>
      <c r="R462" s="332"/>
      <c r="S462" s="330"/>
      <c r="T462" s="331"/>
      <c r="U462" s="332"/>
      <c r="V462" s="154"/>
      <c r="W462" s="331"/>
      <c r="X462" s="324"/>
      <c r="Y462" s="205"/>
      <c r="Z462" s="205"/>
      <c r="AA462" s="205"/>
      <c r="AB462" s="17"/>
      <c r="AC462" s="17"/>
      <c r="AD462" s="17"/>
      <c r="AE462" s="17"/>
    </row>
    <row r="463">
      <c r="A463" s="154"/>
      <c r="B463" s="168"/>
      <c r="C463" s="324"/>
      <c r="D463" s="154"/>
      <c r="E463" s="168"/>
      <c r="F463" s="324"/>
      <c r="G463" s="154"/>
      <c r="H463" s="168"/>
      <c r="I463" s="324"/>
      <c r="J463" s="154"/>
      <c r="K463" s="168"/>
      <c r="L463" s="324"/>
      <c r="M463" s="330"/>
      <c r="N463" s="331"/>
      <c r="O463" s="332"/>
      <c r="P463" s="330"/>
      <c r="Q463" s="331"/>
      <c r="R463" s="332"/>
      <c r="S463" s="330"/>
      <c r="T463" s="331"/>
      <c r="U463" s="332"/>
      <c r="V463" s="154"/>
      <c r="W463" s="331"/>
      <c r="X463" s="324"/>
      <c r="Y463" s="205"/>
      <c r="Z463" s="205"/>
      <c r="AA463" s="205"/>
      <c r="AB463" s="17"/>
      <c r="AC463" s="17"/>
      <c r="AD463" s="17"/>
      <c r="AE463" s="17"/>
    </row>
    <row r="464">
      <c r="A464" s="154"/>
      <c r="B464" s="168"/>
      <c r="C464" s="324"/>
      <c r="D464" s="154"/>
      <c r="E464" s="168"/>
      <c r="F464" s="324"/>
      <c r="G464" s="154"/>
      <c r="H464" s="168"/>
      <c r="I464" s="324"/>
      <c r="J464" s="154"/>
      <c r="K464" s="168"/>
      <c r="L464" s="324"/>
      <c r="M464" s="330"/>
      <c r="N464" s="331"/>
      <c r="O464" s="332"/>
      <c r="P464" s="330"/>
      <c r="Q464" s="331"/>
      <c r="R464" s="332"/>
      <c r="S464" s="330"/>
      <c r="T464" s="331"/>
      <c r="U464" s="332"/>
      <c r="V464" s="154"/>
      <c r="W464" s="331"/>
      <c r="X464" s="324"/>
      <c r="Y464" s="205"/>
      <c r="Z464" s="205"/>
      <c r="AA464" s="205"/>
      <c r="AB464" s="17"/>
      <c r="AC464" s="17"/>
      <c r="AD464" s="17"/>
      <c r="AE464" s="17"/>
    </row>
    <row r="465">
      <c r="A465" s="154"/>
      <c r="B465" s="168"/>
      <c r="C465" s="324"/>
      <c r="D465" s="154"/>
      <c r="E465" s="168"/>
      <c r="F465" s="324"/>
      <c r="G465" s="154"/>
      <c r="H465" s="168"/>
      <c r="I465" s="324"/>
      <c r="J465" s="154"/>
      <c r="K465" s="168"/>
      <c r="L465" s="324"/>
      <c r="M465" s="330"/>
      <c r="N465" s="331"/>
      <c r="O465" s="332"/>
      <c r="P465" s="330"/>
      <c r="Q465" s="331"/>
      <c r="R465" s="332"/>
      <c r="S465" s="330"/>
      <c r="T465" s="331"/>
      <c r="U465" s="332"/>
      <c r="V465" s="154"/>
      <c r="W465" s="331"/>
      <c r="X465" s="324"/>
      <c r="Y465" s="205"/>
      <c r="Z465" s="205"/>
      <c r="AA465" s="205"/>
      <c r="AB465" s="17"/>
      <c r="AC465" s="17"/>
      <c r="AD465" s="17"/>
      <c r="AE465" s="17"/>
    </row>
    <row r="466">
      <c r="A466" s="154"/>
      <c r="B466" s="168"/>
      <c r="C466" s="324"/>
      <c r="D466" s="154"/>
      <c r="E466" s="168"/>
      <c r="F466" s="324"/>
      <c r="G466" s="154"/>
      <c r="H466" s="168"/>
      <c r="I466" s="324"/>
      <c r="J466" s="154"/>
      <c r="K466" s="168"/>
      <c r="L466" s="324"/>
      <c r="M466" s="330"/>
      <c r="N466" s="331"/>
      <c r="O466" s="332"/>
      <c r="P466" s="330"/>
      <c r="Q466" s="331"/>
      <c r="R466" s="332"/>
      <c r="S466" s="330"/>
      <c r="T466" s="331"/>
      <c r="U466" s="332"/>
      <c r="V466" s="154"/>
      <c r="W466" s="331"/>
      <c r="X466" s="324"/>
      <c r="Y466" s="205"/>
      <c r="Z466" s="205"/>
      <c r="AA466" s="205"/>
      <c r="AB466" s="17"/>
      <c r="AC466" s="17"/>
      <c r="AD466" s="17"/>
      <c r="AE466" s="17"/>
    </row>
    <row r="467">
      <c r="A467" s="154"/>
      <c r="B467" s="168"/>
      <c r="C467" s="324"/>
      <c r="D467" s="154"/>
      <c r="E467" s="168"/>
      <c r="F467" s="324"/>
      <c r="G467" s="154"/>
      <c r="H467" s="168"/>
      <c r="I467" s="324"/>
      <c r="J467" s="154"/>
      <c r="K467" s="168"/>
      <c r="L467" s="324"/>
      <c r="M467" s="330"/>
      <c r="N467" s="331"/>
      <c r="O467" s="332"/>
      <c r="P467" s="330"/>
      <c r="Q467" s="331"/>
      <c r="R467" s="332"/>
      <c r="S467" s="330"/>
      <c r="T467" s="331"/>
      <c r="U467" s="332"/>
      <c r="V467" s="154"/>
      <c r="W467" s="331"/>
      <c r="X467" s="324"/>
      <c r="Y467" s="205"/>
      <c r="Z467" s="205"/>
      <c r="AA467" s="205"/>
      <c r="AB467" s="17"/>
      <c r="AC467" s="17"/>
      <c r="AD467" s="17"/>
      <c r="AE467" s="17"/>
    </row>
    <row r="468">
      <c r="A468" s="154"/>
      <c r="B468" s="168"/>
      <c r="C468" s="324"/>
      <c r="D468" s="154"/>
      <c r="E468" s="168"/>
      <c r="F468" s="324"/>
      <c r="G468" s="154"/>
      <c r="H468" s="168"/>
      <c r="I468" s="324"/>
      <c r="J468" s="154"/>
      <c r="K468" s="168"/>
      <c r="L468" s="324"/>
      <c r="M468" s="330"/>
      <c r="N468" s="331"/>
      <c r="O468" s="332"/>
      <c r="P468" s="330"/>
      <c r="Q468" s="331"/>
      <c r="R468" s="332"/>
      <c r="S468" s="330"/>
      <c r="T468" s="331"/>
      <c r="U468" s="332"/>
      <c r="V468" s="154"/>
      <c r="W468" s="331"/>
      <c r="X468" s="324"/>
      <c r="Y468" s="205"/>
      <c r="Z468" s="205"/>
      <c r="AA468" s="205"/>
      <c r="AB468" s="17"/>
      <c r="AC468" s="17"/>
      <c r="AD468" s="17"/>
      <c r="AE468" s="17"/>
    </row>
    <row r="469">
      <c r="A469" s="154"/>
      <c r="B469" s="168"/>
      <c r="C469" s="324"/>
      <c r="D469" s="154"/>
      <c r="E469" s="168"/>
      <c r="F469" s="324"/>
      <c r="G469" s="154"/>
      <c r="H469" s="168"/>
      <c r="I469" s="324"/>
      <c r="J469" s="154"/>
      <c r="K469" s="168"/>
      <c r="L469" s="324"/>
      <c r="M469" s="330"/>
      <c r="N469" s="331"/>
      <c r="O469" s="332"/>
      <c r="P469" s="330"/>
      <c r="Q469" s="331"/>
      <c r="R469" s="332"/>
      <c r="S469" s="330"/>
      <c r="T469" s="331"/>
      <c r="U469" s="332"/>
      <c r="V469" s="154"/>
      <c r="W469" s="331"/>
      <c r="X469" s="324"/>
      <c r="Y469" s="205"/>
      <c r="Z469" s="205"/>
      <c r="AA469" s="205"/>
      <c r="AB469" s="17"/>
      <c r="AC469" s="17"/>
      <c r="AD469" s="17"/>
      <c r="AE469" s="17"/>
    </row>
    <row r="470">
      <c r="A470" s="154"/>
      <c r="B470" s="168"/>
      <c r="C470" s="324"/>
      <c r="D470" s="154"/>
      <c r="E470" s="168"/>
      <c r="F470" s="324"/>
      <c r="G470" s="154"/>
      <c r="H470" s="168"/>
      <c r="I470" s="324"/>
      <c r="J470" s="154"/>
      <c r="K470" s="168"/>
      <c r="L470" s="324"/>
      <c r="M470" s="330"/>
      <c r="N470" s="331"/>
      <c r="O470" s="332"/>
      <c r="P470" s="330"/>
      <c r="Q470" s="331"/>
      <c r="R470" s="332"/>
      <c r="S470" s="330"/>
      <c r="T470" s="331"/>
      <c r="U470" s="332"/>
      <c r="V470" s="154"/>
      <c r="W470" s="331"/>
      <c r="X470" s="324"/>
      <c r="Y470" s="205"/>
      <c r="Z470" s="205"/>
      <c r="AA470" s="205"/>
      <c r="AB470" s="17"/>
      <c r="AC470" s="17"/>
      <c r="AD470" s="17"/>
      <c r="AE470" s="17"/>
    </row>
    <row r="471">
      <c r="A471" s="154"/>
      <c r="B471" s="168"/>
      <c r="C471" s="324"/>
      <c r="D471" s="154"/>
      <c r="E471" s="168"/>
      <c r="F471" s="324"/>
      <c r="G471" s="154"/>
      <c r="H471" s="168"/>
      <c r="I471" s="324"/>
      <c r="J471" s="154"/>
      <c r="K471" s="168"/>
      <c r="L471" s="324"/>
      <c r="M471" s="330"/>
      <c r="N471" s="331"/>
      <c r="O471" s="332"/>
      <c r="P471" s="330"/>
      <c r="Q471" s="331"/>
      <c r="R471" s="332"/>
      <c r="S471" s="330"/>
      <c r="T471" s="331"/>
      <c r="U471" s="332"/>
      <c r="V471" s="154"/>
      <c r="W471" s="331"/>
      <c r="X471" s="324"/>
      <c r="Y471" s="205"/>
      <c r="Z471" s="205"/>
      <c r="AA471" s="205"/>
      <c r="AB471" s="17"/>
      <c r="AC471" s="17"/>
      <c r="AD471" s="17"/>
      <c r="AE471" s="17"/>
    </row>
    <row r="472">
      <c r="A472" s="154"/>
      <c r="B472" s="168"/>
      <c r="C472" s="324"/>
      <c r="D472" s="154"/>
      <c r="E472" s="168"/>
      <c r="F472" s="324"/>
      <c r="G472" s="154"/>
      <c r="H472" s="168"/>
      <c r="I472" s="324"/>
      <c r="J472" s="154"/>
      <c r="K472" s="168"/>
      <c r="L472" s="324"/>
      <c r="M472" s="330"/>
      <c r="N472" s="331"/>
      <c r="O472" s="332"/>
      <c r="P472" s="330"/>
      <c r="Q472" s="331"/>
      <c r="R472" s="332"/>
      <c r="S472" s="330"/>
      <c r="T472" s="331"/>
      <c r="U472" s="332"/>
      <c r="V472" s="154"/>
      <c r="W472" s="331"/>
      <c r="X472" s="324"/>
      <c r="Y472" s="205"/>
      <c r="Z472" s="205"/>
      <c r="AA472" s="205"/>
      <c r="AB472" s="17"/>
      <c r="AC472" s="17"/>
      <c r="AD472" s="17"/>
      <c r="AE472" s="17"/>
    </row>
    <row r="473">
      <c r="A473" s="154"/>
      <c r="B473" s="168"/>
      <c r="C473" s="324"/>
      <c r="D473" s="154"/>
      <c r="E473" s="168"/>
      <c r="F473" s="324"/>
      <c r="G473" s="154"/>
      <c r="H473" s="168"/>
      <c r="I473" s="324"/>
      <c r="J473" s="154"/>
      <c r="K473" s="168"/>
      <c r="L473" s="324"/>
      <c r="M473" s="330"/>
      <c r="N473" s="331"/>
      <c r="O473" s="332"/>
      <c r="P473" s="330"/>
      <c r="Q473" s="331"/>
      <c r="R473" s="332"/>
      <c r="S473" s="330"/>
      <c r="T473" s="331"/>
      <c r="U473" s="332"/>
      <c r="V473" s="154"/>
      <c r="W473" s="331"/>
      <c r="X473" s="324"/>
      <c r="Y473" s="205"/>
      <c r="Z473" s="205"/>
      <c r="AA473" s="205"/>
      <c r="AB473" s="17"/>
      <c r="AC473" s="17"/>
      <c r="AD473" s="17"/>
      <c r="AE473" s="17"/>
    </row>
    <row r="474">
      <c r="A474" s="154"/>
      <c r="B474" s="168"/>
      <c r="C474" s="324"/>
      <c r="D474" s="154"/>
      <c r="E474" s="168"/>
      <c r="F474" s="324"/>
      <c r="G474" s="154"/>
      <c r="H474" s="168"/>
      <c r="I474" s="324"/>
      <c r="J474" s="154"/>
      <c r="K474" s="168"/>
      <c r="L474" s="324"/>
      <c r="M474" s="330"/>
      <c r="N474" s="331"/>
      <c r="O474" s="332"/>
      <c r="P474" s="330"/>
      <c r="Q474" s="331"/>
      <c r="R474" s="332"/>
      <c r="S474" s="330"/>
      <c r="T474" s="331"/>
      <c r="U474" s="332"/>
      <c r="V474" s="154"/>
      <c r="W474" s="331"/>
      <c r="X474" s="324"/>
      <c r="Y474" s="205"/>
      <c r="Z474" s="205"/>
      <c r="AA474" s="205"/>
      <c r="AB474" s="17"/>
      <c r="AC474" s="17"/>
      <c r="AD474" s="17"/>
      <c r="AE474" s="17"/>
    </row>
    <row r="475">
      <c r="A475" s="154"/>
      <c r="B475" s="168"/>
      <c r="C475" s="324"/>
      <c r="D475" s="154"/>
      <c r="E475" s="168"/>
      <c r="F475" s="324"/>
      <c r="G475" s="154"/>
      <c r="H475" s="168"/>
      <c r="I475" s="324"/>
      <c r="J475" s="154"/>
      <c r="K475" s="168"/>
      <c r="L475" s="324"/>
      <c r="M475" s="330"/>
      <c r="N475" s="331"/>
      <c r="O475" s="332"/>
      <c r="P475" s="330"/>
      <c r="Q475" s="331"/>
      <c r="R475" s="332"/>
      <c r="S475" s="330"/>
      <c r="T475" s="331"/>
      <c r="U475" s="332"/>
      <c r="V475" s="154"/>
      <c r="W475" s="331"/>
      <c r="X475" s="324"/>
      <c r="Y475" s="205"/>
      <c r="Z475" s="205"/>
      <c r="AA475" s="205"/>
      <c r="AB475" s="17"/>
      <c r="AC475" s="17"/>
      <c r="AD475" s="17"/>
      <c r="AE475" s="17"/>
    </row>
    <row r="476">
      <c r="A476" s="154"/>
      <c r="B476" s="168"/>
      <c r="C476" s="324"/>
      <c r="D476" s="154"/>
      <c r="E476" s="168"/>
      <c r="F476" s="324"/>
      <c r="G476" s="154"/>
      <c r="H476" s="168"/>
      <c r="I476" s="324"/>
      <c r="J476" s="154"/>
      <c r="K476" s="168"/>
      <c r="L476" s="324"/>
      <c r="M476" s="330"/>
      <c r="N476" s="331"/>
      <c r="O476" s="332"/>
      <c r="P476" s="330"/>
      <c r="Q476" s="331"/>
      <c r="R476" s="332"/>
      <c r="S476" s="330"/>
      <c r="T476" s="331"/>
      <c r="U476" s="332"/>
      <c r="V476" s="154"/>
      <c r="W476" s="331"/>
      <c r="X476" s="324"/>
      <c r="Y476" s="205"/>
      <c r="Z476" s="205"/>
      <c r="AA476" s="205"/>
      <c r="AB476" s="17"/>
      <c r="AC476" s="17"/>
      <c r="AD476" s="17"/>
      <c r="AE476" s="17"/>
    </row>
    <row r="477">
      <c r="A477" s="154"/>
      <c r="B477" s="168"/>
      <c r="C477" s="324"/>
      <c r="D477" s="154"/>
      <c r="E477" s="168"/>
      <c r="F477" s="324"/>
      <c r="G477" s="154"/>
      <c r="H477" s="168"/>
      <c r="I477" s="324"/>
      <c r="J477" s="154"/>
      <c r="K477" s="168"/>
      <c r="L477" s="324"/>
      <c r="M477" s="330"/>
      <c r="N477" s="331"/>
      <c r="O477" s="332"/>
      <c r="P477" s="330"/>
      <c r="Q477" s="331"/>
      <c r="R477" s="332"/>
      <c r="S477" s="330"/>
      <c r="T477" s="331"/>
      <c r="U477" s="332"/>
      <c r="V477" s="154"/>
      <c r="W477" s="331"/>
      <c r="X477" s="324"/>
      <c r="Y477" s="205"/>
      <c r="Z477" s="205"/>
      <c r="AA477" s="205"/>
      <c r="AB477" s="17"/>
      <c r="AC477" s="17"/>
      <c r="AD477" s="17"/>
      <c r="AE477" s="17"/>
    </row>
    <row r="478">
      <c r="A478" s="154"/>
      <c r="B478" s="168"/>
      <c r="C478" s="324"/>
      <c r="D478" s="154"/>
      <c r="E478" s="168"/>
      <c r="F478" s="324"/>
      <c r="G478" s="154"/>
      <c r="H478" s="168"/>
      <c r="I478" s="324"/>
      <c r="J478" s="154"/>
      <c r="K478" s="168"/>
      <c r="L478" s="324"/>
      <c r="M478" s="330"/>
      <c r="N478" s="331"/>
      <c r="O478" s="332"/>
      <c r="P478" s="330"/>
      <c r="Q478" s="331"/>
      <c r="R478" s="332"/>
      <c r="S478" s="330"/>
      <c r="T478" s="331"/>
      <c r="U478" s="332"/>
      <c r="V478" s="154"/>
      <c r="W478" s="331"/>
      <c r="X478" s="324"/>
      <c r="Y478" s="205"/>
      <c r="Z478" s="205"/>
      <c r="AA478" s="205"/>
      <c r="AB478" s="17"/>
      <c r="AC478" s="17"/>
      <c r="AD478" s="17"/>
      <c r="AE478" s="17"/>
    </row>
    <row r="479">
      <c r="A479" s="154"/>
      <c r="B479" s="168"/>
      <c r="C479" s="324"/>
      <c r="D479" s="154"/>
      <c r="E479" s="168"/>
      <c r="F479" s="324"/>
      <c r="G479" s="154"/>
      <c r="H479" s="168"/>
      <c r="I479" s="324"/>
      <c r="J479" s="154"/>
      <c r="K479" s="168"/>
      <c r="L479" s="324"/>
      <c r="M479" s="330"/>
      <c r="N479" s="331"/>
      <c r="O479" s="332"/>
      <c r="P479" s="330"/>
      <c r="Q479" s="331"/>
      <c r="R479" s="332"/>
      <c r="S479" s="330"/>
      <c r="T479" s="331"/>
      <c r="U479" s="332"/>
      <c r="V479" s="154"/>
      <c r="W479" s="331"/>
      <c r="X479" s="324"/>
      <c r="Y479" s="205"/>
      <c r="Z479" s="205"/>
      <c r="AA479" s="205"/>
      <c r="AB479" s="17"/>
      <c r="AC479" s="17"/>
      <c r="AD479" s="17"/>
      <c r="AE479" s="17"/>
    </row>
    <row r="480">
      <c r="A480" s="154"/>
      <c r="B480" s="168"/>
      <c r="C480" s="324"/>
      <c r="D480" s="154"/>
      <c r="E480" s="168"/>
      <c r="F480" s="324"/>
      <c r="G480" s="154"/>
      <c r="H480" s="168"/>
      <c r="I480" s="324"/>
      <c r="J480" s="154"/>
      <c r="K480" s="168"/>
      <c r="L480" s="324"/>
      <c r="M480" s="330"/>
      <c r="N480" s="331"/>
      <c r="O480" s="332"/>
      <c r="P480" s="330"/>
      <c r="Q480" s="331"/>
      <c r="R480" s="332"/>
      <c r="S480" s="330"/>
      <c r="T480" s="331"/>
      <c r="U480" s="332"/>
      <c r="V480" s="154"/>
      <c r="W480" s="331"/>
      <c r="X480" s="324"/>
      <c r="Y480" s="205"/>
      <c r="Z480" s="205"/>
      <c r="AA480" s="205"/>
      <c r="AB480" s="17"/>
      <c r="AC480" s="17"/>
      <c r="AD480" s="17"/>
      <c r="AE480" s="17"/>
    </row>
    <row r="481">
      <c r="A481" s="154"/>
      <c r="B481" s="168"/>
      <c r="C481" s="324"/>
      <c r="D481" s="154"/>
      <c r="E481" s="168"/>
      <c r="F481" s="324"/>
      <c r="G481" s="154"/>
      <c r="H481" s="168"/>
      <c r="I481" s="324"/>
      <c r="J481" s="154"/>
      <c r="K481" s="168"/>
      <c r="L481" s="324"/>
      <c r="M481" s="330"/>
      <c r="N481" s="331"/>
      <c r="O481" s="332"/>
      <c r="P481" s="330"/>
      <c r="Q481" s="331"/>
      <c r="R481" s="332"/>
      <c r="S481" s="330"/>
      <c r="T481" s="331"/>
      <c r="U481" s="332"/>
      <c r="V481" s="154"/>
      <c r="W481" s="331"/>
      <c r="X481" s="324"/>
      <c r="Y481" s="205"/>
      <c r="Z481" s="205"/>
      <c r="AA481" s="205"/>
      <c r="AB481" s="17"/>
      <c r="AC481" s="17"/>
      <c r="AD481" s="17"/>
      <c r="AE481" s="17"/>
    </row>
    <row r="482">
      <c r="A482" s="154"/>
      <c r="B482" s="168"/>
      <c r="C482" s="324"/>
      <c r="D482" s="154"/>
      <c r="E482" s="168"/>
      <c r="F482" s="324"/>
      <c r="G482" s="154"/>
      <c r="H482" s="168"/>
      <c r="I482" s="324"/>
      <c r="J482" s="154"/>
      <c r="K482" s="168"/>
      <c r="L482" s="324"/>
      <c r="M482" s="330"/>
      <c r="N482" s="331"/>
      <c r="O482" s="332"/>
      <c r="P482" s="330"/>
      <c r="Q482" s="331"/>
      <c r="R482" s="332"/>
      <c r="S482" s="330"/>
      <c r="T482" s="331"/>
      <c r="U482" s="332"/>
      <c r="V482" s="154"/>
      <c r="W482" s="331"/>
      <c r="X482" s="324"/>
      <c r="Y482" s="205"/>
      <c r="Z482" s="205"/>
      <c r="AA482" s="205"/>
      <c r="AB482" s="17"/>
      <c r="AC482" s="17"/>
      <c r="AD482" s="17"/>
      <c r="AE482" s="17"/>
    </row>
    <row r="483">
      <c r="A483" s="154"/>
      <c r="B483" s="168"/>
      <c r="C483" s="324"/>
      <c r="D483" s="154"/>
      <c r="E483" s="168"/>
      <c r="F483" s="324"/>
      <c r="G483" s="154"/>
      <c r="H483" s="168"/>
      <c r="I483" s="324"/>
      <c r="J483" s="154"/>
      <c r="K483" s="168"/>
      <c r="L483" s="324"/>
      <c r="M483" s="330"/>
      <c r="N483" s="331"/>
      <c r="O483" s="332"/>
      <c r="P483" s="330"/>
      <c r="Q483" s="331"/>
      <c r="R483" s="332"/>
      <c r="S483" s="330"/>
      <c r="T483" s="331"/>
      <c r="U483" s="332"/>
      <c r="V483" s="154"/>
      <c r="W483" s="331"/>
      <c r="X483" s="324"/>
      <c r="Y483" s="205"/>
      <c r="Z483" s="205"/>
      <c r="AA483" s="205"/>
      <c r="AB483" s="17"/>
      <c r="AC483" s="17"/>
      <c r="AD483" s="17"/>
      <c r="AE483" s="17"/>
    </row>
    <row r="484">
      <c r="A484" s="154"/>
      <c r="B484" s="168"/>
      <c r="C484" s="324"/>
      <c r="D484" s="154"/>
      <c r="E484" s="168"/>
      <c r="F484" s="324"/>
      <c r="G484" s="154"/>
      <c r="H484" s="168"/>
      <c r="I484" s="324"/>
      <c r="J484" s="154"/>
      <c r="K484" s="168"/>
      <c r="L484" s="324"/>
      <c r="M484" s="330"/>
      <c r="N484" s="331"/>
      <c r="O484" s="332"/>
      <c r="P484" s="330"/>
      <c r="Q484" s="331"/>
      <c r="R484" s="332"/>
      <c r="S484" s="330"/>
      <c r="T484" s="331"/>
      <c r="U484" s="332"/>
      <c r="V484" s="154"/>
      <c r="W484" s="331"/>
      <c r="X484" s="324"/>
      <c r="Y484" s="205"/>
      <c r="Z484" s="205"/>
      <c r="AA484" s="205"/>
      <c r="AB484" s="17"/>
      <c r="AC484" s="17"/>
      <c r="AD484" s="17"/>
      <c r="AE484" s="17"/>
    </row>
    <row r="485">
      <c r="A485" s="154"/>
      <c r="B485" s="168"/>
      <c r="C485" s="324"/>
      <c r="D485" s="154"/>
      <c r="E485" s="168"/>
      <c r="F485" s="324"/>
      <c r="G485" s="154"/>
      <c r="H485" s="168"/>
      <c r="I485" s="324"/>
      <c r="J485" s="154"/>
      <c r="K485" s="168"/>
      <c r="L485" s="324"/>
      <c r="M485" s="330"/>
      <c r="N485" s="331"/>
      <c r="O485" s="332"/>
      <c r="P485" s="330"/>
      <c r="Q485" s="331"/>
      <c r="R485" s="332"/>
      <c r="S485" s="330"/>
      <c r="T485" s="331"/>
      <c r="U485" s="332"/>
      <c r="V485" s="154"/>
      <c r="W485" s="331"/>
      <c r="X485" s="324"/>
      <c r="Y485" s="205"/>
      <c r="Z485" s="205"/>
      <c r="AA485" s="205"/>
      <c r="AB485" s="17"/>
      <c r="AC485" s="17"/>
      <c r="AD485" s="17"/>
      <c r="AE485" s="17"/>
    </row>
    <row r="486">
      <c r="A486" s="154"/>
      <c r="B486" s="168"/>
      <c r="C486" s="324"/>
      <c r="D486" s="154"/>
      <c r="E486" s="168"/>
      <c r="F486" s="324"/>
      <c r="G486" s="154"/>
      <c r="H486" s="168"/>
      <c r="I486" s="324"/>
      <c r="J486" s="154"/>
      <c r="K486" s="168"/>
      <c r="L486" s="324"/>
      <c r="M486" s="330"/>
      <c r="N486" s="331"/>
      <c r="O486" s="332"/>
      <c r="P486" s="330"/>
      <c r="Q486" s="331"/>
      <c r="R486" s="332"/>
      <c r="S486" s="330"/>
      <c r="T486" s="331"/>
      <c r="U486" s="332"/>
      <c r="V486" s="154"/>
      <c r="W486" s="331"/>
      <c r="X486" s="324"/>
      <c r="Y486" s="205"/>
      <c r="Z486" s="205"/>
      <c r="AA486" s="205"/>
      <c r="AB486" s="17"/>
      <c r="AC486" s="17"/>
      <c r="AD486" s="17"/>
      <c r="AE486" s="17"/>
    </row>
    <row r="487">
      <c r="A487" s="154"/>
      <c r="B487" s="168"/>
      <c r="C487" s="324"/>
      <c r="D487" s="154"/>
      <c r="E487" s="168"/>
      <c r="F487" s="324"/>
      <c r="G487" s="154"/>
      <c r="H487" s="168"/>
      <c r="I487" s="324"/>
      <c r="J487" s="154"/>
      <c r="K487" s="168"/>
      <c r="L487" s="324"/>
      <c r="M487" s="330"/>
      <c r="N487" s="331"/>
      <c r="O487" s="332"/>
      <c r="P487" s="330"/>
      <c r="Q487" s="331"/>
      <c r="R487" s="332"/>
      <c r="S487" s="330"/>
      <c r="T487" s="331"/>
      <c r="U487" s="332"/>
      <c r="V487" s="154"/>
      <c r="W487" s="331"/>
      <c r="X487" s="324"/>
      <c r="Y487" s="205"/>
      <c r="Z487" s="205"/>
      <c r="AA487" s="205"/>
      <c r="AB487" s="17"/>
      <c r="AC487" s="17"/>
      <c r="AD487" s="17"/>
      <c r="AE487" s="17"/>
    </row>
    <row r="488">
      <c r="A488" s="154"/>
      <c r="B488" s="168"/>
      <c r="C488" s="324"/>
      <c r="D488" s="154"/>
      <c r="E488" s="168"/>
      <c r="F488" s="324"/>
      <c r="G488" s="154"/>
      <c r="H488" s="168"/>
      <c r="I488" s="324"/>
      <c r="J488" s="154"/>
      <c r="K488" s="168"/>
      <c r="L488" s="324"/>
      <c r="M488" s="330"/>
      <c r="N488" s="331"/>
      <c r="O488" s="332"/>
      <c r="P488" s="330"/>
      <c r="Q488" s="331"/>
      <c r="R488" s="332"/>
      <c r="S488" s="330"/>
      <c r="T488" s="331"/>
      <c r="U488" s="332"/>
      <c r="V488" s="154"/>
      <c r="W488" s="331"/>
      <c r="X488" s="324"/>
      <c r="Y488" s="205"/>
      <c r="Z488" s="205"/>
      <c r="AA488" s="205"/>
      <c r="AB488" s="17"/>
      <c r="AC488" s="17"/>
      <c r="AD488" s="17"/>
      <c r="AE488" s="17"/>
    </row>
    <row r="489">
      <c r="A489" s="154"/>
      <c r="B489" s="168"/>
      <c r="C489" s="324"/>
      <c r="D489" s="154"/>
      <c r="E489" s="168"/>
      <c r="F489" s="324"/>
      <c r="G489" s="154"/>
      <c r="H489" s="168"/>
      <c r="I489" s="324"/>
      <c r="J489" s="154"/>
      <c r="K489" s="168"/>
      <c r="L489" s="324"/>
      <c r="M489" s="330"/>
      <c r="N489" s="331"/>
      <c r="O489" s="332"/>
      <c r="P489" s="330"/>
      <c r="Q489" s="331"/>
      <c r="R489" s="332"/>
      <c r="S489" s="330"/>
      <c r="T489" s="331"/>
      <c r="U489" s="332"/>
      <c r="V489" s="154"/>
      <c r="W489" s="331"/>
      <c r="X489" s="324"/>
      <c r="Y489" s="205"/>
      <c r="Z489" s="205"/>
      <c r="AA489" s="205"/>
      <c r="AB489" s="17"/>
      <c r="AC489" s="17"/>
      <c r="AD489" s="17"/>
      <c r="AE489" s="17"/>
    </row>
    <row r="490">
      <c r="A490" s="154"/>
      <c r="B490" s="168"/>
      <c r="C490" s="324"/>
      <c r="D490" s="154"/>
      <c r="E490" s="168"/>
      <c r="F490" s="324"/>
      <c r="G490" s="154"/>
      <c r="H490" s="168"/>
      <c r="I490" s="324"/>
      <c r="J490" s="154"/>
      <c r="K490" s="168"/>
      <c r="L490" s="324"/>
      <c r="M490" s="330"/>
      <c r="N490" s="331"/>
      <c r="O490" s="332"/>
      <c r="P490" s="330"/>
      <c r="Q490" s="331"/>
      <c r="R490" s="332"/>
      <c r="S490" s="330"/>
      <c r="T490" s="331"/>
      <c r="U490" s="332"/>
      <c r="V490" s="154"/>
      <c r="W490" s="331"/>
      <c r="X490" s="324"/>
      <c r="Y490" s="205"/>
      <c r="Z490" s="205"/>
      <c r="AA490" s="205"/>
      <c r="AB490" s="17"/>
      <c r="AC490" s="17"/>
      <c r="AD490" s="17"/>
      <c r="AE490" s="17"/>
    </row>
    <row r="491">
      <c r="A491" s="154"/>
      <c r="B491" s="168"/>
      <c r="C491" s="324"/>
      <c r="D491" s="154"/>
      <c r="E491" s="168"/>
      <c r="F491" s="324"/>
      <c r="G491" s="154"/>
      <c r="H491" s="168"/>
      <c r="I491" s="324"/>
      <c r="J491" s="154"/>
      <c r="K491" s="168"/>
      <c r="L491" s="324"/>
      <c r="M491" s="330"/>
      <c r="N491" s="331"/>
      <c r="O491" s="332"/>
      <c r="P491" s="330"/>
      <c r="Q491" s="331"/>
      <c r="R491" s="332"/>
      <c r="S491" s="330"/>
      <c r="T491" s="331"/>
      <c r="U491" s="332"/>
      <c r="V491" s="154"/>
      <c r="W491" s="331"/>
      <c r="X491" s="324"/>
      <c r="Y491" s="205"/>
      <c r="Z491" s="205"/>
      <c r="AA491" s="205"/>
      <c r="AB491" s="17"/>
      <c r="AC491" s="17"/>
      <c r="AD491" s="17"/>
      <c r="AE491" s="17"/>
    </row>
    <row r="492">
      <c r="A492" s="154"/>
      <c r="B492" s="168"/>
      <c r="C492" s="324"/>
      <c r="D492" s="154"/>
      <c r="E492" s="168"/>
      <c r="F492" s="324"/>
      <c r="G492" s="154"/>
      <c r="H492" s="168"/>
      <c r="I492" s="324"/>
      <c r="J492" s="154"/>
      <c r="K492" s="168"/>
      <c r="L492" s="324"/>
      <c r="M492" s="330"/>
      <c r="N492" s="331"/>
      <c r="O492" s="332"/>
      <c r="P492" s="330"/>
      <c r="Q492" s="331"/>
      <c r="R492" s="332"/>
      <c r="S492" s="330"/>
      <c r="T492" s="331"/>
      <c r="U492" s="332"/>
      <c r="V492" s="154"/>
      <c r="W492" s="331"/>
      <c r="X492" s="324"/>
      <c r="Y492" s="205"/>
      <c r="Z492" s="205"/>
      <c r="AA492" s="205"/>
      <c r="AB492" s="17"/>
      <c r="AC492" s="17"/>
      <c r="AD492" s="17"/>
      <c r="AE492" s="17"/>
    </row>
    <row r="493">
      <c r="A493" s="154"/>
      <c r="B493" s="168"/>
      <c r="C493" s="324"/>
      <c r="D493" s="154"/>
      <c r="E493" s="168"/>
      <c r="F493" s="324"/>
      <c r="G493" s="154"/>
      <c r="H493" s="168"/>
      <c r="I493" s="324"/>
      <c r="J493" s="154"/>
      <c r="K493" s="168"/>
      <c r="L493" s="324"/>
      <c r="M493" s="330"/>
      <c r="N493" s="331"/>
      <c r="O493" s="332"/>
      <c r="P493" s="330"/>
      <c r="Q493" s="331"/>
      <c r="R493" s="332"/>
      <c r="S493" s="330"/>
      <c r="T493" s="331"/>
      <c r="U493" s="332"/>
      <c r="V493" s="154"/>
      <c r="W493" s="331"/>
      <c r="X493" s="324"/>
      <c r="Y493" s="205"/>
      <c r="Z493" s="205"/>
      <c r="AA493" s="205"/>
      <c r="AB493" s="17"/>
      <c r="AC493" s="17"/>
      <c r="AD493" s="17"/>
      <c r="AE493" s="17"/>
    </row>
    <row r="494">
      <c r="A494" s="154"/>
      <c r="B494" s="168"/>
      <c r="C494" s="324"/>
      <c r="D494" s="154"/>
      <c r="E494" s="168"/>
      <c r="F494" s="324"/>
      <c r="G494" s="154"/>
      <c r="H494" s="168"/>
      <c r="I494" s="324"/>
      <c r="J494" s="154"/>
      <c r="K494" s="168"/>
      <c r="L494" s="324"/>
      <c r="M494" s="330"/>
      <c r="N494" s="331"/>
      <c r="O494" s="332"/>
      <c r="P494" s="330"/>
      <c r="Q494" s="331"/>
      <c r="R494" s="332"/>
      <c r="S494" s="330"/>
      <c r="T494" s="331"/>
      <c r="U494" s="332"/>
      <c r="V494" s="154"/>
      <c r="W494" s="331"/>
      <c r="X494" s="324"/>
      <c r="Y494" s="205"/>
      <c r="Z494" s="205"/>
      <c r="AA494" s="205"/>
      <c r="AB494" s="17"/>
      <c r="AC494" s="17"/>
      <c r="AD494" s="17"/>
      <c r="AE494" s="17"/>
    </row>
    <row r="495">
      <c r="A495" s="154"/>
      <c r="B495" s="168"/>
      <c r="C495" s="324"/>
      <c r="D495" s="154"/>
      <c r="E495" s="168"/>
      <c r="F495" s="324"/>
      <c r="G495" s="154"/>
      <c r="H495" s="168"/>
      <c r="I495" s="324"/>
      <c r="J495" s="154"/>
      <c r="K495" s="168"/>
      <c r="L495" s="324"/>
      <c r="M495" s="330"/>
      <c r="N495" s="331"/>
      <c r="O495" s="332"/>
      <c r="P495" s="330"/>
      <c r="Q495" s="331"/>
      <c r="R495" s="332"/>
      <c r="S495" s="330"/>
      <c r="T495" s="331"/>
      <c r="U495" s="332"/>
      <c r="V495" s="154"/>
      <c r="W495" s="331"/>
      <c r="X495" s="324"/>
      <c r="Y495" s="205"/>
      <c r="Z495" s="205"/>
      <c r="AA495" s="205"/>
      <c r="AB495" s="17"/>
      <c r="AC495" s="17"/>
      <c r="AD495" s="17"/>
      <c r="AE495" s="17"/>
    </row>
    <row r="496">
      <c r="A496" s="154"/>
      <c r="B496" s="168"/>
      <c r="C496" s="324"/>
      <c r="D496" s="154"/>
      <c r="E496" s="168"/>
      <c r="F496" s="324"/>
      <c r="G496" s="154"/>
      <c r="H496" s="168"/>
      <c r="I496" s="324"/>
      <c r="J496" s="154"/>
      <c r="K496" s="168"/>
      <c r="L496" s="324"/>
      <c r="M496" s="330"/>
      <c r="N496" s="331"/>
      <c r="O496" s="332"/>
      <c r="P496" s="330"/>
      <c r="Q496" s="331"/>
      <c r="R496" s="332"/>
      <c r="S496" s="330"/>
      <c r="T496" s="331"/>
      <c r="U496" s="332"/>
      <c r="V496" s="154"/>
      <c r="W496" s="331"/>
      <c r="X496" s="324"/>
      <c r="Y496" s="205"/>
      <c r="Z496" s="205"/>
      <c r="AA496" s="205"/>
      <c r="AB496" s="17"/>
      <c r="AC496" s="17"/>
      <c r="AD496" s="17"/>
      <c r="AE496" s="17"/>
    </row>
    <row r="497">
      <c r="A497" s="154"/>
      <c r="B497" s="168"/>
      <c r="C497" s="324"/>
      <c r="D497" s="154"/>
      <c r="E497" s="168"/>
      <c r="F497" s="324"/>
      <c r="G497" s="154"/>
      <c r="H497" s="168"/>
      <c r="I497" s="324"/>
      <c r="J497" s="154"/>
      <c r="K497" s="168"/>
      <c r="L497" s="324"/>
      <c r="M497" s="330"/>
      <c r="N497" s="331"/>
      <c r="O497" s="332"/>
      <c r="P497" s="330"/>
      <c r="Q497" s="331"/>
      <c r="R497" s="332"/>
      <c r="S497" s="330"/>
      <c r="T497" s="331"/>
      <c r="U497" s="332"/>
      <c r="V497" s="154"/>
      <c r="W497" s="331"/>
      <c r="X497" s="324"/>
      <c r="Y497" s="205"/>
      <c r="Z497" s="205"/>
      <c r="AA497" s="205"/>
      <c r="AB497" s="17"/>
      <c r="AC497" s="17"/>
      <c r="AD497" s="17"/>
      <c r="AE497" s="17"/>
    </row>
    <row r="498">
      <c r="A498" s="154"/>
      <c r="B498" s="168"/>
      <c r="C498" s="324"/>
      <c r="D498" s="154"/>
      <c r="E498" s="168"/>
      <c r="F498" s="324"/>
      <c r="G498" s="154"/>
      <c r="H498" s="168"/>
      <c r="I498" s="324"/>
      <c r="J498" s="154"/>
      <c r="K498" s="168"/>
      <c r="L498" s="324"/>
      <c r="M498" s="330"/>
      <c r="N498" s="331"/>
      <c r="O498" s="332"/>
      <c r="P498" s="330"/>
      <c r="Q498" s="331"/>
      <c r="R498" s="332"/>
      <c r="S498" s="330"/>
      <c r="T498" s="331"/>
      <c r="U498" s="332"/>
      <c r="V498" s="154"/>
      <c r="W498" s="331"/>
      <c r="X498" s="324"/>
      <c r="Y498" s="205"/>
      <c r="Z498" s="205"/>
      <c r="AA498" s="205"/>
      <c r="AB498" s="17"/>
      <c r="AC498" s="17"/>
      <c r="AD498" s="17"/>
      <c r="AE498" s="17"/>
    </row>
    <row r="499">
      <c r="A499" s="154"/>
      <c r="B499" s="168"/>
      <c r="C499" s="324"/>
      <c r="D499" s="154"/>
      <c r="E499" s="168"/>
      <c r="F499" s="324"/>
      <c r="G499" s="154"/>
      <c r="H499" s="168"/>
      <c r="I499" s="324"/>
      <c r="J499" s="154"/>
      <c r="K499" s="168"/>
      <c r="L499" s="324"/>
      <c r="M499" s="330"/>
      <c r="N499" s="331"/>
      <c r="O499" s="332"/>
      <c r="P499" s="330"/>
      <c r="Q499" s="331"/>
      <c r="R499" s="332"/>
      <c r="S499" s="330"/>
      <c r="T499" s="331"/>
      <c r="U499" s="332"/>
      <c r="V499" s="154"/>
      <c r="W499" s="331"/>
      <c r="X499" s="324"/>
      <c r="Y499" s="205"/>
      <c r="Z499" s="205"/>
      <c r="AA499" s="205"/>
      <c r="AB499" s="17"/>
      <c r="AC499" s="17"/>
      <c r="AD499" s="17"/>
      <c r="AE499" s="17"/>
    </row>
    <row r="500">
      <c r="A500" s="154"/>
      <c r="B500" s="168"/>
      <c r="C500" s="324"/>
      <c r="D500" s="154"/>
      <c r="E500" s="168"/>
      <c r="F500" s="324"/>
      <c r="G500" s="154"/>
      <c r="H500" s="168"/>
      <c r="I500" s="324"/>
      <c r="J500" s="154"/>
      <c r="K500" s="168"/>
      <c r="L500" s="324"/>
      <c r="M500" s="330"/>
      <c r="N500" s="331"/>
      <c r="O500" s="332"/>
      <c r="P500" s="330"/>
      <c r="Q500" s="331"/>
      <c r="R500" s="332"/>
      <c r="S500" s="330"/>
      <c r="T500" s="331"/>
      <c r="U500" s="332"/>
      <c r="V500" s="154"/>
      <c r="W500" s="331"/>
      <c r="X500" s="324"/>
      <c r="Y500" s="205"/>
      <c r="Z500" s="205"/>
      <c r="AA500" s="205"/>
      <c r="AB500" s="17"/>
      <c r="AC500" s="17"/>
      <c r="AD500" s="17"/>
      <c r="AE500" s="17"/>
    </row>
    <row r="501">
      <c r="A501" s="154"/>
      <c r="B501" s="168"/>
      <c r="C501" s="324"/>
      <c r="D501" s="154"/>
      <c r="E501" s="168"/>
      <c r="F501" s="324"/>
      <c r="G501" s="154"/>
      <c r="H501" s="168"/>
      <c r="I501" s="324"/>
      <c r="J501" s="154"/>
      <c r="K501" s="168"/>
      <c r="L501" s="324"/>
      <c r="M501" s="330"/>
      <c r="N501" s="331"/>
      <c r="O501" s="332"/>
      <c r="P501" s="330"/>
      <c r="Q501" s="331"/>
      <c r="R501" s="332"/>
      <c r="S501" s="330"/>
      <c r="T501" s="331"/>
      <c r="U501" s="332"/>
      <c r="V501" s="154"/>
      <c r="W501" s="331"/>
      <c r="X501" s="324"/>
      <c r="Y501" s="205"/>
      <c r="Z501" s="205"/>
      <c r="AA501" s="205"/>
      <c r="AB501" s="17"/>
      <c r="AC501" s="17"/>
      <c r="AD501" s="17"/>
      <c r="AE501" s="17"/>
    </row>
    <row r="502">
      <c r="A502" s="154"/>
      <c r="B502" s="168"/>
      <c r="C502" s="324"/>
      <c r="D502" s="154"/>
      <c r="E502" s="168"/>
      <c r="F502" s="324"/>
      <c r="G502" s="154"/>
      <c r="H502" s="168"/>
      <c r="I502" s="324"/>
      <c r="J502" s="154"/>
      <c r="K502" s="168"/>
      <c r="L502" s="324"/>
      <c r="M502" s="330"/>
      <c r="N502" s="331"/>
      <c r="O502" s="332"/>
      <c r="P502" s="330"/>
      <c r="Q502" s="331"/>
      <c r="R502" s="332"/>
      <c r="S502" s="330"/>
      <c r="T502" s="331"/>
      <c r="U502" s="332"/>
      <c r="V502" s="154"/>
      <c r="W502" s="331"/>
      <c r="X502" s="324"/>
      <c r="Y502" s="205"/>
      <c r="Z502" s="205"/>
      <c r="AA502" s="205"/>
      <c r="AB502" s="17"/>
      <c r="AC502" s="17"/>
      <c r="AD502" s="17"/>
      <c r="AE502" s="17"/>
    </row>
    <row r="503">
      <c r="A503" s="154"/>
      <c r="B503" s="168"/>
      <c r="C503" s="324"/>
      <c r="D503" s="154"/>
      <c r="E503" s="168"/>
      <c r="F503" s="324"/>
      <c r="G503" s="154"/>
      <c r="H503" s="168"/>
      <c r="I503" s="324"/>
      <c r="J503" s="154"/>
      <c r="K503" s="168"/>
      <c r="L503" s="324"/>
      <c r="M503" s="330"/>
      <c r="N503" s="331"/>
      <c r="O503" s="332"/>
      <c r="P503" s="330"/>
      <c r="Q503" s="331"/>
      <c r="R503" s="332"/>
      <c r="S503" s="330"/>
      <c r="T503" s="331"/>
      <c r="U503" s="332"/>
      <c r="V503" s="154"/>
      <c r="W503" s="331"/>
      <c r="X503" s="324"/>
      <c r="Y503" s="205"/>
      <c r="Z503" s="205"/>
      <c r="AA503" s="205"/>
      <c r="AB503" s="17"/>
      <c r="AC503" s="17"/>
      <c r="AD503" s="17"/>
      <c r="AE503" s="17"/>
    </row>
    <row r="504">
      <c r="A504" s="154"/>
      <c r="B504" s="168"/>
      <c r="C504" s="324"/>
      <c r="D504" s="154"/>
      <c r="E504" s="168"/>
      <c r="F504" s="324"/>
      <c r="G504" s="154"/>
      <c r="H504" s="168"/>
      <c r="I504" s="324"/>
      <c r="J504" s="154"/>
      <c r="K504" s="168"/>
      <c r="L504" s="324"/>
      <c r="M504" s="330"/>
      <c r="N504" s="331"/>
      <c r="O504" s="332"/>
      <c r="P504" s="330"/>
      <c r="Q504" s="331"/>
      <c r="R504" s="332"/>
      <c r="S504" s="330"/>
      <c r="T504" s="331"/>
      <c r="U504" s="332"/>
      <c r="V504" s="154"/>
      <c r="W504" s="331"/>
      <c r="X504" s="324"/>
      <c r="Y504" s="205"/>
      <c r="Z504" s="205"/>
      <c r="AA504" s="205"/>
      <c r="AB504" s="17"/>
      <c r="AC504" s="17"/>
      <c r="AD504" s="17"/>
      <c r="AE504" s="17"/>
    </row>
    <row r="505">
      <c r="A505" s="154"/>
      <c r="B505" s="168"/>
      <c r="C505" s="324"/>
      <c r="D505" s="154"/>
      <c r="E505" s="168"/>
      <c r="F505" s="324"/>
      <c r="G505" s="154"/>
      <c r="H505" s="168"/>
      <c r="I505" s="324"/>
      <c r="J505" s="154"/>
      <c r="K505" s="168"/>
      <c r="L505" s="324"/>
      <c r="M505" s="330"/>
      <c r="N505" s="331"/>
      <c r="O505" s="332"/>
      <c r="P505" s="330"/>
      <c r="Q505" s="331"/>
      <c r="R505" s="332"/>
      <c r="S505" s="330"/>
      <c r="T505" s="331"/>
      <c r="U505" s="332"/>
      <c r="V505" s="154"/>
      <c r="W505" s="331"/>
      <c r="X505" s="324"/>
      <c r="Y505" s="205"/>
      <c r="Z505" s="205"/>
      <c r="AA505" s="205"/>
      <c r="AB505" s="17"/>
      <c r="AC505" s="17"/>
      <c r="AD505" s="17"/>
      <c r="AE505" s="17"/>
    </row>
    <row r="506">
      <c r="A506" s="154"/>
      <c r="B506" s="168"/>
      <c r="C506" s="324"/>
      <c r="D506" s="154"/>
      <c r="E506" s="168"/>
      <c r="F506" s="324"/>
      <c r="G506" s="154"/>
      <c r="H506" s="168"/>
      <c r="I506" s="324"/>
      <c r="J506" s="154"/>
      <c r="K506" s="168"/>
      <c r="L506" s="324"/>
      <c r="M506" s="330"/>
      <c r="N506" s="331"/>
      <c r="O506" s="332"/>
      <c r="P506" s="330"/>
      <c r="Q506" s="331"/>
      <c r="R506" s="332"/>
      <c r="S506" s="330"/>
      <c r="T506" s="331"/>
      <c r="U506" s="332"/>
      <c r="V506" s="154"/>
      <c r="W506" s="331"/>
      <c r="X506" s="324"/>
      <c r="Y506" s="205"/>
      <c r="Z506" s="205"/>
      <c r="AA506" s="205"/>
      <c r="AB506" s="17"/>
      <c r="AC506" s="17"/>
      <c r="AD506" s="17"/>
      <c r="AE506" s="17"/>
    </row>
    <row r="507">
      <c r="A507" s="154"/>
      <c r="B507" s="168"/>
      <c r="C507" s="324"/>
      <c r="D507" s="154"/>
      <c r="E507" s="168"/>
      <c r="F507" s="324"/>
      <c r="G507" s="154"/>
      <c r="H507" s="168"/>
      <c r="I507" s="324"/>
      <c r="J507" s="154"/>
      <c r="K507" s="168"/>
      <c r="L507" s="324"/>
      <c r="M507" s="330"/>
      <c r="N507" s="331"/>
      <c r="O507" s="332"/>
      <c r="P507" s="330"/>
      <c r="Q507" s="331"/>
      <c r="R507" s="332"/>
      <c r="S507" s="330"/>
      <c r="T507" s="331"/>
      <c r="U507" s="332"/>
      <c r="V507" s="154"/>
      <c r="W507" s="331"/>
      <c r="X507" s="324"/>
      <c r="Y507" s="205"/>
      <c r="Z507" s="205"/>
      <c r="AA507" s="205"/>
      <c r="AB507" s="17"/>
      <c r="AC507" s="17"/>
      <c r="AD507" s="17"/>
      <c r="AE507" s="17"/>
    </row>
    <row r="508">
      <c r="A508" s="154"/>
      <c r="B508" s="168"/>
      <c r="C508" s="324"/>
      <c r="D508" s="154"/>
      <c r="E508" s="168"/>
      <c r="F508" s="324"/>
      <c r="G508" s="154"/>
      <c r="H508" s="168"/>
      <c r="I508" s="324"/>
      <c r="J508" s="154"/>
      <c r="K508" s="168"/>
      <c r="L508" s="324"/>
      <c r="M508" s="330"/>
      <c r="N508" s="331"/>
      <c r="O508" s="332"/>
      <c r="P508" s="330"/>
      <c r="Q508" s="331"/>
      <c r="R508" s="332"/>
      <c r="S508" s="330"/>
      <c r="T508" s="331"/>
      <c r="U508" s="332"/>
      <c r="V508" s="154"/>
      <c r="W508" s="331"/>
      <c r="X508" s="324"/>
      <c r="Y508" s="205"/>
      <c r="Z508" s="205"/>
      <c r="AA508" s="205"/>
      <c r="AB508" s="17"/>
      <c r="AC508" s="17"/>
      <c r="AD508" s="17"/>
      <c r="AE508" s="17"/>
    </row>
    <row r="509">
      <c r="A509" s="154"/>
      <c r="B509" s="168"/>
      <c r="C509" s="324"/>
      <c r="D509" s="154"/>
      <c r="E509" s="168"/>
      <c r="F509" s="324"/>
      <c r="G509" s="154"/>
      <c r="H509" s="168"/>
      <c r="I509" s="324"/>
      <c r="J509" s="154"/>
      <c r="K509" s="168"/>
      <c r="L509" s="324"/>
      <c r="M509" s="330"/>
      <c r="N509" s="331"/>
      <c r="O509" s="332"/>
      <c r="P509" s="330"/>
      <c r="Q509" s="331"/>
      <c r="R509" s="332"/>
      <c r="S509" s="330"/>
      <c r="T509" s="331"/>
      <c r="U509" s="332"/>
      <c r="V509" s="154"/>
      <c r="W509" s="331"/>
      <c r="X509" s="324"/>
      <c r="Y509" s="205"/>
      <c r="Z509" s="205"/>
      <c r="AA509" s="205"/>
      <c r="AB509" s="17"/>
      <c r="AC509" s="17"/>
      <c r="AD509" s="17"/>
      <c r="AE509" s="17"/>
    </row>
    <row r="510">
      <c r="A510" s="154"/>
      <c r="B510" s="168"/>
      <c r="C510" s="324"/>
      <c r="D510" s="154"/>
      <c r="E510" s="168"/>
      <c r="F510" s="324"/>
      <c r="G510" s="154"/>
      <c r="H510" s="168"/>
      <c r="I510" s="324"/>
      <c r="J510" s="154"/>
      <c r="K510" s="168"/>
      <c r="L510" s="324"/>
      <c r="M510" s="330"/>
      <c r="N510" s="331"/>
      <c r="O510" s="332"/>
      <c r="P510" s="330"/>
      <c r="Q510" s="331"/>
      <c r="R510" s="332"/>
      <c r="S510" s="330"/>
      <c r="T510" s="331"/>
      <c r="U510" s="332"/>
      <c r="V510" s="154"/>
      <c r="W510" s="331"/>
      <c r="X510" s="324"/>
      <c r="Y510" s="205"/>
      <c r="Z510" s="205"/>
      <c r="AA510" s="205"/>
      <c r="AB510" s="17"/>
      <c r="AC510" s="17"/>
      <c r="AD510" s="17"/>
      <c r="AE510" s="17"/>
    </row>
    <row r="511">
      <c r="A511" s="154"/>
      <c r="B511" s="168"/>
      <c r="C511" s="324"/>
      <c r="D511" s="154"/>
      <c r="E511" s="168"/>
      <c r="F511" s="324"/>
      <c r="G511" s="154"/>
      <c r="H511" s="168"/>
      <c r="I511" s="324"/>
      <c r="J511" s="154"/>
      <c r="K511" s="168"/>
      <c r="L511" s="324"/>
      <c r="M511" s="330"/>
      <c r="N511" s="331"/>
      <c r="O511" s="332"/>
      <c r="P511" s="330"/>
      <c r="Q511" s="331"/>
      <c r="R511" s="332"/>
      <c r="S511" s="330"/>
      <c r="T511" s="331"/>
      <c r="U511" s="332"/>
      <c r="V511" s="154"/>
      <c r="W511" s="331"/>
      <c r="X511" s="324"/>
      <c r="Y511" s="205"/>
      <c r="Z511" s="205"/>
      <c r="AA511" s="205"/>
      <c r="AB511" s="17"/>
      <c r="AC511" s="17"/>
      <c r="AD511" s="17"/>
      <c r="AE511" s="17"/>
    </row>
    <row r="512">
      <c r="A512" s="154"/>
      <c r="B512" s="168"/>
      <c r="C512" s="324"/>
      <c r="D512" s="154"/>
      <c r="E512" s="168"/>
      <c r="F512" s="324"/>
      <c r="G512" s="154"/>
      <c r="H512" s="168"/>
      <c r="I512" s="324"/>
      <c r="J512" s="154"/>
      <c r="K512" s="168"/>
      <c r="L512" s="324"/>
      <c r="M512" s="330"/>
      <c r="N512" s="331"/>
      <c r="O512" s="332"/>
      <c r="P512" s="330"/>
      <c r="Q512" s="331"/>
      <c r="R512" s="332"/>
      <c r="S512" s="330"/>
      <c r="T512" s="331"/>
      <c r="U512" s="332"/>
      <c r="V512" s="154"/>
      <c r="W512" s="331"/>
      <c r="X512" s="324"/>
      <c r="Y512" s="205"/>
      <c r="Z512" s="205"/>
      <c r="AA512" s="205"/>
      <c r="AB512" s="17"/>
      <c r="AC512" s="17"/>
      <c r="AD512" s="17"/>
      <c r="AE512" s="17"/>
    </row>
    <row r="513">
      <c r="A513" s="154"/>
      <c r="B513" s="168"/>
      <c r="C513" s="324"/>
      <c r="D513" s="154"/>
      <c r="E513" s="168"/>
      <c r="F513" s="324"/>
      <c r="G513" s="154"/>
      <c r="H513" s="168"/>
      <c r="I513" s="324"/>
      <c r="J513" s="154"/>
      <c r="K513" s="168"/>
      <c r="L513" s="324"/>
      <c r="M513" s="330"/>
      <c r="N513" s="331"/>
      <c r="O513" s="332"/>
      <c r="P513" s="330"/>
      <c r="Q513" s="331"/>
      <c r="R513" s="332"/>
      <c r="S513" s="330"/>
      <c r="T513" s="331"/>
      <c r="U513" s="332"/>
      <c r="V513" s="154"/>
      <c r="W513" s="331"/>
      <c r="X513" s="324"/>
      <c r="Y513" s="205"/>
      <c r="Z513" s="205"/>
      <c r="AA513" s="205"/>
      <c r="AB513" s="17"/>
      <c r="AC513" s="17"/>
      <c r="AD513" s="17"/>
      <c r="AE513" s="17"/>
    </row>
    <row r="514">
      <c r="A514" s="154"/>
      <c r="B514" s="168"/>
      <c r="C514" s="324"/>
      <c r="D514" s="154"/>
      <c r="E514" s="168"/>
      <c r="F514" s="324"/>
      <c r="G514" s="154"/>
      <c r="H514" s="168"/>
      <c r="I514" s="324"/>
      <c r="J514" s="154"/>
      <c r="K514" s="168"/>
      <c r="L514" s="324"/>
      <c r="M514" s="330"/>
      <c r="N514" s="331"/>
      <c r="O514" s="332"/>
      <c r="P514" s="330"/>
      <c r="Q514" s="331"/>
      <c r="R514" s="332"/>
      <c r="S514" s="330"/>
      <c r="T514" s="331"/>
      <c r="U514" s="332"/>
      <c r="V514" s="154"/>
      <c r="W514" s="331"/>
      <c r="X514" s="324"/>
      <c r="Y514" s="205"/>
      <c r="Z514" s="205"/>
      <c r="AA514" s="205"/>
      <c r="AB514" s="17"/>
      <c r="AC514" s="17"/>
      <c r="AD514" s="17"/>
      <c r="AE514" s="17"/>
    </row>
    <row r="515">
      <c r="A515" s="154"/>
      <c r="B515" s="168"/>
      <c r="C515" s="324"/>
      <c r="D515" s="154"/>
      <c r="E515" s="168"/>
      <c r="F515" s="324"/>
      <c r="G515" s="154"/>
      <c r="H515" s="168"/>
      <c r="I515" s="324"/>
      <c r="J515" s="154"/>
      <c r="K515" s="168"/>
      <c r="L515" s="324"/>
      <c r="M515" s="330"/>
      <c r="N515" s="331"/>
      <c r="O515" s="332"/>
      <c r="P515" s="330"/>
      <c r="Q515" s="331"/>
      <c r="R515" s="332"/>
      <c r="S515" s="330"/>
      <c r="T515" s="331"/>
      <c r="U515" s="332"/>
      <c r="V515" s="154"/>
      <c r="W515" s="331"/>
      <c r="X515" s="324"/>
      <c r="Y515" s="205"/>
      <c r="Z515" s="205"/>
      <c r="AA515" s="205"/>
      <c r="AB515" s="17"/>
      <c r="AC515" s="17"/>
      <c r="AD515" s="17"/>
      <c r="AE515" s="17"/>
    </row>
    <row r="516">
      <c r="A516" s="154"/>
      <c r="B516" s="168"/>
      <c r="C516" s="324"/>
      <c r="D516" s="154"/>
      <c r="E516" s="168"/>
      <c r="F516" s="324"/>
      <c r="G516" s="154"/>
      <c r="H516" s="168"/>
      <c r="I516" s="324"/>
      <c r="J516" s="154"/>
      <c r="K516" s="168"/>
      <c r="L516" s="324"/>
      <c r="M516" s="330"/>
      <c r="N516" s="331"/>
      <c r="O516" s="332"/>
      <c r="P516" s="330"/>
      <c r="Q516" s="331"/>
      <c r="R516" s="332"/>
      <c r="S516" s="330"/>
      <c r="T516" s="331"/>
      <c r="U516" s="332"/>
      <c r="V516" s="154"/>
      <c r="W516" s="331"/>
      <c r="X516" s="324"/>
      <c r="Y516" s="205"/>
      <c r="Z516" s="205"/>
      <c r="AA516" s="205"/>
      <c r="AB516" s="17"/>
      <c r="AC516" s="17"/>
      <c r="AD516" s="17"/>
      <c r="AE516" s="17"/>
    </row>
    <row r="517">
      <c r="A517" s="154"/>
      <c r="B517" s="168"/>
      <c r="C517" s="324"/>
      <c r="D517" s="154"/>
      <c r="E517" s="168"/>
      <c r="F517" s="324"/>
      <c r="G517" s="154"/>
      <c r="H517" s="168"/>
      <c r="I517" s="324"/>
      <c r="J517" s="154"/>
      <c r="K517" s="168"/>
      <c r="L517" s="324"/>
      <c r="M517" s="330"/>
      <c r="N517" s="331"/>
      <c r="O517" s="332"/>
      <c r="P517" s="330"/>
      <c r="Q517" s="331"/>
      <c r="R517" s="332"/>
      <c r="S517" s="330"/>
      <c r="T517" s="331"/>
      <c r="U517" s="332"/>
      <c r="V517" s="154"/>
      <c r="W517" s="331"/>
      <c r="X517" s="324"/>
      <c r="Y517" s="205"/>
      <c r="Z517" s="205"/>
      <c r="AA517" s="205"/>
      <c r="AB517" s="17"/>
      <c r="AC517" s="17"/>
      <c r="AD517" s="17"/>
      <c r="AE517" s="17"/>
    </row>
    <row r="518">
      <c r="A518" s="154"/>
      <c r="B518" s="168"/>
      <c r="C518" s="324"/>
      <c r="D518" s="154"/>
      <c r="E518" s="168"/>
      <c r="F518" s="324"/>
      <c r="G518" s="154"/>
      <c r="H518" s="168"/>
      <c r="I518" s="324"/>
      <c r="J518" s="154"/>
      <c r="K518" s="168"/>
      <c r="L518" s="324"/>
      <c r="M518" s="330"/>
      <c r="N518" s="331"/>
      <c r="O518" s="332"/>
      <c r="P518" s="330"/>
      <c r="Q518" s="331"/>
      <c r="R518" s="332"/>
      <c r="S518" s="330"/>
      <c r="T518" s="331"/>
      <c r="U518" s="332"/>
      <c r="V518" s="154"/>
      <c r="W518" s="331"/>
      <c r="X518" s="324"/>
      <c r="Y518" s="205"/>
      <c r="Z518" s="205"/>
      <c r="AA518" s="205"/>
      <c r="AB518" s="17"/>
      <c r="AC518" s="17"/>
      <c r="AD518" s="17"/>
      <c r="AE518" s="17"/>
    </row>
    <row r="519">
      <c r="A519" s="154"/>
      <c r="B519" s="168"/>
      <c r="C519" s="324"/>
      <c r="D519" s="154"/>
      <c r="E519" s="168"/>
      <c r="F519" s="324"/>
      <c r="G519" s="154"/>
      <c r="H519" s="168"/>
      <c r="I519" s="324"/>
      <c r="J519" s="154"/>
      <c r="K519" s="168"/>
      <c r="L519" s="324"/>
      <c r="M519" s="330"/>
      <c r="N519" s="331"/>
      <c r="O519" s="332"/>
      <c r="P519" s="330"/>
      <c r="Q519" s="331"/>
      <c r="R519" s="332"/>
      <c r="S519" s="330"/>
      <c r="T519" s="331"/>
      <c r="U519" s="332"/>
      <c r="V519" s="154"/>
      <c r="W519" s="331"/>
      <c r="X519" s="324"/>
      <c r="Y519" s="205"/>
      <c r="Z519" s="205"/>
      <c r="AA519" s="205"/>
      <c r="AB519" s="17"/>
      <c r="AC519" s="17"/>
      <c r="AD519" s="17"/>
      <c r="AE519" s="17"/>
    </row>
    <row r="520">
      <c r="A520" s="154"/>
      <c r="B520" s="168"/>
      <c r="C520" s="324"/>
      <c r="D520" s="154"/>
      <c r="E520" s="168"/>
      <c r="F520" s="324"/>
      <c r="G520" s="154"/>
      <c r="H520" s="168"/>
      <c r="I520" s="324"/>
      <c r="J520" s="154"/>
      <c r="K520" s="168"/>
      <c r="L520" s="324"/>
      <c r="M520" s="330"/>
      <c r="N520" s="331"/>
      <c r="O520" s="332"/>
      <c r="P520" s="330"/>
      <c r="Q520" s="331"/>
      <c r="R520" s="332"/>
      <c r="S520" s="330"/>
      <c r="T520" s="331"/>
      <c r="U520" s="332"/>
      <c r="V520" s="154"/>
      <c r="W520" s="331"/>
      <c r="X520" s="324"/>
      <c r="Y520" s="205"/>
      <c r="Z520" s="205"/>
      <c r="AA520" s="205"/>
      <c r="AB520" s="17"/>
      <c r="AC520" s="17"/>
      <c r="AD520" s="17"/>
      <c r="AE520" s="17"/>
    </row>
    <row r="521">
      <c r="A521" s="154"/>
      <c r="B521" s="168"/>
      <c r="C521" s="324"/>
      <c r="D521" s="154"/>
      <c r="E521" s="168"/>
      <c r="F521" s="324"/>
      <c r="G521" s="154"/>
      <c r="H521" s="168"/>
      <c r="I521" s="324"/>
      <c r="J521" s="154"/>
      <c r="K521" s="168"/>
      <c r="L521" s="324"/>
      <c r="M521" s="330"/>
      <c r="N521" s="331"/>
      <c r="O521" s="332"/>
      <c r="P521" s="330"/>
      <c r="Q521" s="331"/>
      <c r="R521" s="332"/>
      <c r="S521" s="330"/>
      <c r="T521" s="331"/>
      <c r="U521" s="332"/>
      <c r="V521" s="154"/>
      <c r="W521" s="331"/>
      <c r="X521" s="324"/>
      <c r="Y521" s="205"/>
      <c r="Z521" s="205"/>
      <c r="AA521" s="205"/>
      <c r="AB521" s="17"/>
      <c r="AC521" s="17"/>
      <c r="AD521" s="17"/>
      <c r="AE521" s="17"/>
    </row>
    <row r="522">
      <c r="A522" s="154"/>
      <c r="B522" s="168"/>
      <c r="C522" s="324"/>
      <c r="D522" s="154"/>
      <c r="E522" s="168"/>
      <c r="F522" s="324"/>
      <c r="G522" s="154"/>
      <c r="H522" s="168"/>
      <c r="I522" s="324"/>
      <c r="J522" s="154"/>
      <c r="K522" s="168"/>
      <c r="L522" s="324"/>
      <c r="M522" s="330"/>
      <c r="N522" s="331"/>
      <c r="O522" s="332"/>
      <c r="P522" s="330"/>
      <c r="Q522" s="331"/>
      <c r="R522" s="332"/>
      <c r="S522" s="330"/>
      <c r="T522" s="331"/>
      <c r="U522" s="332"/>
      <c r="V522" s="154"/>
      <c r="W522" s="331"/>
      <c r="X522" s="324"/>
      <c r="Y522" s="205"/>
      <c r="Z522" s="205"/>
      <c r="AA522" s="205"/>
      <c r="AB522" s="17"/>
      <c r="AC522" s="17"/>
      <c r="AD522" s="17"/>
      <c r="AE522" s="17"/>
    </row>
    <row r="523">
      <c r="A523" s="154"/>
      <c r="B523" s="168"/>
      <c r="C523" s="324"/>
      <c r="D523" s="154"/>
      <c r="E523" s="168"/>
      <c r="F523" s="324"/>
      <c r="G523" s="154"/>
      <c r="H523" s="168"/>
      <c r="I523" s="324"/>
      <c r="J523" s="154"/>
      <c r="K523" s="168"/>
      <c r="L523" s="324"/>
      <c r="M523" s="330"/>
      <c r="N523" s="331"/>
      <c r="O523" s="332"/>
      <c r="P523" s="330"/>
      <c r="Q523" s="331"/>
      <c r="R523" s="332"/>
      <c r="S523" s="330"/>
      <c r="T523" s="331"/>
      <c r="U523" s="332"/>
      <c r="V523" s="154"/>
      <c r="W523" s="331"/>
      <c r="X523" s="324"/>
      <c r="Y523" s="205"/>
      <c r="Z523" s="205"/>
      <c r="AA523" s="205"/>
      <c r="AB523" s="17"/>
      <c r="AC523" s="17"/>
      <c r="AD523" s="17"/>
      <c r="AE523" s="17"/>
    </row>
    <row r="524">
      <c r="A524" s="154"/>
      <c r="B524" s="168"/>
      <c r="C524" s="324"/>
      <c r="D524" s="154"/>
      <c r="E524" s="168"/>
      <c r="F524" s="324"/>
      <c r="G524" s="154"/>
      <c r="H524" s="168"/>
      <c r="I524" s="324"/>
      <c r="J524" s="154"/>
      <c r="K524" s="168"/>
      <c r="L524" s="324"/>
      <c r="M524" s="330"/>
      <c r="N524" s="331"/>
      <c r="O524" s="332"/>
      <c r="P524" s="330"/>
      <c r="Q524" s="331"/>
      <c r="R524" s="332"/>
      <c r="S524" s="330"/>
      <c r="T524" s="331"/>
      <c r="U524" s="332"/>
      <c r="V524" s="154"/>
      <c r="W524" s="331"/>
      <c r="X524" s="324"/>
      <c r="Y524" s="205"/>
      <c r="Z524" s="205"/>
      <c r="AA524" s="205"/>
      <c r="AB524" s="17"/>
      <c r="AC524" s="17"/>
      <c r="AD524" s="17"/>
      <c r="AE524" s="17"/>
    </row>
    <row r="525">
      <c r="A525" s="154"/>
      <c r="B525" s="168"/>
      <c r="C525" s="324"/>
      <c r="D525" s="154"/>
      <c r="E525" s="168"/>
      <c r="F525" s="324"/>
      <c r="G525" s="154"/>
      <c r="H525" s="168"/>
      <c r="I525" s="324"/>
      <c r="J525" s="154"/>
      <c r="K525" s="168"/>
      <c r="L525" s="324"/>
      <c r="M525" s="330"/>
      <c r="N525" s="331"/>
      <c r="O525" s="332"/>
      <c r="P525" s="330"/>
      <c r="Q525" s="331"/>
      <c r="R525" s="332"/>
      <c r="S525" s="330"/>
      <c r="T525" s="331"/>
      <c r="U525" s="332"/>
      <c r="V525" s="154"/>
      <c r="W525" s="331"/>
      <c r="X525" s="324"/>
      <c r="Y525" s="205"/>
      <c r="Z525" s="205"/>
      <c r="AA525" s="205"/>
      <c r="AB525" s="17"/>
      <c r="AC525" s="17"/>
      <c r="AD525" s="17"/>
      <c r="AE525" s="17"/>
    </row>
    <row r="526">
      <c r="A526" s="154"/>
      <c r="B526" s="168"/>
      <c r="C526" s="324"/>
      <c r="D526" s="154"/>
      <c r="E526" s="168"/>
      <c r="F526" s="324"/>
      <c r="G526" s="154"/>
      <c r="H526" s="168"/>
      <c r="I526" s="324"/>
      <c r="J526" s="154"/>
      <c r="K526" s="168"/>
      <c r="L526" s="324"/>
      <c r="M526" s="330"/>
      <c r="N526" s="331"/>
      <c r="O526" s="332"/>
      <c r="P526" s="330"/>
      <c r="Q526" s="331"/>
      <c r="R526" s="332"/>
      <c r="S526" s="330"/>
      <c r="T526" s="331"/>
      <c r="U526" s="332"/>
      <c r="V526" s="154"/>
      <c r="W526" s="331"/>
      <c r="X526" s="324"/>
      <c r="Y526" s="205"/>
      <c r="Z526" s="205"/>
      <c r="AA526" s="205"/>
      <c r="AB526" s="17"/>
      <c r="AC526" s="17"/>
      <c r="AD526" s="17"/>
      <c r="AE526" s="17"/>
    </row>
    <row r="527">
      <c r="A527" s="154"/>
      <c r="B527" s="168"/>
      <c r="C527" s="324"/>
      <c r="D527" s="154"/>
      <c r="E527" s="168"/>
      <c r="F527" s="324"/>
      <c r="G527" s="154"/>
      <c r="H527" s="168"/>
      <c r="I527" s="324"/>
      <c r="J527" s="154"/>
      <c r="K527" s="168"/>
      <c r="L527" s="324"/>
      <c r="M527" s="330"/>
      <c r="N527" s="331"/>
      <c r="O527" s="332"/>
      <c r="P527" s="330"/>
      <c r="Q527" s="331"/>
      <c r="R527" s="332"/>
      <c r="S527" s="330"/>
      <c r="T527" s="331"/>
      <c r="U527" s="332"/>
      <c r="V527" s="154"/>
      <c r="W527" s="331"/>
      <c r="X527" s="324"/>
      <c r="Y527" s="205"/>
      <c r="Z527" s="205"/>
      <c r="AA527" s="205"/>
      <c r="AB527" s="17"/>
      <c r="AC527" s="17"/>
      <c r="AD527" s="17"/>
      <c r="AE527" s="17"/>
    </row>
    <row r="528">
      <c r="A528" s="154"/>
      <c r="B528" s="168"/>
      <c r="C528" s="324"/>
      <c r="D528" s="154"/>
      <c r="E528" s="168"/>
      <c r="F528" s="324"/>
      <c r="G528" s="154"/>
      <c r="H528" s="168"/>
      <c r="I528" s="324"/>
      <c r="J528" s="154"/>
      <c r="K528" s="168"/>
      <c r="L528" s="324"/>
      <c r="M528" s="330"/>
      <c r="N528" s="331"/>
      <c r="O528" s="332"/>
      <c r="P528" s="330"/>
      <c r="Q528" s="331"/>
      <c r="R528" s="332"/>
      <c r="S528" s="330"/>
      <c r="T528" s="331"/>
      <c r="U528" s="332"/>
      <c r="V528" s="154"/>
      <c r="W528" s="331"/>
      <c r="X528" s="324"/>
      <c r="Y528" s="205"/>
      <c r="Z528" s="205"/>
      <c r="AA528" s="205"/>
      <c r="AB528" s="17"/>
      <c r="AC528" s="17"/>
      <c r="AD528" s="17"/>
      <c r="AE528" s="17"/>
    </row>
    <row r="529">
      <c r="A529" s="154"/>
      <c r="B529" s="168"/>
      <c r="C529" s="324"/>
      <c r="D529" s="154"/>
      <c r="E529" s="168"/>
      <c r="F529" s="324"/>
      <c r="G529" s="154"/>
      <c r="H529" s="168"/>
      <c r="I529" s="324"/>
      <c r="J529" s="154"/>
      <c r="K529" s="168"/>
      <c r="L529" s="324"/>
      <c r="M529" s="330"/>
      <c r="N529" s="331"/>
      <c r="O529" s="332"/>
      <c r="P529" s="330"/>
      <c r="Q529" s="331"/>
      <c r="R529" s="332"/>
      <c r="S529" s="330"/>
      <c r="T529" s="331"/>
      <c r="U529" s="332"/>
      <c r="V529" s="154"/>
      <c r="W529" s="331"/>
      <c r="X529" s="324"/>
      <c r="Y529" s="205"/>
      <c r="Z529" s="205"/>
      <c r="AA529" s="205"/>
      <c r="AB529" s="17"/>
      <c r="AC529" s="17"/>
      <c r="AD529" s="17"/>
      <c r="AE529" s="17"/>
    </row>
    <row r="530">
      <c r="A530" s="154"/>
      <c r="B530" s="168"/>
      <c r="C530" s="324"/>
      <c r="D530" s="154"/>
      <c r="E530" s="168"/>
      <c r="F530" s="324"/>
      <c r="G530" s="154"/>
      <c r="H530" s="168"/>
      <c r="I530" s="324"/>
      <c r="J530" s="154"/>
      <c r="K530" s="168"/>
      <c r="L530" s="324"/>
      <c r="M530" s="330"/>
      <c r="N530" s="331"/>
      <c r="O530" s="332"/>
      <c r="P530" s="330"/>
      <c r="Q530" s="331"/>
      <c r="R530" s="332"/>
      <c r="S530" s="330"/>
      <c r="T530" s="331"/>
      <c r="U530" s="332"/>
      <c r="V530" s="154"/>
      <c r="W530" s="331"/>
      <c r="X530" s="324"/>
      <c r="Y530" s="205"/>
      <c r="Z530" s="205"/>
      <c r="AA530" s="205"/>
      <c r="AB530" s="17"/>
      <c r="AC530" s="17"/>
      <c r="AD530" s="17"/>
      <c r="AE530" s="17"/>
    </row>
    <row r="531">
      <c r="A531" s="154"/>
      <c r="B531" s="168"/>
      <c r="C531" s="324"/>
      <c r="D531" s="154"/>
      <c r="E531" s="168"/>
      <c r="F531" s="324"/>
      <c r="G531" s="154"/>
      <c r="H531" s="168"/>
      <c r="I531" s="324"/>
      <c r="J531" s="154"/>
      <c r="K531" s="168"/>
      <c r="L531" s="324"/>
      <c r="M531" s="330"/>
      <c r="N531" s="331"/>
      <c r="O531" s="332"/>
      <c r="P531" s="330"/>
      <c r="Q531" s="331"/>
      <c r="R531" s="332"/>
      <c r="S531" s="330"/>
      <c r="T531" s="331"/>
      <c r="U531" s="332"/>
      <c r="V531" s="154"/>
      <c r="W531" s="331"/>
      <c r="X531" s="324"/>
      <c r="Y531" s="205"/>
      <c r="Z531" s="205"/>
      <c r="AA531" s="205"/>
      <c r="AB531" s="17"/>
      <c r="AC531" s="17"/>
      <c r="AD531" s="17"/>
      <c r="AE531" s="17"/>
    </row>
    <row r="532">
      <c r="A532" s="154"/>
      <c r="B532" s="168"/>
      <c r="C532" s="324"/>
      <c r="D532" s="154"/>
      <c r="E532" s="168"/>
      <c r="F532" s="324"/>
      <c r="G532" s="154"/>
      <c r="H532" s="168"/>
      <c r="I532" s="324"/>
      <c r="J532" s="154"/>
      <c r="K532" s="168"/>
      <c r="L532" s="324"/>
      <c r="M532" s="330"/>
      <c r="N532" s="331"/>
      <c r="O532" s="332"/>
      <c r="P532" s="330"/>
      <c r="Q532" s="331"/>
      <c r="R532" s="332"/>
      <c r="S532" s="330"/>
      <c r="T532" s="331"/>
      <c r="U532" s="332"/>
      <c r="V532" s="154"/>
      <c r="W532" s="331"/>
      <c r="X532" s="324"/>
      <c r="Y532" s="205"/>
      <c r="Z532" s="205"/>
      <c r="AA532" s="205"/>
      <c r="AB532" s="17"/>
      <c r="AC532" s="17"/>
      <c r="AD532" s="17"/>
      <c r="AE532" s="17"/>
    </row>
    <row r="533">
      <c r="A533" s="154"/>
      <c r="B533" s="168"/>
      <c r="C533" s="324"/>
      <c r="D533" s="154"/>
      <c r="E533" s="168"/>
      <c r="F533" s="324"/>
      <c r="G533" s="154"/>
      <c r="H533" s="168"/>
      <c r="I533" s="324"/>
      <c r="J533" s="154"/>
      <c r="K533" s="168"/>
      <c r="L533" s="324"/>
      <c r="M533" s="330"/>
      <c r="N533" s="331"/>
      <c r="O533" s="332"/>
      <c r="P533" s="330"/>
      <c r="Q533" s="331"/>
      <c r="R533" s="332"/>
      <c r="S533" s="330"/>
      <c r="T533" s="331"/>
      <c r="U533" s="332"/>
      <c r="V533" s="154"/>
      <c r="W533" s="331"/>
      <c r="X533" s="324"/>
      <c r="Y533" s="205"/>
      <c r="Z533" s="205"/>
      <c r="AA533" s="205"/>
      <c r="AB533" s="17"/>
      <c r="AC533" s="17"/>
      <c r="AD533" s="17"/>
      <c r="AE533" s="17"/>
    </row>
    <row r="534">
      <c r="A534" s="154"/>
      <c r="B534" s="168"/>
      <c r="C534" s="324"/>
      <c r="D534" s="154"/>
      <c r="E534" s="168"/>
      <c r="F534" s="324"/>
      <c r="G534" s="154"/>
      <c r="H534" s="168"/>
      <c r="I534" s="324"/>
      <c r="J534" s="154"/>
      <c r="K534" s="168"/>
      <c r="L534" s="324"/>
      <c r="M534" s="330"/>
      <c r="N534" s="331"/>
      <c r="O534" s="332"/>
      <c r="P534" s="330"/>
      <c r="Q534" s="331"/>
      <c r="R534" s="332"/>
      <c r="S534" s="330"/>
      <c r="T534" s="331"/>
      <c r="U534" s="332"/>
      <c r="V534" s="154"/>
      <c r="W534" s="331"/>
      <c r="X534" s="324"/>
      <c r="Y534" s="205"/>
      <c r="Z534" s="205"/>
      <c r="AA534" s="205"/>
      <c r="AB534" s="17"/>
      <c r="AC534" s="17"/>
      <c r="AD534" s="17"/>
      <c r="AE534" s="17"/>
    </row>
    <row r="535">
      <c r="A535" s="154"/>
      <c r="B535" s="168"/>
      <c r="C535" s="324"/>
      <c r="D535" s="154"/>
      <c r="E535" s="168"/>
      <c r="F535" s="324"/>
      <c r="G535" s="154"/>
      <c r="H535" s="168"/>
      <c r="I535" s="324"/>
      <c r="J535" s="154"/>
      <c r="K535" s="168"/>
      <c r="L535" s="324"/>
      <c r="M535" s="330"/>
      <c r="N535" s="331"/>
      <c r="O535" s="332"/>
      <c r="P535" s="330"/>
      <c r="Q535" s="331"/>
      <c r="R535" s="332"/>
      <c r="S535" s="330"/>
      <c r="T535" s="331"/>
      <c r="U535" s="332"/>
      <c r="V535" s="154"/>
      <c r="W535" s="331"/>
      <c r="X535" s="324"/>
      <c r="Y535" s="205"/>
      <c r="Z535" s="205"/>
      <c r="AA535" s="205"/>
      <c r="AB535" s="17"/>
      <c r="AC535" s="17"/>
      <c r="AD535" s="17"/>
      <c r="AE535" s="17"/>
    </row>
    <row r="536">
      <c r="A536" s="154"/>
      <c r="B536" s="168"/>
      <c r="C536" s="324"/>
      <c r="D536" s="154"/>
      <c r="E536" s="168"/>
      <c r="F536" s="324"/>
      <c r="G536" s="154"/>
      <c r="H536" s="168"/>
      <c r="I536" s="324"/>
      <c r="J536" s="154"/>
      <c r="K536" s="168"/>
      <c r="L536" s="324"/>
      <c r="M536" s="330"/>
      <c r="N536" s="331"/>
      <c r="O536" s="332"/>
      <c r="P536" s="330"/>
      <c r="Q536" s="331"/>
      <c r="R536" s="332"/>
      <c r="S536" s="330"/>
      <c r="T536" s="331"/>
      <c r="U536" s="332"/>
      <c r="V536" s="154"/>
      <c r="W536" s="331"/>
      <c r="X536" s="324"/>
      <c r="Y536" s="205"/>
      <c r="Z536" s="205"/>
      <c r="AA536" s="205"/>
      <c r="AB536" s="17"/>
      <c r="AC536" s="17"/>
      <c r="AD536" s="17"/>
      <c r="AE536" s="17"/>
    </row>
    <row r="537">
      <c r="A537" s="154"/>
      <c r="B537" s="168"/>
      <c r="C537" s="324"/>
      <c r="D537" s="154"/>
      <c r="E537" s="168"/>
      <c r="F537" s="324"/>
      <c r="G537" s="154"/>
      <c r="H537" s="168"/>
      <c r="I537" s="324"/>
      <c r="J537" s="154"/>
      <c r="K537" s="168"/>
      <c r="L537" s="324"/>
      <c r="M537" s="330"/>
      <c r="N537" s="331"/>
      <c r="O537" s="332"/>
      <c r="P537" s="330"/>
      <c r="Q537" s="331"/>
      <c r="R537" s="332"/>
      <c r="S537" s="330"/>
      <c r="T537" s="331"/>
      <c r="U537" s="332"/>
      <c r="V537" s="154"/>
      <c r="W537" s="331"/>
      <c r="X537" s="324"/>
      <c r="Y537" s="205"/>
      <c r="Z537" s="205"/>
      <c r="AA537" s="205"/>
      <c r="AB537" s="17"/>
      <c r="AC537" s="17"/>
      <c r="AD537" s="17"/>
      <c r="AE537" s="17"/>
    </row>
    <row r="538">
      <c r="A538" s="154"/>
      <c r="B538" s="168"/>
      <c r="C538" s="324"/>
      <c r="D538" s="154"/>
      <c r="E538" s="168"/>
      <c r="F538" s="324"/>
      <c r="G538" s="154"/>
      <c r="H538" s="168"/>
      <c r="I538" s="324"/>
      <c r="J538" s="154"/>
      <c r="K538" s="168"/>
      <c r="L538" s="324"/>
      <c r="M538" s="330"/>
      <c r="N538" s="331"/>
      <c r="O538" s="332"/>
      <c r="P538" s="330"/>
      <c r="Q538" s="331"/>
      <c r="R538" s="332"/>
      <c r="S538" s="330"/>
      <c r="T538" s="331"/>
      <c r="U538" s="332"/>
      <c r="V538" s="154"/>
      <c r="W538" s="331"/>
      <c r="X538" s="324"/>
      <c r="Y538" s="205"/>
      <c r="Z538" s="205"/>
      <c r="AA538" s="205"/>
      <c r="AB538" s="17"/>
      <c r="AC538" s="17"/>
      <c r="AD538" s="17"/>
      <c r="AE538" s="17"/>
    </row>
    <row r="539">
      <c r="A539" s="154"/>
      <c r="B539" s="168"/>
      <c r="C539" s="324"/>
      <c r="D539" s="154"/>
      <c r="E539" s="168"/>
      <c r="F539" s="324"/>
      <c r="G539" s="154"/>
      <c r="H539" s="168"/>
      <c r="I539" s="324"/>
      <c r="J539" s="154"/>
      <c r="K539" s="168"/>
      <c r="L539" s="324"/>
      <c r="M539" s="330"/>
      <c r="N539" s="331"/>
      <c r="O539" s="332"/>
      <c r="P539" s="330"/>
      <c r="Q539" s="331"/>
      <c r="R539" s="332"/>
      <c r="S539" s="330"/>
      <c r="T539" s="331"/>
      <c r="U539" s="332"/>
      <c r="V539" s="154"/>
      <c r="W539" s="331"/>
      <c r="X539" s="324"/>
      <c r="Y539" s="205"/>
      <c r="Z539" s="205"/>
      <c r="AA539" s="205"/>
      <c r="AB539" s="17"/>
      <c r="AC539" s="17"/>
      <c r="AD539" s="17"/>
      <c r="AE539" s="17"/>
    </row>
    <row r="540">
      <c r="A540" s="154"/>
      <c r="B540" s="168"/>
      <c r="C540" s="324"/>
      <c r="D540" s="154"/>
      <c r="E540" s="168"/>
      <c r="F540" s="324"/>
      <c r="G540" s="154"/>
      <c r="H540" s="168"/>
      <c r="I540" s="324"/>
      <c r="J540" s="154"/>
      <c r="K540" s="168"/>
      <c r="L540" s="324"/>
      <c r="M540" s="330"/>
      <c r="N540" s="331"/>
      <c r="O540" s="332"/>
      <c r="P540" s="330"/>
      <c r="Q540" s="331"/>
      <c r="R540" s="332"/>
      <c r="S540" s="330"/>
      <c r="T540" s="331"/>
      <c r="U540" s="332"/>
      <c r="V540" s="154"/>
      <c r="W540" s="331"/>
      <c r="X540" s="324"/>
      <c r="Y540" s="205"/>
      <c r="Z540" s="205"/>
      <c r="AA540" s="205"/>
      <c r="AB540" s="17"/>
      <c r="AC540" s="17"/>
      <c r="AD540" s="17"/>
      <c r="AE540" s="17"/>
    </row>
    <row r="541">
      <c r="A541" s="154"/>
      <c r="B541" s="168"/>
      <c r="C541" s="324"/>
      <c r="D541" s="154"/>
      <c r="E541" s="168"/>
      <c r="F541" s="324"/>
      <c r="G541" s="154"/>
      <c r="H541" s="168"/>
      <c r="I541" s="324"/>
      <c r="J541" s="154"/>
      <c r="K541" s="168"/>
      <c r="L541" s="324"/>
      <c r="M541" s="330"/>
      <c r="N541" s="331"/>
      <c r="O541" s="332"/>
      <c r="P541" s="330"/>
      <c r="Q541" s="331"/>
      <c r="R541" s="332"/>
      <c r="S541" s="330"/>
      <c r="T541" s="331"/>
      <c r="U541" s="332"/>
      <c r="V541" s="154"/>
      <c r="W541" s="331"/>
      <c r="X541" s="324"/>
      <c r="Y541" s="205"/>
      <c r="Z541" s="205"/>
      <c r="AA541" s="205"/>
      <c r="AB541" s="17"/>
      <c r="AC541" s="17"/>
      <c r="AD541" s="17"/>
      <c r="AE541" s="17"/>
    </row>
    <row r="542">
      <c r="A542" s="154"/>
      <c r="B542" s="168"/>
      <c r="C542" s="324"/>
      <c r="D542" s="154"/>
      <c r="E542" s="168"/>
      <c r="F542" s="324"/>
      <c r="G542" s="154"/>
      <c r="H542" s="168"/>
      <c r="I542" s="324"/>
      <c r="J542" s="154"/>
      <c r="K542" s="168"/>
      <c r="L542" s="324"/>
      <c r="M542" s="330"/>
      <c r="N542" s="331"/>
      <c r="O542" s="332"/>
      <c r="P542" s="330"/>
      <c r="Q542" s="331"/>
      <c r="R542" s="332"/>
      <c r="S542" s="330"/>
      <c r="T542" s="331"/>
      <c r="U542" s="332"/>
      <c r="V542" s="154"/>
      <c r="W542" s="331"/>
      <c r="X542" s="324"/>
      <c r="Y542" s="205"/>
      <c r="Z542" s="205"/>
      <c r="AA542" s="205"/>
      <c r="AB542" s="17"/>
      <c r="AC542" s="17"/>
      <c r="AD542" s="17"/>
      <c r="AE542" s="17"/>
    </row>
    <row r="543">
      <c r="A543" s="154"/>
      <c r="B543" s="168"/>
      <c r="C543" s="324"/>
      <c r="D543" s="154"/>
      <c r="E543" s="168"/>
      <c r="F543" s="324"/>
      <c r="G543" s="154"/>
      <c r="H543" s="168"/>
      <c r="I543" s="324"/>
      <c r="J543" s="154"/>
      <c r="K543" s="168"/>
      <c r="L543" s="324"/>
      <c r="M543" s="330"/>
      <c r="N543" s="331"/>
      <c r="O543" s="332"/>
      <c r="P543" s="330"/>
      <c r="Q543" s="331"/>
      <c r="R543" s="332"/>
      <c r="S543" s="330"/>
      <c r="T543" s="331"/>
      <c r="U543" s="332"/>
      <c r="V543" s="154"/>
      <c r="W543" s="331"/>
      <c r="X543" s="324"/>
      <c r="Y543" s="205"/>
      <c r="Z543" s="205"/>
      <c r="AA543" s="205"/>
      <c r="AB543" s="17"/>
      <c r="AC543" s="17"/>
      <c r="AD543" s="17"/>
      <c r="AE543" s="17"/>
    </row>
    <row r="544">
      <c r="A544" s="154"/>
      <c r="B544" s="168"/>
      <c r="C544" s="324"/>
      <c r="D544" s="154"/>
      <c r="E544" s="168"/>
      <c r="F544" s="324"/>
      <c r="G544" s="154"/>
      <c r="H544" s="168"/>
      <c r="I544" s="324"/>
      <c r="J544" s="154"/>
      <c r="K544" s="168"/>
      <c r="L544" s="324"/>
      <c r="M544" s="330"/>
      <c r="N544" s="331"/>
      <c r="O544" s="332"/>
      <c r="P544" s="330"/>
      <c r="Q544" s="331"/>
      <c r="R544" s="332"/>
      <c r="S544" s="330"/>
      <c r="T544" s="331"/>
      <c r="U544" s="332"/>
      <c r="V544" s="154"/>
      <c r="W544" s="331"/>
      <c r="X544" s="324"/>
      <c r="Y544" s="205"/>
      <c r="Z544" s="205"/>
      <c r="AA544" s="205"/>
      <c r="AB544" s="17"/>
      <c r="AC544" s="17"/>
      <c r="AD544" s="17"/>
      <c r="AE544" s="17"/>
    </row>
    <row r="545">
      <c r="A545" s="154"/>
      <c r="B545" s="168"/>
      <c r="C545" s="324"/>
      <c r="D545" s="154"/>
      <c r="E545" s="168"/>
      <c r="F545" s="324"/>
      <c r="G545" s="154"/>
      <c r="H545" s="168"/>
      <c r="I545" s="324"/>
      <c r="J545" s="154"/>
      <c r="K545" s="168"/>
      <c r="L545" s="324"/>
      <c r="M545" s="330"/>
      <c r="N545" s="331"/>
      <c r="O545" s="332"/>
      <c r="P545" s="330"/>
      <c r="Q545" s="331"/>
      <c r="R545" s="332"/>
      <c r="S545" s="330"/>
      <c r="T545" s="331"/>
      <c r="U545" s="332"/>
      <c r="V545" s="154"/>
      <c r="W545" s="331"/>
      <c r="X545" s="324"/>
      <c r="Y545" s="205"/>
      <c r="Z545" s="205"/>
      <c r="AA545" s="205"/>
      <c r="AB545" s="17"/>
      <c r="AC545" s="17"/>
      <c r="AD545" s="17"/>
      <c r="AE545" s="17"/>
    </row>
    <row r="546">
      <c r="A546" s="154"/>
      <c r="B546" s="168"/>
      <c r="C546" s="324"/>
      <c r="D546" s="154"/>
      <c r="E546" s="168"/>
      <c r="F546" s="324"/>
      <c r="G546" s="154"/>
      <c r="H546" s="168"/>
      <c r="I546" s="324"/>
      <c r="J546" s="154"/>
      <c r="K546" s="168"/>
      <c r="L546" s="324"/>
      <c r="M546" s="330"/>
      <c r="N546" s="331"/>
      <c r="O546" s="332"/>
      <c r="P546" s="330"/>
      <c r="Q546" s="331"/>
      <c r="R546" s="332"/>
      <c r="S546" s="330"/>
      <c r="T546" s="331"/>
      <c r="U546" s="332"/>
      <c r="V546" s="154"/>
      <c r="W546" s="331"/>
      <c r="X546" s="324"/>
      <c r="Y546" s="205"/>
      <c r="Z546" s="205"/>
      <c r="AA546" s="205"/>
      <c r="AB546" s="17"/>
      <c r="AC546" s="17"/>
      <c r="AD546" s="17"/>
      <c r="AE546" s="17"/>
    </row>
    <row r="547">
      <c r="A547" s="154"/>
      <c r="B547" s="168"/>
      <c r="C547" s="324"/>
      <c r="D547" s="154"/>
      <c r="E547" s="168"/>
      <c r="F547" s="324"/>
      <c r="G547" s="154"/>
      <c r="H547" s="168"/>
      <c r="I547" s="324"/>
      <c r="J547" s="154"/>
      <c r="K547" s="168"/>
      <c r="L547" s="324"/>
      <c r="M547" s="330"/>
      <c r="N547" s="331"/>
      <c r="O547" s="332"/>
      <c r="P547" s="330"/>
      <c r="Q547" s="331"/>
      <c r="R547" s="332"/>
      <c r="S547" s="330"/>
      <c r="T547" s="331"/>
      <c r="U547" s="332"/>
      <c r="V547" s="154"/>
      <c r="W547" s="331"/>
      <c r="X547" s="324"/>
      <c r="Y547" s="205"/>
      <c r="Z547" s="205"/>
      <c r="AA547" s="205"/>
      <c r="AB547" s="17"/>
      <c r="AC547" s="17"/>
      <c r="AD547" s="17"/>
      <c r="AE547" s="17"/>
    </row>
    <row r="548">
      <c r="A548" s="154"/>
      <c r="B548" s="168"/>
      <c r="C548" s="324"/>
      <c r="D548" s="154"/>
      <c r="E548" s="168"/>
      <c r="F548" s="324"/>
      <c r="G548" s="154"/>
      <c r="H548" s="168"/>
      <c r="I548" s="324"/>
      <c r="J548" s="154"/>
      <c r="K548" s="168"/>
      <c r="L548" s="324"/>
      <c r="M548" s="330"/>
      <c r="N548" s="331"/>
      <c r="O548" s="332"/>
      <c r="P548" s="330"/>
      <c r="Q548" s="331"/>
      <c r="R548" s="332"/>
      <c r="S548" s="330"/>
      <c r="T548" s="331"/>
      <c r="U548" s="332"/>
      <c r="V548" s="154"/>
      <c r="W548" s="331"/>
      <c r="X548" s="324"/>
      <c r="Y548" s="205"/>
      <c r="Z548" s="205"/>
      <c r="AA548" s="205"/>
      <c r="AB548" s="17"/>
      <c r="AC548" s="17"/>
      <c r="AD548" s="17"/>
      <c r="AE548" s="17"/>
    </row>
    <row r="549">
      <c r="A549" s="154"/>
      <c r="B549" s="168"/>
      <c r="C549" s="324"/>
      <c r="D549" s="154"/>
      <c r="E549" s="168"/>
      <c r="F549" s="324"/>
      <c r="G549" s="154"/>
      <c r="H549" s="168"/>
      <c r="I549" s="324"/>
      <c r="J549" s="154"/>
      <c r="K549" s="168"/>
      <c r="L549" s="324"/>
      <c r="M549" s="330"/>
      <c r="N549" s="331"/>
      <c r="O549" s="332"/>
      <c r="P549" s="330"/>
      <c r="Q549" s="331"/>
      <c r="R549" s="332"/>
      <c r="S549" s="330"/>
      <c r="T549" s="331"/>
      <c r="U549" s="332"/>
      <c r="V549" s="154"/>
      <c r="W549" s="331"/>
      <c r="X549" s="324"/>
      <c r="Y549" s="205"/>
      <c r="Z549" s="205"/>
      <c r="AA549" s="205"/>
      <c r="AB549" s="17"/>
      <c r="AC549" s="17"/>
      <c r="AD549" s="17"/>
      <c r="AE549" s="17"/>
    </row>
    <row r="550">
      <c r="A550" s="154"/>
      <c r="B550" s="168"/>
      <c r="C550" s="324"/>
      <c r="D550" s="154"/>
      <c r="E550" s="168"/>
      <c r="F550" s="324"/>
      <c r="G550" s="154"/>
      <c r="H550" s="168"/>
      <c r="I550" s="324"/>
      <c r="J550" s="154"/>
      <c r="K550" s="168"/>
      <c r="L550" s="324"/>
      <c r="M550" s="330"/>
      <c r="N550" s="331"/>
      <c r="O550" s="332"/>
      <c r="P550" s="330"/>
      <c r="Q550" s="331"/>
      <c r="R550" s="332"/>
      <c r="S550" s="330"/>
      <c r="T550" s="331"/>
      <c r="U550" s="332"/>
      <c r="V550" s="154"/>
      <c r="W550" s="331"/>
      <c r="X550" s="324"/>
      <c r="Y550" s="205"/>
      <c r="Z550" s="205"/>
      <c r="AA550" s="205"/>
      <c r="AB550" s="17"/>
      <c r="AC550" s="17"/>
      <c r="AD550" s="17"/>
      <c r="AE550" s="17"/>
    </row>
    <row r="551">
      <c r="A551" s="154"/>
      <c r="B551" s="168"/>
      <c r="C551" s="324"/>
      <c r="D551" s="154"/>
      <c r="E551" s="168"/>
      <c r="F551" s="324"/>
      <c r="G551" s="154"/>
      <c r="H551" s="168"/>
      <c r="I551" s="324"/>
      <c r="J551" s="154"/>
      <c r="K551" s="168"/>
      <c r="L551" s="324"/>
      <c r="M551" s="330"/>
      <c r="N551" s="331"/>
      <c r="O551" s="332"/>
      <c r="P551" s="330"/>
      <c r="Q551" s="331"/>
      <c r="R551" s="332"/>
      <c r="S551" s="330"/>
      <c r="T551" s="331"/>
      <c r="U551" s="332"/>
      <c r="V551" s="154"/>
      <c r="W551" s="331"/>
      <c r="X551" s="324"/>
      <c r="Y551" s="205"/>
      <c r="Z551" s="205"/>
      <c r="AA551" s="205"/>
      <c r="AB551" s="17"/>
      <c r="AC551" s="17"/>
      <c r="AD551" s="17"/>
      <c r="AE551" s="17"/>
    </row>
    <row r="552">
      <c r="A552" s="154"/>
      <c r="B552" s="168"/>
      <c r="C552" s="324"/>
      <c r="D552" s="154"/>
      <c r="E552" s="168"/>
      <c r="F552" s="324"/>
      <c r="G552" s="154"/>
      <c r="H552" s="168"/>
      <c r="I552" s="324"/>
      <c r="J552" s="154"/>
      <c r="K552" s="168"/>
      <c r="L552" s="324"/>
      <c r="M552" s="330"/>
      <c r="N552" s="331"/>
      <c r="O552" s="332"/>
      <c r="P552" s="330"/>
      <c r="Q552" s="331"/>
      <c r="R552" s="332"/>
      <c r="S552" s="330"/>
      <c r="T552" s="331"/>
      <c r="U552" s="332"/>
      <c r="V552" s="154"/>
      <c r="W552" s="331"/>
      <c r="X552" s="324"/>
      <c r="Y552" s="205"/>
      <c r="Z552" s="205"/>
      <c r="AA552" s="205"/>
      <c r="AB552" s="17"/>
      <c r="AC552" s="17"/>
      <c r="AD552" s="17"/>
      <c r="AE552" s="17"/>
    </row>
    <row r="553">
      <c r="A553" s="154"/>
      <c r="B553" s="168"/>
      <c r="C553" s="324"/>
      <c r="D553" s="154"/>
      <c r="E553" s="168"/>
      <c r="F553" s="324"/>
      <c r="G553" s="154"/>
      <c r="H553" s="168"/>
      <c r="I553" s="324"/>
      <c r="J553" s="154"/>
      <c r="K553" s="168"/>
      <c r="L553" s="324"/>
      <c r="M553" s="330"/>
      <c r="N553" s="331"/>
      <c r="O553" s="332"/>
      <c r="P553" s="330"/>
      <c r="Q553" s="331"/>
      <c r="R553" s="332"/>
      <c r="S553" s="330"/>
      <c r="T553" s="331"/>
      <c r="U553" s="332"/>
      <c r="V553" s="154"/>
      <c r="W553" s="331"/>
      <c r="X553" s="324"/>
      <c r="Y553" s="205"/>
      <c r="Z553" s="205"/>
      <c r="AA553" s="205"/>
      <c r="AB553" s="17"/>
      <c r="AC553" s="17"/>
      <c r="AD553" s="17"/>
      <c r="AE553" s="17"/>
    </row>
    <row r="554">
      <c r="A554" s="154"/>
      <c r="B554" s="168"/>
      <c r="C554" s="324"/>
      <c r="D554" s="154"/>
      <c r="E554" s="168"/>
      <c r="F554" s="324"/>
      <c r="G554" s="154"/>
      <c r="H554" s="168"/>
      <c r="I554" s="324"/>
      <c r="J554" s="154"/>
      <c r="K554" s="168"/>
      <c r="L554" s="324"/>
      <c r="M554" s="330"/>
      <c r="N554" s="331"/>
      <c r="O554" s="332"/>
      <c r="P554" s="330"/>
      <c r="Q554" s="331"/>
      <c r="R554" s="332"/>
      <c r="S554" s="330"/>
      <c r="T554" s="331"/>
      <c r="U554" s="332"/>
      <c r="V554" s="154"/>
      <c r="W554" s="331"/>
      <c r="X554" s="324"/>
      <c r="Y554" s="205"/>
      <c r="Z554" s="205"/>
      <c r="AA554" s="205"/>
      <c r="AB554" s="17"/>
      <c r="AC554" s="17"/>
      <c r="AD554" s="17"/>
      <c r="AE554" s="17"/>
    </row>
    <row r="555">
      <c r="A555" s="154"/>
      <c r="B555" s="168"/>
      <c r="C555" s="324"/>
      <c r="D555" s="154"/>
      <c r="E555" s="168"/>
      <c r="F555" s="324"/>
      <c r="G555" s="154"/>
      <c r="H555" s="168"/>
      <c r="I555" s="324"/>
      <c r="J555" s="154"/>
      <c r="K555" s="168"/>
      <c r="L555" s="324"/>
      <c r="M555" s="330"/>
      <c r="N555" s="331"/>
      <c r="O555" s="332"/>
      <c r="P555" s="330"/>
      <c r="Q555" s="331"/>
      <c r="R555" s="332"/>
      <c r="S555" s="330"/>
      <c r="T555" s="331"/>
      <c r="U555" s="332"/>
      <c r="V555" s="154"/>
      <c r="W555" s="331"/>
      <c r="X555" s="324"/>
      <c r="Y555" s="205"/>
      <c r="Z555" s="205"/>
      <c r="AA555" s="205"/>
      <c r="AB555" s="17"/>
      <c r="AC555" s="17"/>
      <c r="AD555" s="17"/>
      <c r="AE555" s="17"/>
    </row>
    <row r="556">
      <c r="A556" s="154"/>
      <c r="B556" s="168"/>
      <c r="C556" s="324"/>
      <c r="D556" s="154"/>
      <c r="E556" s="168"/>
      <c r="F556" s="324"/>
      <c r="G556" s="154"/>
      <c r="H556" s="168"/>
      <c r="I556" s="324"/>
      <c r="J556" s="154"/>
      <c r="K556" s="168"/>
      <c r="L556" s="324"/>
      <c r="M556" s="330"/>
      <c r="N556" s="331"/>
      <c r="O556" s="332"/>
      <c r="P556" s="330"/>
      <c r="Q556" s="331"/>
      <c r="R556" s="332"/>
      <c r="S556" s="330"/>
      <c r="T556" s="331"/>
      <c r="U556" s="332"/>
      <c r="V556" s="154"/>
      <c r="W556" s="331"/>
      <c r="X556" s="324"/>
      <c r="Y556" s="205"/>
      <c r="Z556" s="205"/>
      <c r="AA556" s="205"/>
      <c r="AB556" s="17"/>
      <c r="AC556" s="17"/>
      <c r="AD556" s="17"/>
      <c r="AE556" s="17"/>
    </row>
    <row r="557">
      <c r="A557" s="154"/>
      <c r="B557" s="168"/>
      <c r="C557" s="324"/>
      <c r="D557" s="154"/>
      <c r="E557" s="168"/>
      <c r="F557" s="324"/>
      <c r="G557" s="154"/>
      <c r="H557" s="168"/>
      <c r="I557" s="324"/>
      <c r="J557" s="154"/>
      <c r="K557" s="168"/>
      <c r="L557" s="324"/>
      <c r="M557" s="330"/>
      <c r="N557" s="331"/>
      <c r="O557" s="332"/>
      <c r="P557" s="330"/>
      <c r="Q557" s="331"/>
      <c r="R557" s="332"/>
      <c r="S557" s="330"/>
      <c r="T557" s="331"/>
      <c r="U557" s="332"/>
      <c r="V557" s="154"/>
      <c r="W557" s="331"/>
      <c r="X557" s="324"/>
      <c r="Y557" s="205"/>
      <c r="Z557" s="205"/>
      <c r="AA557" s="205"/>
      <c r="AB557" s="17"/>
      <c r="AC557" s="17"/>
      <c r="AD557" s="17"/>
      <c r="AE557" s="17"/>
    </row>
    <row r="558">
      <c r="A558" s="154"/>
      <c r="B558" s="168"/>
      <c r="C558" s="324"/>
      <c r="D558" s="154"/>
      <c r="E558" s="168"/>
      <c r="F558" s="324"/>
      <c r="G558" s="154"/>
      <c r="H558" s="168"/>
      <c r="I558" s="324"/>
      <c r="J558" s="154"/>
      <c r="K558" s="168"/>
      <c r="L558" s="324"/>
      <c r="M558" s="330"/>
      <c r="N558" s="331"/>
      <c r="O558" s="332"/>
      <c r="P558" s="330"/>
      <c r="Q558" s="331"/>
      <c r="R558" s="332"/>
      <c r="S558" s="330"/>
      <c r="T558" s="331"/>
      <c r="U558" s="332"/>
      <c r="V558" s="154"/>
      <c r="W558" s="331"/>
      <c r="X558" s="324"/>
      <c r="Y558" s="205"/>
      <c r="Z558" s="205"/>
      <c r="AA558" s="205"/>
      <c r="AB558" s="17"/>
      <c r="AC558" s="17"/>
      <c r="AD558" s="17"/>
      <c r="AE558" s="17"/>
    </row>
    <row r="559">
      <c r="A559" s="154"/>
      <c r="B559" s="168"/>
      <c r="C559" s="324"/>
      <c r="D559" s="154"/>
      <c r="E559" s="168"/>
      <c r="F559" s="324"/>
      <c r="G559" s="154"/>
      <c r="H559" s="168"/>
      <c r="I559" s="324"/>
      <c r="J559" s="154"/>
      <c r="K559" s="168"/>
      <c r="L559" s="324"/>
      <c r="M559" s="330"/>
      <c r="N559" s="331"/>
      <c r="O559" s="332"/>
      <c r="P559" s="330"/>
      <c r="Q559" s="331"/>
      <c r="R559" s="332"/>
      <c r="S559" s="330"/>
      <c r="T559" s="331"/>
      <c r="U559" s="332"/>
      <c r="V559" s="154"/>
      <c r="W559" s="331"/>
      <c r="X559" s="324"/>
      <c r="Y559" s="205"/>
      <c r="Z559" s="205"/>
      <c r="AA559" s="205"/>
      <c r="AB559" s="17"/>
      <c r="AC559" s="17"/>
      <c r="AD559" s="17"/>
      <c r="AE559" s="17"/>
    </row>
    <row r="560">
      <c r="A560" s="154"/>
      <c r="B560" s="168"/>
      <c r="C560" s="324"/>
      <c r="D560" s="154"/>
      <c r="E560" s="168"/>
      <c r="F560" s="324"/>
      <c r="G560" s="154"/>
      <c r="H560" s="168"/>
      <c r="I560" s="324"/>
      <c r="J560" s="154"/>
      <c r="K560" s="168"/>
      <c r="L560" s="324"/>
      <c r="M560" s="330"/>
      <c r="N560" s="331"/>
      <c r="O560" s="332"/>
      <c r="P560" s="330"/>
      <c r="Q560" s="331"/>
      <c r="R560" s="332"/>
      <c r="S560" s="330"/>
      <c r="T560" s="331"/>
      <c r="U560" s="332"/>
      <c r="V560" s="154"/>
      <c r="W560" s="331"/>
      <c r="X560" s="324"/>
      <c r="Y560" s="205"/>
      <c r="Z560" s="205"/>
      <c r="AA560" s="205"/>
      <c r="AB560" s="17"/>
      <c r="AC560" s="17"/>
      <c r="AD560" s="17"/>
      <c r="AE560" s="17"/>
    </row>
    <row r="561">
      <c r="A561" s="154"/>
      <c r="B561" s="168"/>
      <c r="C561" s="324"/>
      <c r="D561" s="154"/>
      <c r="E561" s="168"/>
      <c r="F561" s="324"/>
      <c r="G561" s="154"/>
      <c r="H561" s="168"/>
      <c r="I561" s="324"/>
      <c r="J561" s="154"/>
      <c r="K561" s="168"/>
      <c r="L561" s="324"/>
      <c r="M561" s="330"/>
      <c r="N561" s="331"/>
      <c r="O561" s="332"/>
      <c r="P561" s="330"/>
      <c r="Q561" s="331"/>
      <c r="R561" s="332"/>
      <c r="S561" s="330"/>
      <c r="T561" s="331"/>
      <c r="U561" s="332"/>
      <c r="V561" s="154"/>
      <c r="W561" s="331"/>
      <c r="X561" s="324"/>
      <c r="Y561" s="205"/>
      <c r="Z561" s="205"/>
      <c r="AA561" s="205"/>
      <c r="AB561" s="17"/>
      <c r="AC561" s="17"/>
      <c r="AD561" s="17"/>
      <c r="AE561" s="17"/>
    </row>
    <row r="562">
      <c r="A562" s="154"/>
      <c r="B562" s="168"/>
      <c r="C562" s="324"/>
      <c r="D562" s="154"/>
      <c r="E562" s="168"/>
      <c r="F562" s="324"/>
      <c r="G562" s="154"/>
      <c r="H562" s="168"/>
      <c r="I562" s="324"/>
      <c r="J562" s="154"/>
      <c r="K562" s="168"/>
      <c r="L562" s="324"/>
      <c r="M562" s="330"/>
      <c r="N562" s="331"/>
      <c r="O562" s="332"/>
      <c r="P562" s="330"/>
      <c r="Q562" s="331"/>
      <c r="R562" s="332"/>
      <c r="S562" s="330"/>
      <c r="T562" s="331"/>
      <c r="U562" s="332"/>
      <c r="V562" s="154"/>
      <c r="W562" s="331"/>
      <c r="X562" s="324"/>
      <c r="Y562" s="205"/>
      <c r="Z562" s="205"/>
      <c r="AA562" s="205"/>
      <c r="AB562" s="17"/>
      <c r="AC562" s="17"/>
      <c r="AD562" s="17"/>
      <c r="AE562" s="17"/>
    </row>
    <row r="563">
      <c r="A563" s="154"/>
      <c r="B563" s="168"/>
      <c r="C563" s="324"/>
      <c r="D563" s="154"/>
      <c r="E563" s="168"/>
      <c r="F563" s="324"/>
      <c r="G563" s="154"/>
      <c r="H563" s="168"/>
      <c r="I563" s="324"/>
      <c r="J563" s="154"/>
      <c r="K563" s="168"/>
      <c r="L563" s="324"/>
      <c r="M563" s="330"/>
      <c r="N563" s="331"/>
      <c r="O563" s="332"/>
      <c r="P563" s="330"/>
      <c r="Q563" s="331"/>
      <c r="R563" s="332"/>
      <c r="S563" s="330"/>
      <c r="T563" s="331"/>
      <c r="U563" s="332"/>
      <c r="V563" s="154"/>
      <c r="W563" s="331"/>
      <c r="X563" s="324"/>
      <c r="Y563" s="205"/>
      <c r="Z563" s="205"/>
      <c r="AA563" s="205"/>
      <c r="AB563" s="17"/>
      <c r="AC563" s="17"/>
      <c r="AD563" s="17"/>
      <c r="AE563" s="17"/>
    </row>
    <row r="564">
      <c r="A564" s="154"/>
      <c r="B564" s="168"/>
      <c r="C564" s="324"/>
      <c r="D564" s="154"/>
      <c r="E564" s="168"/>
      <c r="F564" s="324"/>
      <c r="G564" s="154"/>
      <c r="H564" s="168"/>
      <c r="I564" s="324"/>
      <c r="J564" s="154"/>
      <c r="K564" s="168"/>
      <c r="L564" s="324"/>
      <c r="M564" s="330"/>
      <c r="N564" s="331"/>
      <c r="O564" s="332"/>
      <c r="P564" s="330"/>
      <c r="Q564" s="331"/>
      <c r="R564" s="332"/>
      <c r="S564" s="330"/>
      <c r="T564" s="331"/>
      <c r="U564" s="332"/>
      <c r="V564" s="154"/>
      <c r="W564" s="331"/>
      <c r="X564" s="324"/>
      <c r="Y564" s="205"/>
      <c r="Z564" s="205"/>
      <c r="AA564" s="205"/>
      <c r="AB564" s="17"/>
      <c r="AC564" s="17"/>
      <c r="AD564" s="17"/>
      <c r="AE564" s="17"/>
    </row>
    <row r="565">
      <c r="A565" s="154"/>
      <c r="B565" s="168"/>
      <c r="C565" s="324"/>
      <c r="D565" s="154"/>
      <c r="E565" s="168"/>
      <c r="F565" s="324"/>
      <c r="G565" s="154"/>
      <c r="H565" s="168"/>
      <c r="I565" s="324"/>
      <c r="J565" s="154"/>
      <c r="K565" s="168"/>
      <c r="L565" s="324"/>
      <c r="M565" s="330"/>
      <c r="N565" s="331"/>
      <c r="O565" s="332"/>
      <c r="P565" s="330"/>
      <c r="Q565" s="331"/>
      <c r="R565" s="332"/>
      <c r="S565" s="330"/>
      <c r="T565" s="331"/>
      <c r="U565" s="332"/>
      <c r="V565" s="154"/>
      <c r="W565" s="331"/>
      <c r="X565" s="324"/>
      <c r="Y565" s="205"/>
      <c r="Z565" s="205"/>
      <c r="AA565" s="205"/>
      <c r="AB565" s="17"/>
      <c r="AC565" s="17"/>
      <c r="AD565" s="17"/>
      <c r="AE565" s="17"/>
    </row>
    <row r="566">
      <c r="A566" s="154"/>
      <c r="B566" s="168"/>
      <c r="C566" s="324"/>
      <c r="D566" s="154"/>
      <c r="E566" s="168"/>
      <c r="F566" s="324"/>
      <c r="G566" s="154"/>
      <c r="H566" s="168"/>
      <c r="I566" s="324"/>
      <c r="J566" s="154"/>
      <c r="K566" s="168"/>
      <c r="L566" s="324"/>
      <c r="M566" s="330"/>
      <c r="N566" s="331"/>
      <c r="O566" s="332"/>
      <c r="P566" s="330"/>
      <c r="Q566" s="331"/>
      <c r="R566" s="332"/>
      <c r="S566" s="330"/>
      <c r="T566" s="331"/>
      <c r="U566" s="332"/>
      <c r="V566" s="154"/>
      <c r="W566" s="331"/>
      <c r="X566" s="324"/>
      <c r="Y566" s="205"/>
      <c r="Z566" s="205"/>
      <c r="AA566" s="205"/>
      <c r="AB566" s="17"/>
      <c r="AC566" s="17"/>
      <c r="AD566" s="17"/>
      <c r="AE566" s="17"/>
    </row>
    <row r="567">
      <c r="A567" s="154"/>
      <c r="B567" s="168"/>
      <c r="C567" s="324"/>
      <c r="D567" s="154"/>
      <c r="E567" s="168"/>
      <c r="F567" s="324"/>
      <c r="G567" s="154"/>
      <c r="H567" s="168"/>
      <c r="I567" s="324"/>
      <c r="J567" s="154"/>
      <c r="K567" s="168"/>
      <c r="L567" s="324"/>
      <c r="M567" s="330"/>
      <c r="N567" s="331"/>
      <c r="O567" s="332"/>
      <c r="P567" s="330"/>
      <c r="Q567" s="331"/>
      <c r="R567" s="332"/>
      <c r="S567" s="330"/>
      <c r="T567" s="331"/>
      <c r="U567" s="332"/>
      <c r="V567" s="154"/>
      <c r="W567" s="331"/>
      <c r="X567" s="324"/>
      <c r="Y567" s="205"/>
      <c r="Z567" s="205"/>
      <c r="AA567" s="205"/>
      <c r="AB567" s="17"/>
      <c r="AC567" s="17"/>
      <c r="AD567" s="17"/>
      <c r="AE567" s="17"/>
    </row>
    <row r="568">
      <c r="A568" s="154"/>
      <c r="B568" s="168"/>
      <c r="C568" s="324"/>
      <c r="D568" s="154"/>
      <c r="E568" s="168"/>
      <c r="F568" s="324"/>
      <c r="G568" s="154"/>
      <c r="H568" s="168"/>
      <c r="I568" s="324"/>
      <c r="J568" s="154"/>
      <c r="K568" s="168"/>
      <c r="L568" s="324"/>
      <c r="M568" s="330"/>
      <c r="N568" s="331"/>
      <c r="O568" s="332"/>
      <c r="P568" s="330"/>
      <c r="Q568" s="331"/>
      <c r="R568" s="332"/>
      <c r="S568" s="330"/>
      <c r="T568" s="331"/>
      <c r="U568" s="332"/>
      <c r="V568" s="154"/>
      <c r="W568" s="331"/>
      <c r="X568" s="324"/>
      <c r="Y568" s="205"/>
      <c r="Z568" s="205"/>
      <c r="AA568" s="205"/>
      <c r="AB568" s="17"/>
      <c r="AC568" s="17"/>
      <c r="AD568" s="17"/>
      <c r="AE568" s="17"/>
    </row>
    <row r="569">
      <c r="A569" s="154"/>
      <c r="B569" s="168"/>
      <c r="C569" s="324"/>
      <c r="D569" s="154"/>
      <c r="E569" s="168"/>
      <c r="F569" s="324"/>
      <c r="G569" s="154"/>
      <c r="H569" s="168"/>
      <c r="I569" s="324"/>
      <c r="J569" s="154"/>
      <c r="K569" s="168"/>
      <c r="L569" s="324"/>
      <c r="M569" s="330"/>
      <c r="N569" s="331"/>
      <c r="O569" s="332"/>
      <c r="P569" s="330"/>
      <c r="Q569" s="331"/>
      <c r="R569" s="332"/>
      <c r="S569" s="330"/>
      <c r="T569" s="331"/>
      <c r="U569" s="332"/>
      <c r="V569" s="154"/>
      <c r="W569" s="331"/>
      <c r="X569" s="324"/>
      <c r="Y569" s="205"/>
      <c r="Z569" s="205"/>
      <c r="AA569" s="205"/>
      <c r="AB569" s="17"/>
      <c r="AC569" s="17"/>
      <c r="AD569" s="17"/>
      <c r="AE569" s="17"/>
    </row>
    <row r="570">
      <c r="A570" s="154"/>
      <c r="B570" s="168"/>
      <c r="C570" s="324"/>
      <c r="D570" s="154"/>
      <c r="E570" s="168"/>
      <c r="F570" s="324"/>
      <c r="G570" s="154"/>
      <c r="H570" s="168"/>
      <c r="I570" s="324"/>
      <c r="J570" s="154"/>
      <c r="K570" s="168"/>
      <c r="L570" s="324"/>
      <c r="M570" s="330"/>
      <c r="N570" s="331"/>
      <c r="O570" s="332"/>
      <c r="P570" s="330"/>
      <c r="Q570" s="331"/>
      <c r="R570" s="332"/>
      <c r="S570" s="330"/>
      <c r="T570" s="331"/>
      <c r="U570" s="332"/>
      <c r="V570" s="154"/>
      <c r="W570" s="331"/>
      <c r="X570" s="324"/>
      <c r="Y570" s="205"/>
      <c r="Z570" s="205"/>
      <c r="AA570" s="205"/>
      <c r="AB570" s="17"/>
      <c r="AC570" s="17"/>
      <c r="AD570" s="17"/>
      <c r="AE570" s="17"/>
    </row>
    <row r="571">
      <c r="A571" s="154"/>
      <c r="B571" s="168"/>
      <c r="C571" s="324"/>
      <c r="D571" s="154"/>
      <c r="E571" s="168"/>
      <c r="F571" s="324"/>
      <c r="G571" s="154"/>
      <c r="H571" s="168"/>
      <c r="I571" s="324"/>
      <c r="J571" s="154"/>
      <c r="K571" s="168"/>
      <c r="L571" s="324"/>
      <c r="M571" s="330"/>
      <c r="N571" s="331"/>
      <c r="O571" s="332"/>
      <c r="P571" s="330"/>
      <c r="Q571" s="331"/>
      <c r="R571" s="332"/>
      <c r="S571" s="330"/>
      <c r="T571" s="331"/>
      <c r="U571" s="332"/>
      <c r="V571" s="154"/>
      <c r="W571" s="331"/>
      <c r="X571" s="324"/>
      <c r="Y571" s="205"/>
      <c r="Z571" s="205"/>
      <c r="AA571" s="205"/>
      <c r="AB571" s="17"/>
      <c r="AC571" s="17"/>
      <c r="AD571" s="17"/>
      <c r="AE571" s="17"/>
    </row>
    <row r="572">
      <c r="A572" s="154"/>
      <c r="B572" s="168"/>
      <c r="C572" s="324"/>
      <c r="D572" s="154"/>
      <c r="E572" s="168"/>
      <c r="F572" s="324"/>
      <c r="G572" s="154"/>
      <c r="H572" s="168"/>
      <c r="I572" s="324"/>
      <c r="J572" s="154"/>
      <c r="K572" s="168"/>
      <c r="L572" s="324"/>
      <c r="M572" s="330"/>
      <c r="N572" s="331"/>
      <c r="O572" s="332"/>
      <c r="P572" s="330"/>
      <c r="Q572" s="331"/>
      <c r="R572" s="332"/>
      <c r="S572" s="330"/>
      <c r="T572" s="331"/>
      <c r="U572" s="332"/>
      <c r="V572" s="154"/>
      <c r="W572" s="331"/>
      <c r="X572" s="324"/>
      <c r="Y572" s="205"/>
      <c r="Z572" s="205"/>
      <c r="AA572" s="205"/>
      <c r="AB572" s="17"/>
      <c r="AC572" s="17"/>
      <c r="AD572" s="17"/>
      <c r="AE572" s="17"/>
    </row>
    <row r="573">
      <c r="A573" s="154"/>
      <c r="B573" s="168"/>
      <c r="C573" s="324"/>
      <c r="D573" s="154"/>
      <c r="E573" s="168"/>
      <c r="F573" s="324"/>
      <c r="G573" s="154"/>
      <c r="H573" s="168"/>
      <c r="I573" s="324"/>
      <c r="J573" s="154"/>
      <c r="K573" s="168"/>
      <c r="L573" s="324"/>
      <c r="M573" s="330"/>
      <c r="N573" s="331"/>
      <c r="O573" s="332"/>
      <c r="P573" s="330"/>
      <c r="Q573" s="331"/>
      <c r="R573" s="332"/>
      <c r="S573" s="330"/>
      <c r="T573" s="331"/>
      <c r="U573" s="332"/>
      <c r="V573" s="154"/>
      <c r="W573" s="331"/>
      <c r="X573" s="324"/>
      <c r="Y573" s="205"/>
      <c r="Z573" s="205"/>
      <c r="AA573" s="205"/>
      <c r="AB573" s="17"/>
      <c r="AC573" s="17"/>
      <c r="AD573" s="17"/>
      <c r="AE573" s="17"/>
    </row>
    <row r="574">
      <c r="A574" s="154"/>
      <c r="B574" s="168"/>
      <c r="C574" s="324"/>
      <c r="D574" s="154"/>
      <c r="E574" s="168"/>
      <c r="F574" s="324"/>
      <c r="G574" s="154"/>
      <c r="H574" s="168"/>
      <c r="I574" s="324"/>
      <c r="J574" s="154"/>
      <c r="K574" s="168"/>
      <c r="L574" s="324"/>
      <c r="M574" s="330"/>
      <c r="N574" s="331"/>
      <c r="O574" s="332"/>
      <c r="P574" s="330"/>
      <c r="Q574" s="331"/>
      <c r="R574" s="332"/>
      <c r="S574" s="330"/>
      <c r="T574" s="331"/>
      <c r="U574" s="332"/>
      <c r="V574" s="154"/>
      <c r="W574" s="331"/>
      <c r="X574" s="324"/>
      <c r="Y574" s="205"/>
      <c r="Z574" s="205"/>
      <c r="AA574" s="205"/>
      <c r="AB574" s="17"/>
      <c r="AC574" s="17"/>
      <c r="AD574" s="17"/>
      <c r="AE574" s="17"/>
    </row>
    <row r="575">
      <c r="A575" s="154"/>
      <c r="B575" s="168"/>
      <c r="C575" s="324"/>
      <c r="D575" s="154"/>
      <c r="E575" s="168"/>
      <c r="F575" s="324"/>
      <c r="G575" s="154"/>
      <c r="H575" s="168"/>
      <c r="I575" s="324"/>
      <c r="J575" s="154"/>
      <c r="K575" s="168"/>
      <c r="L575" s="324"/>
      <c r="M575" s="330"/>
      <c r="N575" s="331"/>
      <c r="O575" s="332"/>
      <c r="P575" s="330"/>
      <c r="Q575" s="331"/>
      <c r="R575" s="332"/>
      <c r="S575" s="330"/>
      <c r="T575" s="331"/>
      <c r="U575" s="332"/>
      <c r="V575" s="154"/>
      <c r="W575" s="331"/>
      <c r="X575" s="324"/>
      <c r="Y575" s="205"/>
      <c r="Z575" s="205"/>
      <c r="AA575" s="205"/>
      <c r="AB575" s="17"/>
      <c r="AC575" s="17"/>
      <c r="AD575" s="17"/>
      <c r="AE575" s="17"/>
    </row>
    <row r="576">
      <c r="A576" s="154"/>
      <c r="B576" s="168"/>
      <c r="C576" s="324"/>
      <c r="D576" s="154"/>
      <c r="E576" s="168"/>
      <c r="F576" s="324"/>
      <c r="G576" s="154"/>
      <c r="H576" s="168"/>
      <c r="I576" s="324"/>
      <c r="J576" s="154"/>
      <c r="K576" s="168"/>
      <c r="L576" s="324"/>
      <c r="M576" s="330"/>
      <c r="N576" s="331"/>
      <c r="O576" s="332"/>
      <c r="P576" s="330"/>
      <c r="Q576" s="331"/>
      <c r="R576" s="332"/>
      <c r="S576" s="330"/>
      <c r="T576" s="331"/>
      <c r="U576" s="332"/>
      <c r="V576" s="154"/>
      <c r="W576" s="331"/>
      <c r="X576" s="324"/>
      <c r="Y576" s="205"/>
      <c r="Z576" s="205"/>
      <c r="AA576" s="205"/>
      <c r="AB576" s="17"/>
      <c r="AC576" s="17"/>
      <c r="AD576" s="17"/>
      <c r="AE576" s="17"/>
    </row>
    <row r="577">
      <c r="A577" s="154"/>
      <c r="B577" s="168"/>
      <c r="C577" s="324"/>
      <c r="D577" s="154"/>
      <c r="E577" s="168"/>
      <c r="F577" s="324"/>
      <c r="G577" s="154"/>
      <c r="H577" s="168"/>
      <c r="I577" s="324"/>
      <c r="J577" s="154"/>
      <c r="K577" s="168"/>
      <c r="L577" s="324"/>
      <c r="M577" s="330"/>
      <c r="N577" s="331"/>
      <c r="O577" s="332"/>
      <c r="P577" s="330"/>
      <c r="Q577" s="331"/>
      <c r="R577" s="332"/>
      <c r="S577" s="330"/>
      <c r="T577" s="331"/>
      <c r="U577" s="332"/>
      <c r="V577" s="154"/>
      <c r="W577" s="331"/>
      <c r="X577" s="324"/>
      <c r="Y577" s="205"/>
      <c r="Z577" s="205"/>
      <c r="AA577" s="205"/>
      <c r="AB577" s="17"/>
      <c r="AC577" s="17"/>
      <c r="AD577" s="17"/>
      <c r="AE577" s="17"/>
    </row>
    <row r="578">
      <c r="A578" s="154"/>
      <c r="B578" s="168"/>
      <c r="C578" s="324"/>
      <c r="D578" s="154"/>
      <c r="E578" s="168"/>
      <c r="F578" s="324"/>
      <c r="G578" s="154"/>
      <c r="H578" s="168"/>
      <c r="I578" s="324"/>
      <c r="J578" s="154"/>
      <c r="K578" s="168"/>
      <c r="L578" s="324"/>
      <c r="M578" s="330"/>
      <c r="N578" s="331"/>
      <c r="O578" s="332"/>
      <c r="P578" s="330"/>
      <c r="Q578" s="331"/>
      <c r="R578" s="332"/>
      <c r="S578" s="330"/>
      <c r="T578" s="331"/>
      <c r="U578" s="332"/>
      <c r="V578" s="154"/>
      <c r="W578" s="331"/>
      <c r="X578" s="324"/>
      <c r="Y578" s="205"/>
      <c r="Z578" s="205"/>
      <c r="AA578" s="205"/>
      <c r="AB578" s="17"/>
      <c r="AC578" s="17"/>
      <c r="AD578" s="17"/>
      <c r="AE578" s="17"/>
    </row>
    <row r="579">
      <c r="A579" s="154"/>
      <c r="B579" s="168"/>
      <c r="C579" s="324"/>
      <c r="D579" s="154"/>
      <c r="E579" s="168"/>
      <c r="F579" s="324"/>
      <c r="G579" s="154"/>
      <c r="H579" s="168"/>
      <c r="I579" s="324"/>
      <c r="J579" s="154"/>
      <c r="K579" s="168"/>
      <c r="L579" s="324"/>
      <c r="M579" s="330"/>
      <c r="N579" s="331"/>
      <c r="O579" s="332"/>
      <c r="P579" s="330"/>
      <c r="Q579" s="331"/>
      <c r="R579" s="332"/>
      <c r="S579" s="330"/>
      <c r="T579" s="331"/>
      <c r="U579" s="332"/>
      <c r="V579" s="154"/>
      <c r="W579" s="331"/>
      <c r="X579" s="324"/>
      <c r="Y579" s="205"/>
      <c r="Z579" s="205"/>
      <c r="AA579" s="205"/>
      <c r="AB579" s="17"/>
      <c r="AC579" s="17"/>
      <c r="AD579" s="17"/>
      <c r="AE579" s="17"/>
    </row>
    <row r="580">
      <c r="A580" s="154"/>
      <c r="B580" s="168"/>
      <c r="C580" s="324"/>
      <c r="D580" s="154"/>
      <c r="E580" s="168"/>
      <c r="F580" s="324"/>
      <c r="G580" s="154"/>
      <c r="H580" s="168"/>
      <c r="I580" s="324"/>
      <c r="J580" s="154"/>
      <c r="K580" s="168"/>
      <c r="L580" s="324"/>
      <c r="M580" s="330"/>
      <c r="N580" s="331"/>
      <c r="O580" s="332"/>
      <c r="P580" s="330"/>
      <c r="Q580" s="331"/>
      <c r="R580" s="332"/>
      <c r="S580" s="330"/>
      <c r="T580" s="331"/>
      <c r="U580" s="332"/>
      <c r="V580" s="154"/>
      <c r="W580" s="331"/>
      <c r="X580" s="324"/>
      <c r="Y580" s="205"/>
      <c r="Z580" s="205"/>
      <c r="AA580" s="205"/>
      <c r="AB580" s="17"/>
      <c r="AC580" s="17"/>
      <c r="AD580" s="17"/>
      <c r="AE580" s="17"/>
    </row>
    <row r="581">
      <c r="A581" s="154"/>
      <c r="B581" s="168"/>
      <c r="C581" s="324"/>
      <c r="D581" s="154"/>
      <c r="E581" s="168"/>
      <c r="F581" s="324"/>
      <c r="G581" s="154"/>
      <c r="H581" s="168"/>
      <c r="I581" s="324"/>
      <c r="J581" s="154"/>
      <c r="K581" s="168"/>
      <c r="L581" s="324"/>
      <c r="M581" s="330"/>
      <c r="N581" s="331"/>
      <c r="O581" s="332"/>
      <c r="P581" s="330"/>
      <c r="Q581" s="331"/>
      <c r="R581" s="332"/>
      <c r="S581" s="330"/>
      <c r="T581" s="331"/>
      <c r="U581" s="332"/>
      <c r="V581" s="154"/>
      <c r="W581" s="331"/>
      <c r="X581" s="324"/>
      <c r="Y581" s="205"/>
      <c r="Z581" s="205"/>
      <c r="AA581" s="205"/>
      <c r="AB581" s="17"/>
      <c r="AC581" s="17"/>
      <c r="AD581" s="17"/>
      <c r="AE581" s="17"/>
    </row>
    <row r="582">
      <c r="A582" s="154"/>
      <c r="B582" s="168"/>
      <c r="C582" s="324"/>
      <c r="D582" s="154"/>
      <c r="E582" s="168"/>
      <c r="F582" s="324"/>
      <c r="G582" s="154"/>
      <c r="H582" s="168"/>
      <c r="I582" s="324"/>
      <c r="J582" s="154"/>
      <c r="K582" s="168"/>
      <c r="L582" s="324"/>
      <c r="M582" s="330"/>
      <c r="N582" s="331"/>
      <c r="O582" s="332"/>
      <c r="P582" s="330"/>
      <c r="Q582" s="331"/>
      <c r="R582" s="332"/>
      <c r="S582" s="330"/>
      <c r="T582" s="331"/>
      <c r="U582" s="332"/>
      <c r="V582" s="154"/>
      <c r="W582" s="331"/>
      <c r="X582" s="324"/>
      <c r="Y582" s="205"/>
      <c r="Z582" s="205"/>
      <c r="AA582" s="205"/>
      <c r="AB582" s="17"/>
      <c r="AC582" s="17"/>
      <c r="AD582" s="17"/>
      <c r="AE582" s="17"/>
    </row>
    <row r="583">
      <c r="A583" s="154"/>
      <c r="B583" s="168"/>
      <c r="C583" s="324"/>
      <c r="D583" s="154"/>
      <c r="E583" s="168"/>
      <c r="F583" s="324"/>
      <c r="G583" s="154"/>
      <c r="H583" s="168"/>
      <c r="I583" s="324"/>
      <c r="J583" s="154"/>
      <c r="K583" s="168"/>
      <c r="L583" s="324"/>
      <c r="M583" s="330"/>
      <c r="N583" s="331"/>
      <c r="O583" s="332"/>
      <c r="P583" s="330"/>
      <c r="Q583" s="331"/>
      <c r="R583" s="332"/>
      <c r="S583" s="330"/>
      <c r="T583" s="331"/>
      <c r="U583" s="332"/>
      <c r="V583" s="154"/>
      <c r="W583" s="331"/>
      <c r="X583" s="324"/>
      <c r="Y583" s="205"/>
      <c r="Z583" s="205"/>
      <c r="AA583" s="205"/>
      <c r="AB583" s="17"/>
      <c r="AC583" s="17"/>
      <c r="AD583" s="17"/>
      <c r="AE583" s="17"/>
    </row>
    <row r="584">
      <c r="A584" s="154"/>
      <c r="B584" s="168"/>
      <c r="C584" s="324"/>
      <c r="D584" s="154"/>
      <c r="E584" s="168"/>
      <c r="F584" s="324"/>
      <c r="G584" s="154"/>
      <c r="H584" s="168"/>
      <c r="I584" s="324"/>
      <c r="J584" s="154"/>
      <c r="K584" s="168"/>
      <c r="L584" s="324"/>
      <c r="M584" s="330"/>
      <c r="N584" s="331"/>
      <c r="O584" s="332"/>
      <c r="P584" s="330"/>
      <c r="Q584" s="331"/>
      <c r="R584" s="332"/>
      <c r="S584" s="330"/>
      <c r="T584" s="331"/>
      <c r="U584" s="332"/>
      <c r="V584" s="154"/>
      <c r="W584" s="331"/>
      <c r="X584" s="324"/>
      <c r="Y584" s="205"/>
      <c r="Z584" s="205"/>
      <c r="AA584" s="205"/>
      <c r="AB584" s="17"/>
      <c r="AC584" s="17"/>
      <c r="AD584" s="17"/>
      <c r="AE584" s="17"/>
    </row>
    <row r="585">
      <c r="A585" s="154"/>
      <c r="B585" s="168"/>
      <c r="C585" s="324"/>
      <c r="D585" s="154"/>
      <c r="E585" s="168"/>
      <c r="F585" s="324"/>
      <c r="G585" s="154"/>
      <c r="H585" s="168"/>
      <c r="I585" s="324"/>
      <c r="J585" s="154"/>
      <c r="K585" s="168"/>
      <c r="L585" s="324"/>
      <c r="M585" s="330"/>
      <c r="N585" s="331"/>
      <c r="O585" s="332"/>
      <c r="P585" s="330"/>
      <c r="Q585" s="331"/>
      <c r="R585" s="332"/>
      <c r="S585" s="330"/>
      <c r="T585" s="331"/>
      <c r="U585" s="332"/>
      <c r="V585" s="154"/>
      <c r="W585" s="331"/>
      <c r="X585" s="324"/>
      <c r="Y585" s="205"/>
      <c r="Z585" s="205"/>
      <c r="AA585" s="205"/>
      <c r="AB585" s="17"/>
      <c r="AC585" s="17"/>
      <c r="AD585" s="17"/>
      <c r="AE585" s="17"/>
    </row>
    <row r="586">
      <c r="A586" s="154"/>
      <c r="B586" s="168"/>
      <c r="C586" s="324"/>
      <c r="D586" s="154"/>
      <c r="E586" s="168"/>
      <c r="F586" s="324"/>
      <c r="G586" s="154"/>
      <c r="H586" s="168"/>
      <c r="I586" s="324"/>
      <c r="J586" s="154"/>
      <c r="K586" s="168"/>
      <c r="L586" s="324"/>
      <c r="M586" s="330"/>
      <c r="N586" s="331"/>
      <c r="O586" s="332"/>
      <c r="P586" s="330"/>
      <c r="Q586" s="331"/>
      <c r="R586" s="332"/>
      <c r="S586" s="330"/>
      <c r="T586" s="331"/>
      <c r="U586" s="332"/>
      <c r="V586" s="154"/>
      <c r="W586" s="331"/>
      <c r="X586" s="324"/>
      <c r="Y586" s="205"/>
      <c r="Z586" s="205"/>
      <c r="AA586" s="205"/>
      <c r="AB586" s="17"/>
      <c r="AC586" s="17"/>
      <c r="AD586" s="17"/>
      <c r="AE586" s="17"/>
    </row>
    <row r="587">
      <c r="A587" s="154"/>
      <c r="B587" s="168"/>
      <c r="C587" s="324"/>
      <c r="D587" s="154"/>
      <c r="E587" s="168"/>
      <c r="F587" s="324"/>
      <c r="G587" s="154"/>
      <c r="H587" s="168"/>
      <c r="I587" s="324"/>
      <c r="J587" s="154"/>
      <c r="K587" s="168"/>
      <c r="L587" s="324"/>
      <c r="M587" s="330"/>
      <c r="N587" s="331"/>
      <c r="O587" s="332"/>
      <c r="P587" s="330"/>
      <c r="Q587" s="331"/>
      <c r="R587" s="332"/>
      <c r="S587" s="330"/>
      <c r="T587" s="331"/>
      <c r="U587" s="332"/>
      <c r="V587" s="154"/>
      <c r="W587" s="331"/>
      <c r="X587" s="324"/>
      <c r="Y587" s="205"/>
      <c r="Z587" s="205"/>
      <c r="AA587" s="205"/>
      <c r="AB587" s="17"/>
      <c r="AC587" s="17"/>
      <c r="AD587" s="17"/>
      <c r="AE587" s="17"/>
    </row>
    <row r="588">
      <c r="A588" s="154"/>
      <c r="B588" s="168"/>
      <c r="C588" s="324"/>
      <c r="D588" s="154"/>
      <c r="E588" s="168"/>
      <c r="F588" s="324"/>
      <c r="G588" s="154"/>
      <c r="H588" s="168"/>
      <c r="I588" s="324"/>
      <c r="J588" s="154"/>
      <c r="K588" s="168"/>
      <c r="L588" s="324"/>
      <c r="M588" s="330"/>
      <c r="N588" s="331"/>
      <c r="O588" s="332"/>
      <c r="P588" s="330"/>
      <c r="Q588" s="331"/>
      <c r="R588" s="332"/>
      <c r="S588" s="330"/>
      <c r="T588" s="331"/>
      <c r="U588" s="332"/>
      <c r="V588" s="154"/>
      <c r="W588" s="331"/>
      <c r="X588" s="324"/>
      <c r="Y588" s="205"/>
      <c r="Z588" s="205"/>
      <c r="AA588" s="205"/>
      <c r="AB588" s="17"/>
      <c r="AC588" s="17"/>
      <c r="AD588" s="17"/>
      <c r="AE588" s="17"/>
    </row>
    <row r="589">
      <c r="A589" s="154"/>
      <c r="B589" s="168"/>
      <c r="C589" s="324"/>
      <c r="D589" s="154"/>
      <c r="E589" s="168"/>
      <c r="F589" s="324"/>
      <c r="G589" s="154"/>
      <c r="H589" s="168"/>
      <c r="I589" s="324"/>
      <c r="J589" s="154"/>
      <c r="K589" s="168"/>
      <c r="L589" s="324"/>
      <c r="M589" s="330"/>
      <c r="N589" s="331"/>
      <c r="O589" s="332"/>
      <c r="P589" s="330"/>
      <c r="Q589" s="331"/>
      <c r="R589" s="332"/>
      <c r="S589" s="330"/>
      <c r="T589" s="331"/>
      <c r="U589" s="332"/>
      <c r="V589" s="154"/>
      <c r="W589" s="331"/>
      <c r="X589" s="324"/>
      <c r="Y589" s="205"/>
      <c r="Z589" s="205"/>
      <c r="AA589" s="205"/>
      <c r="AB589" s="17"/>
      <c r="AC589" s="17"/>
      <c r="AD589" s="17"/>
      <c r="AE589" s="17"/>
    </row>
    <row r="590">
      <c r="A590" s="154"/>
      <c r="B590" s="168"/>
      <c r="C590" s="324"/>
      <c r="D590" s="154"/>
      <c r="E590" s="168"/>
      <c r="F590" s="324"/>
      <c r="G590" s="154"/>
      <c r="H590" s="168"/>
      <c r="I590" s="324"/>
      <c r="J590" s="154"/>
      <c r="K590" s="168"/>
      <c r="L590" s="324"/>
      <c r="M590" s="330"/>
      <c r="N590" s="331"/>
      <c r="O590" s="332"/>
      <c r="P590" s="330"/>
      <c r="Q590" s="331"/>
      <c r="R590" s="332"/>
      <c r="S590" s="330"/>
      <c r="T590" s="331"/>
      <c r="U590" s="332"/>
      <c r="V590" s="154"/>
      <c r="W590" s="331"/>
      <c r="X590" s="324"/>
      <c r="Y590" s="205"/>
      <c r="Z590" s="205"/>
      <c r="AA590" s="205"/>
      <c r="AB590" s="17"/>
      <c r="AC590" s="17"/>
      <c r="AD590" s="17"/>
      <c r="AE590" s="17"/>
    </row>
    <row r="591">
      <c r="A591" s="154"/>
      <c r="B591" s="168"/>
      <c r="C591" s="324"/>
      <c r="D591" s="154"/>
      <c r="E591" s="168"/>
      <c r="F591" s="324"/>
      <c r="G591" s="154"/>
      <c r="H591" s="168"/>
      <c r="I591" s="324"/>
      <c r="J591" s="154"/>
      <c r="K591" s="168"/>
      <c r="L591" s="324"/>
      <c r="M591" s="330"/>
      <c r="N591" s="331"/>
      <c r="O591" s="332"/>
      <c r="P591" s="330"/>
      <c r="Q591" s="331"/>
      <c r="R591" s="332"/>
      <c r="S591" s="330"/>
      <c r="T591" s="331"/>
      <c r="U591" s="332"/>
      <c r="V591" s="154"/>
      <c r="W591" s="331"/>
      <c r="X591" s="324"/>
      <c r="Y591" s="205"/>
      <c r="Z591" s="205"/>
      <c r="AA591" s="205"/>
      <c r="AB591" s="17"/>
      <c r="AC591" s="17"/>
      <c r="AD591" s="17"/>
      <c r="AE591" s="17"/>
    </row>
    <row r="592">
      <c r="A592" s="154"/>
      <c r="B592" s="168"/>
      <c r="C592" s="324"/>
      <c r="D592" s="154"/>
      <c r="E592" s="168"/>
      <c r="F592" s="324"/>
      <c r="G592" s="154"/>
      <c r="H592" s="168"/>
      <c r="I592" s="324"/>
      <c r="J592" s="154"/>
      <c r="K592" s="168"/>
      <c r="L592" s="324"/>
      <c r="M592" s="330"/>
      <c r="N592" s="331"/>
      <c r="O592" s="332"/>
      <c r="P592" s="330"/>
      <c r="Q592" s="331"/>
      <c r="R592" s="332"/>
      <c r="S592" s="330"/>
      <c r="T592" s="331"/>
      <c r="U592" s="332"/>
      <c r="V592" s="154"/>
      <c r="W592" s="331"/>
      <c r="X592" s="324"/>
      <c r="Y592" s="205"/>
      <c r="Z592" s="205"/>
      <c r="AA592" s="205"/>
      <c r="AB592" s="17"/>
      <c r="AC592" s="17"/>
      <c r="AD592" s="17"/>
      <c r="AE592" s="17"/>
    </row>
    <row r="593">
      <c r="A593" s="154"/>
      <c r="B593" s="168"/>
      <c r="C593" s="324"/>
      <c r="D593" s="154"/>
      <c r="E593" s="168"/>
      <c r="F593" s="324"/>
      <c r="G593" s="154"/>
      <c r="H593" s="168"/>
      <c r="I593" s="324"/>
      <c r="J593" s="154"/>
      <c r="K593" s="168"/>
      <c r="L593" s="324"/>
      <c r="M593" s="330"/>
      <c r="N593" s="331"/>
      <c r="O593" s="332"/>
      <c r="P593" s="330"/>
      <c r="Q593" s="331"/>
      <c r="R593" s="332"/>
      <c r="S593" s="330"/>
      <c r="T593" s="331"/>
      <c r="U593" s="332"/>
      <c r="V593" s="154"/>
      <c r="W593" s="331"/>
      <c r="X593" s="324"/>
      <c r="Y593" s="205"/>
      <c r="Z593" s="205"/>
      <c r="AA593" s="205"/>
      <c r="AB593" s="17"/>
      <c r="AC593" s="17"/>
      <c r="AD593" s="17"/>
      <c r="AE593" s="17"/>
    </row>
    <row r="594">
      <c r="A594" s="154"/>
      <c r="B594" s="168"/>
      <c r="C594" s="324"/>
      <c r="D594" s="154"/>
      <c r="E594" s="168"/>
      <c r="F594" s="324"/>
      <c r="G594" s="154"/>
      <c r="H594" s="168"/>
      <c r="I594" s="324"/>
      <c r="J594" s="154"/>
      <c r="K594" s="168"/>
      <c r="L594" s="324"/>
      <c r="M594" s="330"/>
      <c r="N594" s="331"/>
      <c r="O594" s="332"/>
      <c r="P594" s="330"/>
      <c r="Q594" s="331"/>
      <c r="R594" s="332"/>
      <c r="S594" s="330"/>
      <c r="T594" s="331"/>
      <c r="U594" s="332"/>
      <c r="V594" s="154"/>
      <c r="W594" s="331"/>
      <c r="X594" s="324"/>
      <c r="Y594" s="205"/>
      <c r="Z594" s="205"/>
      <c r="AA594" s="205"/>
      <c r="AB594" s="17"/>
      <c r="AC594" s="17"/>
      <c r="AD594" s="17"/>
      <c r="AE594" s="17"/>
    </row>
    <row r="595">
      <c r="A595" s="154"/>
      <c r="B595" s="168"/>
      <c r="C595" s="324"/>
      <c r="D595" s="154"/>
      <c r="E595" s="168"/>
      <c r="F595" s="324"/>
      <c r="G595" s="154"/>
      <c r="H595" s="168"/>
      <c r="I595" s="324"/>
      <c r="J595" s="154"/>
      <c r="K595" s="168"/>
      <c r="L595" s="324"/>
      <c r="M595" s="330"/>
      <c r="N595" s="331"/>
      <c r="O595" s="332"/>
      <c r="P595" s="330"/>
      <c r="Q595" s="331"/>
      <c r="R595" s="332"/>
      <c r="S595" s="330"/>
      <c r="T595" s="331"/>
      <c r="U595" s="332"/>
      <c r="V595" s="154"/>
      <c r="W595" s="331"/>
      <c r="X595" s="324"/>
      <c r="Y595" s="205"/>
      <c r="Z595" s="205"/>
      <c r="AA595" s="205"/>
      <c r="AB595" s="17"/>
      <c r="AC595" s="17"/>
      <c r="AD595" s="17"/>
      <c r="AE595" s="17"/>
    </row>
    <row r="596">
      <c r="A596" s="154"/>
      <c r="B596" s="168"/>
      <c r="C596" s="324"/>
      <c r="D596" s="154"/>
      <c r="E596" s="168"/>
      <c r="F596" s="324"/>
      <c r="G596" s="154"/>
      <c r="H596" s="168"/>
      <c r="I596" s="324"/>
      <c r="J596" s="154"/>
      <c r="K596" s="168"/>
      <c r="L596" s="324"/>
      <c r="M596" s="330"/>
      <c r="N596" s="331"/>
      <c r="O596" s="332"/>
      <c r="P596" s="330"/>
      <c r="Q596" s="331"/>
      <c r="R596" s="332"/>
      <c r="S596" s="330"/>
      <c r="T596" s="331"/>
      <c r="U596" s="332"/>
      <c r="V596" s="154"/>
      <c r="W596" s="331"/>
      <c r="X596" s="324"/>
      <c r="Y596" s="205"/>
      <c r="Z596" s="205"/>
      <c r="AA596" s="205"/>
      <c r="AB596" s="17"/>
      <c r="AC596" s="17"/>
      <c r="AD596" s="17"/>
      <c r="AE596" s="17"/>
    </row>
    <row r="597">
      <c r="A597" s="154"/>
      <c r="B597" s="168"/>
      <c r="C597" s="324"/>
      <c r="D597" s="154"/>
      <c r="E597" s="168"/>
      <c r="F597" s="324"/>
      <c r="G597" s="154"/>
      <c r="H597" s="168"/>
      <c r="I597" s="324"/>
      <c r="J597" s="154"/>
      <c r="K597" s="168"/>
      <c r="L597" s="324"/>
      <c r="M597" s="330"/>
      <c r="N597" s="331"/>
      <c r="O597" s="332"/>
      <c r="P597" s="330"/>
      <c r="Q597" s="331"/>
      <c r="R597" s="332"/>
      <c r="S597" s="330"/>
      <c r="T597" s="331"/>
      <c r="U597" s="332"/>
      <c r="V597" s="154"/>
      <c r="W597" s="331"/>
      <c r="X597" s="324"/>
      <c r="Y597" s="205"/>
      <c r="Z597" s="205"/>
      <c r="AA597" s="205"/>
      <c r="AB597" s="17"/>
      <c r="AC597" s="17"/>
      <c r="AD597" s="17"/>
      <c r="AE597" s="17"/>
    </row>
    <row r="598">
      <c r="A598" s="154"/>
      <c r="B598" s="168"/>
      <c r="C598" s="324"/>
      <c r="D598" s="154"/>
      <c r="E598" s="168"/>
      <c r="F598" s="324"/>
      <c r="G598" s="154"/>
      <c r="H598" s="168"/>
      <c r="I598" s="324"/>
      <c r="J598" s="154"/>
      <c r="K598" s="168"/>
      <c r="L598" s="324"/>
      <c r="M598" s="330"/>
      <c r="N598" s="331"/>
      <c r="O598" s="332"/>
      <c r="P598" s="330"/>
      <c r="Q598" s="331"/>
      <c r="R598" s="332"/>
      <c r="S598" s="330"/>
      <c r="T598" s="331"/>
      <c r="U598" s="332"/>
      <c r="V598" s="154"/>
      <c r="W598" s="331"/>
      <c r="X598" s="324"/>
      <c r="Y598" s="205"/>
      <c r="Z598" s="205"/>
      <c r="AA598" s="205"/>
      <c r="AB598" s="17"/>
      <c r="AC598" s="17"/>
      <c r="AD598" s="17"/>
      <c r="AE598" s="17"/>
    </row>
    <row r="599">
      <c r="A599" s="154"/>
      <c r="B599" s="168"/>
      <c r="C599" s="324"/>
      <c r="D599" s="154"/>
      <c r="E599" s="168"/>
      <c r="F599" s="324"/>
      <c r="G599" s="154"/>
      <c r="H599" s="168"/>
      <c r="I599" s="324"/>
      <c r="J599" s="154"/>
      <c r="K599" s="168"/>
      <c r="L599" s="324"/>
      <c r="M599" s="330"/>
      <c r="N599" s="331"/>
      <c r="O599" s="332"/>
      <c r="P599" s="330"/>
      <c r="Q599" s="331"/>
      <c r="R599" s="332"/>
      <c r="S599" s="330"/>
      <c r="T599" s="331"/>
      <c r="U599" s="332"/>
      <c r="V599" s="154"/>
      <c r="W599" s="331"/>
      <c r="X599" s="324"/>
      <c r="Y599" s="205"/>
      <c r="Z599" s="205"/>
      <c r="AA599" s="205"/>
      <c r="AB599" s="17"/>
      <c r="AC599" s="17"/>
      <c r="AD599" s="17"/>
      <c r="AE599" s="17"/>
    </row>
    <row r="600">
      <c r="A600" s="154"/>
      <c r="B600" s="168"/>
      <c r="C600" s="324"/>
      <c r="D600" s="154"/>
      <c r="E600" s="168"/>
      <c r="F600" s="324"/>
      <c r="G600" s="154"/>
      <c r="H600" s="168"/>
      <c r="I600" s="324"/>
      <c r="J600" s="154"/>
      <c r="K600" s="168"/>
      <c r="L600" s="324"/>
      <c r="M600" s="330"/>
      <c r="N600" s="331"/>
      <c r="O600" s="332"/>
      <c r="P600" s="330"/>
      <c r="Q600" s="331"/>
      <c r="R600" s="332"/>
      <c r="S600" s="330"/>
      <c r="T600" s="331"/>
      <c r="U600" s="332"/>
      <c r="V600" s="154"/>
      <c r="W600" s="331"/>
      <c r="X600" s="324"/>
      <c r="Y600" s="205"/>
      <c r="Z600" s="205"/>
      <c r="AA600" s="205"/>
      <c r="AB600" s="17"/>
      <c r="AC600" s="17"/>
      <c r="AD600" s="17"/>
      <c r="AE600" s="17"/>
    </row>
    <row r="601">
      <c r="A601" s="154"/>
      <c r="B601" s="168"/>
      <c r="C601" s="324"/>
      <c r="D601" s="154"/>
      <c r="E601" s="168"/>
      <c r="F601" s="324"/>
      <c r="G601" s="154"/>
      <c r="H601" s="168"/>
      <c r="I601" s="324"/>
      <c r="J601" s="154"/>
      <c r="K601" s="168"/>
      <c r="L601" s="324"/>
      <c r="M601" s="330"/>
      <c r="N601" s="331"/>
      <c r="O601" s="332"/>
      <c r="P601" s="330"/>
      <c r="Q601" s="331"/>
      <c r="R601" s="332"/>
      <c r="S601" s="330"/>
      <c r="T601" s="331"/>
      <c r="U601" s="332"/>
      <c r="V601" s="154"/>
      <c r="W601" s="331"/>
      <c r="X601" s="324"/>
      <c r="Y601" s="205"/>
      <c r="Z601" s="205"/>
      <c r="AA601" s="205"/>
      <c r="AB601" s="17"/>
      <c r="AC601" s="17"/>
      <c r="AD601" s="17"/>
      <c r="AE601" s="17"/>
    </row>
    <row r="602">
      <c r="A602" s="154"/>
      <c r="B602" s="168"/>
      <c r="C602" s="324"/>
      <c r="D602" s="154"/>
      <c r="E602" s="168"/>
      <c r="F602" s="324"/>
      <c r="G602" s="154"/>
      <c r="H602" s="168"/>
      <c r="I602" s="324"/>
      <c r="J602" s="154"/>
      <c r="K602" s="168"/>
      <c r="L602" s="324"/>
      <c r="M602" s="330"/>
      <c r="N602" s="331"/>
      <c r="O602" s="332"/>
      <c r="P602" s="330"/>
      <c r="Q602" s="331"/>
      <c r="R602" s="332"/>
      <c r="S602" s="330"/>
      <c r="T602" s="331"/>
      <c r="U602" s="332"/>
      <c r="V602" s="154"/>
      <c r="W602" s="331"/>
      <c r="X602" s="324"/>
      <c r="Y602" s="205"/>
      <c r="Z602" s="205"/>
      <c r="AA602" s="205"/>
      <c r="AB602" s="17"/>
      <c r="AC602" s="17"/>
      <c r="AD602" s="17"/>
      <c r="AE602" s="17"/>
    </row>
    <row r="603">
      <c r="A603" s="154"/>
      <c r="B603" s="168"/>
      <c r="C603" s="324"/>
      <c r="D603" s="154"/>
      <c r="E603" s="168"/>
      <c r="F603" s="324"/>
      <c r="G603" s="154"/>
      <c r="H603" s="168"/>
      <c r="I603" s="324"/>
      <c r="J603" s="154"/>
      <c r="K603" s="168"/>
      <c r="L603" s="324"/>
      <c r="M603" s="330"/>
      <c r="N603" s="331"/>
      <c r="O603" s="332"/>
      <c r="P603" s="330"/>
      <c r="Q603" s="331"/>
      <c r="R603" s="332"/>
      <c r="S603" s="330"/>
      <c r="T603" s="331"/>
      <c r="U603" s="332"/>
      <c r="V603" s="154"/>
      <c r="W603" s="331"/>
      <c r="X603" s="324"/>
      <c r="Y603" s="205"/>
      <c r="Z603" s="205"/>
      <c r="AA603" s="205"/>
      <c r="AB603" s="17"/>
      <c r="AC603" s="17"/>
      <c r="AD603" s="17"/>
      <c r="AE603" s="17"/>
    </row>
    <row r="604">
      <c r="A604" s="154"/>
      <c r="B604" s="168"/>
      <c r="C604" s="324"/>
      <c r="D604" s="154"/>
      <c r="E604" s="168"/>
      <c r="F604" s="324"/>
      <c r="G604" s="154"/>
      <c r="H604" s="168"/>
      <c r="I604" s="324"/>
      <c r="J604" s="154"/>
      <c r="K604" s="168"/>
      <c r="L604" s="324"/>
      <c r="M604" s="330"/>
      <c r="N604" s="331"/>
      <c r="O604" s="332"/>
      <c r="P604" s="330"/>
      <c r="Q604" s="331"/>
      <c r="R604" s="332"/>
      <c r="S604" s="330"/>
      <c r="T604" s="331"/>
      <c r="U604" s="332"/>
      <c r="V604" s="154"/>
      <c r="W604" s="331"/>
      <c r="X604" s="324"/>
      <c r="Y604" s="205"/>
      <c r="Z604" s="205"/>
      <c r="AA604" s="205"/>
      <c r="AB604" s="17"/>
      <c r="AC604" s="17"/>
      <c r="AD604" s="17"/>
      <c r="AE604" s="17"/>
    </row>
    <row r="605">
      <c r="A605" s="154"/>
      <c r="B605" s="168"/>
      <c r="C605" s="324"/>
      <c r="D605" s="154"/>
      <c r="E605" s="168"/>
      <c r="F605" s="324"/>
      <c r="G605" s="154"/>
      <c r="H605" s="168"/>
      <c r="I605" s="324"/>
      <c r="J605" s="154"/>
      <c r="K605" s="168"/>
      <c r="L605" s="324"/>
      <c r="M605" s="330"/>
      <c r="N605" s="331"/>
      <c r="O605" s="332"/>
      <c r="P605" s="330"/>
      <c r="Q605" s="331"/>
      <c r="R605" s="332"/>
      <c r="S605" s="330"/>
      <c r="T605" s="331"/>
      <c r="U605" s="332"/>
      <c r="V605" s="154"/>
      <c r="W605" s="331"/>
      <c r="X605" s="324"/>
      <c r="Y605" s="205"/>
      <c r="Z605" s="205"/>
      <c r="AA605" s="205"/>
      <c r="AB605" s="17"/>
      <c r="AC605" s="17"/>
      <c r="AD605" s="17"/>
      <c r="AE605" s="17"/>
    </row>
    <row r="606">
      <c r="A606" s="154"/>
      <c r="B606" s="168"/>
      <c r="C606" s="324"/>
      <c r="D606" s="154"/>
      <c r="E606" s="168"/>
      <c r="F606" s="324"/>
      <c r="G606" s="154"/>
      <c r="H606" s="168"/>
      <c r="I606" s="324"/>
      <c r="J606" s="154"/>
      <c r="K606" s="168"/>
      <c r="L606" s="324"/>
      <c r="M606" s="330"/>
      <c r="N606" s="331"/>
      <c r="O606" s="332"/>
      <c r="P606" s="330"/>
      <c r="Q606" s="331"/>
      <c r="R606" s="332"/>
      <c r="S606" s="330"/>
      <c r="T606" s="331"/>
      <c r="U606" s="332"/>
      <c r="V606" s="154"/>
      <c r="W606" s="331"/>
      <c r="X606" s="324"/>
      <c r="Y606" s="205"/>
      <c r="Z606" s="205"/>
      <c r="AA606" s="205"/>
      <c r="AB606" s="17"/>
      <c r="AC606" s="17"/>
      <c r="AD606" s="17"/>
      <c r="AE606" s="17"/>
    </row>
    <row r="607">
      <c r="A607" s="154"/>
      <c r="B607" s="168"/>
      <c r="C607" s="324"/>
      <c r="D607" s="154"/>
      <c r="E607" s="168"/>
      <c r="F607" s="324"/>
      <c r="G607" s="154"/>
      <c r="H607" s="168"/>
      <c r="I607" s="324"/>
      <c r="J607" s="154"/>
      <c r="K607" s="168"/>
      <c r="L607" s="324"/>
      <c r="M607" s="330"/>
      <c r="N607" s="331"/>
      <c r="O607" s="332"/>
      <c r="P607" s="330"/>
      <c r="Q607" s="331"/>
      <c r="R607" s="332"/>
      <c r="S607" s="330"/>
      <c r="T607" s="331"/>
      <c r="U607" s="332"/>
      <c r="V607" s="154"/>
      <c r="W607" s="331"/>
      <c r="X607" s="324"/>
      <c r="Y607" s="205"/>
      <c r="Z607" s="205"/>
      <c r="AA607" s="205"/>
      <c r="AB607" s="17"/>
      <c r="AC607" s="17"/>
      <c r="AD607" s="17"/>
      <c r="AE607" s="17"/>
    </row>
    <row r="608">
      <c r="A608" s="154"/>
      <c r="B608" s="168"/>
      <c r="C608" s="324"/>
      <c r="D608" s="154"/>
      <c r="E608" s="168"/>
      <c r="F608" s="324"/>
      <c r="G608" s="154"/>
      <c r="H608" s="168"/>
      <c r="I608" s="324"/>
      <c r="J608" s="154"/>
      <c r="K608" s="168"/>
      <c r="L608" s="324"/>
      <c r="M608" s="330"/>
      <c r="N608" s="331"/>
      <c r="O608" s="332"/>
      <c r="P608" s="330"/>
      <c r="Q608" s="331"/>
      <c r="R608" s="332"/>
      <c r="S608" s="330"/>
      <c r="T608" s="331"/>
      <c r="U608" s="332"/>
      <c r="V608" s="154"/>
      <c r="W608" s="331"/>
      <c r="X608" s="324"/>
      <c r="Y608" s="205"/>
      <c r="Z608" s="205"/>
      <c r="AA608" s="205"/>
      <c r="AB608" s="17"/>
      <c r="AC608" s="17"/>
      <c r="AD608" s="17"/>
      <c r="AE608" s="17"/>
    </row>
    <row r="609">
      <c r="A609" s="154"/>
      <c r="B609" s="168"/>
      <c r="C609" s="324"/>
      <c r="D609" s="154"/>
      <c r="E609" s="168"/>
      <c r="F609" s="324"/>
      <c r="G609" s="154"/>
      <c r="H609" s="168"/>
      <c r="I609" s="324"/>
      <c r="J609" s="154"/>
      <c r="K609" s="168"/>
      <c r="L609" s="324"/>
      <c r="M609" s="330"/>
      <c r="N609" s="331"/>
      <c r="O609" s="332"/>
      <c r="P609" s="330"/>
      <c r="Q609" s="331"/>
      <c r="R609" s="332"/>
      <c r="S609" s="330"/>
      <c r="T609" s="331"/>
      <c r="U609" s="332"/>
      <c r="V609" s="154"/>
      <c r="W609" s="331"/>
      <c r="X609" s="324"/>
      <c r="Y609" s="205"/>
      <c r="Z609" s="205"/>
      <c r="AA609" s="205"/>
      <c r="AB609" s="17"/>
      <c r="AC609" s="17"/>
      <c r="AD609" s="17"/>
      <c r="AE609" s="17"/>
    </row>
    <row r="610">
      <c r="A610" s="154"/>
      <c r="B610" s="168"/>
      <c r="C610" s="324"/>
      <c r="D610" s="154"/>
      <c r="E610" s="168"/>
      <c r="F610" s="324"/>
      <c r="G610" s="154"/>
      <c r="H610" s="168"/>
      <c r="I610" s="324"/>
      <c r="J610" s="154"/>
      <c r="K610" s="168"/>
      <c r="L610" s="324"/>
      <c r="M610" s="330"/>
      <c r="N610" s="331"/>
      <c r="O610" s="332"/>
      <c r="P610" s="330"/>
      <c r="Q610" s="331"/>
      <c r="R610" s="332"/>
      <c r="S610" s="330"/>
      <c r="T610" s="331"/>
      <c r="U610" s="332"/>
      <c r="V610" s="154"/>
      <c r="W610" s="331"/>
      <c r="X610" s="324"/>
      <c r="Y610" s="205"/>
      <c r="Z610" s="205"/>
      <c r="AA610" s="205"/>
      <c r="AB610" s="17"/>
      <c r="AC610" s="17"/>
      <c r="AD610" s="17"/>
      <c r="AE610" s="17"/>
    </row>
    <row r="611">
      <c r="A611" s="154"/>
      <c r="B611" s="168"/>
      <c r="C611" s="324"/>
      <c r="D611" s="154"/>
      <c r="E611" s="168"/>
      <c r="F611" s="324"/>
      <c r="G611" s="154"/>
      <c r="H611" s="168"/>
      <c r="I611" s="324"/>
      <c r="J611" s="154"/>
      <c r="K611" s="168"/>
      <c r="L611" s="324"/>
      <c r="M611" s="330"/>
      <c r="N611" s="331"/>
      <c r="O611" s="332"/>
      <c r="P611" s="330"/>
      <c r="Q611" s="331"/>
      <c r="R611" s="332"/>
      <c r="S611" s="330"/>
      <c r="T611" s="331"/>
      <c r="U611" s="332"/>
      <c r="V611" s="154"/>
      <c r="W611" s="331"/>
      <c r="X611" s="324"/>
      <c r="Y611" s="205"/>
      <c r="Z611" s="205"/>
      <c r="AA611" s="205"/>
      <c r="AB611" s="17"/>
      <c r="AC611" s="17"/>
      <c r="AD611" s="17"/>
      <c r="AE611" s="17"/>
    </row>
    <row r="612">
      <c r="A612" s="154"/>
      <c r="B612" s="168"/>
      <c r="C612" s="324"/>
      <c r="D612" s="154"/>
      <c r="E612" s="168"/>
      <c r="F612" s="324"/>
      <c r="G612" s="154"/>
      <c r="H612" s="168"/>
      <c r="I612" s="324"/>
      <c r="J612" s="154"/>
      <c r="K612" s="168"/>
      <c r="L612" s="324"/>
      <c r="M612" s="330"/>
      <c r="N612" s="331"/>
      <c r="O612" s="332"/>
      <c r="P612" s="330"/>
      <c r="Q612" s="331"/>
      <c r="R612" s="332"/>
      <c r="S612" s="330"/>
      <c r="T612" s="331"/>
      <c r="U612" s="332"/>
      <c r="V612" s="154"/>
      <c r="W612" s="331"/>
      <c r="X612" s="324"/>
      <c r="Y612" s="205"/>
      <c r="Z612" s="205"/>
      <c r="AA612" s="205"/>
      <c r="AB612" s="17"/>
      <c r="AC612" s="17"/>
      <c r="AD612" s="17"/>
      <c r="AE612" s="17"/>
    </row>
    <row r="613">
      <c r="A613" s="154"/>
      <c r="B613" s="168"/>
      <c r="C613" s="324"/>
      <c r="D613" s="154"/>
      <c r="E613" s="168"/>
      <c r="F613" s="324"/>
      <c r="G613" s="154"/>
      <c r="H613" s="168"/>
      <c r="I613" s="324"/>
      <c r="J613" s="154"/>
      <c r="K613" s="168"/>
      <c r="L613" s="324"/>
      <c r="M613" s="330"/>
      <c r="N613" s="331"/>
      <c r="O613" s="332"/>
      <c r="P613" s="330"/>
      <c r="Q613" s="331"/>
      <c r="R613" s="332"/>
      <c r="S613" s="330"/>
      <c r="T613" s="331"/>
      <c r="U613" s="332"/>
      <c r="V613" s="154"/>
      <c r="W613" s="331"/>
      <c r="X613" s="324"/>
      <c r="Y613" s="205"/>
      <c r="Z613" s="205"/>
      <c r="AA613" s="205"/>
      <c r="AB613" s="17"/>
      <c r="AC613" s="17"/>
      <c r="AD613" s="17"/>
      <c r="AE613" s="17"/>
    </row>
    <row r="614">
      <c r="A614" s="154"/>
      <c r="B614" s="168"/>
      <c r="C614" s="324"/>
      <c r="D614" s="154"/>
      <c r="E614" s="168"/>
      <c r="F614" s="324"/>
      <c r="G614" s="154"/>
      <c r="H614" s="168"/>
      <c r="I614" s="324"/>
      <c r="J614" s="154"/>
      <c r="K614" s="168"/>
      <c r="L614" s="324"/>
      <c r="M614" s="330"/>
      <c r="N614" s="331"/>
      <c r="O614" s="332"/>
      <c r="P614" s="330"/>
      <c r="Q614" s="331"/>
      <c r="R614" s="332"/>
      <c r="S614" s="330"/>
      <c r="T614" s="331"/>
      <c r="U614" s="332"/>
      <c r="V614" s="154"/>
      <c r="W614" s="331"/>
      <c r="X614" s="324"/>
      <c r="Y614" s="205"/>
      <c r="Z614" s="205"/>
      <c r="AA614" s="205"/>
      <c r="AB614" s="17"/>
      <c r="AC614" s="17"/>
      <c r="AD614" s="17"/>
      <c r="AE614" s="17"/>
    </row>
    <row r="615">
      <c r="A615" s="154"/>
      <c r="B615" s="168"/>
      <c r="C615" s="324"/>
      <c r="D615" s="154"/>
      <c r="E615" s="168"/>
      <c r="F615" s="324"/>
      <c r="G615" s="154"/>
      <c r="H615" s="168"/>
      <c r="I615" s="324"/>
      <c r="J615" s="154"/>
      <c r="K615" s="168"/>
      <c r="L615" s="324"/>
      <c r="M615" s="330"/>
      <c r="N615" s="331"/>
      <c r="O615" s="332"/>
      <c r="P615" s="330"/>
      <c r="Q615" s="331"/>
      <c r="R615" s="332"/>
      <c r="S615" s="330"/>
      <c r="T615" s="331"/>
      <c r="U615" s="332"/>
      <c r="V615" s="154"/>
      <c r="W615" s="331"/>
      <c r="X615" s="324"/>
      <c r="Y615" s="205"/>
      <c r="Z615" s="205"/>
      <c r="AA615" s="205"/>
      <c r="AB615" s="17"/>
      <c r="AC615" s="17"/>
      <c r="AD615" s="17"/>
      <c r="AE615" s="17"/>
    </row>
    <row r="616">
      <c r="A616" s="154"/>
      <c r="B616" s="168"/>
      <c r="C616" s="324"/>
      <c r="D616" s="154"/>
      <c r="E616" s="168"/>
      <c r="F616" s="324"/>
      <c r="G616" s="154"/>
      <c r="H616" s="168"/>
      <c r="I616" s="324"/>
      <c r="J616" s="154"/>
      <c r="K616" s="168"/>
      <c r="L616" s="324"/>
      <c r="M616" s="330"/>
      <c r="N616" s="331"/>
      <c r="O616" s="332"/>
      <c r="P616" s="330"/>
      <c r="Q616" s="331"/>
      <c r="R616" s="332"/>
      <c r="S616" s="330"/>
      <c r="T616" s="331"/>
      <c r="U616" s="332"/>
      <c r="V616" s="154"/>
      <c r="W616" s="331"/>
      <c r="X616" s="324"/>
      <c r="Y616" s="205"/>
      <c r="Z616" s="205"/>
      <c r="AA616" s="205"/>
      <c r="AB616" s="17"/>
      <c r="AC616" s="17"/>
      <c r="AD616" s="17"/>
      <c r="AE616" s="17"/>
    </row>
    <row r="617">
      <c r="A617" s="154"/>
      <c r="B617" s="168"/>
      <c r="C617" s="324"/>
      <c r="D617" s="154"/>
      <c r="E617" s="168"/>
      <c r="F617" s="324"/>
      <c r="G617" s="154"/>
      <c r="H617" s="168"/>
      <c r="I617" s="324"/>
      <c r="J617" s="154"/>
      <c r="K617" s="168"/>
      <c r="L617" s="324"/>
      <c r="M617" s="330"/>
      <c r="N617" s="331"/>
      <c r="O617" s="332"/>
      <c r="P617" s="330"/>
      <c r="Q617" s="331"/>
      <c r="R617" s="332"/>
      <c r="S617" s="330"/>
      <c r="T617" s="331"/>
      <c r="U617" s="332"/>
      <c r="V617" s="154"/>
      <c r="W617" s="331"/>
      <c r="X617" s="324"/>
      <c r="Y617" s="205"/>
      <c r="Z617" s="205"/>
      <c r="AA617" s="205"/>
      <c r="AB617" s="17"/>
      <c r="AC617" s="17"/>
      <c r="AD617" s="17"/>
      <c r="AE617" s="17"/>
    </row>
    <row r="618">
      <c r="A618" s="154"/>
      <c r="B618" s="168"/>
      <c r="C618" s="324"/>
      <c r="D618" s="154"/>
      <c r="E618" s="168"/>
      <c r="F618" s="324"/>
      <c r="G618" s="154"/>
      <c r="H618" s="168"/>
      <c r="I618" s="324"/>
      <c r="J618" s="154"/>
      <c r="K618" s="168"/>
      <c r="L618" s="324"/>
      <c r="M618" s="330"/>
      <c r="N618" s="331"/>
      <c r="O618" s="332"/>
      <c r="P618" s="330"/>
      <c r="Q618" s="331"/>
      <c r="R618" s="332"/>
      <c r="S618" s="330"/>
      <c r="T618" s="331"/>
      <c r="U618" s="332"/>
      <c r="V618" s="154"/>
      <c r="W618" s="331"/>
      <c r="X618" s="324"/>
      <c r="Y618" s="205"/>
      <c r="Z618" s="205"/>
      <c r="AA618" s="205"/>
      <c r="AB618" s="17"/>
      <c r="AC618" s="17"/>
      <c r="AD618" s="17"/>
      <c r="AE618" s="17"/>
    </row>
    <row r="619">
      <c r="A619" s="154"/>
      <c r="B619" s="168"/>
      <c r="C619" s="324"/>
      <c r="D619" s="154"/>
      <c r="E619" s="168"/>
      <c r="F619" s="324"/>
      <c r="G619" s="154"/>
      <c r="H619" s="168"/>
      <c r="I619" s="324"/>
      <c r="J619" s="154"/>
      <c r="K619" s="168"/>
      <c r="L619" s="324"/>
      <c r="M619" s="330"/>
      <c r="N619" s="331"/>
      <c r="O619" s="332"/>
      <c r="P619" s="330"/>
      <c r="Q619" s="331"/>
      <c r="R619" s="332"/>
      <c r="S619" s="330"/>
      <c r="T619" s="331"/>
      <c r="U619" s="332"/>
      <c r="V619" s="154"/>
      <c r="W619" s="331"/>
      <c r="X619" s="324"/>
      <c r="Y619" s="205"/>
      <c r="Z619" s="205"/>
      <c r="AA619" s="205"/>
      <c r="AB619" s="17"/>
      <c r="AC619" s="17"/>
      <c r="AD619" s="17"/>
      <c r="AE619" s="17"/>
    </row>
    <row r="620">
      <c r="A620" s="154"/>
      <c r="B620" s="168"/>
      <c r="C620" s="324"/>
      <c r="D620" s="154"/>
      <c r="E620" s="168"/>
      <c r="F620" s="324"/>
      <c r="G620" s="154"/>
      <c r="H620" s="168"/>
      <c r="I620" s="324"/>
      <c r="J620" s="154"/>
      <c r="K620" s="168"/>
      <c r="L620" s="324"/>
      <c r="M620" s="330"/>
      <c r="N620" s="331"/>
      <c r="O620" s="332"/>
      <c r="P620" s="330"/>
      <c r="Q620" s="331"/>
      <c r="R620" s="332"/>
      <c r="S620" s="330"/>
      <c r="T620" s="331"/>
      <c r="U620" s="332"/>
      <c r="V620" s="154"/>
      <c r="W620" s="331"/>
      <c r="X620" s="324"/>
      <c r="Y620" s="205"/>
      <c r="Z620" s="205"/>
      <c r="AA620" s="205"/>
      <c r="AB620" s="17"/>
      <c r="AC620" s="17"/>
      <c r="AD620" s="17"/>
      <c r="AE620" s="17"/>
    </row>
    <row r="621">
      <c r="A621" s="154"/>
      <c r="B621" s="168"/>
      <c r="C621" s="324"/>
      <c r="D621" s="154"/>
      <c r="E621" s="168"/>
      <c r="F621" s="324"/>
      <c r="G621" s="154"/>
      <c r="H621" s="168"/>
      <c r="I621" s="324"/>
      <c r="J621" s="154"/>
      <c r="K621" s="168"/>
      <c r="L621" s="324"/>
      <c r="M621" s="330"/>
      <c r="N621" s="331"/>
      <c r="O621" s="332"/>
      <c r="P621" s="330"/>
      <c r="Q621" s="331"/>
      <c r="R621" s="332"/>
      <c r="S621" s="330"/>
      <c r="T621" s="331"/>
      <c r="U621" s="332"/>
      <c r="V621" s="154"/>
      <c r="W621" s="331"/>
      <c r="X621" s="324"/>
      <c r="Y621" s="205"/>
      <c r="Z621" s="205"/>
      <c r="AA621" s="205"/>
      <c r="AB621" s="17"/>
      <c r="AC621" s="17"/>
      <c r="AD621" s="17"/>
      <c r="AE621" s="17"/>
    </row>
    <row r="622">
      <c r="A622" s="154"/>
      <c r="B622" s="168"/>
      <c r="C622" s="324"/>
      <c r="D622" s="154"/>
      <c r="E622" s="168"/>
      <c r="F622" s="324"/>
      <c r="G622" s="154"/>
      <c r="H622" s="168"/>
      <c r="I622" s="324"/>
      <c r="J622" s="154"/>
      <c r="K622" s="168"/>
      <c r="L622" s="324"/>
      <c r="M622" s="330"/>
      <c r="N622" s="331"/>
      <c r="O622" s="332"/>
      <c r="P622" s="330"/>
      <c r="Q622" s="331"/>
      <c r="R622" s="332"/>
      <c r="S622" s="330"/>
      <c r="T622" s="331"/>
      <c r="U622" s="332"/>
      <c r="V622" s="154"/>
      <c r="W622" s="331"/>
      <c r="X622" s="324"/>
      <c r="Y622" s="205"/>
      <c r="Z622" s="205"/>
      <c r="AA622" s="205"/>
      <c r="AB622" s="17"/>
      <c r="AC622" s="17"/>
      <c r="AD622" s="17"/>
      <c r="AE622" s="17"/>
    </row>
    <row r="623">
      <c r="A623" s="154"/>
      <c r="B623" s="168"/>
      <c r="C623" s="324"/>
      <c r="D623" s="154"/>
      <c r="E623" s="168"/>
      <c r="F623" s="324"/>
      <c r="G623" s="154"/>
      <c r="H623" s="168"/>
      <c r="I623" s="324"/>
      <c r="J623" s="154"/>
      <c r="K623" s="168"/>
      <c r="L623" s="324"/>
      <c r="M623" s="330"/>
      <c r="N623" s="331"/>
      <c r="O623" s="332"/>
      <c r="P623" s="330"/>
      <c r="Q623" s="331"/>
      <c r="R623" s="332"/>
      <c r="S623" s="330"/>
      <c r="T623" s="331"/>
      <c r="U623" s="332"/>
      <c r="V623" s="154"/>
      <c r="W623" s="331"/>
      <c r="X623" s="324"/>
      <c r="Y623" s="205"/>
      <c r="Z623" s="205"/>
      <c r="AA623" s="205"/>
      <c r="AB623" s="17"/>
      <c r="AC623" s="17"/>
      <c r="AD623" s="17"/>
      <c r="AE623" s="17"/>
    </row>
    <row r="624">
      <c r="A624" s="154"/>
      <c r="B624" s="168"/>
      <c r="C624" s="324"/>
      <c r="D624" s="154"/>
      <c r="E624" s="168"/>
      <c r="F624" s="324"/>
      <c r="G624" s="154"/>
      <c r="H624" s="168"/>
      <c r="I624" s="324"/>
      <c r="J624" s="154"/>
      <c r="K624" s="168"/>
      <c r="L624" s="324"/>
      <c r="M624" s="330"/>
      <c r="N624" s="331"/>
      <c r="O624" s="332"/>
      <c r="P624" s="330"/>
      <c r="Q624" s="331"/>
      <c r="R624" s="332"/>
      <c r="S624" s="330"/>
      <c r="T624" s="331"/>
      <c r="U624" s="332"/>
      <c r="V624" s="154"/>
      <c r="W624" s="331"/>
      <c r="X624" s="324"/>
      <c r="Y624" s="205"/>
      <c r="Z624" s="205"/>
      <c r="AA624" s="205"/>
      <c r="AB624" s="17"/>
      <c r="AC624" s="17"/>
      <c r="AD624" s="17"/>
      <c r="AE624" s="17"/>
    </row>
    <row r="625">
      <c r="A625" s="154"/>
      <c r="B625" s="168"/>
      <c r="C625" s="324"/>
      <c r="D625" s="154"/>
      <c r="E625" s="168"/>
      <c r="F625" s="324"/>
      <c r="G625" s="154"/>
      <c r="H625" s="168"/>
      <c r="I625" s="324"/>
      <c r="J625" s="154"/>
      <c r="K625" s="168"/>
      <c r="L625" s="324"/>
      <c r="M625" s="330"/>
      <c r="N625" s="331"/>
      <c r="O625" s="332"/>
      <c r="P625" s="330"/>
      <c r="Q625" s="331"/>
      <c r="R625" s="332"/>
      <c r="S625" s="330"/>
      <c r="T625" s="331"/>
      <c r="U625" s="332"/>
      <c r="V625" s="154"/>
      <c r="W625" s="331"/>
      <c r="X625" s="324"/>
      <c r="Y625" s="205"/>
      <c r="Z625" s="205"/>
      <c r="AA625" s="205"/>
      <c r="AB625" s="17"/>
      <c r="AC625" s="17"/>
      <c r="AD625" s="17"/>
      <c r="AE625" s="17"/>
    </row>
    <row r="626">
      <c r="A626" s="154"/>
      <c r="B626" s="168"/>
      <c r="C626" s="324"/>
      <c r="D626" s="154"/>
      <c r="E626" s="168"/>
      <c r="F626" s="324"/>
      <c r="G626" s="154"/>
      <c r="H626" s="168"/>
      <c r="I626" s="324"/>
      <c r="J626" s="154"/>
      <c r="K626" s="168"/>
      <c r="L626" s="324"/>
      <c r="M626" s="330"/>
      <c r="N626" s="331"/>
      <c r="O626" s="332"/>
      <c r="P626" s="330"/>
      <c r="Q626" s="331"/>
      <c r="R626" s="332"/>
      <c r="S626" s="330"/>
      <c r="T626" s="331"/>
      <c r="U626" s="332"/>
      <c r="V626" s="154"/>
      <c r="W626" s="331"/>
      <c r="X626" s="324"/>
      <c r="Y626" s="205"/>
      <c r="Z626" s="205"/>
      <c r="AA626" s="205"/>
      <c r="AB626" s="17"/>
      <c r="AC626" s="17"/>
      <c r="AD626" s="17"/>
      <c r="AE626" s="17"/>
    </row>
    <row r="627">
      <c r="A627" s="154"/>
      <c r="B627" s="168"/>
      <c r="C627" s="324"/>
      <c r="D627" s="154"/>
      <c r="E627" s="168"/>
      <c r="F627" s="324"/>
      <c r="G627" s="154"/>
      <c r="H627" s="168"/>
      <c r="I627" s="324"/>
      <c r="J627" s="154"/>
      <c r="K627" s="168"/>
      <c r="L627" s="324"/>
      <c r="M627" s="330"/>
      <c r="N627" s="331"/>
      <c r="O627" s="332"/>
      <c r="P627" s="330"/>
      <c r="Q627" s="331"/>
      <c r="R627" s="332"/>
      <c r="S627" s="330"/>
      <c r="T627" s="331"/>
      <c r="U627" s="332"/>
      <c r="V627" s="154"/>
      <c r="W627" s="331"/>
      <c r="X627" s="324"/>
      <c r="Y627" s="205"/>
      <c r="Z627" s="205"/>
      <c r="AA627" s="205"/>
      <c r="AB627" s="17"/>
      <c r="AC627" s="17"/>
      <c r="AD627" s="17"/>
      <c r="AE627" s="17"/>
    </row>
    <row r="628">
      <c r="A628" s="154"/>
      <c r="B628" s="168"/>
      <c r="C628" s="324"/>
      <c r="D628" s="154"/>
      <c r="E628" s="168"/>
      <c r="F628" s="324"/>
      <c r="G628" s="154"/>
      <c r="H628" s="168"/>
      <c r="I628" s="324"/>
      <c r="J628" s="154"/>
      <c r="K628" s="168"/>
      <c r="L628" s="324"/>
      <c r="M628" s="330"/>
      <c r="N628" s="331"/>
      <c r="O628" s="332"/>
      <c r="P628" s="330"/>
      <c r="Q628" s="331"/>
      <c r="R628" s="332"/>
      <c r="S628" s="330"/>
      <c r="T628" s="331"/>
      <c r="U628" s="332"/>
      <c r="V628" s="154"/>
      <c r="W628" s="331"/>
      <c r="X628" s="324"/>
      <c r="Y628" s="205"/>
      <c r="Z628" s="205"/>
      <c r="AA628" s="205"/>
      <c r="AB628" s="17"/>
      <c r="AC628" s="17"/>
      <c r="AD628" s="17"/>
      <c r="AE628" s="17"/>
    </row>
    <row r="629">
      <c r="A629" s="154"/>
      <c r="B629" s="168"/>
      <c r="C629" s="324"/>
      <c r="D629" s="154"/>
      <c r="E629" s="168"/>
      <c r="F629" s="324"/>
      <c r="G629" s="154"/>
      <c r="H629" s="168"/>
      <c r="I629" s="324"/>
      <c r="J629" s="154"/>
      <c r="K629" s="168"/>
      <c r="L629" s="324"/>
      <c r="M629" s="330"/>
      <c r="N629" s="331"/>
      <c r="O629" s="332"/>
      <c r="P629" s="330"/>
      <c r="Q629" s="331"/>
      <c r="R629" s="332"/>
      <c r="S629" s="330"/>
      <c r="T629" s="331"/>
      <c r="U629" s="332"/>
      <c r="V629" s="154"/>
      <c r="W629" s="331"/>
      <c r="X629" s="324"/>
      <c r="Y629" s="205"/>
      <c r="Z629" s="205"/>
      <c r="AA629" s="205"/>
      <c r="AB629" s="17"/>
      <c r="AC629" s="17"/>
      <c r="AD629" s="17"/>
      <c r="AE629" s="17"/>
    </row>
    <row r="630">
      <c r="A630" s="154"/>
      <c r="B630" s="168"/>
      <c r="C630" s="324"/>
      <c r="D630" s="154"/>
      <c r="E630" s="168"/>
      <c r="F630" s="324"/>
      <c r="G630" s="154"/>
      <c r="H630" s="168"/>
      <c r="I630" s="324"/>
      <c r="J630" s="154"/>
      <c r="K630" s="168"/>
      <c r="L630" s="324"/>
      <c r="M630" s="330"/>
      <c r="N630" s="331"/>
      <c r="O630" s="332"/>
      <c r="P630" s="330"/>
      <c r="Q630" s="331"/>
      <c r="R630" s="332"/>
      <c r="S630" s="330"/>
      <c r="T630" s="331"/>
      <c r="U630" s="332"/>
      <c r="V630" s="154"/>
      <c r="W630" s="331"/>
      <c r="X630" s="324"/>
      <c r="Y630" s="205"/>
      <c r="Z630" s="205"/>
      <c r="AA630" s="205"/>
      <c r="AB630" s="17"/>
      <c r="AC630" s="17"/>
      <c r="AD630" s="17"/>
      <c r="AE630" s="17"/>
    </row>
    <row r="631">
      <c r="A631" s="154"/>
      <c r="B631" s="168"/>
      <c r="C631" s="324"/>
      <c r="D631" s="154"/>
      <c r="E631" s="168"/>
      <c r="F631" s="324"/>
      <c r="G631" s="154"/>
      <c r="H631" s="168"/>
      <c r="I631" s="324"/>
      <c r="J631" s="154"/>
      <c r="K631" s="168"/>
      <c r="L631" s="324"/>
      <c r="M631" s="330"/>
      <c r="N631" s="331"/>
      <c r="O631" s="332"/>
      <c r="P631" s="330"/>
      <c r="Q631" s="331"/>
      <c r="R631" s="332"/>
      <c r="S631" s="330"/>
      <c r="T631" s="331"/>
      <c r="U631" s="332"/>
      <c r="V631" s="154"/>
      <c r="W631" s="331"/>
      <c r="X631" s="324"/>
      <c r="Y631" s="205"/>
      <c r="Z631" s="205"/>
      <c r="AA631" s="205"/>
      <c r="AB631" s="17"/>
      <c r="AC631" s="17"/>
      <c r="AD631" s="17"/>
      <c r="AE631" s="17"/>
    </row>
    <row r="632">
      <c r="A632" s="154"/>
      <c r="B632" s="168"/>
      <c r="C632" s="324"/>
      <c r="D632" s="154"/>
      <c r="E632" s="168"/>
      <c r="F632" s="324"/>
      <c r="G632" s="154"/>
      <c r="H632" s="168"/>
      <c r="I632" s="324"/>
      <c r="J632" s="154"/>
      <c r="K632" s="168"/>
      <c r="L632" s="324"/>
      <c r="M632" s="330"/>
      <c r="N632" s="331"/>
      <c r="O632" s="332"/>
      <c r="P632" s="330"/>
      <c r="Q632" s="331"/>
      <c r="R632" s="332"/>
      <c r="S632" s="330"/>
      <c r="T632" s="331"/>
      <c r="U632" s="332"/>
      <c r="V632" s="154"/>
      <c r="W632" s="331"/>
      <c r="X632" s="324"/>
      <c r="Y632" s="205"/>
      <c r="Z632" s="205"/>
      <c r="AA632" s="205"/>
      <c r="AB632" s="17"/>
      <c r="AC632" s="17"/>
      <c r="AD632" s="17"/>
      <c r="AE632" s="17"/>
    </row>
    <row r="633">
      <c r="A633" s="154"/>
      <c r="B633" s="168"/>
      <c r="C633" s="324"/>
      <c r="D633" s="154"/>
      <c r="E633" s="168"/>
      <c r="F633" s="324"/>
      <c r="G633" s="154"/>
      <c r="H633" s="168"/>
      <c r="I633" s="324"/>
      <c r="J633" s="154"/>
      <c r="K633" s="168"/>
      <c r="L633" s="324"/>
      <c r="M633" s="330"/>
      <c r="N633" s="331"/>
      <c r="O633" s="332"/>
      <c r="P633" s="330"/>
      <c r="Q633" s="331"/>
      <c r="R633" s="332"/>
      <c r="S633" s="330"/>
      <c r="T633" s="331"/>
      <c r="U633" s="332"/>
      <c r="V633" s="154"/>
      <c r="W633" s="331"/>
      <c r="X633" s="324"/>
      <c r="Y633" s="205"/>
      <c r="Z633" s="205"/>
      <c r="AA633" s="205"/>
      <c r="AB633" s="17"/>
      <c r="AC633" s="17"/>
      <c r="AD633" s="17"/>
      <c r="AE633" s="17"/>
    </row>
    <row r="634">
      <c r="A634" s="154"/>
      <c r="B634" s="168"/>
      <c r="C634" s="324"/>
      <c r="D634" s="154"/>
      <c r="E634" s="168"/>
      <c r="F634" s="324"/>
      <c r="G634" s="154"/>
      <c r="H634" s="168"/>
      <c r="I634" s="324"/>
      <c r="J634" s="154"/>
      <c r="K634" s="168"/>
      <c r="L634" s="324"/>
      <c r="M634" s="330"/>
      <c r="N634" s="331"/>
      <c r="O634" s="332"/>
      <c r="P634" s="330"/>
      <c r="Q634" s="331"/>
      <c r="R634" s="332"/>
      <c r="S634" s="330"/>
      <c r="T634" s="331"/>
      <c r="U634" s="332"/>
      <c r="V634" s="154"/>
      <c r="W634" s="331"/>
      <c r="X634" s="324"/>
      <c r="Y634" s="205"/>
      <c r="Z634" s="205"/>
      <c r="AA634" s="205"/>
      <c r="AB634" s="17"/>
      <c r="AC634" s="17"/>
      <c r="AD634" s="17"/>
      <c r="AE634" s="17"/>
    </row>
    <row r="635">
      <c r="A635" s="154"/>
      <c r="B635" s="168"/>
      <c r="C635" s="324"/>
      <c r="D635" s="154"/>
      <c r="E635" s="168"/>
      <c r="F635" s="324"/>
      <c r="G635" s="154"/>
      <c r="H635" s="168"/>
      <c r="I635" s="324"/>
      <c r="J635" s="154"/>
      <c r="K635" s="168"/>
      <c r="L635" s="324"/>
      <c r="M635" s="330"/>
      <c r="N635" s="331"/>
      <c r="O635" s="332"/>
      <c r="P635" s="330"/>
      <c r="Q635" s="331"/>
      <c r="R635" s="332"/>
      <c r="S635" s="330"/>
      <c r="T635" s="331"/>
      <c r="U635" s="332"/>
      <c r="V635" s="154"/>
      <c r="W635" s="331"/>
      <c r="X635" s="324"/>
      <c r="Y635" s="205"/>
      <c r="Z635" s="205"/>
      <c r="AA635" s="205"/>
      <c r="AB635" s="17"/>
      <c r="AC635" s="17"/>
      <c r="AD635" s="17"/>
      <c r="AE635" s="17"/>
    </row>
    <row r="636">
      <c r="A636" s="154"/>
      <c r="B636" s="168"/>
      <c r="C636" s="324"/>
      <c r="D636" s="154"/>
      <c r="E636" s="168"/>
      <c r="F636" s="324"/>
      <c r="G636" s="154"/>
      <c r="H636" s="168"/>
      <c r="I636" s="324"/>
      <c r="J636" s="154"/>
      <c r="K636" s="168"/>
      <c r="L636" s="324"/>
      <c r="M636" s="330"/>
      <c r="N636" s="331"/>
      <c r="O636" s="332"/>
      <c r="P636" s="330"/>
      <c r="Q636" s="331"/>
      <c r="R636" s="332"/>
      <c r="S636" s="330"/>
      <c r="T636" s="331"/>
      <c r="U636" s="332"/>
      <c r="V636" s="154"/>
      <c r="W636" s="331"/>
      <c r="X636" s="324"/>
      <c r="Y636" s="205"/>
      <c r="Z636" s="205"/>
      <c r="AA636" s="205"/>
      <c r="AB636" s="17"/>
      <c r="AC636" s="17"/>
      <c r="AD636" s="17"/>
      <c r="AE636" s="17"/>
    </row>
    <row r="637">
      <c r="A637" s="154"/>
      <c r="B637" s="168"/>
      <c r="C637" s="324"/>
      <c r="D637" s="154"/>
      <c r="E637" s="168"/>
      <c r="F637" s="324"/>
      <c r="G637" s="154"/>
      <c r="H637" s="168"/>
      <c r="I637" s="324"/>
      <c r="J637" s="154"/>
      <c r="K637" s="168"/>
      <c r="L637" s="324"/>
      <c r="M637" s="330"/>
      <c r="N637" s="331"/>
      <c r="O637" s="332"/>
      <c r="P637" s="330"/>
      <c r="Q637" s="331"/>
      <c r="R637" s="332"/>
      <c r="S637" s="330"/>
      <c r="T637" s="331"/>
      <c r="U637" s="332"/>
      <c r="V637" s="154"/>
      <c r="W637" s="331"/>
      <c r="X637" s="324"/>
      <c r="Y637" s="205"/>
      <c r="Z637" s="205"/>
      <c r="AA637" s="205"/>
      <c r="AB637" s="17"/>
      <c r="AC637" s="17"/>
      <c r="AD637" s="17"/>
      <c r="AE637" s="17"/>
    </row>
    <row r="638">
      <c r="A638" s="154"/>
      <c r="B638" s="168"/>
      <c r="C638" s="324"/>
      <c r="D638" s="154"/>
      <c r="E638" s="168"/>
      <c r="F638" s="324"/>
      <c r="G638" s="154"/>
      <c r="H638" s="168"/>
      <c r="I638" s="324"/>
      <c r="J638" s="154"/>
      <c r="K638" s="168"/>
      <c r="L638" s="324"/>
      <c r="M638" s="330"/>
      <c r="N638" s="331"/>
      <c r="O638" s="332"/>
      <c r="P638" s="330"/>
      <c r="Q638" s="331"/>
      <c r="R638" s="332"/>
      <c r="S638" s="330"/>
      <c r="T638" s="331"/>
      <c r="U638" s="332"/>
      <c r="V638" s="154"/>
      <c r="W638" s="331"/>
      <c r="X638" s="324"/>
      <c r="Y638" s="205"/>
      <c r="Z638" s="205"/>
      <c r="AA638" s="205"/>
      <c r="AB638" s="17"/>
      <c r="AC638" s="17"/>
      <c r="AD638" s="17"/>
      <c r="AE638" s="17"/>
    </row>
    <row r="639">
      <c r="A639" s="154"/>
      <c r="B639" s="168"/>
      <c r="C639" s="324"/>
      <c r="D639" s="154"/>
      <c r="E639" s="168"/>
      <c r="F639" s="324"/>
      <c r="G639" s="154"/>
      <c r="H639" s="168"/>
      <c r="I639" s="324"/>
      <c r="J639" s="154"/>
      <c r="K639" s="168"/>
      <c r="L639" s="324"/>
      <c r="M639" s="330"/>
      <c r="N639" s="331"/>
      <c r="O639" s="332"/>
      <c r="P639" s="330"/>
      <c r="Q639" s="331"/>
      <c r="R639" s="332"/>
      <c r="S639" s="330"/>
      <c r="T639" s="331"/>
      <c r="U639" s="332"/>
      <c r="V639" s="154"/>
      <c r="W639" s="331"/>
      <c r="X639" s="324"/>
      <c r="Y639" s="205"/>
      <c r="Z639" s="205"/>
      <c r="AA639" s="205"/>
      <c r="AB639" s="17"/>
      <c r="AC639" s="17"/>
      <c r="AD639" s="17"/>
      <c r="AE639" s="17"/>
    </row>
    <row r="640">
      <c r="A640" s="154"/>
      <c r="B640" s="168"/>
      <c r="C640" s="324"/>
      <c r="D640" s="154"/>
      <c r="E640" s="168"/>
      <c r="F640" s="324"/>
      <c r="G640" s="154"/>
      <c r="H640" s="168"/>
      <c r="I640" s="324"/>
      <c r="J640" s="154"/>
      <c r="K640" s="168"/>
      <c r="L640" s="324"/>
      <c r="M640" s="330"/>
      <c r="N640" s="331"/>
      <c r="O640" s="332"/>
      <c r="P640" s="330"/>
      <c r="Q640" s="331"/>
      <c r="R640" s="332"/>
      <c r="S640" s="330"/>
      <c r="T640" s="331"/>
      <c r="U640" s="332"/>
      <c r="V640" s="154"/>
      <c r="W640" s="331"/>
      <c r="X640" s="324"/>
      <c r="Y640" s="205"/>
      <c r="Z640" s="205"/>
      <c r="AA640" s="205"/>
      <c r="AB640" s="17"/>
      <c r="AC640" s="17"/>
      <c r="AD640" s="17"/>
      <c r="AE640" s="17"/>
    </row>
    <row r="641">
      <c r="A641" s="154"/>
      <c r="B641" s="168"/>
      <c r="C641" s="324"/>
      <c r="D641" s="154"/>
      <c r="E641" s="168"/>
      <c r="F641" s="324"/>
      <c r="G641" s="154"/>
      <c r="H641" s="168"/>
      <c r="I641" s="324"/>
      <c r="J641" s="154"/>
      <c r="K641" s="168"/>
      <c r="L641" s="324"/>
      <c r="M641" s="330"/>
      <c r="N641" s="331"/>
      <c r="O641" s="332"/>
      <c r="P641" s="330"/>
      <c r="Q641" s="331"/>
      <c r="R641" s="332"/>
      <c r="S641" s="330"/>
      <c r="T641" s="331"/>
      <c r="U641" s="332"/>
      <c r="V641" s="154"/>
      <c r="W641" s="331"/>
      <c r="X641" s="324"/>
      <c r="Y641" s="205"/>
      <c r="Z641" s="205"/>
      <c r="AA641" s="205"/>
      <c r="AB641" s="17"/>
      <c r="AC641" s="17"/>
      <c r="AD641" s="17"/>
      <c r="AE641" s="17"/>
    </row>
    <row r="642">
      <c r="A642" s="154"/>
      <c r="B642" s="168"/>
      <c r="C642" s="324"/>
      <c r="D642" s="154"/>
      <c r="E642" s="168"/>
      <c r="F642" s="324"/>
      <c r="G642" s="154"/>
      <c r="H642" s="168"/>
      <c r="I642" s="324"/>
      <c r="J642" s="154"/>
      <c r="K642" s="168"/>
      <c r="L642" s="324"/>
      <c r="M642" s="330"/>
      <c r="N642" s="331"/>
      <c r="O642" s="332"/>
      <c r="P642" s="330"/>
      <c r="Q642" s="331"/>
      <c r="R642" s="332"/>
      <c r="S642" s="330"/>
      <c r="T642" s="331"/>
      <c r="U642" s="332"/>
      <c r="V642" s="154"/>
      <c r="W642" s="331"/>
      <c r="X642" s="324"/>
      <c r="Y642" s="205"/>
      <c r="Z642" s="205"/>
      <c r="AA642" s="205"/>
      <c r="AB642" s="17"/>
      <c r="AC642" s="17"/>
      <c r="AD642" s="17"/>
      <c r="AE642" s="17"/>
    </row>
    <row r="643">
      <c r="A643" s="154"/>
      <c r="B643" s="168"/>
      <c r="C643" s="324"/>
      <c r="D643" s="154"/>
      <c r="E643" s="168"/>
      <c r="F643" s="324"/>
      <c r="G643" s="154"/>
      <c r="H643" s="168"/>
      <c r="I643" s="324"/>
      <c r="J643" s="154"/>
      <c r="K643" s="168"/>
      <c r="L643" s="324"/>
      <c r="M643" s="330"/>
      <c r="N643" s="331"/>
      <c r="O643" s="332"/>
      <c r="P643" s="330"/>
      <c r="Q643" s="331"/>
      <c r="R643" s="332"/>
      <c r="S643" s="330"/>
      <c r="T643" s="331"/>
      <c r="U643" s="332"/>
      <c r="V643" s="154"/>
      <c r="W643" s="331"/>
      <c r="X643" s="324"/>
      <c r="Y643" s="205"/>
      <c r="Z643" s="205"/>
      <c r="AA643" s="205"/>
      <c r="AB643" s="17"/>
      <c r="AC643" s="17"/>
      <c r="AD643" s="17"/>
      <c r="AE643" s="17"/>
    </row>
    <row r="644">
      <c r="A644" s="154"/>
      <c r="B644" s="168"/>
      <c r="C644" s="324"/>
      <c r="D644" s="154"/>
      <c r="E644" s="168"/>
      <c r="F644" s="324"/>
      <c r="G644" s="154"/>
      <c r="H644" s="168"/>
      <c r="I644" s="324"/>
      <c r="J644" s="154"/>
      <c r="K644" s="168"/>
      <c r="L644" s="324"/>
      <c r="M644" s="330"/>
      <c r="N644" s="331"/>
      <c r="O644" s="332"/>
      <c r="P644" s="330"/>
      <c r="Q644" s="331"/>
      <c r="R644" s="332"/>
      <c r="S644" s="330"/>
      <c r="T644" s="331"/>
      <c r="U644" s="332"/>
      <c r="V644" s="154"/>
      <c r="W644" s="331"/>
      <c r="X644" s="324"/>
      <c r="Y644" s="205"/>
      <c r="Z644" s="205"/>
      <c r="AA644" s="205"/>
      <c r="AB644" s="17"/>
      <c r="AC644" s="17"/>
      <c r="AD644" s="17"/>
      <c r="AE644" s="17"/>
    </row>
    <row r="645">
      <c r="A645" s="154"/>
      <c r="B645" s="168"/>
      <c r="C645" s="324"/>
      <c r="D645" s="154"/>
      <c r="E645" s="168"/>
      <c r="F645" s="324"/>
      <c r="G645" s="154"/>
      <c r="H645" s="168"/>
      <c r="I645" s="324"/>
      <c r="J645" s="154"/>
      <c r="K645" s="168"/>
      <c r="L645" s="324"/>
      <c r="M645" s="330"/>
      <c r="N645" s="331"/>
      <c r="O645" s="332"/>
      <c r="P645" s="330"/>
      <c r="Q645" s="331"/>
      <c r="R645" s="332"/>
      <c r="S645" s="330"/>
      <c r="T645" s="331"/>
      <c r="U645" s="332"/>
      <c r="V645" s="154"/>
      <c r="W645" s="331"/>
      <c r="X645" s="324"/>
      <c r="Y645" s="205"/>
      <c r="Z645" s="205"/>
      <c r="AA645" s="205"/>
      <c r="AB645" s="17"/>
      <c r="AC645" s="17"/>
      <c r="AD645" s="17"/>
      <c r="AE645" s="17"/>
    </row>
    <row r="646">
      <c r="A646" s="154"/>
      <c r="B646" s="168"/>
      <c r="C646" s="324"/>
      <c r="D646" s="154"/>
      <c r="E646" s="168"/>
      <c r="F646" s="324"/>
      <c r="G646" s="154"/>
      <c r="H646" s="168"/>
      <c r="I646" s="324"/>
      <c r="J646" s="154"/>
      <c r="K646" s="168"/>
      <c r="L646" s="324"/>
      <c r="M646" s="330"/>
      <c r="N646" s="331"/>
      <c r="O646" s="332"/>
      <c r="P646" s="330"/>
      <c r="Q646" s="331"/>
      <c r="R646" s="332"/>
      <c r="S646" s="330"/>
      <c r="T646" s="331"/>
      <c r="U646" s="332"/>
      <c r="V646" s="154"/>
      <c r="W646" s="331"/>
      <c r="X646" s="324"/>
      <c r="Y646" s="205"/>
      <c r="Z646" s="205"/>
      <c r="AA646" s="205"/>
      <c r="AB646" s="17"/>
      <c r="AC646" s="17"/>
      <c r="AD646" s="17"/>
      <c r="AE646" s="17"/>
    </row>
    <row r="647">
      <c r="A647" s="154"/>
      <c r="B647" s="168"/>
      <c r="C647" s="324"/>
      <c r="D647" s="154"/>
      <c r="E647" s="168"/>
      <c r="F647" s="324"/>
      <c r="G647" s="154"/>
      <c r="H647" s="168"/>
      <c r="I647" s="324"/>
      <c r="J647" s="154"/>
      <c r="K647" s="168"/>
      <c r="L647" s="324"/>
      <c r="M647" s="330"/>
      <c r="N647" s="331"/>
      <c r="O647" s="332"/>
      <c r="P647" s="330"/>
      <c r="Q647" s="331"/>
      <c r="R647" s="332"/>
      <c r="S647" s="330"/>
      <c r="T647" s="331"/>
      <c r="U647" s="332"/>
      <c r="V647" s="154"/>
      <c r="W647" s="331"/>
      <c r="X647" s="324"/>
      <c r="Y647" s="205"/>
      <c r="Z647" s="205"/>
      <c r="AA647" s="205"/>
      <c r="AB647" s="17"/>
      <c r="AC647" s="17"/>
      <c r="AD647" s="17"/>
      <c r="AE647" s="17"/>
    </row>
    <row r="648">
      <c r="A648" s="154"/>
      <c r="B648" s="168"/>
      <c r="C648" s="324"/>
      <c r="D648" s="154"/>
      <c r="E648" s="168"/>
      <c r="F648" s="324"/>
      <c r="G648" s="154"/>
      <c r="H648" s="168"/>
      <c r="I648" s="324"/>
      <c r="J648" s="154"/>
      <c r="K648" s="168"/>
      <c r="L648" s="324"/>
      <c r="M648" s="330"/>
      <c r="N648" s="331"/>
      <c r="O648" s="332"/>
      <c r="P648" s="330"/>
      <c r="Q648" s="331"/>
      <c r="R648" s="332"/>
      <c r="S648" s="330"/>
      <c r="T648" s="331"/>
      <c r="U648" s="332"/>
      <c r="V648" s="154"/>
      <c r="W648" s="331"/>
      <c r="X648" s="324"/>
      <c r="Y648" s="205"/>
      <c r="Z648" s="205"/>
      <c r="AA648" s="205"/>
      <c r="AB648" s="17"/>
      <c r="AC648" s="17"/>
      <c r="AD648" s="17"/>
      <c r="AE648" s="17"/>
    </row>
    <row r="649">
      <c r="A649" s="154"/>
      <c r="B649" s="168"/>
      <c r="C649" s="324"/>
      <c r="D649" s="154"/>
      <c r="E649" s="168"/>
      <c r="F649" s="324"/>
      <c r="G649" s="154"/>
      <c r="H649" s="168"/>
      <c r="I649" s="324"/>
      <c r="J649" s="154"/>
      <c r="K649" s="168"/>
      <c r="L649" s="324"/>
      <c r="M649" s="330"/>
      <c r="N649" s="331"/>
      <c r="O649" s="332"/>
      <c r="P649" s="330"/>
      <c r="Q649" s="331"/>
      <c r="R649" s="332"/>
      <c r="S649" s="330"/>
      <c r="T649" s="331"/>
      <c r="U649" s="332"/>
      <c r="V649" s="154"/>
      <c r="W649" s="331"/>
      <c r="X649" s="324"/>
      <c r="Y649" s="205"/>
      <c r="Z649" s="205"/>
      <c r="AA649" s="205"/>
      <c r="AB649" s="17"/>
      <c r="AC649" s="17"/>
      <c r="AD649" s="17"/>
      <c r="AE649" s="17"/>
    </row>
    <row r="650">
      <c r="A650" s="154"/>
      <c r="B650" s="168"/>
      <c r="C650" s="324"/>
      <c r="D650" s="154"/>
      <c r="E650" s="168"/>
      <c r="F650" s="324"/>
      <c r="G650" s="154"/>
      <c r="H650" s="168"/>
      <c r="I650" s="324"/>
      <c r="J650" s="154"/>
      <c r="K650" s="168"/>
      <c r="L650" s="324"/>
      <c r="M650" s="330"/>
      <c r="N650" s="331"/>
      <c r="O650" s="332"/>
      <c r="P650" s="330"/>
      <c r="Q650" s="331"/>
      <c r="R650" s="332"/>
      <c r="S650" s="330"/>
      <c r="T650" s="331"/>
      <c r="U650" s="332"/>
      <c r="V650" s="154"/>
      <c r="W650" s="331"/>
      <c r="X650" s="324"/>
      <c r="Y650" s="205"/>
      <c r="Z650" s="205"/>
      <c r="AA650" s="205"/>
      <c r="AB650" s="17"/>
      <c r="AC650" s="17"/>
      <c r="AD650" s="17"/>
      <c r="AE650" s="17"/>
    </row>
    <row r="651">
      <c r="A651" s="154"/>
      <c r="B651" s="168"/>
      <c r="C651" s="324"/>
      <c r="D651" s="154"/>
      <c r="E651" s="168"/>
      <c r="F651" s="324"/>
      <c r="G651" s="154"/>
      <c r="H651" s="168"/>
      <c r="I651" s="324"/>
      <c r="J651" s="154"/>
      <c r="K651" s="168"/>
      <c r="L651" s="324"/>
      <c r="M651" s="330"/>
      <c r="N651" s="331"/>
      <c r="O651" s="332"/>
      <c r="P651" s="330"/>
      <c r="Q651" s="331"/>
      <c r="R651" s="332"/>
      <c r="S651" s="330"/>
      <c r="T651" s="331"/>
      <c r="U651" s="332"/>
      <c r="V651" s="154"/>
      <c r="W651" s="331"/>
      <c r="X651" s="324"/>
      <c r="Y651" s="205"/>
      <c r="Z651" s="205"/>
      <c r="AA651" s="205"/>
      <c r="AB651" s="17"/>
      <c r="AC651" s="17"/>
      <c r="AD651" s="17"/>
      <c r="AE651" s="17"/>
    </row>
    <row r="652">
      <c r="A652" s="154"/>
      <c r="B652" s="168"/>
      <c r="C652" s="324"/>
      <c r="D652" s="154"/>
      <c r="E652" s="168"/>
      <c r="F652" s="324"/>
      <c r="G652" s="154"/>
      <c r="H652" s="168"/>
      <c r="I652" s="324"/>
      <c r="J652" s="154"/>
      <c r="K652" s="168"/>
      <c r="L652" s="324"/>
      <c r="M652" s="330"/>
      <c r="N652" s="331"/>
      <c r="O652" s="332"/>
      <c r="P652" s="330"/>
      <c r="Q652" s="331"/>
      <c r="R652" s="332"/>
      <c r="S652" s="330"/>
      <c r="T652" s="331"/>
      <c r="U652" s="332"/>
      <c r="V652" s="154"/>
      <c r="W652" s="331"/>
      <c r="X652" s="324"/>
      <c r="Y652" s="205"/>
      <c r="Z652" s="205"/>
      <c r="AA652" s="205"/>
      <c r="AB652" s="17"/>
      <c r="AC652" s="17"/>
      <c r="AD652" s="17"/>
      <c r="AE652" s="17"/>
    </row>
    <row r="653">
      <c r="A653" s="154"/>
      <c r="B653" s="168"/>
      <c r="C653" s="324"/>
      <c r="D653" s="154"/>
      <c r="E653" s="168"/>
      <c r="F653" s="324"/>
      <c r="G653" s="154"/>
      <c r="H653" s="168"/>
      <c r="I653" s="324"/>
      <c r="J653" s="154"/>
      <c r="K653" s="168"/>
      <c r="L653" s="324"/>
      <c r="M653" s="330"/>
      <c r="N653" s="331"/>
      <c r="O653" s="332"/>
      <c r="P653" s="330"/>
      <c r="Q653" s="331"/>
      <c r="R653" s="332"/>
      <c r="S653" s="330"/>
      <c r="T653" s="331"/>
      <c r="U653" s="332"/>
      <c r="V653" s="154"/>
      <c r="W653" s="331"/>
      <c r="X653" s="324"/>
      <c r="Y653" s="205"/>
      <c r="Z653" s="205"/>
      <c r="AA653" s="205"/>
      <c r="AB653" s="17"/>
      <c r="AC653" s="17"/>
      <c r="AD653" s="17"/>
      <c r="AE653" s="17"/>
    </row>
    <row r="654">
      <c r="A654" s="154"/>
      <c r="B654" s="168"/>
      <c r="C654" s="324"/>
      <c r="D654" s="154"/>
      <c r="E654" s="168"/>
      <c r="F654" s="324"/>
      <c r="G654" s="154"/>
      <c r="H654" s="168"/>
      <c r="I654" s="324"/>
      <c r="J654" s="154"/>
      <c r="K654" s="168"/>
      <c r="L654" s="324"/>
      <c r="M654" s="330"/>
      <c r="N654" s="331"/>
      <c r="O654" s="332"/>
      <c r="P654" s="330"/>
      <c r="Q654" s="331"/>
      <c r="R654" s="332"/>
      <c r="S654" s="330"/>
      <c r="T654" s="331"/>
      <c r="U654" s="332"/>
      <c r="V654" s="154"/>
      <c r="W654" s="331"/>
      <c r="X654" s="324"/>
      <c r="Y654" s="205"/>
      <c r="Z654" s="205"/>
      <c r="AA654" s="205"/>
      <c r="AB654" s="17"/>
      <c r="AC654" s="17"/>
      <c r="AD654" s="17"/>
      <c r="AE654" s="17"/>
    </row>
    <row r="655">
      <c r="A655" s="154"/>
      <c r="B655" s="168"/>
      <c r="C655" s="324"/>
      <c r="D655" s="154"/>
      <c r="E655" s="168"/>
      <c r="F655" s="324"/>
      <c r="G655" s="154"/>
      <c r="H655" s="168"/>
      <c r="I655" s="324"/>
      <c r="J655" s="154"/>
      <c r="K655" s="168"/>
      <c r="L655" s="324"/>
      <c r="M655" s="330"/>
      <c r="N655" s="331"/>
      <c r="O655" s="332"/>
      <c r="P655" s="330"/>
      <c r="Q655" s="331"/>
      <c r="R655" s="332"/>
      <c r="S655" s="330"/>
      <c r="T655" s="331"/>
      <c r="U655" s="332"/>
      <c r="V655" s="154"/>
      <c r="W655" s="331"/>
      <c r="X655" s="324"/>
      <c r="Y655" s="205"/>
      <c r="Z655" s="205"/>
      <c r="AA655" s="205"/>
      <c r="AB655" s="17"/>
      <c r="AC655" s="17"/>
      <c r="AD655" s="17"/>
      <c r="AE655" s="17"/>
    </row>
    <row r="656">
      <c r="A656" s="154"/>
      <c r="B656" s="168"/>
      <c r="C656" s="324"/>
      <c r="D656" s="154"/>
      <c r="E656" s="168"/>
      <c r="F656" s="324"/>
      <c r="G656" s="154"/>
      <c r="H656" s="168"/>
      <c r="I656" s="324"/>
      <c r="J656" s="154"/>
      <c r="K656" s="168"/>
      <c r="L656" s="324"/>
      <c r="M656" s="330"/>
      <c r="N656" s="331"/>
      <c r="O656" s="332"/>
      <c r="P656" s="330"/>
      <c r="Q656" s="331"/>
      <c r="R656" s="332"/>
      <c r="S656" s="330"/>
      <c r="T656" s="331"/>
      <c r="U656" s="332"/>
      <c r="V656" s="154"/>
      <c r="W656" s="331"/>
      <c r="X656" s="324"/>
      <c r="Y656" s="205"/>
      <c r="Z656" s="205"/>
      <c r="AA656" s="205"/>
      <c r="AB656" s="17"/>
      <c r="AC656" s="17"/>
      <c r="AD656" s="17"/>
      <c r="AE656" s="17"/>
    </row>
    <row r="657">
      <c r="A657" s="154"/>
      <c r="B657" s="168"/>
      <c r="C657" s="324"/>
      <c r="D657" s="154"/>
      <c r="E657" s="168"/>
      <c r="F657" s="324"/>
      <c r="G657" s="154"/>
      <c r="H657" s="168"/>
      <c r="I657" s="324"/>
      <c r="J657" s="154"/>
      <c r="K657" s="168"/>
      <c r="L657" s="324"/>
      <c r="M657" s="330"/>
      <c r="N657" s="331"/>
      <c r="O657" s="332"/>
      <c r="P657" s="330"/>
      <c r="Q657" s="331"/>
      <c r="R657" s="332"/>
      <c r="S657" s="330"/>
      <c r="T657" s="331"/>
      <c r="U657" s="332"/>
      <c r="V657" s="154"/>
      <c r="W657" s="331"/>
      <c r="X657" s="324"/>
      <c r="Y657" s="205"/>
      <c r="Z657" s="205"/>
      <c r="AA657" s="205"/>
      <c r="AB657" s="17"/>
      <c r="AC657" s="17"/>
      <c r="AD657" s="17"/>
      <c r="AE657" s="17"/>
    </row>
    <row r="658">
      <c r="A658" s="154"/>
      <c r="B658" s="168"/>
      <c r="C658" s="324"/>
      <c r="D658" s="154"/>
      <c r="E658" s="168"/>
      <c r="F658" s="324"/>
      <c r="G658" s="154"/>
      <c r="H658" s="168"/>
      <c r="I658" s="324"/>
      <c r="J658" s="154"/>
      <c r="K658" s="168"/>
      <c r="L658" s="324"/>
      <c r="M658" s="330"/>
      <c r="N658" s="331"/>
      <c r="O658" s="332"/>
      <c r="P658" s="330"/>
      <c r="Q658" s="331"/>
      <c r="R658" s="332"/>
      <c r="S658" s="330"/>
      <c r="T658" s="331"/>
      <c r="U658" s="332"/>
      <c r="V658" s="154"/>
      <c r="W658" s="331"/>
      <c r="X658" s="324"/>
      <c r="Y658" s="205"/>
      <c r="Z658" s="205"/>
      <c r="AA658" s="205"/>
      <c r="AB658" s="17"/>
      <c r="AC658" s="17"/>
      <c r="AD658" s="17"/>
      <c r="AE658" s="17"/>
    </row>
    <row r="659">
      <c r="A659" s="154"/>
      <c r="B659" s="168"/>
      <c r="C659" s="324"/>
      <c r="D659" s="154"/>
      <c r="E659" s="168"/>
      <c r="F659" s="324"/>
      <c r="G659" s="154"/>
      <c r="H659" s="168"/>
      <c r="I659" s="324"/>
      <c r="J659" s="154"/>
      <c r="K659" s="168"/>
      <c r="L659" s="324"/>
      <c r="M659" s="330"/>
      <c r="N659" s="331"/>
      <c r="O659" s="332"/>
      <c r="P659" s="330"/>
      <c r="Q659" s="331"/>
      <c r="R659" s="332"/>
      <c r="S659" s="330"/>
      <c r="T659" s="331"/>
      <c r="U659" s="332"/>
      <c r="V659" s="154"/>
      <c r="W659" s="331"/>
      <c r="X659" s="324"/>
      <c r="Y659" s="205"/>
      <c r="Z659" s="205"/>
      <c r="AA659" s="205"/>
      <c r="AB659" s="17"/>
      <c r="AC659" s="17"/>
      <c r="AD659" s="17"/>
      <c r="AE659" s="17"/>
    </row>
    <row r="660">
      <c r="A660" s="154"/>
      <c r="B660" s="168"/>
      <c r="C660" s="324"/>
      <c r="D660" s="154"/>
      <c r="E660" s="168"/>
      <c r="F660" s="324"/>
      <c r="G660" s="154"/>
      <c r="H660" s="168"/>
      <c r="I660" s="324"/>
      <c r="J660" s="154"/>
      <c r="K660" s="168"/>
      <c r="L660" s="324"/>
      <c r="M660" s="330"/>
      <c r="N660" s="331"/>
      <c r="O660" s="332"/>
      <c r="P660" s="330"/>
      <c r="Q660" s="331"/>
      <c r="R660" s="332"/>
      <c r="S660" s="330"/>
      <c r="T660" s="331"/>
      <c r="U660" s="332"/>
      <c r="V660" s="154"/>
      <c r="W660" s="331"/>
      <c r="X660" s="324"/>
      <c r="Y660" s="205"/>
      <c r="Z660" s="205"/>
      <c r="AA660" s="205"/>
      <c r="AB660" s="17"/>
      <c r="AC660" s="17"/>
      <c r="AD660" s="17"/>
      <c r="AE660" s="17"/>
    </row>
    <row r="661">
      <c r="A661" s="154"/>
      <c r="B661" s="168"/>
      <c r="C661" s="324"/>
      <c r="D661" s="154"/>
      <c r="E661" s="168"/>
      <c r="F661" s="324"/>
      <c r="G661" s="154"/>
      <c r="H661" s="168"/>
      <c r="I661" s="324"/>
      <c r="J661" s="154"/>
      <c r="K661" s="168"/>
      <c r="L661" s="324"/>
      <c r="M661" s="330"/>
      <c r="N661" s="331"/>
      <c r="O661" s="332"/>
      <c r="P661" s="330"/>
      <c r="Q661" s="331"/>
      <c r="R661" s="332"/>
      <c r="S661" s="330"/>
      <c r="T661" s="331"/>
      <c r="U661" s="332"/>
      <c r="V661" s="154"/>
      <c r="W661" s="331"/>
      <c r="X661" s="324"/>
      <c r="Y661" s="205"/>
      <c r="Z661" s="205"/>
      <c r="AA661" s="205"/>
      <c r="AB661" s="17"/>
      <c r="AC661" s="17"/>
      <c r="AD661" s="17"/>
      <c r="AE661" s="17"/>
    </row>
    <row r="662">
      <c r="A662" s="154"/>
      <c r="B662" s="168"/>
      <c r="C662" s="324"/>
      <c r="D662" s="154"/>
      <c r="E662" s="168"/>
      <c r="F662" s="324"/>
      <c r="G662" s="154"/>
      <c r="H662" s="168"/>
      <c r="I662" s="324"/>
      <c r="J662" s="154"/>
      <c r="K662" s="168"/>
      <c r="L662" s="324"/>
      <c r="M662" s="330"/>
      <c r="N662" s="331"/>
      <c r="O662" s="332"/>
      <c r="P662" s="330"/>
      <c r="Q662" s="331"/>
      <c r="R662" s="332"/>
      <c r="S662" s="330"/>
      <c r="T662" s="331"/>
      <c r="U662" s="332"/>
      <c r="V662" s="154"/>
      <c r="W662" s="331"/>
      <c r="X662" s="324"/>
      <c r="Y662" s="205"/>
      <c r="Z662" s="205"/>
      <c r="AA662" s="205"/>
      <c r="AB662" s="17"/>
      <c r="AC662" s="17"/>
      <c r="AD662" s="17"/>
      <c r="AE662" s="17"/>
    </row>
    <row r="663">
      <c r="A663" s="154"/>
      <c r="B663" s="168"/>
      <c r="C663" s="324"/>
      <c r="D663" s="154"/>
      <c r="E663" s="168"/>
      <c r="F663" s="324"/>
      <c r="G663" s="154"/>
      <c r="H663" s="168"/>
      <c r="I663" s="324"/>
      <c r="J663" s="154"/>
      <c r="K663" s="168"/>
      <c r="L663" s="324"/>
      <c r="M663" s="330"/>
      <c r="N663" s="331"/>
      <c r="O663" s="332"/>
      <c r="P663" s="330"/>
      <c r="Q663" s="331"/>
      <c r="R663" s="332"/>
      <c r="S663" s="330"/>
      <c r="T663" s="331"/>
      <c r="U663" s="332"/>
      <c r="V663" s="154"/>
      <c r="W663" s="331"/>
      <c r="X663" s="324"/>
      <c r="Y663" s="205"/>
      <c r="Z663" s="205"/>
      <c r="AA663" s="205"/>
      <c r="AB663" s="17"/>
      <c r="AC663" s="17"/>
      <c r="AD663" s="17"/>
      <c r="AE663" s="17"/>
    </row>
    <row r="664">
      <c r="A664" s="154"/>
      <c r="B664" s="168"/>
      <c r="C664" s="324"/>
      <c r="D664" s="154"/>
      <c r="E664" s="168"/>
      <c r="F664" s="324"/>
      <c r="G664" s="154"/>
      <c r="H664" s="168"/>
      <c r="I664" s="324"/>
      <c r="J664" s="154"/>
      <c r="K664" s="168"/>
      <c r="L664" s="324"/>
      <c r="M664" s="330"/>
      <c r="N664" s="331"/>
      <c r="O664" s="332"/>
      <c r="P664" s="330"/>
      <c r="Q664" s="331"/>
      <c r="R664" s="332"/>
      <c r="S664" s="330"/>
      <c r="T664" s="331"/>
      <c r="U664" s="332"/>
      <c r="V664" s="154"/>
      <c r="W664" s="331"/>
      <c r="X664" s="324"/>
      <c r="Y664" s="205"/>
      <c r="Z664" s="205"/>
      <c r="AA664" s="205"/>
      <c r="AB664" s="17"/>
      <c r="AC664" s="17"/>
      <c r="AD664" s="17"/>
      <c r="AE664" s="17"/>
    </row>
    <row r="665">
      <c r="A665" s="154"/>
      <c r="B665" s="168"/>
      <c r="C665" s="324"/>
      <c r="D665" s="154"/>
      <c r="E665" s="168"/>
      <c r="F665" s="324"/>
      <c r="G665" s="154"/>
      <c r="H665" s="168"/>
      <c r="I665" s="324"/>
      <c r="J665" s="154"/>
      <c r="K665" s="168"/>
      <c r="L665" s="324"/>
      <c r="M665" s="330"/>
      <c r="N665" s="331"/>
      <c r="O665" s="332"/>
      <c r="P665" s="330"/>
      <c r="Q665" s="331"/>
      <c r="R665" s="332"/>
      <c r="S665" s="330"/>
      <c r="T665" s="331"/>
      <c r="U665" s="332"/>
      <c r="V665" s="154"/>
      <c r="W665" s="331"/>
      <c r="X665" s="324"/>
      <c r="Y665" s="205"/>
      <c r="Z665" s="205"/>
      <c r="AA665" s="205"/>
      <c r="AB665" s="17"/>
      <c r="AC665" s="17"/>
      <c r="AD665" s="17"/>
      <c r="AE665" s="17"/>
    </row>
    <row r="666">
      <c r="A666" s="154"/>
      <c r="B666" s="168"/>
      <c r="C666" s="324"/>
      <c r="D666" s="154"/>
      <c r="E666" s="168"/>
      <c r="F666" s="324"/>
      <c r="G666" s="154"/>
      <c r="H666" s="168"/>
      <c r="I666" s="324"/>
      <c r="J666" s="154"/>
      <c r="K666" s="168"/>
      <c r="L666" s="324"/>
      <c r="M666" s="330"/>
      <c r="N666" s="331"/>
      <c r="O666" s="332"/>
      <c r="P666" s="330"/>
      <c r="Q666" s="331"/>
      <c r="R666" s="332"/>
      <c r="S666" s="330"/>
      <c r="T666" s="331"/>
      <c r="U666" s="332"/>
      <c r="V666" s="154"/>
      <c r="W666" s="331"/>
      <c r="X666" s="324"/>
      <c r="Y666" s="205"/>
      <c r="Z666" s="205"/>
      <c r="AA666" s="205"/>
      <c r="AB666" s="17"/>
      <c r="AC666" s="17"/>
      <c r="AD666" s="17"/>
      <c r="AE666" s="17"/>
    </row>
    <row r="667">
      <c r="A667" s="154"/>
      <c r="B667" s="168"/>
      <c r="C667" s="324"/>
      <c r="D667" s="154"/>
      <c r="E667" s="168"/>
      <c r="F667" s="324"/>
      <c r="G667" s="154"/>
      <c r="H667" s="168"/>
      <c r="I667" s="324"/>
      <c r="J667" s="154"/>
      <c r="K667" s="168"/>
      <c r="L667" s="324"/>
      <c r="M667" s="330"/>
      <c r="N667" s="331"/>
      <c r="O667" s="332"/>
      <c r="P667" s="330"/>
      <c r="Q667" s="331"/>
      <c r="R667" s="332"/>
      <c r="S667" s="330"/>
      <c r="T667" s="331"/>
      <c r="U667" s="332"/>
      <c r="V667" s="154"/>
      <c r="W667" s="331"/>
      <c r="X667" s="324"/>
      <c r="Y667" s="205"/>
      <c r="Z667" s="205"/>
      <c r="AA667" s="205"/>
      <c r="AB667" s="17"/>
      <c r="AC667" s="17"/>
      <c r="AD667" s="17"/>
      <c r="AE667" s="17"/>
    </row>
    <row r="668">
      <c r="A668" s="154"/>
      <c r="B668" s="168"/>
      <c r="C668" s="324"/>
      <c r="D668" s="154"/>
      <c r="E668" s="168"/>
      <c r="F668" s="324"/>
      <c r="G668" s="154"/>
      <c r="H668" s="168"/>
      <c r="I668" s="324"/>
      <c r="J668" s="154"/>
      <c r="K668" s="168"/>
      <c r="L668" s="324"/>
      <c r="M668" s="330"/>
      <c r="N668" s="331"/>
      <c r="O668" s="332"/>
      <c r="P668" s="330"/>
      <c r="Q668" s="331"/>
      <c r="R668" s="332"/>
      <c r="S668" s="330"/>
      <c r="T668" s="331"/>
      <c r="U668" s="332"/>
      <c r="V668" s="154"/>
      <c r="W668" s="331"/>
      <c r="X668" s="324"/>
      <c r="Y668" s="205"/>
      <c r="Z668" s="205"/>
      <c r="AA668" s="205"/>
      <c r="AB668" s="17"/>
      <c r="AC668" s="17"/>
      <c r="AD668" s="17"/>
      <c r="AE668" s="17"/>
    </row>
    <row r="669">
      <c r="A669" s="154"/>
      <c r="B669" s="168"/>
      <c r="C669" s="324"/>
      <c r="D669" s="154"/>
      <c r="E669" s="168"/>
      <c r="F669" s="324"/>
      <c r="G669" s="154"/>
      <c r="H669" s="168"/>
      <c r="I669" s="324"/>
      <c r="J669" s="154"/>
      <c r="K669" s="168"/>
      <c r="L669" s="324"/>
      <c r="M669" s="330"/>
      <c r="N669" s="331"/>
      <c r="O669" s="332"/>
      <c r="P669" s="330"/>
      <c r="Q669" s="331"/>
      <c r="R669" s="332"/>
      <c r="S669" s="330"/>
      <c r="T669" s="331"/>
      <c r="U669" s="332"/>
      <c r="V669" s="154"/>
      <c r="W669" s="331"/>
      <c r="X669" s="324"/>
      <c r="Y669" s="205"/>
      <c r="Z669" s="205"/>
      <c r="AA669" s="205"/>
      <c r="AB669" s="17"/>
      <c r="AC669" s="17"/>
      <c r="AD669" s="17"/>
      <c r="AE669" s="17"/>
    </row>
    <row r="670">
      <c r="A670" s="154"/>
      <c r="B670" s="168"/>
      <c r="C670" s="324"/>
      <c r="D670" s="154"/>
      <c r="E670" s="168"/>
      <c r="F670" s="324"/>
      <c r="G670" s="154"/>
      <c r="H670" s="168"/>
      <c r="I670" s="324"/>
      <c r="J670" s="154"/>
      <c r="K670" s="168"/>
      <c r="L670" s="324"/>
      <c r="M670" s="330"/>
      <c r="N670" s="331"/>
      <c r="O670" s="332"/>
      <c r="P670" s="330"/>
      <c r="Q670" s="331"/>
      <c r="R670" s="332"/>
      <c r="S670" s="330"/>
      <c r="T670" s="331"/>
      <c r="U670" s="332"/>
      <c r="V670" s="154"/>
      <c r="W670" s="331"/>
      <c r="X670" s="324"/>
      <c r="Y670" s="205"/>
      <c r="Z670" s="205"/>
      <c r="AA670" s="205"/>
      <c r="AB670" s="17"/>
      <c r="AC670" s="17"/>
      <c r="AD670" s="17"/>
      <c r="AE670" s="17"/>
    </row>
    <row r="671">
      <c r="A671" s="154"/>
      <c r="B671" s="168"/>
      <c r="C671" s="324"/>
      <c r="D671" s="154"/>
      <c r="E671" s="168"/>
      <c r="F671" s="324"/>
      <c r="G671" s="154"/>
      <c r="H671" s="168"/>
      <c r="I671" s="324"/>
      <c r="J671" s="154"/>
      <c r="K671" s="168"/>
      <c r="L671" s="324"/>
      <c r="M671" s="330"/>
      <c r="N671" s="331"/>
      <c r="O671" s="332"/>
      <c r="P671" s="330"/>
      <c r="Q671" s="331"/>
      <c r="R671" s="332"/>
      <c r="S671" s="330"/>
      <c r="T671" s="331"/>
      <c r="U671" s="332"/>
      <c r="V671" s="154"/>
      <c r="W671" s="331"/>
      <c r="X671" s="324"/>
      <c r="Y671" s="205"/>
      <c r="Z671" s="205"/>
      <c r="AA671" s="205"/>
      <c r="AB671" s="17"/>
      <c r="AC671" s="17"/>
      <c r="AD671" s="17"/>
      <c r="AE671" s="17"/>
    </row>
    <row r="672">
      <c r="A672" s="154"/>
      <c r="B672" s="168"/>
      <c r="C672" s="324"/>
      <c r="D672" s="154"/>
      <c r="E672" s="168"/>
      <c r="F672" s="324"/>
      <c r="G672" s="154"/>
      <c r="H672" s="168"/>
      <c r="I672" s="324"/>
      <c r="J672" s="154"/>
      <c r="K672" s="168"/>
      <c r="L672" s="324"/>
      <c r="M672" s="330"/>
      <c r="N672" s="331"/>
      <c r="O672" s="332"/>
      <c r="P672" s="330"/>
      <c r="Q672" s="331"/>
      <c r="R672" s="332"/>
      <c r="S672" s="330"/>
      <c r="T672" s="331"/>
      <c r="U672" s="332"/>
      <c r="V672" s="154"/>
      <c r="W672" s="331"/>
      <c r="X672" s="324"/>
      <c r="Y672" s="205"/>
      <c r="Z672" s="205"/>
      <c r="AA672" s="205"/>
      <c r="AB672" s="17"/>
      <c r="AC672" s="17"/>
      <c r="AD672" s="17"/>
      <c r="AE672" s="17"/>
    </row>
    <row r="673">
      <c r="A673" s="154"/>
      <c r="B673" s="168"/>
      <c r="C673" s="324"/>
      <c r="D673" s="154"/>
      <c r="E673" s="168"/>
      <c r="F673" s="324"/>
      <c r="G673" s="154"/>
      <c r="H673" s="168"/>
      <c r="I673" s="324"/>
      <c r="J673" s="154"/>
      <c r="K673" s="168"/>
      <c r="L673" s="324"/>
      <c r="M673" s="330"/>
      <c r="N673" s="331"/>
      <c r="O673" s="332"/>
      <c r="P673" s="330"/>
      <c r="Q673" s="331"/>
      <c r="R673" s="332"/>
      <c r="S673" s="330"/>
      <c r="T673" s="331"/>
      <c r="U673" s="332"/>
      <c r="V673" s="154"/>
      <c r="W673" s="331"/>
      <c r="X673" s="324"/>
      <c r="Y673" s="205"/>
      <c r="Z673" s="205"/>
      <c r="AA673" s="205"/>
      <c r="AB673" s="17"/>
      <c r="AC673" s="17"/>
      <c r="AD673" s="17"/>
      <c r="AE673" s="17"/>
    </row>
    <row r="674">
      <c r="A674" s="154"/>
      <c r="B674" s="168"/>
      <c r="C674" s="324"/>
      <c r="D674" s="154"/>
      <c r="E674" s="168"/>
      <c r="F674" s="324"/>
      <c r="G674" s="154"/>
      <c r="H674" s="168"/>
      <c r="I674" s="324"/>
      <c r="J674" s="154"/>
      <c r="K674" s="168"/>
      <c r="L674" s="324"/>
      <c r="M674" s="330"/>
      <c r="N674" s="331"/>
      <c r="O674" s="332"/>
      <c r="P674" s="330"/>
      <c r="Q674" s="331"/>
      <c r="R674" s="332"/>
      <c r="S674" s="330"/>
      <c r="T674" s="331"/>
      <c r="U674" s="332"/>
      <c r="V674" s="154"/>
      <c r="W674" s="331"/>
      <c r="X674" s="324"/>
      <c r="Y674" s="205"/>
      <c r="Z674" s="205"/>
      <c r="AA674" s="205"/>
      <c r="AB674" s="17"/>
      <c r="AC674" s="17"/>
      <c r="AD674" s="17"/>
      <c r="AE674" s="17"/>
    </row>
    <row r="675">
      <c r="A675" s="154"/>
      <c r="B675" s="168"/>
      <c r="C675" s="324"/>
      <c r="D675" s="154"/>
      <c r="E675" s="168"/>
      <c r="F675" s="324"/>
      <c r="G675" s="154"/>
      <c r="H675" s="168"/>
      <c r="I675" s="324"/>
      <c r="J675" s="154"/>
      <c r="K675" s="168"/>
      <c r="L675" s="324"/>
      <c r="M675" s="330"/>
      <c r="N675" s="331"/>
      <c r="O675" s="332"/>
      <c r="P675" s="330"/>
      <c r="Q675" s="331"/>
      <c r="R675" s="332"/>
      <c r="S675" s="330"/>
      <c r="T675" s="331"/>
      <c r="U675" s="332"/>
      <c r="V675" s="154"/>
      <c r="W675" s="331"/>
      <c r="X675" s="324"/>
      <c r="Y675" s="205"/>
      <c r="Z675" s="205"/>
      <c r="AA675" s="205"/>
      <c r="AB675" s="17"/>
      <c r="AC675" s="17"/>
      <c r="AD675" s="17"/>
      <c r="AE675" s="17"/>
    </row>
    <row r="676">
      <c r="A676" s="154"/>
      <c r="B676" s="168"/>
      <c r="C676" s="324"/>
      <c r="D676" s="154"/>
      <c r="E676" s="168"/>
      <c r="F676" s="324"/>
      <c r="G676" s="154"/>
      <c r="H676" s="168"/>
      <c r="I676" s="324"/>
      <c r="J676" s="154"/>
      <c r="K676" s="168"/>
      <c r="L676" s="324"/>
      <c r="M676" s="330"/>
      <c r="N676" s="331"/>
      <c r="O676" s="332"/>
      <c r="P676" s="330"/>
      <c r="Q676" s="331"/>
      <c r="R676" s="332"/>
      <c r="S676" s="330"/>
      <c r="T676" s="331"/>
      <c r="U676" s="332"/>
      <c r="V676" s="154"/>
      <c r="W676" s="331"/>
      <c r="X676" s="324"/>
      <c r="Y676" s="205"/>
      <c r="Z676" s="205"/>
      <c r="AA676" s="205"/>
      <c r="AB676" s="17"/>
      <c r="AC676" s="17"/>
      <c r="AD676" s="17"/>
      <c r="AE676" s="17"/>
    </row>
    <row r="677">
      <c r="A677" s="154"/>
      <c r="B677" s="168"/>
      <c r="C677" s="324"/>
      <c r="D677" s="154"/>
      <c r="E677" s="168"/>
      <c r="F677" s="324"/>
      <c r="G677" s="154"/>
      <c r="H677" s="168"/>
      <c r="I677" s="324"/>
      <c r="J677" s="154"/>
      <c r="K677" s="168"/>
      <c r="L677" s="324"/>
      <c r="M677" s="330"/>
      <c r="N677" s="331"/>
      <c r="O677" s="332"/>
      <c r="P677" s="330"/>
      <c r="Q677" s="331"/>
      <c r="R677" s="332"/>
      <c r="S677" s="330"/>
      <c r="T677" s="331"/>
      <c r="U677" s="332"/>
      <c r="V677" s="154"/>
      <c r="W677" s="331"/>
      <c r="X677" s="324"/>
      <c r="Y677" s="205"/>
      <c r="Z677" s="205"/>
      <c r="AA677" s="205"/>
      <c r="AB677" s="17"/>
      <c r="AC677" s="17"/>
      <c r="AD677" s="17"/>
      <c r="AE677" s="17"/>
    </row>
    <row r="678">
      <c r="A678" s="154"/>
      <c r="B678" s="168"/>
      <c r="C678" s="324"/>
      <c r="D678" s="154"/>
      <c r="E678" s="168"/>
      <c r="F678" s="324"/>
      <c r="G678" s="154"/>
      <c r="H678" s="168"/>
      <c r="I678" s="324"/>
      <c r="J678" s="154"/>
      <c r="K678" s="168"/>
      <c r="L678" s="324"/>
      <c r="M678" s="330"/>
      <c r="N678" s="331"/>
      <c r="O678" s="332"/>
      <c r="P678" s="330"/>
      <c r="Q678" s="331"/>
      <c r="R678" s="332"/>
      <c r="S678" s="330"/>
      <c r="T678" s="331"/>
      <c r="U678" s="332"/>
      <c r="V678" s="154"/>
      <c r="W678" s="331"/>
      <c r="X678" s="324"/>
      <c r="Y678" s="205"/>
      <c r="Z678" s="205"/>
      <c r="AA678" s="205"/>
      <c r="AB678" s="17"/>
      <c r="AC678" s="17"/>
      <c r="AD678" s="17"/>
      <c r="AE678" s="17"/>
    </row>
    <row r="679">
      <c r="A679" s="154"/>
      <c r="B679" s="168"/>
      <c r="C679" s="324"/>
      <c r="D679" s="154"/>
      <c r="E679" s="168"/>
      <c r="F679" s="324"/>
      <c r="G679" s="154"/>
      <c r="H679" s="168"/>
      <c r="I679" s="324"/>
      <c r="J679" s="154"/>
      <c r="K679" s="168"/>
      <c r="L679" s="324"/>
      <c r="M679" s="330"/>
      <c r="N679" s="331"/>
      <c r="O679" s="332"/>
      <c r="P679" s="330"/>
      <c r="Q679" s="331"/>
      <c r="R679" s="332"/>
      <c r="S679" s="330"/>
      <c r="T679" s="331"/>
      <c r="U679" s="332"/>
      <c r="V679" s="154"/>
      <c r="W679" s="331"/>
      <c r="X679" s="324"/>
      <c r="Y679" s="205"/>
      <c r="Z679" s="205"/>
      <c r="AA679" s="205"/>
      <c r="AB679" s="17"/>
      <c r="AC679" s="17"/>
      <c r="AD679" s="17"/>
      <c r="AE679" s="17"/>
    </row>
    <row r="680">
      <c r="A680" s="154"/>
      <c r="B680" s="168"/>
      <c r="C680" s="324"/>
      <c r="D680" s="154"/>
      <c r="E680" s="168"/>
      <c r="F680" s="324"/>
      <c r="G680" s="154"/>
      <c r="H680" s="168"/>
      <c r="I680" s="324"/>
      <c r="J680" s="154"/>
      <c r="K680" s="168"/>
      <c r="L680" s="324"/>
      <c r="M680" s="330"/>
      <c r="N680" s="331"/>
      <c r="O680" s="332"/>
      <c r="P680" s="330"/>
      <c r="Q680" s="331"/>
      <c r="R680" s="332"/>
      <c r="S680" s="330"/>
      <c r="T680" s="331"/>
      <c r="U680" s="332"/>
      <c r="V680" s="154"/>
      <c r="W680" s="331"/>
      <c r="X680" s="324"/>
      <c r="Y680" s="205"/>
      <c r="Z680" s="205"/>
      <c r="AA680" s="205"/>
      <c r="AB680" s="17"/>
      <c r="AC680" s="17"/>
      <c r="AD680" s="17"/>
      <c r="AE680" s="17"/>
    </row>
    <row r="681">
      <c r="A681" s="154"/>
      <c r="B681" s="168"/>
      <c r="C681" s="324"/>
      <c r="D681" s="154"/>
      <c r="E681" s="168"/>
      <c r="F681" s="324"/>
      <c r="G681" s="154"/>
      <c r="H681" s="168"/>
      <c r="I681" s="324"/>
      <c r="J681" s="154"/>
      <c r="K681" s="168"/>
      <c r="L681" s="324"/>
      <c r="M681" s="330"/>
      <c r="N681" s="331"/>
      <c r="O681" s="332"/>
      <c r="P681" s="330"/>
      <c r="Q681" s="331"/>
      <c r="R681" s="332"/>
      <c r="S681" s="330"/>
      <c r="T681" s="331"/>
      <c r="U681" s="332"/>
      <c r="V681" s="154"/>
      <c r="W681" s="331"/>
      <c r="X681" s="324"/>
      <c r="Y681" s="205"/>
      <c r="Z681" s="205"/>
      <c r="AA681" s="205"/>
      <c r="AB681" s="17"/>
      <c r="AC681" s="17"/>
      <c r="AD681" s="17"/>
      <c r="AE681" s="17"/>
    </row>
    <row r="682">
      <c r="A682" s="154"/>
      <c r="B682" s="168"/>
      <c r="C682" s="324"/>
      <c r="D682" s="154"/>
      <c r="E682" s="168"/>
      <c r="F682" s="324"/>
      <c r="G682" s="154"/>
      <c r="H682" s="168"/>
      <c r="I682" s="324"/>
      <c r="J682" s="154"/>
      <c r="K682" s="168"/>
      <c r="L682" s="324"/>
      <c r="M682" s="330"/>
      <c r="N682" s="331"/>
      <c r="O682" s="332"/>
      <c r="P682" s="330"/>
      <c r="Q682" s="331"/>
      <c r="R682" s="332"/>
      <c r="S682" s="330"/>
      <c r="T682" s="331"/>
      <c r="U682" s="332"/>
      <c r="V682" s="154"/>
      <c r="W682" s="331"/>
      <c r="X682" s="324"/>
      <c r="Y682" s="205"/>
      <c r="Z682" s="205"/>
      <c r="AA682" s="205"/>
      <c r="AB682" s="17"/>
      <c r="AC682" s="17"/>
      <c r="AD682" s="17"/>
      <c r="AE682" s="17"/>
    </row>
    <row r="683">
      <c r="A683" s="154"/>
      <c r="B683" s="168"/>
      <c r="C683" s="324"/>
      <c r="D683" s="154"/>
      <c r="E683" s="168"/>
      <c r="F683" s="324"/>
      <c r="G683" s="154"/>
      <c r="H683" s="168"/>
      <c r="I683" s="324"/>
      <c r="J683" s="154"/>
      <c r="K683" s="168"/>
      <c r="L683" s="324"/>
      <c r="M683" s="330"/>
      <c r="N683" s="331"/>
      <c r="O683" s="332"/>
      <c r="P683" s="330"/>
      <c r="Q683" s="331"/>
      <c r="R683" s="332"/>
      <c r="S683" s="330"/>
      <c r="T683" s="331"/>
      <c r="U683" s="332"/>
      <c r="V683" s="154"/>
      <c r="W683" s="331"/>
      <c r="X683" s="324"/>
      <c r="Y683" s="205"/>
      <c r="Z683" s="205"/>
      <c r="AA683" s="205"/>
      <c r="AB683" s="17"/>
      <c r="AC683" s="17"/>
      <c r="AD683" s="17"/>
      <c r="AE683" s="17"/>
    </row>
    <row r="684">
      <c r="A684" s="154"/>
      <c r="B684" s="168"/>
      <c r="C684" s="324"/>
      <c r="D684" s="154"/>
      <c r="E684" s="168"/>
      <c r="F684" s="324"/>
      <c r="G684" s="154"/>
      <c r="H684" s="168"/>
      <c r="I684" s="324"/>
      <c r="J684" s="154"/>
      <c r="K684" s="168"/>
      <c r="L684" s="324"/>
      <c r="M684" s="330"/>
      <c r="N684" s="331"/>
      <c r="O684" s="332"/>
      <c r="P684" s="330"/>
      <c r="Q684" s="331"/>
      <c r="R684" s="332"/>
      <c r="S684" s="330"/>
      <c r="T684" s="331"/>
      <c r="U684" s="332"/>
      <c r="V684" s="154"/>
      <c r="W684" s="331"/>
      <c r="X684" s="324"/>
      <c r="Y684" s="205"/>
      <c r="Z684" s="205"/>
      <c r="AA684" s="205"/>
      <c r="AB684" s="17"/>
      <c r="AC684" s="17"/>
      <c r="AD684" s="17"/>
      <c r="AE684" s="17"/>
    </row>
    <row r="685">
      <c r="A685" s="154"/>
      <c r="B685" s="168"/>
      <c r="C685" s="324"/>
      <c r="D685" s="154"/>
      <c r="E685" s="168"/>
      <c r="F685" s="324"/>
      <c r="G685" s="154"/>
      <c r="H685" s="168"/>
      <c r="I685" s="324"/>
      <c r="J685" s="154"/>
      <c r="K685" s="168"/>
      <c r="L685" s="324"/>
      <c r="M685" s="330"/>
      <c r="N685" s="331"/>
      <c r="O685" s="332"/>
      <c r="P685" s="330"/>
      <c r="Q685" s="331"/>
      <c r="R685" s="332"/>
      <c r="S685" s="330"/>
      <c r="T685" s="331"/>
      <c r="U685" s="332"/>
      <c r="V685" s="154"/>
      <c r="W685" s="331"/>
      <c r="X685" s="324"/>
      <c r="Y685" s="205"/>
      <c r="Z685" s="205"/>
      <c r="AA685" s="205"/>
      <c r="AB685" s="17"/>
      <c r="AC685" s="17"/>
      <c r="AD685" s="17"/>
      <c r="AE685" s="17"/>
    </row>
    <row r="686">
      <c r="A686" s="154"/>
      <c r="B686" s="168"/>
      <c r="C686" s="324"/>
      <c r="D686" s="154"/>
      <c r="E686" s="168"/>
      <c r="F686" s="324"/>
      <c r="G686" s="154"/>
      <c r="H686" s="168"/>
      <c r="I686" s="324"/>
      <c r="J686" s="154"/>
      <c r="K686" s="168"/>
      <c r="L686" s="324"/>
      <c r="M686" s="330"/>
      <c r="N686" s="331"/>
      <c r="O686" s="332"/>
      <c r="P686" s="330"/>
      <c r="Q686" s="331"/>
      <c r="R686" s="332"/>
      <c r="S686" s="330"/>
      <c r="T686" s="331"/>
      <c r="U686" s="332"/>
      <c r="V686" s="154"/>
      <c r="W686" s="331"/>
      <c r="X686" s="324"/>
      <c r="Y686" s="205"/>
      <c r="Z686" s="205"/>
      <c r="AA686" s="205"/>
      <c r="AB686" s="17"/>
      <c r="AC686" s="17"/>
      <c r="AD686" s="17"/>
      <c r="AE686" s="17"/>
    </row>
    <row r="687">
      <c r="A687" s="154"/>
      <c r="B687" s="168"/>
      <c r="C687" s="324"/>
      <c r="D687" s="154"/>
      <c r="E687" s="168"/>
      <c r="F687" s="324"/>
      <c r="G687" s="154"/>
      <c r="H687" s="168"/>
      <c r="I687" s="324"/>
      <c r="J687" s="154"/>
      <c r="K687" s="168"/>
      <c r="L687" s="324"/>
      <c r="M687" s="330"/>
      <c r="N687" s="331"/>
      <c r="O687" s="332"/>
      <c r="P687" s="330"/>
      <c r="Q687" s="331"/>
      <c r="R687" s="332"/>
      <c r="S687" s="330"/>
      <c r="T687" s="331"/>
      <c r="U687" s="332"/>
      <c r="V687" s="154"/>
      <c r="W687" s="331"/>
      <c r="X687" s="324"/>
      <c r="Y687" s="205"/>
      <c r="Z687" s="205"/>
      <c r="AA687" s="205"/>
      <c r="AB687" s="17"/>
      <c r="AC687" s="17"/>
      <c r="AD687" s="17"/>
      <c r="AE687" s="17"/>
    </row>
    <row r="688">
      <c r="A688" s="154"/>
      <c r="B688" s="168"/>
      <c r="C688" s="324"/>
      <c r="D688" s="154"/>
      <c r="E688" s="168"/>
      <c r="F688" s="324"/>
      <c r="G688" s="154"/>
      <c r="H688" s="168"/>
      <c r="I688" s="324"/>
      <c r="J688" s="154"/>
      <c r="K688" s="168"/>
      <c r="L688" s="324"/>
      <c r="M688" s="330"/>
      <c r="N688" s="331"/>
      <c r="O688" s="332"/>
      <c r="P688" s="330"/>
      <c r="Q688" s="331"/>
      <c r="R688" s="332"/>
      <c r="S688" s="330"/>
      <c r="T688" s="331"/>
      <c r="U688" s="332"/>
      <c r="V688" s="154"/>
      <c r="W688" s="331"/>
      <c r="X688" s="324"/>
      <c r="Y688" s="205"/>
      <c r="Z688" s="205"/>
      <c r="AA688" s="205"/>
      <c r="AB688" s="17"/>
      <c r="AC688" s="17"/>
      <c r="AD688" s="17"/>
      <c r="AE688" s="17"/>
    </row>
    <row r="689">
      <c r="A689" s="154"/>
      <c r="B689" s="168"/>
      <c r="C689" s="324"/>
      <c r="D689" s="154"/>
      <c r="E689" s="168"/>
      <c r="F689" s="324"/>
      <c r="G689" s="154"/>
      <c r="H689" s="168"/>
      <c r="I689" s="324"/>
      <c r="J689" s="154"/>
      <c r="K689" s="168"/>
      <c r="L689" s="324"/>
      <c r="M689" s="330"/>
      <c r="N689" s="331"/>
      <c r="O689" s="332"/>
      <c r="P689" s="330"/>
      <c r="Q689" s="331"/>
      <c r="R689" s="332"/>
      <c r="S689" s="330"/>
      <c r="T689" s="331"/>
      <c r="U689" s="332"/>
      <c r="V689" s="154"/>
      <c r="W689" s="331"/>
      <c r="X689" s="324"/>
      <c r="Y689" s="205"/>
      <c r="Z689" s="205"/>
      <c r="AA689" s="205"/>
      <c r="AB689" s="17"/>
      <c r="AC689" s="17"/>
      <c r="AD689" s="17"/>
      <c r="AE689" s="17"/>
    </row>
    <row r="690">
      <c r="A690" s="154"/>
      <c r="B690" s="168"/>
      <c r="C690" s="324"/>
      <c r="D690" s="154"/>
      <c r="E690" s="168"/>
      <c r="F690" s="324"/>
      <c r="G690" s="154"/>
      <c r="H690" s="168"/>
      <c r="I690" s="324"/>
      <c r="J690" s="154"/>
      <c r="K690" s="168"/>
      <c r="L690" s="324"/>
      <c r="M690" s="330"/>
      <c r="N690" s="331"/>
      <c r="O690" s="332"/>
      <c r="P690" s="330"/>
      <c r="Q690" s="331"/>
      <c r="R690" s="332"/>
      <c r="S690" s="330"/>
      <c r="T690" s="331"/>
      <c r="U690" s="332"/>
      <c r="V690" s="154"/>
      <c r="W690" s="331"/>
      <c r="X690" s="324"/>
      <c r="Y690" s="205"/>
      <c r="Z690" s="205"/>
      <c r="AA690" s="205"/>
      <c r="AB690" s="17"/>
      <c r="AC690" s="17"/>
      <c r="AD690" s="17"/>
      <c r="AE690" s="17"/>
    </row>
    <row r="691">
      <c r="A691" s="154"/>
      <c r="B691" s="168"/>
      <c r="C691" s="324"/>
      <c r="D691" s="154"/>
      <c r="E691" s="168"/>
      <c r="F691" s="324"/>
      <c r="G691" s="154"/>
      <c r="H691" s="168"/>
      <c r="I691" s="324"/>
      <c r="J691" s="154"/>
      <c r="K691" s="168"/>
      <c r="L691" s="324"/>
      <c r="M691" s="330"/>
      <c r="N691" s="331"/>
      <c r="O691" s="332"/>
      <c r="P691" s="330"/>
      <c r="Q691" s="331"/>
      <c r="R691" s="332"/>
      <c r="S691" s="330"/>
      <c r="T691" s="331"/>
      <c r="U691" s="332"/>
      <c r="V691" s="154"/>
      <c r="W691" s="331"/>
      <c r="X691" s="324"/>
      <c r="Y691" s="205"/>
      <c r="Z691" s="205"/>
      <c r="AA691" s="205"/>
      <c r="AB691" s="17"/>
      <c r="AC691" s="17"/>
      <c r="AD691" s="17"/>
      <c r="AE691" s="17"/>
    </row>
    <row r="692">
      <c r="A692" s="154"/>
      <c r="B692" s="168"/>
      <c r="C692" s="324"/>
      <c r="D692" s="154"/>
      <c r="E692" s="168"/>
      <c r="F692" s="324"/>
      <c r="G692" s="154"/>
      <c r="H692" s="168"/>
      <c r="I692" s="324"/>
      <c r="J692" s="154"/>
      <c r="K692" s="168"/>
      <c r="L692" s="324"/>
      <c r="M692" s="330"/>
      <c r="N692" s="331"/>
      <c r="O692" s="332"/>
      <c r="P692" s="330"/>
      <c r="Q692" s="331"/>
      <c r="R692" s="332"/>
      <c r="S692" s="330"/>
      <c r="T692" s="331"/>
      <c r="U692" s="332"/>
      <c r="V692" s="154"/>
      <c r="W692" s="331"/>
      <c r="X692" s="324"/>
      <c r="Y692" s="205"/>
      <c r="Z692" s="205"/>
      <c r="AA692" s="205"/>
      <c r="AB692" s="17"/>
      <c r="AC692" s="17"/>
      <c r="AD692" s="17"/>
      <c r="AE692" s="17"/>
    </row>
    <row r="693">
      <c r="A693" s="154"/>
      <c r="B693" s="168"/>
      <c r="C693" s="324"/>
      <c r="D693" s="154"/>
      <c r="E693" s="168"/>
      <c r="F693" s="324"/>
      <c r="G693" s="154"/>
      <c r="H693" s="168"/>
      <c r="I693" s="324"/>
      <c r="J693" s="154"/>
      <c r="K693" s="168"/>
      <c r="L693" s="324"/>
      <c r="M693" s="330"/>
      <c r="N693" s="331"/>
      <c r="O693" s="332"/>
      <c r="P693" s="330"/>
      <c r="Q693" s="331"/>
      <c r="R693" s="332"/>
      <c r="S693" s="330"/>
      <c r="T693" s="331"/>
      <c r="U693" s="332"/>
      <c r="V693" s="154"/>
      <c r="W693" s="331"/>
      <c r="X693" s="324"/>
      <c r="Y693" s="205"/>
      <c r="Z693" s="205"/>
      <c r="AA693" s="205"/>
      <c r="AB693" s="17"/>
      <c r="AC693" s="17"/>
      <c r="AD693" s="17"/>
      <c r="AE693" s="17"/>
    </row>
    <row r="694">
      <c r="A694" s="154"/>
      <c r="B694" s="168"/>
      <c r="C694" s="324"/>
      <c r="D694" s="154"/>
      <c r="E694" s="168"/>
      <c r="F694" s="324"/>
      <c r="G694" s="154"/>
      <c r="H694" s="168"/>
      <c r="I694" s="324"/>
      <c r="J694" s="154"/>
      <c r="K694" s="168"/>
      <c r="L694" s="324"/>
      <c r="M694" s="330"/>
      <c r="N694" s="331"/>
      <c r="O694" s="332"/>
      <c r="P694" s="330"/>
      <c r="Q694" s="331"/>
      <c r="R694" s="332"/>
      <c r="S694" s="330"/>
      <c r="T694" s="331"/>
      <c r="U694" s="332"/>
      <c r="V694" s="154"/>
      <c r="W694" s="331"/>
      <c r="X694" s="324"/>
      <c r="Y694" s="205"/>
      <c r="Z694" s="205"/>
      <c r="AA694" s="205"/>
      <c r="AB694" s="17"/>
      <c r="AC694" s="17"/>
      <c r="AD694" s="17"/>
      <c r="AE694" s="17"/>
    </row>
    <row r="695">
      <c r="A695" s="154"/>
      <c r="B695" s="168"/>
      <c r="C695" s="324"/>
      <c r="D695" s="154"/>
      <c r="E695" s="168"/>
      <c r="F695" s="324"/>
      <c r="G695" s="154"/>
      <c r="H695" s="168"/>
      <c r="I695" s="324"/>
      <c r="J695" s="154"/>
      <c r="K695" s="168"/>
      <c r="L695" s="324"/>
      <c r="M695" s="330"/>
      <c r="N695" s="331"/>
      <c r="O695" s="332"/>
      <c r="P695" s="330"/>
      <c r="Q695" s="331"/>
      <c r="R695" s="332"/>
      <c r="S695" s="330"/>
      <c r="T695" s="331"/>
      <c r="U695" s="332"/>
      <c r="V695" s="154"/>
      <c r="W695" s="331"/>
      <c r="X695" s="324"/>
      <c r="Y695" s="205"/>
      <c r="Z695" s="205"/>
      <c r="AA695" s="205"/>
      <c r="AB695" s="17"/>
      <c r="AC695" s="17"/>
      <c r="AD695" s="17"/>
      <c r="AE695" s="17"/>
    </row>
    <row r="696">
      <c r="A696" s="154"/>
      <c r="B696" s="168"/>
      <c r="C696" s="324"/>
      <c r="D696" s="154"/>
      <c r="E696" s="168"/>
      <c r="F696" s="324"/>
      <c r="G696" s="154"/>
      <c r="H696" s="168"/>
      <c r="I696" s="324"/>
      <c r="J696" s="154"/>
      <c r="K696" s="168"/>
      <c r="L696" s="324"/>
      <c r="M696" s="330"/>
      <c r="N696" s="331"/>
      <c r="O696" s="332"/>
      <c r="P696" s="330"/>
      <c r="Q696" s="331"/>
      <c r="R696" s="332"/>
      <c r="S696" s="330"/>
      <c r="T696" s="331"/>
      <c r="U696" s="332"/>
      <c r="V696" s="154"/>
      <c r="W696" s="331"/>
      <c r="X696" s="324"/>
      <c r="Y696" s="205"/>
      <c r="Z696" s="205"/>
      <c r="AA696" s="205"/>
      <c r="AB696" s="17"/>
      <c r="AC696" s="17"/>
      <c r="AD696" s="17"/>
      <c r="AE696" s="17"/>
    </row>
    <row r="697">
      <c r="A697" s="154"/>
      <c r="B697" s="168"/>
      <c r="C697" s="324"/>
      <c r="D697" s="154"/>
      <c r="E697" s="168"/>
      <c r="F697" s="324"/>
      <c r="G697" s="154"/>
      <c r="H697" s="168"/>
      <c r="I697" s="324"/>
      <c r="J697" s="154"/>
      <c r="K697" s="168"/>
      <c r="L697" s="324"/>
      <c r="M697" s="330"/>
      <c r="N697" s="331"/>
      <c r="O697" s="332"/>
      <c r="P697" s="330"/>
      <c r="Q697" s="331"/>
      <c r="R697" s="332"/>
      <c r="S697" s="330"/>
      <c r="T697" s="331"/>
      <c r="U697" s="332"/>
      <c r="V697" s="154"/>
      <c r="W697" s="331"/>
      <c r="X697" s="324"/>
      <c r="Y697" s="205"/>
      <c r="Z697" s="205"/>
      <c r="AA697" s="205"/>
      <c r="AB697" s="17"/>
      <c r="AC697" s="17"/>
      <c r="AD697" s="17"/>
      <c r="AE697" s="17"/>
    </row>
    <row r="698">
      <c r="A698" s="154"/>
      <c r="B698" s="168"/>
      <c r="C698" s="324"/>
      <c r="D698" s="154"/>
      <c r="E698" s="168"/>
      <c r="F698" s="324"/>
      <c r="G698" s="154"/>
      <c r="H698" s="168"/>
      <c r="I698" s="324"/>
      <c r="J698" s="154"/>
      <c r="K698" s="168"/>
      <c r="L698" s="324"/>
      <c r="M698" s="330"/>
      <c r="N698" s="331"/>
      <c r="O698" s="332"/>
      <c r="P698" s="330"/>
      <c r="Q698" s="331"/>
      <c r="R698" s="332"/>
      <c r="S698" s="330"/>
      <c r="T698" s="331"/>
      <c r="U698" s="332"/>
      <c r="V698" s="154"/>
      <c r="W698" s="331"/>
      <c r="X698" s="324"/>
      <c r="Y698" s="205"/>
      <c r="Z698" s="205"/>
      <c r="AA698" s="205"/>
      <c r="AB698" s="17"/>
      <c r="AC698" s="17"/>
      <c r="AD698" s="17"/>
      <c r="AE698" s="17"/>
    </row>
    <row r="699">
      <c r="A699" s="154"/>
      <c r="B699" s="168"/>
      <c r="C699" s="324"/>
      <c r="D699" s="154"/>
      <c r="E699" s="168"/>
      <c r="F699" s="324"/>
      <c r="G699" s="154"/>
      <c r="H699" s="168"/>
      <c r="I699" s="324"/>
      <c r="J699" s="154"/>
      <c r="K699" s="168"/>
      <c r="L699" s="324"/>
      <c r="M699" s="330"/>
      <c r="N699" s="331"/>
      <c r="O699" s="332"/>
      <c r="P699" s="330"/>
      <c r="Q699" s="331"/>
      <c r="R699" s="332"/>
      <c r="S699" s="330"/>
      <c r="T699" s="331"/>
      <c r="U699" s="332"/>
      <c r="V699" s="154"/>
      <c r="W699" s="331"/>
      <c r="X699" s="324"/>
      <c r="Y699" s="205"/>
      <c r="Z699" s="205"/>
      <c r="AA699" s="205"/>
      <c r="AB699" s="17"/>
      <c r="AC699" s="17"/>
      <c r="AD699" s="17"/>
      <c r="AE699" s="17"/>
    </row>
    <row r="700">
      <c r="A700" s="154"/>
      <c r="B700" s="168"/>
      <c r="C700" s="324"/>
      <c r="D700" s="154"/>
      <c r="E700" s="168"/>
      <c r="F700" s="324"/>
      <c r="G700" s="154"/>
      <c r="H700" s="168"/>
      <c r="I700" s="324"/>
      <c r="J700" s="154"/>
      <c r="K700" s="168"/>
      <c r="L700" s="324"/>
      <c r="M700" s="330"/>
      <c r="N700" s="331"/>
      <c r="O700" s="332"/>
      <c r="P700" s="330"/>
      <c r="Q700" s="331"/>
      <c r="R700" s="332"/>
      <c r="S700" s="330"/>
      <c r="T700" s="331"/>
      <c r="U700" s="332"/>
      <c r="V700" s="154"/>
      <c r="W700" s="331"/>
      <c r="X700" s="324"/>
      <c r="Y700" s="205"/>
      <c r="Z700" s="205"/>
      <c r="AA700" s="205"/>
      <c r="AB700" s="17"/>
      <c r="AC700" s="17"/>
      <c r="AD700" s="17"/>
      <c r="AE700" s="17"/>
    </row>
    <row r="701">
      <c r="A701" s="154"/>
      <c r="B701" s="168"/>
      <c r="C701" s="324"/>
      <c r="D701" s="154"/>
      <c r="E701" s="168"/>
      <c r="F701" s="324"/>
      <c r="G701" s="154"/>
      <c r="H701" s="168"/>
      <c r="I701" s="324"/>
      <c r="J701" s="154"/>
      <c r="K701" s="168"/>
      <c r="L701" s="324"/>
      <c r="M701" s="330"/>
      <c r="N701" s="331"/>
      <c r="O701" s="332"/>
      <c r="P701" s="330"/>
      <c r="Q701" s="331"/>
      <c r="R701" s="332"/>
      <c r="S701" s="330"/>
      <c r="T701" s="331"/>
      <c r="U701" s="332"/>
      <c r="V701" s="154"/>
      <c r="W701" s="331"/>
      <c r="X701" s="324"/>
      <c r="Y701" s="205"/>
      <c r="Z701" s="205"/>
      <c r="AA701" s="205"/>
      <c r="AB701" s="17"/>
      <c r="AC701" s="17"/>
      <c r="AD701" s="17"/>
      <c r="AE701" s="17"/>
    </row>
    <row r="702">
      <c r="A702" s="154"/>
      <c r="B702" s="168"/>
      <c r="C702" s="324"/>
      <c r="D702" s="154"/>
      <c r="E702" s="168"/>
      <c r="F702" s="324"/>
      <c r="G702" s="154"/>
      <c r="H702" s="168"/>
      <c r="I702" s="324"/>
      <c r="J702" s="154"/>
      <c r="K702" s="168"/>
      <c r="L702" s="324"/>
      <c r="M702" s="330"/>
      <c r="N702" s="331"/>
      <c r="O702" s="332"/>
      <c r="P702" s="330"/>
      <c r="Q702" s="331"/>
      <c r="R702" s="332"/>
      <c r="S702" s="330"/>
      <c r="T702" s="331"/>
      <c r="U702" s="332"/>
      <c r="V702" s="154"/>
      <c r="W702" s="331"/>
      <c r="X702" s="324"/>
      <c r="Y702" s="205"/>
      <c r="Z702" s="205"/>
      <c r="AA702" s="205"/>
      <c r="AB702" s="17"/>
      <c r="AC702" s="17"/>
      <c r="AD702" s="17"/>
      <c r="AE702" s="17"/>
    </row>
    <row r="703">
      <c r="A703" s="154"/>
      <c r="B703" s="168"/>
      <c r="C703" s="324"/>
      <c r="D703" s="154"/>
      <c r="E703" s="168"/>
      <c r="F703" s="324"/>
      <c r="G703" s="154"/>
      <c r="H703" s="168"/>
      <c r="I703" s="324"/>
      <c r="J703" s="154"/>
      <c r="K703" s="168"/>
      <c r="L703" s="324"/>
      <c r="M703" s="330"/>
      <c r="N703" s="331"/>
      <c r="O703" s="332"/>
      <c r="P703" s="330"/>
      <c r="Q703" s="331"/>
      <c r="R703" s="332"/>
      <c r="S703" s="330"/>
      <c r="T703" s="331"/>
      <c r="U703" s="332"/>
      <c r="V703" s="154"/>
      <c r="W703" s="331"/>
      <c r="X703" s="324"/>
      <c r="Y703" s="205"/>
      <c r="Z703" s="205"/>
      <c r="AA703" s="205"/>
      <c r="AB703" s="17"/>
      <c r="AC703" s="17"/>
      <c r="AD703" s="17"/>
      <c r="AE703" s="17"/>
    </row>
    <row r="704">
      <c r="A704" s="154"/>
      <c r="B704" s="168"/>
      <c r="C704" s="324"/>
      <c r="D704" s="154"/>
      <c r="E704" s="168"/>
      <c r="F704" s="324"/>
      <c r="G704" s="154"/>
      <c r="H704" s="168"/>
      <c r="I704" s="324"/>
      <c r="J704" s="154"/>
      <c r="K704" s="168"/>
      <c r="L704" s="324"/>
      <c r="M704" s="330"/>
      <c r="N704" s="331"/>
      <c r="O704" s="332"/>
      <c r="P704" s="330"/>
      <c r="Q704" s="331"/>
      <c r="R704" s="332"/>
      <c r="S704" s="330"/>
      <c r="T704" s="331"/>
      <c r="U704" s="332"/>
      <c r="V704" s="154"/>
      <c r="W704" s="331"/>
      <c r="X704" s="324"/>
      <c r="Y704" s="205"/>
      <c r="Z704" s="205"/>
      <c r="AA704" s="205"/>
      <c r="AB704" s="17"/>
      <c r="AC704" s="17"/>
      <c r="AD704" s="17"/>
      <c r="AE704" s="17"/>
    </row>
    <row r="705">
      <c r="A705" s="154"/>
      <c r="B705" s="168"/>
      <c r="C705" s="324"/>
      <c r="D705" s="154"/>
      <c r="E705" s="168"/>
      <c r="F705" s="324"/>
      <c r="G705" s="154"/>
      <c r="H705" s="168"/>
      <c r="I705" s="324"/>
      <c r="J705" s="154"/>
      <c r="K705" s="168"/>
      <c r="L705" s="324"/>
      <c r="M705" s="330"/>
      <c r="N705" s="331"/>
      <c r="O705" s="332"/>
      <c r="P705" s="330"/>
      <c r="Q705" s="331"/>
      <c r="R705" s="332"/>
      <c r="S705" s="330"/>
      <c r="T705" s="331"/>
      <c r="U705" s="332"/>
      <c r="V705" s="154"/>
      <c r="W705" s="331"/>
      <c r="X705" s="324"/>
      <c r="Y705" s="205"/>
      <c r="Z705" s="205"/>
      <c r="AA705" s="205"/>
      <c r="AB705" s="17"/>
      <c r="AC705" s="17"/>
      <c r="AD705" s="17"/>
      <c r="AE705" s="17"/>
    </row>
    <row r="706">
      <c r="A706" s="154"/>
      <c r="B706" s="168"/>
      <c r="C706" s="324"/>
      <c r="D706" s="154"/>
      <c r="E706" s="168"/>
      <c r="F706" s="324"/>
      <c r="G706" s="154"/>
      <c r="H706" s="168"/>
      <c r="I706" s="324"/>
      <c r="J706" s="154"/>
      <c r="K706" s="168"/>
      <c r="L706" s="324"/>
      <c r="M706" s="330"/>
      <c r="N706" s="331"/>
      <c r="O706" s="332"/>
      <c r="P706" s="330"/>
      <c r="Q706" s="331"/>
      <c r="R706" s="332"/>
      <c r="S706" s="330"/>
      <c r="T706" s="331"/>
      <c r="U706" s="332"/>
      <c r="V706" s="154"/>
      <c r="W706" s="331"/>
      <c r="X706" s="324"/>
      <c r="Y706" s="205"/>
      <c r="Z706" s="205"/>
      <c r="AA706" s="205"/>
      <c r="AB706" s="17"/>
      <c r="AC706" s="17"/>
      <c r="AD706" s="17"/>
      <c r="AE706" s="17"/>
    </row>
    <row r="707">
      <c r="A707" s="154"/>
      <c r="B707" s="168"/>
      <c r="C707" s="324"/>
      <c r="D707" s="154"/>
      <c r="E707" s="168"/>
      <c r="F707" s="324"/>
      <c r="G707" s="154"/>
      <c r="H707" s="168"/>
      <c r="I707" s="324"/>
      <c r="J707" s="154"/>
      <c r="K707" s="168"/>
      <c r="L707" s="324"/>
      <c r="M707" s="330"/>
      <c r="N707" s="331"/>
      <c r="O707" s="332"/>
      <c r="P707" s="330"/>
      <c r="Q707" s="331"/>
      <c r="R707" s="332"/>
      <c r="S707" s="330"/>
      <c r="T707" s="331"/>
      <c r="U707" s="332"/>
      <c r="V707" s="154"/>
      <c r="W707" s="331"/>
      <c r="X707" s="324"/>
      <c r="Y707" s="205"/>
      <c r="Z707" s="205"/>
      <c r="AA707" s="205"/>
      <c r="AB707" s="17"/>
      <c r="AC707" s="17"/>
      <c r="AD707" s="17"/>
      <c r="AE707" s="17"/>
    </row>
    <row r="708">
      <c r="A708" s="154"/>
      <c r="B708" s="168"/>
      <c r="C708" s="324"/>
      <c r="D708" s="154"/>
      <c r="E708" s="168"/>
      <c r="F708" s="324"/>
      <c r="G708" s="154"/>
      <c r="H708" s="168"/>
      <c r="I708" s="324"/>
      <c r="J708" s="154"/>
      <c r="K708" s="168"/>
      <c r="L708" s="324"/>
      <c r="M708" s="330"/>
      <c r="N708" s="331"/>
      <c r="O708" s="332"/>
      <c r="P708" s="330"/>
      <c r="Q708" s="331"/>
      <c r="R708" s="332"/>
      <c r="S708" s="330"/>
      <c r="T708" s="331"/>
      <c r="U708" s="332"/>
      <c r="V708" s="154"/>
      <c r="W708" s="331"/>
      <c r="X708" s="324"/>
      <c r="Y708" s="205"/>
      <c r="Z708" s="205"/>
      <c r="AA708" s="205"/>
      <c r="AB708" s="17"/>
      <c r="AC708" s="17"/>
      <c r="AD708" s="17"/>
      <c r="AE708" s="17"/>
    </row>
    <row r="709">
      <c r="A709" s="154"/>
      <c r="B709" s="168"/>
      <c r="C709" s="324"/>
      <c r="D709" s="154"/>
      <c r="E709" s="168"/>
      <c r="F709" s="324"/>
      <c r="G709" s="154"/>
      <c r="H709" s="168"/>
      <c r="I709" s="324"/>
      <c r="J709" s="154"/>
      <c r="K709" s="168"/>
      <c r="L709" s="324"/>
      <c r="M709" s="330"/>
      <c r="N709" s="331"/>
      <c r="O709" s="332"/>
      <c r="P709" s="330"/>
      <c r="Q709" s="331"/>
      <c r="R709" s="332"/>
      <c r="S709" s="330"/>
      <c r="T709" s="331"/>
      <c r="U709" s="332"/>
      <c r="V709" s="154"/>
      <c r="W709" s="331"/>
      <c r="X709" s="324"/>
      <c r="Y709" s="205"/>
      <c r="Z709" s="205"/>
      <c r="AA709" s="205"/>
      <c r="AB709" s="17"/>
      <c r="AC709" s="17"/>
      <c r="AD709" s="17"/>
      <c r="AE709" s="17"/>
    </row>
    <row r="710">
      <c r="A710" s="154"/>
      <c r="B710" s="168"/>
      <c r="C710" s="324"/>
      <c r="D710" s="154"/>
      <c r="E710" s="168"/>
      <c r="F710" s="324"/>
      <c r="G710" s="154"/>
      <c r="H710" s="168"/>
      <c r="I710" s="324"/>
      <c r="J710" s="154"/>
      <c r="K710" s="168"/>
      <c r="L710" s="324"/>
      <c r="M710" s="330"/>
      <c r="N710" s="331"/>
      <c r="O710" s="332"/>
      <c r="P710" s="330"/>
      <c r="Q710" s="331"/>
      <c r="R710" s="332"/>
      <c r="S710" s="330"/>
      <c r="T710" s="331"/>
      <c r="U710" s="332"/>
      <c r="V710" s="154"/>
      <c r="W710" s="331"/>
      <c r="X710" s="324"/>
      <c r="Y710" s="205"/>
      <c r="Z710" s="205"/>
      <c r="AA710" s="205"/>
      <c r="AB710" s="17"/>
      <c r="AC710" s="17"/>
      <c r="AD710" s="17"/>
      <c r="AE710" s="17"/>
    </row>
    <row r="711">
      <c r="A711" s="154"/>
      <c r="B711" s="168"/>
      <c r="C711" s="324"/>
      <c r="D711" s="154"/>
      <c r="E711" s="168"/>
      <c r="F711" s="324"/>
      <c r="G711" s="154"/>
      <c r="H711" s="168"/>
      <c r="I711" s="324"/>
      <c r="J711" s="154"/>
      <c r="K711" s="168"/>
      <c r="L711" s="324"/>
      <c r="M711" s="330"/>
      <c r="N711" s="331"/>
      <c r="O711" s="332"/>
      <c r="P711" s="330"/>
      <c r="Q711" s="331"/>
      <c r="R711" s="332"/>
      <c r="S711" s="330"/>
      <c r="T711" s="331"/>
      <c r="U711" s="332"/>
      <c r="V711" s="154"/>
      <c r="W711" s="331"/>
      <c r="X711" s="324"/>
      <c r="Y711" s="205"/>
      <c r="Z711" s="205"/>
      <c r="AA711" s="205"/>
      <c r="AB711" s="17"/>
      <c r="AC711" s="17"/>
      <c r="AD711" s="17"/>
      <c r="AE711" s="17"/>
    </row>
    <row r="712">
      <c r="A712" s="154"/>
      <c r="B712" s="168"/>
      <c r="C712" s="324"/>
      <c r="D712" s="154"/>
      <c r="E712" s="168"/>
      <c r="F712" s="324"/>
      <c r="G712" s="154"/>
      <c r="H712" s="168"/>
      <c r="I712" s="324"/>
      <c r="J712" s="154"/>
      <c r="K712" s="168"/>
      <c r="L712" s="324"/>
      <c r="M712" s="330"/>
      <c r="N712" s="331"/>
      <c r="O712" s="332"/>
      <c r="P712" s="330"/>
      <c r="Q712" s="331"/>
      <c r="R712" s="332"/>
      <c r="S712" s="330"/>
      <c r="T712" s="331"/>
      <c r="U712" s="332"/>
      <c r="V712" s="154"/>
      <c r="W712" s="331"/>
      <c r="X712" s="324"/>
      <c r="Y712" s="205"/>
      <c r="Z712" s="205"/>
      <c r="AA712" s="205"/>
      <c r="AB712" s="17"/>
      <c r="AC712" s="17"/>
      <c r="AD712" s="17"/>
      <c r="AE712" s="17"/>
    </row>
    <row r="713">
      <c r="A713" s="154"/>
      <c r="B713" s="168"/>
      <c r="C713" s="324"/>
      <c r="D713" s="154"/>
      <c r="E713" s="168"/>
      <c r="F713" s="324"/>
      <c r="G713" s="154"/>
      <c r="H713" s="168"/>
      <c r="I713" s="324"/>
      <c r="J713" s="154"/>
      <c r="K713" s="168"/>
      <c r="L713" s="324"/>
      <c r="M713" s="330"/>
      <c r="N713" s="331"/>
      <c r="O713" s="332"/>
      <c r="P713" s="330"/>
      <c r="Q713" s="331"/>
      <c r="R713" s="332"/>
      <c r="S713" s="330"/>
      <c r="T713" s="331"/>
      <c r="U713" s="332"/>
      <c r="V713" s="154"/>
      <c r="W713" s="331"/>
      <c r="X713" s="324"/>
      <c r="Y713" s="205"/>
      <c r="Z713" s="205"/>
      <c r="AA713" s="205"/>
      <c r="AB713" s="17"/>
      <c r="AC713" s="17"/>
      <c r="AD713" s="17"/>
      <c r="AE713" s="17"/>
    </row>
    <row r="714">
      <c r="A714" s="154"/>
      <c r="B714" s="168"/>
      <c r="C714" s="324"/>
      <c r="D714" s="154"/>
      <c r="E714" s="168"/>
      <c r="F714" s="324"/>
      <c r="G714" s="154"/>
      <c r="H714" s="168"/>
      <c r="I714" s="324"/>
      <c r="J714" s="154"/>
      <c r="K714" s="168"/>
      <c r="L714" s="324"/>
      <c r="M714" s="330"/>
      <c r="N714" s="331"/>
      <c r="O714" s="332"/>
      <c r="P714" s="330"/>
      <c r="Q714" s="331"/>
      <c r="R714" s="332"/>
      <c r="S714" s="330"/>
      <c r="T714" s="331"/>
      <c r="U714" s="332"/>
      <c r="V714" s="154"/>
      <c r="W714" s="331"/>
      <c r="X714" s="324"/>
      <c r="Y714" s="205"/>
      <c r="Z714" s="205"/>
      <c r="AA714" s="205"/>
      <c r="AB714" s="17"/>
      <c r="AC714" s="17"/>
      <c r="AD714" s="17"/>
      <c r="AE714" s="17"/>
    </row>
    <row r="715">
      <c r="A715" s="154"/>
      <c r="B715" s="168"/>
      <c r="C715" s="324"/>
      <c r="D715" s="154"/>
      <c r="E715" s="168"/>
      <c r="F715" s="324"/>
      <c r="G715" s="154"/>
      <c r="H715" s="168"/>
      <c r="I715" s="324"/>
      <c r="J715" s="154"/>
      <c r="K715" s="168"/>
      <c r="L715" s="324"/>
      <c r="M715" s="330"/>
      <c r="N715" s="331"/>
      <c r="O715" s="332"/>
      <c r="P715" s="330"/>
      <c r="Q715" s="331"/>
      <c r="R715" s="332"/>
      <c r="S715" s="330"/>
      <c r="T715" s="331"/>
      <c r="U715" s="332"/>
      <c r="V715" s="154"/>
      <c r="W715" s="331"/>
      <c r="X715" s="324"/>
      <c r="Y715" s="205"/>
      <c r="Z715" s="205"/>
      <c r="AA715" s="205"/>
      <c r="AB715" s="17"/>
      <c r="AC715" s="17"/>
      <c r="AD715" s="17"/>
      <c r="AE715" s="17"/>
    </row>
    <row r="716">
      <c r="A716" s="154"/>
      <c r="B716" s="168"/>
      <c r="C716" s="324"/>
      <c r="D716" s="154"/>
      <c r="E716" s="168"/>
      <c r="F716" s="324"/>
      <c r="G716" s="154"/>
      <c r="H716" s="168"/>
      <c r="I716" s="324"/>
      <c r="J716" s="154"/>
      <c r="K716" s="168"/>
      <c r="L716" s="324"/>
      <c r="M716" s="330"/>
      <c r="N716" s="331"/>
      <c r="O716" s="332"/>
      <c r="P716" s="330"/>
      <c r="Q716" s="331"/>
      <c r="R716" s="332"/>
      <c r="S716" s="330"/>
      <c r="T716" s="331"/>
      <c r="U716" s="332"/>
      <c r="V716" s="154"/>
      <c r="W716" s="331"/>
      <c r="X716" s="324"/>
      <c r="Y716" s="205"/>
      <c r="Z716" s="205"/>
      <c r="AA716" s="205"/>
      <c r="AB716" s="17"/>
      <c r="AC716" s="17"/>
      <c r="AD716" s="17"/>
      <c r="AE716" s="17"/>
    </row>
    <row r="717">
      <c r="A717" s="154"/>
      <c r="B717" s="168"/>
      <c r="C717" s="324"/>
      <c r="D717" s="154"/>
      <c r="E717" s="168"/>
      <c r="F717" s="324"/>
      <c r="G717" s="154"/>
      <c r="H717" s="168"/>
      <c r="I717" s="324"/>
      <c r="J717" s="154"/>
      <c r="K717" s="168"/>
      <c r="L717" s="324"/>
      <c r="M717" s="330"/>
      <c r="N717" s="331"/>
      <c r="O717" s="332"/>
      <c r="P717" s="330"/>
      <c r="Q717" s="331"/>
      <c r="R717" s="332"/>
      <c r="S717" s="330"/>
      <c r="T717" s="331"/>
      <c r="U717" s="332"/>
      <c r="V717" s="154"/>
      <c r="W717" s="331"/>
      <c r="X717" s="324"/>
      <c r="Y717" s="205"/>
      <c r="Z717" s="205"/>
      <c r="AA717" s="205"/>
      <c r="AB717" s="17"/>
      <c r="AC717" s="17"/>
      <c r="AD717" s="17"/>
      <c r="AE717" s="17"/>
    </row>
    <row r="718">
      <c r="A718" s="154"/>
      <c r="B718" s="168"/>
      <c r="C718" s="324"/>
      <c r="D718" s="154"/>
      <c r="E718" s="168"/>
      <c r="F718" s="324"/>
      <c r="G718" s="154"/>
      <c r="H718" s="168"/>
      <c r="I718" s="324"/>
      <c r="J718" s="154"/>
      <c r="K718" s="168"/>
      <c r="L718" s="324"/>
      <c r="M718" s="330"/>
      <c r="N718" s="331"/>
      <c r="O718" s="332"/>
      <c r="P718" s="330"/>
      <c r="Q718" s="331"/>
      <c r="R718" s="332"/>
      <c r="S718" s="330"/>
      <c r="T718" s="331"/>
      <c r="U718" s="332"/>
      <c r="V718" s="154"/>
      <c r="W718" s="331"/>
      <c r="X718" s="324"/>
      <c r="Y718" s="205"/>
      <c r="Z718" s="205"/>
      <c r="AA718" s="205"/>
      <c r="AB718" s="17"/>
      <c r="AC718" s="17"/>
      <c r="AD718" s="17"/>
      <c r="AE718" s="17"/>
    </row>
    <row r="719">
      <c r="A719" s="154"/>
      <c r="B719" s="168"/>
      <c r="C719" s="324"/>
      <c r="D719" s="154"/>
      <c r="E719" s="168"/>
      <c r="F719" s="324"/>
      <c r="G719" s="154"/>
      <c r="H719" s="168"/>
      <c r="I719" s="324"/>
      <c r="J719" s="154"/>
      <c r="K719" s="168"/>
      <c r="L719" s="324"/>
      <c r="M719" s="330"/>
      <c r="N719" s="331"/>
      <c r="O719" s="332"/>
      <c r="P719" s="330"/>
      <c r="Q719" s="331"/>
      <c r="R719" s="332"/>
      <c r="S719" s="330"/>
      <c r="T719" s="331"/>
      <c r="U719" s="332"/>
      <c r="V719" s="154"/>
      <c r="W719" s="331"/>
      <c r="X719" s="324"/>
      <c r="Y719" s="205"/>
      <c r="Z719" s="205"/>
      <c r="AA719" s="205"/>
      <c r="AB719" s="17"/>
      <c r="AC719" s="17"/>
      <c r="AD719" s="17"/>
      <c r="AE719" s="17"/>
    </row>
    <row r="720">
      <c r="A720" s="154"/>
      <c r="B720" s="168"/>
      <c r="C720" s="324"/>
      <c r="D720" s="154"/>
      <c r="E720" s="168"/>
      <c r="F720" s="324"/>
      <c r="G720" s="154"/>
      <c r="H720" s="168"/>
      <c r="I720" s="324"/>
      <c r="J720" s="154"/>
      <c r="K720" s="168"/>
      <c r="L720" s="324"/>
      <c r="M720" s="330"/>
      <c r="N720" s="331"/>
      <c r="O720" s="332"/>
      <c r="P720" s="330"/>
      <c r="Q720" s="331"/>
      <c r="R720" s="332"/>
      <c r="S720" s="330"/>
      <c r="T720" s="331"/>
      <c r="U720" s="332"/>
      <c r="V720" s="154"/>
      <c r="W720" s="331"/>
      <c r="X720" s="324"/>
      <c r="Y720" s="205"/>
      <c r="Z720" s="205"/>
      <c r="AA720" s="205"/>
      <c r="AB720" s="17"/>
      <c r="AC720" s="17"/>
      <c r="AD720" s="17"/>
      <c r="AE720" s="17"/>
    </row>
    <row r="721">
      <c r="A721" s="154"/>
      <c r="B721" s="168"/>
      <c r="C721" s="324"/>
      <c r="D721" s="154"/>
      <c r="E721" s="168"/>
      <c r="F721" s="324"/>
      <c r="G721" s="154"/>
      <c r="H721" s="168"/>
      <c r="I721" s="324"/>
      <c r="J721" s="154"/>
      <c r="K721" s="168"/>
      <c r="L721" s="324"/>
      <c r="M721" s="330"/>
      <c r="N721" s="331"/>
      <c r="O721" s="332"/>
      <c r="P721" s="330"/>
      <c r="Q721" s="331"/>
      <c r="R721" s="332"/>
      <c r="S721" s="330"/>
      <c r="T721" s="331"/>
      <c r="U721" s="332"/>
      <c r="V721" s="154"/>
      <c r="W721" s="331"/>
      <c r="X721" s="324"/>
      <c r="Y721" s="205"/>
      <c r="Z721" s="205"/>
      <c r="AA721" s="205"/>
      <c r="AB721" s="17"/>
      <c r="AC721" s="17"/>
      <c r="AD721" s="17"/>
      <c r="AE721" s="17"/>
    </row>
    <row r="722">
      <c r="A722" s="154"/>
      <c r="B722" s="168"/>
      <c r="C722" s="324"/>
      <c r="D722" s="154"/>
      <c r="E722" s="168"/>
      <c r="F722" s="324"/>
      <c r="G722" s="154"/>
      <c r="H722" s="168"/>
      <c r="I722" s="324"/>
      <c r="J722" s="154"/>
      <c r="K722" s="168"/>
      <c r="L722" s="324"/>
      <c r="M722" s="330"/>
      <c r="N722" s="331"/>
      <c r="O722" s="332"/>
      <c r="P722" s="330"/>
      <c r="Q722" s="331"/>
      <c r="R722" s="332"/>
      <c r="S722" s="330"/>
      <c r="T722" s="331"/>
      <c r="U722" s="332"/>
      <c r="V722" s="154"/>
      <c r="W722" s="331"/>
      <c r="X722" s="324"/>
      <c r="Y722" s="205"/>
      <c r="Z722" s="205"/>
      <c r="AA722" s="205"/>
      <c r="AB722" s="17"/>
      <c r="AC722" s="17"/>
      <c r="AD722" s="17"/>
      <c r="AE722" s="17"/>
    </row>
    <row r="723">
      <c r="A723" s="154"/>
      <c r="B723" s="168"/>
      <c r="C723" s="324"/>
      <c r="D723" s="154"/>
      <c r="E723" s="168"/>
      <c r="F723" s="324"/>
      <c r="G723" s="154"/>
      <c r="H723" s="168"/>
      <c r="I723" s="324"/>
      <c r="J723" s="154"/>
      <c r="K723" s="168"/>
      <c r="L723" s="324"/>
      <c r="M723" s="330"/>
      <c r="N723" s="331"/>
      <c r="O723" s="332"/>
      <c r="P723" s="330"/>
      <c r="Q723" s="331"/>
      <c r="R723" s="332"/>
      <c r="S723" s="330"/>
      <c r="T723" s="331"/>
      <c r="U723" s="332"/>
      <c r="V723" s="154"/>
      <c r="W723" s="331"/>
      <c r="X723" s="324"/>
      <c r="Y723" s="205"/>
      <c r="Z723" s="205"/>
      <c r="AA723" s="205"/>
      <c r="AB723" s="17"/>
      <c r="AC723" s="17"/>
      <c r="AD723" s="17"/>
      <c r="AE723" s="17"/>
    </row>
    <row r="724">
      <c r="A724" s="154"/>
      <c r="B724" s="168"/>
      <c r="C724" s="324"/>
      <c r="D724" s="154"/>
      <c r="E724" s="168"/>
      <c r="F724" s="324"/>
      <c r="G724" s="154"/>
      <c r="H724" s="168"/>
      <c r="I724" s="324"/>
      <c r="J724" s="154"/>
      <c r="K724" s="168"/>
      <c r="L724" s="324"/>
      <c r="M724" s="330"/>
      <c r="N724" s="331"/>
      <c r="O724" s="332"/>
      <c r="P724" s="330"/>
      <c r="Q724" s="331"/>
      <c r="R724" s="332"/>
      <c r="S724" s="330"/>
      <c r="T724" s="331"/>
      <c r="U724" s="332"/>
      <c r="V724" s="154"/>
      <c r="W724" s="331"/>
      <c r="X724" s="324"/>
      <c r="Y724" s="205"/>
      <c r="Z724" s="205"/>
      <c r="AA724" s="205"/>
      <c r="AB724" s="17"/>
      <c r="AC724" s="17"/>
      <c r="AD724" s="17"/>
      <c r="AE724" s="17"/>
    </row>
    <row r="725">
      <c r="A725" s="154"/>
      <c r="B725" s="168"/>
      <c r="C725" s="324"/>
      <c r="D725" s="154"/>
      <c r="E725" s="168"/>
      <c r="F725" s="324"/>
      <c r="G725" s="154"/>
      <c r="H725" s="168"/>
      <c r="I725" s="324"/>
      <c r="J725" s="154"/>
      <c r="K725" s="168"/>
      <c r="L725" s="324"/>
      <c r="M725" s="330"/>
      <c r="N725" s="331"/>
      <c r="O725" s="332"/>
      <c r="P725" s="330"/>
      <c r="Q725" s="331"/>
      <c r="R725" s="332"/>
      <c r="S725" s="330"/>
      <c r="T725" s="331"/>
      <c r="U725" s="332"/>
      <c r="V725" s="154"/>
      <c r="W725" s="331"/>
      <c r="X725" s="324"/>
      <c r="Y725" s="205"/>
      <c r="Z725" s="205"/>
      <c r="AA725" s="205"/>
      <c r="AB725" s="17"/>
      <c r="AC725" s="17"/>
      <c r="AD725" s="17"/>
      <c r="AE725" s="17"/>
    </row>
    <row r="726">
      <c r="A726" s="154"/>
      <c r="B726" s="168"/>
      <c r="C726" s="324"/>
      <c r="D726" s="154"/>
      <c r="E726" s="168"/>
      <c r="F726" s="324"/>
      <c r="G726" s="154"/>
      <c r="H726" s="168"/>
      <c r="I726" s="324"/>
      <c r="J726" s="154"/>
      <c r="K726" s="168"/>
      <c r="L726" s="324"/>
      <c r="M726" s="330"/>
      <c r="N726" s="331"/>
      <c r="O726" s="332"/>
      <c r="P726" s="330"/>
      <c r="Q726" s="331"/>
      <c r="R726" s="332"/>
      <c r="S726" s="330"/>
      <c r="T726" s="331"/>
      <c r="U726" s="332"/>
      <c r="V726" s="154"/>
      <c r="W726" s="331"/>
      <c r="X726" s="324"/>
      <c r="Y726" s="205"/>
      <c r="Z726" s="205"/>
      <c r="AA726" s="205"/>
      <c r="AB726" s="17"/>
      <c r="AC726" s="17"/>
      <c r="AD726" s="17"/>
      <c r="AE726" s="17"/>
    </row>
    <row r="727">
      <c r="A727" s="154"/>
      <c r="B727" s="168"/>
      <c r="C727" s="324"/>
      <c r="D727" s="154"/>
      <c r="E727" s="168"/>
      <c r="F727" s="324"/>
      <c r="G727" s="154"/>
      <c r="H727" s="168"/>
      <c r="I727" s="324"/>
      <c r="J727" s="154"/>
      <c r="K727" s="168"/>
      <c r="L727" s="324"/>
      <c r="M727" s="330"/>
      <c r="N727" s="331"/>
      <c r="O727" s="332"/>
      <c r="P727" s="330"/>
      <c r="Q727" s="331"/>
      <c r="R727" s="332"/>
      <c r="S727" s="330"/>
      <c r="T727" s="331"/>
      <c r="U727" s="332"/>
      <c r="V727" s="154"/>
      <c r="W727" s="331"/>
      <c r="X727" s="324"/>
      <c r="Y727" s="205"/>
      <c r="Z727" s="205"/>
      <c r="AA727" s="205"/>
      <c r="AB727" s="17"/>
      <c r="AC727" s="17"/>
      <c r="AD727" s="17"/>
      <c r="AE727" s="17"/>
    </row>
    <row r="728">
      <c r="A728" s="154"/>
      <c r="B728" s="168"/>
      <c r="C728" s="324"/>
      <c r="D728" s="154"/>
      <c r="E728" s="168"/>
      <c r="F728" s="324"/>
      <c r="G728" s="154"/>
      <c r="H728" s="168"/>
      <c r="I728" s="324"/>
      <c r="J728" s="154"/>
      <c r="K728" s="168"/>
      <c r="L728" s="324"/>
      <c r="M728" s="330"/>
      <c r="N728" s="331"/>
      <c r="O728" s="332"/>
      <c r="P728" s="330"/>
      <c r="Q728" s="331"/>
      <c r="R728" s="332"/>
      <c r="S728" s="330"/>
      <c r="T728" s="331"/>
      <c r="U728" s="332"/>
      <c r="V728" s="154"/>
      <c r="W728" s="331"/>
      <c r="X728" s="324"/>
      <c r="Y728" s="205"/>
      <c r="Z728" s="205"/>
      <c r="AA728" s="205"/>
      <c r="AB728" s="17"/>
      <c r="AC728" s="17"/>
      <c r="AD728" s="17"/>
      <c r="AE728" s="17"/>
    </row>
    <row r="729">
      <c r="A729" s="154"/>
      <c r="B729" s="168"/>
      <c r="C729" s="324"/>
      <c r="D729" s="154"/>
      <c r="E729" s="168"/>
      <c r="F729" s="324"/>
      <c r="G729" s="154"/>
      <c r="H729" s="168"/>
      <c r="I729" s="324"/>
      <c r="J729" s="154"/>
      <c r="K729" s="168"/>
      <c r="L729" s="324"/>
      <c r="M729" s="330"/>
      <c r="N729" s="331"/>
      <c r="O729" s="332"/>
      <c r="P729" s="330"/>
      <c r="Q729" s="331"/>
      <c r="R729" s="332"/>
      <c r="S729" s="330"/>
      <c r="T729" s="331"/>
      <c r="U729" s="332"/>
      <c r="V729" s="154"/>
      <c r="W729" s="331"/>
      <c r="X729" s="324"/>
      <c r="Y729" s="205"/>
      <c r="Z729" s="205"/>
      <c r="AA729" s="205"/>
      <c r="AB729" s="17"/>
      <c r="AC729" s="17"/>
      <c r="AD729" s="17"/>
      <c r="AE729" s="17"/>
    </row>
    <row r="730">
      <c r="A730" s="154"/>
      <c r="B730" s="168"/>
      <c r="C730" s="324"/>
      <c r="D730" s="154"/>
      <c r="E730" s="168"/>
      <c r="F730" s="324"/>
      <c r="G730" s="154"/>
      <c r="H730" s="168"/>
      <c r="I730" s="324"/>
      <c r="J730" s="154"/>
      <c r="K730" s="168"/>
      <c r="L730" s="324"/>
      <c r="M730" s="330"/>
      <c r="N730" s="331"/>
      <c r="O730" s="332"/>
      <c r="P730" s="330"/>
      <c r="Q730" s="331"/>
      <c r="R730" s="332"/>
      <c r="S730" s="330"/>
      <c r="T730" s="331"/>
      <c r="U730" s="332"/>
      <c r="V730" s="154"/>
      <c r="W730" s="331"/>
      <c r="X730" s="324"/>
      <c r="Y730" s="205"/>
      <c r="Z730" s="205"/>
      <c r="AA730" s="205"/>
      <c r="AB730" s="17"/>
      <c r="AC730" s="17"/>
      <c r="AD730" s="17"/>
      <c r="AE730" s="17"/>
    </row>
    <row r="731">
      <c r="A731" s="154"/>
      <c r="B731" s="168"/>
      <c r="C731" s="324"/>
      <c r="D731" s="154"/>
      <c r="E731" s="168"/>
      <c r="F731" s="324"/>
      <c r="G731" s="154"/>
      <c r="H731" s="168"/>
      <c r="I731" s="324"/>
      <c r="J731" s="154"/>
      <c r="K731" s="168"/>
      <c r="L731" s="324"/>
      <c r="M731" s="330"/>
      <c r="N731" s="331"/>
      <c r="O731" s="332"/>
      <c r="P731" s="330"/>
      <c r="Q731" s="331"/>
      <c r="R731" s="332"/>
      <c r="S731" s="330"/>
      <c r="T731" s="331"/>
      <c r="U731" s="332"/>
      <c r="V731" s="154"/>
      <c r="W731" s="331"/>
      <c r="X731" s="324"/>
      <c r="Y731" s="205"/>
      <c r="Z731" s="205"/>
      <c r="AA731" s="205"/>
      <c r="AB731" s="17"/>
      <c r="AC731" s="17"/>
      <c r="AD731" s="17"/>
      <c r="AE731" s="17"/>
    </row>
    <row r="732">
      <c r="A732" s="154"/>
      <c r="B732" s="168"/>
      <c r="C732" s="324"/>
      <c r="D732" s="154"/>
      <c r="E732" s="168"/>
      <c r="F732" s="324"/>
      <c r="G732" s="154"/>
      <c r="H732" s="168"/>
      <c r="I732" s="324"/>
      <c r="J732" s="154"/>
      <c r="K732" s="168"/>
      <c r="L732" s="324"/>
      <c r="M732" s="330"/>
      <c r="N732" s="331"/>
      <c r="O732" s="332"/>
      <c r="P732" s="330"/>
      <c r="Q732" s="331"/>
      <c r="R732" s="332"/>
      <c r="S732" s="330"/>
      <c r="T732" s="331"/>
      <c r="U732" s="332"/>
      <c r="V732" s="154"/>
      <c r="W732" s="331"/>
      <c r="X732" s="324"/>
      <c r="Y732" s="205"/>
      <c r="Z732" s="205"/>
      <c r="AA732" s="205"/>
      <c r="AB732" s="17"/>
      <c r="AC732" s="17"/>
      <c r="AD732" s="17"/>
      <c r="AE732" s="17"/>
    </row>
    <row r="733">
      <c r="A733" s="154"/>
      <c r="B733" s="168"/>
      <c r="C733" s="324"/>
      <c r="D733" s="154"/>
      <c r="E733" s="168"/>
      <c r="F733" s="324"/>
      <c r="G733" s="154"/>
      <c r="H733" s="168"/>
      <c r="I733" s="324"/>
      <c r="J733" s="154"/>
      <c r="K733" s="168"/>
      <c r="L733" s="324"/>
      <c r="M733" s="330"/>
      <c r="N733" s="331"/>
      <c r="O733" s="332"/>
      <c r="P733" s="330"/>
      <c r="Q733" s="331"/>
      <c r="R733" s="332"/>
      <c r="S733" s="330"/>
      <c r="T733" s="331"/>
      <c r="U733" s="332"/>
      <c r="V733" s="154"/>
      <c r="W733" s="331"/>
      <c r="X733" s="324"/>
      <c r="Y733" s="205"/>
      <c r="Z733" s="205"/>
      <c r="AA733" s="205"/>
      <c r="AB733" s="17"/>
      <c r="AC733" s="17"/>
      <c r="AD733" s="17"/>
      <c r="AE733" s="17"/>
    </row>
    <row r="734">
      <c r="A734" s="154"/>
      <c r="B734" s="168"/>
      <c r="C734" s="324"/>
      <c r="D734" s="154"/>
      <c r="E734" s="168"/>
      <c r="F734" s="324"/>
      <c r="G734" s="154"/>
      <c r="H734" s="168"/>
      <c r="I734" s="324"/>
      <c r="J734" s="154"/>
      <c r="K734" s="168"/>
      <c r="L734" s="324"/>
      <c r="M734" s="330"/>
      <c r="N734" s="331"/>
      <c r="O734" s="332"/>
      <c r="P734" s="330"/>
      <c r="Q734" s="331"/>
      <c r="R734" s="332"/>
      <c r="S734" s="330"/>
      <c r="T734" s="331"/>
      <c r="U734" s="332"/>
      <c r="V734" s="154"/>
      <c r="W734" s="331"/>
      <c r="X734" s="324"/>
      <c r="Y734" s="205"/>
      <c r="Z734" s="205"/>
      <c r="AA734" s="205"/>
      <c r="AB734" s="17"/>
      <c r="AC734" s="17"/>
      <c r="AD734" s="17"/>
      <c r="AE734" s="17"/>
    </row>
    <row r="735">
      <c r="A735" s="154"/>
      <c r="B735" s="168"/>
      <c r="C735" s="324"/>
      <c r="D735" s="154"/>
      <c r="E735" s="168"/>
      <c r="F735" s="324"/>
      <c r="G735" s="154"/>
      <c r="H735" s="168"/>
      <c r="I735" s="324"/>
      <c r="J735" s="154"/>
      <c r="K735" s="168"/>
      <c r="L735" s="324"/>
      <c r="M735" s="330"/>
      <c r="N735" s="331"/>
      <c r="O735" s="332"/>
      <c r="P735" s="330"/>
      <c r="Q735" s="331"/>
      <c r="R735" s="332"/>
      <c r="S735" s="330"/>
      <c r="T735" s="331"/>
      <c r="U735" s="332"/>
      <c r="V735" s="154"/>
      <c r="W735" s="331"/>
      <c r="X735" s="324"/>
      <c r="Y735" s="205"/>
      <c r="Z735" s="205"/>
      <c r="AA735" s="205"/>
      <c r="AB735" s="17"/>
      <c r="AC735" s="17"/>
      <c r="AD735" s="17"/>
      <c r="AE735" s="17"/>
    </row>
    <row r="736">
      <c r="A736" s="154"/>
      <c r="B736" s="168"/>
      <c r="C736" s="324"/>
      <c r="D736" s="154"/>
      <c r="E736" s="168"/>
      <c r="F736" s="324"/>
      <c r="G736" s="154"/>
      <c r="H736" s="168"/>
      <c r="I736" s="324"/>
      <c r="J736" s="154"/>
      <c r="K736" s="168"/>
      <c r="L736" s="324"/>
      <c r="M736" s="330"/>
      <c r="N736" s="331"/>
      <c r="O736" s="332"/>
      <c r="P736" s="330"/>
      <c r="Q736" s="331"/>
      <c r="R736" s="332"/>
      <c r="S736" s="330"/>
      <c r="T736" s="331"/>
      <c r="U736" s="332"/>
      <c r="V736" s="154"/>
      <c r="W736" s="331"/>
      <c r="X736" s="324"/>
      <c r="Y736" s="205"/>
      <c r="Z736" s="205"/>
      <c r="AA736" s="205"/>
      <c r="AB736" s="17"/>
      <c r="AC736" s="17"/>
      <c r="AD736" s="17"/>
      <c r="AE736" s="17"/>
    </row>
    <row r="737">
      <c r="A737" s="154"/>
      <c r="B737" s="168"/>
      <c r="C737" s="324"/>
      <c r="D737" s="154"/>
      <c r="E737" s="168"/>
      <c r="F737" s="324"/>
      <c r="G737" s="154"/>
      <c r="H737" s="168"/>
      <c r="I737" s="324"/>
      <c r="J737" s="154"/>
      <c r="K737" s="168"/>
      <c r="L737" s="324"/>
      <c r="M737" s="330"/>
      <c r="N737" s="331"/>
      <c r="O737" s="332"/>
      <c r="P737" s="330"/>
      <c r="Q737" s="331"/>
      <c r="R737" s="332"/>
      <c r="S737" s="330"/>
      <c r="T737" s="331"/>
      <c r="U737" s="332"/>
      <c r="V737" s="154"/>
      <c r="W737" s="331"/>
      <c r="X737" s="324"/>
      <c r="Y737" s="205"/>
      <c r="Z737" s="205"/>
      <c r="AA737" s="205"/>
      <c r="AB737" s="17"/>
      <c r="AC737" s="17"/>
      <c r="AD737" s="17"/>
      <c r="AE737" s="17"/>
    </row>
    <row r="738">
      <c r="A738" s="154"/>
      <c r="B738" s="168"/>
      <c r="C738" s="324"/>
      <c r="D738" s="154"/>
      <c r="E738" s="168"/>
      <c r="F738" s="324"/>
      <c r="G738" s="154"/>
      <c r="H738" s="168"/>
      <c r="I738" s="324"/>
      <c r="J738" s="154"/>
      <c r="K738" s="168"/>
      <c r="L738" s="324"/>
      <c r="M738" s="330"/>
      <c r="N738" s="331"/>
      <c r="O738" s="332"/>
      <c r="P738" s="330"/>
      <c r="Q738" s="331"/>
      <c r="R738" s="332"/>
      <c r="S738" s="330"/>
      <c r="T738" s="331"/>
      <c r="U738" s="332"/>
      <c r="V738" s="154"/>
      <c r="W738" s="331"/>
      <c r="X738" s="324"/>
      <c r="Y738" s="205"/>
      <c r="Z738" s="205"/>
      <c r="AA738" s="205"/>
      <c r="AB738" s="17"/>
      <c r="AC738" s="17"/>
      <c r="AD738" s="17"/>
      <c r="AE738" s="17"/>
    </row>
    <row r="739">
      <c r="A739" s="154"/>
      <c r="B739" s="168"/>
      <c r="C739" s="324"/>
      <c r="D739" s="154"/>
      <c r="E739" s="168"/>
      <c r="F739" s="324"/>
      <c r="G739" s="154"/>
      <c r="H739" s="168"/>
      <c r="I739" s="324"/>
      <c r="J739" s="154"/>
      <c r="K739" s="168"/>
      <c r="L739" s="324"/>
      <c r="M739" s="330"/>
      <c r="N739" s="331"/>
      <c r="O739" s="332"/>
      <c r="P739" s="330"/>
      <c r="Q739" s="331"/>
      <c r="R739" s="332"/>
      <c r="S739" s="330"/>
      <c r="T739" s="331"/>
      <c r="U739" s="332"/>
      <c r="V739" s="154"/>
      <c r="W739" s="331"/>
      <c r="X739" s="324"/>
      <c r="Y739" s="205"/>
      <c r="Z739" s="205"/>
      <c r="AA739" s="205"/>
      <c r="AB739" s="17"/>
      <c r="AC739" s="17"/>
      <c r="AD739" s="17"/>
      <c r="AE739" s="17"/>
    </row>
    <row r="740">
      <c r="A740" s="154"/>
      <c r="B740" s="168"/>
      <c r="C740" s="324"/>
      <c r="D740" s="154"/>
      <c r="E740" s="168"/>
      <c r="F740" s="324"/>
      <c r="G740" s="154"/>
      <c r="H740" s="168"/>
      <c r="I740" s="324"/>
      <c r="J740" s="154"/>
      <c r="K740" s="168"/>
      <c r="L740" s="324"/>
      <c r="M740" s="330"/>
      <c r="N740" s="331"/>
      <c r="O740" s="332"/>
      <c r="P740" s="330"/>
      <c r="Q740" s="331"/>
      <c r="R740" s="332"/>
      <c r="S740" s="330"/>
      <c r="T740" s="331"/>
      <c r="U740" s="332"/>
      <c r="V740" s="154"/>
      <c r="W740" s="331"/>
      <c r="X740" s="324"/>
      <c r="Y740" s="205"/>
      <c r="Z740" s="205"/>
      <c r="AA740" s="205"/>
      <c r="AB740" s="17"/>
      <c r="AC740" s="17"/>
      <c r="AD740" s="17"/>
      <c r="AE740" s="17"/>
    </row>
    <row r="741">
      <c r="A741" s="154"/>
      <c r="B741" s="168"/>
      <c r="C741" s="324"/>
      <c r="D741" s="154"/>
      <c r="E741" s="168"/>
      <c r="F741" s="324"/>
      <c r="G741" s="154"/>
      <c r="H741" s="168"/>
      <c r="I741" s="324"/>
      <c r="J741" s="154"/>
      <c r="K741" s="168"/>
      <c r="L741" s="324"/>
      <c r="M741" s="330"/>
      <c r="N741" s="331"/>
      <c r="O741" s="332"/>
      <c r="P741" s="330"/>
      <c r="Q741" s="331"/>
      <c r="R741" s="332"/>
      <c r="S741" s="330"/>
      <c r="T741" s="331"/>
      <c r="U741" s="332"/>
      <c r="V741" s="154"/>
      <c r="W741" s="331"/>
      <c r="X741" s="324"/>
      <c r="Y741" s="205"/>
      <c r="Z741" s="205"/>
      <c r="AA741" s="205"/>
      <c r="AB741" s="17"/>
      <c r="AC741" s="17"/>
      <c r="AD741" s="17"/>
      <c r="AE741" s="17"/>
    </row>
    <row r="742">
      <c r="A742" s="154"/>
      <c r="B742" s="168"/>
      <c r="C742" s="324"/>
      <c r="D742" s="154"/>
      <c r="E742" s="168"/>
      <c r="F742" s="324"/>
      <c r="G742" s="154"/>
      <c r="H742" s="168"/>
      <c r="I742" s="324"/>
      <c r="J742" s="154"/>
      <c r="K742" s="168"/>
      <c r="L742" s="324"/>
      <c r="M742" s="330"/>
      <c r="N742" s="331"/>
      <c r="O742" s="332"/>
      <c r="P742" s="330"/>
      <c r="Q742" s="331"/>
      <c r="R742" s="332"/>
      <c r="S742" s="330"/>
      <c r="T742" s="331"/>
      <c r="U742" s="332"/>
      <c r="V742" s="154"/>
      <c r="W742" s="331"/>
      <c r="X742" s="324"/>
      <c r="Y742" s="205"/>
      <c r="Z742" s="205"/>
      <c r="AA742" s="205"/>
      <c r="AB742" s="17"/>
      <c r="AC742" s="17"/>
      <c r="AD742" s="17"/>
      <c r="AE742" s="17"/>
    </row>
    <row r="743">
      <c r="A743" s="154"/>
      <c r="B743" s="168"/>
      <c r="C743" s="324"/>
      <c r="D743" s="154"/>
      <c r="E743" s="168"/>
      <c r="F743" s="324"/>
      <c r="G743" s="154"/>
      <c r="H743" s="168"/>
      <c r="I743" s="324"/>
      <c r="J743" s="154"/>
      <c r="K743" s="168"/>
      <c r="L743" s="324"/>
      <c r="M743" s="330"/>
      <c r="N743" s="331"/>
      <c r="O743" s="332"/>
      <c r="P743" s="330"/>
      <c r="Q743" s="331"/>
      <c r="R743" s="332"/>
      <c r="S743" s="330"/>
      <c r="T743" s="331"/>
      <c r="U743" s="332"/>
      <c r="V743" s="154"/>
      <c r="W743" s="331"/>
      <c r="X743" s="324"/>
      <c r="Y743" s="205"/>
      <c r="Z743" s="205"/>
      <c r="AA743" s="205"/>
      <c r="AB743" s="17"/>
      <c r="AC743" s="17"/>
      <c r="AD743" s="17"/>
      <c r="AE743" s="17"/>
    </row>
    <row r="744">
      <c r="A744" s="154"/>
      <c r="B744" s="168"/>
      <c r="C744" s="324"/>
      <c r="D744" s="154"/>
      <c r="E744" s="168"/>
      <c r="F744" s="324"/>
      <c r="G744" s="154"/>
      <c r="H744" s="168"/>
      <c r="I744" s="324"/>
      <c r="J744" s="154"/>
      <c r="K744" s="168"/>
      <c r="L744" s="324"/>
      <c r="M744" s="330"/>
      <c r="N744" s="331"/>
      <c r="O744" s="332"/>
      <c r="P744" s="330"/>
      <c r="Q744" s="331"/>
      <c r="R744" s="332"/>
      <c r="S744" s="330"/>
      <c r="T744" s="331"/>
      <c r="U744" s="332"/>
      <c r="V744" s="154"/>
      <c r="W744" s="331"/>
      <c r="X744" s="324"/>
      <c r="Y744" s="205"/>
      <c r="Z744" s="205"/>
      <c r="AA744" s="205"/>
      <c r="AB744" s="17"/>
      <c r="AC744" s="17"/>
      <c r="AD744" s="17"/>
      <c r="AE744" s="17"/>
    </row>
    <row r="745">
      <c r="A745" s="154"/>
      <c r="B745" s="168"/>
      <c r="C745" s="324"/>
      <c r="D745" s="154"/>
      <c r="E745" s="168"/>
      <c r="F745" s="324"/>
      <c r="G745" s="154"/>
      <c r="H745" s="168"/>
      <c r="I745" s="324"/>
      <c r="J745" s="154"/>
      <c r="K745" s="168"/>
      <c r="L745" s="324"/>
      <c r="M745" s="330"/>
      <c r="N745" s="331"/>
      <c r="O745" s="332"/>
      <c r="P745" s="330"/>
      <c r="Q745" s="331"/>
      <c r="R745" s="332"/>
      <c r="S745" s="330"/>
      <c r="T745" s="331"/>
      <c r="U745" s="332"/>
      <c r="V745" s="154"/>
      <c r="W745" s="331"/>
      <c r="X745" s="324"/>
      <c r="Y745" s="205"/>
      <c r="Z745" s="205"/>
      <c r="AA745" s="205"/>
      <c r="AB745" s="17"/>
      <c r="AC745" s="17"/>
      <c r="AD745" s="17"/>
      <c r="AE745" s="17"/>
    </row>
    <row r="746">
      <c r="A746" s="154"/>
      <c r="B746" s="168"/>
      <c r="C746" s="324"/>
      <c r="D746" s="154"/>
      <c r="E746" s="168"/>
      <c r="F746" s="324"/>
      <c r="G746" s="154"/>
      <c r="H746" s="168"/>
      <c r="I746" s="324"/>
      <c r="J746" s="154"/>
      <c r="K746" s="168"/>
      <c r="L746" s="324"/>
      <c r="M746" s="330"/>
      <c r="N746" s="331"/>
      <c r="O746" s="332"/>
      <c r="P746" s="330"/>
      <c r="Q746" s="331"/>
      <c r="R746" s="332"/>
      <c r="S746" s="330"/>
      <c r="T746" s="331"/>
      <c r="U746" s="332"/>
      <c r="V746" s="154"/>
      <c r="W746" s="331"/>
      <c r="X746" s="324"/>
      <c r="Y746" s="205"/>
      <c r="Z746" s="205"/>
      <c r="AA746" s="205"/>
      <c r="AB746" s="17"/>
      <c r="AC746" s="17"/>
      <c r="AD746" s="17"/>
      <c r="AE746" s="17"/>
    </row>
    <row r="747">
      <c r="A747" s="154"/>
      <c r="B747" s="168"/>
      <c r="C747" s="324"/>
      <c r="D747" s="154"/>
      <c r="E747" s="168"/>
      <c r="F747" s="324"/>
      <c r="G747" s="154"/>
      <c r="H747" s="168"/>
      <c r="I747" s="324"/>
      <c r="J747" s="154"/>
      <c r="K747" s="168"/>
      <c r="L747" s="324"/>
      <c r="M747" s="330"/>
      <c r="N747" s="331"/>
      <c r="O747" s="332"/>
      <c r="P747" s="330"/>
      <c r="Q747" s="331"/>
      <c r="R747" s="332"/>
      <c r="S747" s="330"/>
      <c r="T747" s="331"/>
      <c r="U747" s="332"/>
      <c r="V747" s="154"/>
      <c r="W747" s="331"/>
      <c r="X747" s="324"/>
      <c r="Y747" s="205"/>
      <c r="Z747" s="205"/>
      <c r="AA747" s="205"/>
      <c r="AB747" s="17"/>
      <c r="AC747" s="17"/>
      <c r="AD747" s="17"/>
      <c r="AE747" s="17"/>
    </row>
    <row r="748">
      <c r="A748" s="154"/>
      <c r="B748" s="168"/>
      <c r="C748" s="324"/>
      <c r="D748" s="154"/>
      <c r="E748" s="168"/>
      <c r="F748" s="324"/>
      <c r="G748" s="154"/>
      <c r="H748" s="168"/>
      <c r="I748" s="324"/>
      <c r="J748" s="154"/>
      <c r="K748" s="168"/>
      <c r="L748" s="324"/>
      <c r="M748" s="330"/>
      <c r="N748" s="331"/>
      <c r="O748" s="332"/>
      <c r="P748" s="330"/>
      <c r="Q748" s="331"/>
      <c r="R748" s="332"/>
      <c r="S748" s="330"/>
      <c r="T748" s="331"/>
      <c r="U748" s="332"/>
      <c r="V748" s="154"/>
      <c r="W748" s="331"/>
      <c r="X748" s="324"/>
      <c r="Y748" s="205"/>
      <c r="Z748" s="205"/>
      <c r="AA748" s="205"/>
      <c r="AB748" s="17"/>
      <c r="AC748" s="17"/>
      <c r="AD748" s="17"/>
      <c r="AE748" s="17"/>
    </row>
    <row r="749">
      <c r="A749" s="154"/>
      <c r="B749" s="168"/>
      <c r="C749" s="324"/>
      <c r="D749" s="154"/>
      <c r="E749" s="168"/>
      <c r="F749" s="324"/>
      <c r="G749" s="154"/>
      <c r="H749" s="168"/>
      <c r="I749" s="324"/>
      <c r="J749" s="154"/>
      <c r="K749" s="168"/>
      <c r="L749" s="324"/>
      <c r="M749" s="330"/>
      <c r="N749" s="331"/>
      <c r="O749" s="332"/>
      <c r="P749" s="330"/>
      <c r="Q749" s="331"/>
      <c r="R749" s="332"/>
      <c r="S749" s="330"/>
      <c r="T749" s="331"/>
      <c r="U749" s="332"/>
      <c r="V749" s="154"/>
      <c r="W749" s="331"/>
      <c r="X749" s="324"/>
      <c r="Y749" s="205"/>
      <c r="Z749" s="205"/>
      <c r="AA749" s="205"/>
      <c r="AB749" s="17"/>
      <c r="AC749" s="17"/>
      <c r="AD749" s="17"/>
      <c r="AE749" s="17"/>
    </row>
    <row r="750">
      <c r="A750" s="154"/>
      <c r="B750" s="168"/>
      <c r="C750" s="324"/>
      <c r="D750" s="154"/>
      <c r="E750" s="168"/>
      <c r="F750" s="324"/>
      <c r="G750" s="154"/>
      <c r="H750" s="168"/>
      <c r="I750" s="324"/>
      <c r="J750" s="154"/>
      <c r="K750" s="168"/>
      <c r="L750" s="324"/>
      <c r="M750" s="330"/>
      <c r="N750" s="331"/>
      <c r="O750" s="332"/>
      <c r="P750" s="330"/>
      <c r="Q750" s="331"/>
      <c r="R750" s="332"/>
      <c r="S750" s="330"/>
      <c r="T750" s="331"/>
      <c r="U750" s="332"/>
      <c r="V750" s="154"/>
      <c r="W750" s="331"/>
      <c r="X750" s="324"/>
      <c r="Y750" s="205"/>
      <c r="Z750" s="205"/>
      <c r="AA750" s="205"/>
      <c r="AB750" s="17"/>
      <c r="AC750" s="17"/>
      <c r="AD750" s="17"/>
      <c r="AE750" s="17"/>
    </row>
    <row r="751">
      <c r="A751" s="154"/>
      <c r="B751" s="168"/>
      <c r="C751" s="324"/>
      <c r="D751" s="154"/>
      <c r="E751" s="168"/>
      <c r="F751" s="324"/>
      <c r="G751" s="154"/>
      <c r="H751" s="168"/>
      <c r="I751" s="324"/>
      <c r="J751" s="154"/>
      <c r="K751" s="168"/>
      <c r="L751" s="324"/>
      <c r="M751" s="330"/>
      <c r="N751" s="331"/>
      <c r="O751" s="332"/>
      <c r="P751" s="330"/>
      <c r="Q751" s="331"/>
      <c r="R751" s="332"/>
      <c r="S751" s="330"/>
      <c r="T751" s="331"/>
      <c r="U751" s="332"/>
      <c r="V751" s="154"/>
      <c r="W751" s="331"/>
      <c r="X751" s="324"/>
      <c r="Y751" s="205"/>
      <c r="Z751" s="205"/>
      <c r="AA751" s="205"/>
      <c r="AB751" s="17"/>
      <c r="AC751" s="17"/>
      <c r="AD751" s="17"/>
      <c r="AE751" s="17"/>
    </row>
    <row r="752">
      <c r="A752" s="154"/>
      <c r="B752" s="168"/>
      <c r="C752" s="324"/>
      <c r="D752" s="154"/>
      <c r="E752" s="168"/>
      <c r="F752" s="324"/>
      <c r="G752" s="154"/>
      <c r="H752" s="168"/>
      <c r="I752" s="324"/>
      <c r="J752" s="154"/>
      <c r="K752" s="168"/>
      <c r="L752" s="324"/>
      <c r="M752" s="330"/>
      <c r="N752" s="331"/>
      <c r="O752" s="332"/>
      <c r="P752" s="330"/>
      <c r="Q752" s="331"/>
      <c r="R752" s="332"/>
      <c r="S752" s="330"/>
      <c r="T752" s="331"/>
      <c r="U752" s="332"/>
      <c r="V752" s="154"/>
      <c r="W752" s="331"/>
      <c r="X752" s="324"/>
      <c r="Y752" s="205"/>
      <c r="Z752" s="205"/>
      <c r="AA752" s="205"/>
      <c r="AB752" s="17"/>
      <c r="AC752" s="17"/>
      <c r="AD752" s="17"/>
      <c r="AE752" s="17"/>
    </row>
    <row r="753">
      <c r="A753" s="154"/>
      <c r="B753" s="168"/>
      <c r="C753" s="324"/>
      <c r="D753" s="154"/>
      <c r="E753" s="168"/>
      <c r="F753" s="324"/>
      <c r="G753" s="154"/>
      <c r="H753" s="168"/>
      <c r="I753" s="324"/>
      <c r="J753" s="154"/>
      <c r="K753" s="168"/>
      <c r="L753" s="324"/>
      <c r="M753" s="330"/>
      <c r="N753" s="331"/>
      <c r="O753" s="332"/>
      <c r="P753" s="330"/>
      <c r="Q753" s="331"/>
      <c r="R753" s="332"/>
      <c r="S753" s="330"/>
      <c r="T753" s="331"/>
      <c r="U753" s="332"/>
      <c r="V753" s="154"/>
      <c r="W753" s="331"/>
      <c r="X753" s="324"/>
      <c r="Y753" s="205"/>
      <c r="Z753" s="205"/>
      <c r="AA753" s="205"/>
      <c r="AB753" s="17"/>
      <c r="AC753" s="17"/>
      <c r="AD753" s="17"/>
      <c r="AE753" s="17"/>
    </row>
    <row r="754">
      <c r="A754" s="154"/>
      <c r="B754" s="168"/>
      <c r="C754" s="324"/>
      <c r="D754" s="154"/>
      <c r="E754" s="168"/>
      <c r="F754" s="324"/>
      <c r="G754" s="154"/>
      <c r="H754" s="168"/>
      <c r="I754" s="324"/>
      <c r="J754" s="154"/>
      <c r="K754" s="168"/>
      <c r="L754" s="324"/>
      <c r="M754" s="330"/>
      <c r="N754" s="331"/>
      <c r="O754" s="332"/>
      <c r="P754" s="330"/>
      <c r="Q754" s="331"/>
      <c r="R754" s="332"/>
      <c r="S754" s="330"/>
      <c r="T754" s="331"/>
      <c r="U754" s="332"/>
      <c r="V754" s="154"/>
      <c r="W754" s="331"/>
      <c r="X754" s="324"/>
      <c r="Y754" s="205"/>
      <c r="Z754" s="205"/>
      <c r="AA754" s="205"/>
      <c r="AB754" s="17"/>
      <c r="AC754" s="17"/>
      <c r="AD754" s="17"/>
      <c r="AE754" s="17"/>
    </row>
    <row r="755">
      <c r="A755" s="154"/>
      <c r="B755" s="168"/>
      <c r="C755" s="324"/>
      <c r="D755" s="154"/>
      <c r="E755" s="168"/>
      <c r="F755" s="324"/>
      <c r="G755" s="154"/>
      <c r="H755" s="168"/>
      <c r="I755" s="324"/>
      <c r="J755" s="154"/>
      <c r="K755" s="168"/>
      <c r="L755" s="324"/>
      <c r="M755" s="330"/>
      <c r="N755" s="331"/>
      <c r="O755" s="332"/>
      <c r="P755" s="330"/>
      <c r="Q755" s="331"/>
      <c r="R755" s="332"/>
      <c r="S755" s="330"/>
      <c r="T755" s="331"/>
      <c r="U755" s="332"/>
      <c r="V755" s="154"/>
      <c r="W755" s="331"/>
      <c r="X755" s="324"/>
      <c r="Y755" s="205"/>
      <c r="Z755" s="205"/>
      <c r="AA755" s="205"/>
      <c r="AB755" s="17"/>
      <c r="AC755" s="17"/>
      <c r="AD755" s="17"/>
      <c r="AE755" s="17"/>
    </row>
    <row r="756">
      <c r="A756" s="154"/>
      <c r="B756" s="168"/>
      <c r="C756" s="324"/>
      <c r="D756" s="154"/>
      <c r="E756" s="168"/>
      <c r="F756" s="324"/>
      <c r="G756" s="154"/>
      <c r="H756" s="168"/>
      <c r="I756" s="324"/>
      <c r="J756" s="154"/>
      <c r="K756" s="168"/>
      <c r="L756" s="324"/>
      <c r="M756" s="330"/>
      <c r="N756" s="331"/>
      <c r="O756" s="332"/>
      <c r="P756" s="330"/>
      <c r="Q756" s="331"/>
      <c r="R756" s="332"/>
      <c r="S756" s="330"/>
      <c r="T756" s="331"/>
      <c r="U756" s="332"/>
      <c r="V756" s="154"/>
      <c r="W756" s="331"/>
      <c r="X756" s="324"/>
      <c r="Y756" s="205"/>
      <c r="Z756" s="205"/>
      <c r="AA756" s="205"/>
      <c r="AB756" s="17"/>
      <c r="AC756" s="17"/>
      <c r="AD756" s="17"/>
      <c r="AE756" s="17"/>
    </row>
    <row r="757">
      <c r="A757" s="154"/>
      <c r="B757" s="168"/>
      <c r="C757" s="324"/>
      <c r="D757" s="154"/>
      <c r="E757" s="168"/>
      <c r="F757" s="324"/>
      <c r="G757" s="154"/>
      <c r="H757" s="168"/>
      <c r="I757" s="324"/>
      <c r="J757" s="154"/>
      <c r="K757" s="168"/>
      <c r="L757" s="324"/>
      <c r="M757" s="330"/>
      <c r="N757" s="331"/>
      <c r="O757" s="332"/>
      <c r="P757" s="330"/>
      <c r="Q757" s="331"/>
      <c r="R757" s="332"/>
      <c r="S757" s="330"/>
      <c r="T757" s="331"/>
      <c r="U757" s="332"/>
      <c r="V757" s="154"/>
      <c r="W757" s="331"/>
      <c r="X757" s="324"/>
      <c r="Y757" s="205"/>
      <c r="Z757" s="205"/>
      <c r="AA757" s="205"/>
      <c r="AB757" s="17"/>
      <c r="AC757" s="17"/>
      <c r="AD757" s="17"/>
      <c r="AE757" s="17"/>
    </row>
    <row r="758">
      <c r="A758" s="154"/>
      <c r="B758" s="168"/>
      <c r="C758" s="324"/>
      <c r="D758" s="154"/>
      <c r="E758" s="168"/>
      <c r="F758" s="324"/>
      <c r="G758" s="154"/>
      <c r="H758" s="168"/>
      <c r="I758" s="324"/>
      <c r="J758" s="154"/>
      <c r="K758" s="168"/>
      <c r="L758" s="324"/>
      <c r="M758" s="330"/>
      <c r="N758" s="331"/>
      <c r="O758" s="332"/>
      <c r="P758" s="330"/>
      <c r="Q758" s="331"/>
      <c r="R758" s="332"/>
      <c r="S758" s="330"/>
      <c r="T758" s="331"/>
      <c r="U758" s="332"/>
      <c r="V758" s="154"/>
      <c r="W758" s="331"/>
      <c r="X758" s="324"/>
      <c r="Y758" s="205"/>
      <c r="Z758" s="205"/>
      <c r="AA758" s="205"/>
      <c r="AB758" s="17"/>
      <c r="AC758" s="17"/>
      <c r="AD758" s="17"/>
      <c r="AE758" s="17"/>
    </row>
    <row r="759">
      <c r="A759" s="154"/>
      <c r="B759" s="168"/>
      <c r="C759" s="324"/>
      <c r="D759" s="154"/>
      <c r="E759" s="168"/>
      <c r="F759" s="324"/>
      <c r="G759" s="154"/>
      <c r="H759" s="168"/>
      <c r="I759" s="324"/>
      <c r="J759" s="154"/>
      <c r="K759" s="168"/>
      <c r="L759" s="324"/>
      <c r="M759" s="330"/>
      <c r="N759" s="331"/>
      <c r="O759" s="332"/>
      <c r="P759" s="330"/>
      <c r="Q759" s="331"/>
      <c r="R759" s="332"/>
      <c r="S759" s="330"/>
      <c r="T759" s="331"/>
      <c r="U759" s="332"/>
      <c r="V759" s="154"/>
      <c r="W759" s="331"/>
      <c r="X759" s="324"/>
      <c r="Y759" s="205"/>
      <c r="Z759" s="205"/>
      <c r="AA759" s="205"/>
      <c r="AB759" s="17"/>
      <c r="AC759" s="17"/>
      <c r="AD759" s="17"/>
      <c r="AE759" s="17"/>
    </row>
    <row r="760">
      <c r="A760" s="154"/>
      <c r="B760" s="168"/>
      <c r="C760" s="324"/>
      <c r="D760" s="154"/>
      <c r="E760" s="168"/>
      <c r="F760" s="324"/>
      <c r="G760" s="154"/>
      <c r="H760" s="168"/>
      <c r="I760" s="324"/>
      <c r="J760" s="154"/>
      <c r="K760" s="168"/>
      <c r="L760" s="324"/>
      <c r="M760" s="330"/>
      <c r="N760" s="331"/>
      <c r="O760" s="332"/>
      <c r="P760" s="330"/>
      <c r="Q760" s="331"/>
      <c r="R760" s="332"/>
      <c r="S760" s="330"/>
      <c r="T760" s="331"/>
      <c r="U760" s="332"/>
      <c r="V760" s="154"/>
      <c r="W760" s="331"/>
      <c r="X760" s="324"/>
      <c r="Y760" s="205"/>
      <c r="Z760" s="205"/>
      <c r="AA760" s="205"/>
      <c r="AB760" s="17"/>
      <c r="AC760" s="17"/>
      <c r="AD760" s="17"/>
      <c r="AE760" s="17"/>
    </row>
    <row r="761">
      <c r="A761" s="154"/>
      <c r="B761" s="168"/>
      <c r="C761" s="324"/>
      <c r="D761" s="154"/>
      <c r="E761" s="168"/>
      <c r="F761" s="324"/>
      <c r="G761" s="154"/>
      <c r="H761" s="168"/>
      <c r="I761" s="324"/>
      <c r="J761" s="154"/>
      <c r="K761" s="168"/>
      <c r="L761" s="324"/>
      <c r="M761" s="330"/>
      <c r="N761" s="331"/>
      <c r="O761" s="332"/>
      <c r="P761" s="330"/>
      <c r="Q761" s="331"/>
      <c r="R761" s="332"/>
      <c r="S761" s="330"/>
      <c r="T761" s="331"/>
      <c r="U761" s="332"/>
      <c r="V761" s="154"/>
      <c r="W761" s="331"/>
      <c r="X761" s="324"/>
      <c r="Y761" s="205"/>
      <c r="Z761" s="205"/>
      <c r="AA761" s="205"/>
      <c r="AB761" s="17"/>
      <c r="AC761" s="17"/>
      <c r="AD761" s="17"/>
      <c r="AE761" s="17"/>
    </row>
    <row r="762">
      <c r="A762" s="154"/>
      <c r="B762" s="168"/>
      <c r="C762" s="324"/>
      <c r="D762" s="154"/>
      <c r="E762" s="168"/>
      <c r="F762" s="324"/>
      <c r="G762" s="154"/>
      <c r="H762" s="168"/>
      <c r="I762" s="324"/>
      <c r="J762" s="154"/>
      <c r="K762" s="168"/>
      <c r="L762" s="324"/>
      <c r="M762" s="330"/>
      <c r="N762" s="331"/>
      <c r="O762" s="332"/>
      <c r="P762" s="330"/>
      <c r="Q762" s="331"/>
      <c r="R762" s="332"/>
      <c r="S762" s="330"/>
      <c r="T762" s="331"/>
      <c r="U762" s="332"/>
      <c r="V762" s="154"/>
      <c r="W762" s="331"/>
      <c r="X762" s="324"/>
      <c r="Y762" s="205"/>
      <c r="Z762" s="205"/>
      <c r="AA762" s="205"/>
      <c r="AB762" s="17"/>
      <c r="AC762" s="17"/>
      <c r="AD762" s="17"/>
      <c r="AE762" s="17"/>
    </row>
    <row r="763">
      <c r="A763" s="154"/>
      <c r="B763" s="168"/>
      <c r="C763" s="324"/>
      <c r="D763" s="154"/>
      <c r="E763" s="168"/>
      <c r="F763" s="324"/>
      <c r="G763" s="154"/>
      <c r="H763" s="168"/>
      <c r="I763" s="324"/>
      <c r="J763" s="154"/>
      <c r="K763" s="168"/>
      <c r="L763" s="324"/>
      <c r="M763" s="330"/>
      <c r="N763" s="331"/>
      <c r="O763" s="332"/>
      <c r="P763" s="330"/>
      <c r="Q763" s="331"/>
      <c r="R763" s="332"/>
      <c r="S763" s="330"/>
      <c r="T763" s="331"/>
      <c r="U763" s="332"/>
      <c r="V763" s="154"/>
      <c r="W763" s="331"/>
      <c r="X763" s="324"/>
      <c r="Y763" s="205"/>
      <c r="Z763" s="205"/>
      <c r="AA763" s="205"/>
      <c r="AB763" s="17"/>
      <c r="AC763" s="17"/>
      <c r="AD763" s="17"/>
      <c r="AE763" s="17"/>
    </row>
    <row r="764">
      <c r="A764" s="154"/>
      <c r="B764" s="168"/>
      <c r="C764" s="324"/>
      <c r="D764" s="154"/>
      <c r="E764" s="168"/>
      <c r="F764" s="324"/>
      <c r="G764" s="154"/>
      <c r="H764" s="168"/>
      <c r="I764" s="324"/>
      <c r="J764" s="154"/>
      <c r="K764" s="168"/>
      <c r="L764" s="324"/>
      <c r="M764" s="330"/>
      <c r="N764" s="331"/>
      <c r="O764" s="332"/>
      <c r="P764" s="330"/>
      <c r="Q764" s="331"/>
      <c r="R764" s="332"/>
      <c r="S764" s="330"/>
      <c r="T764" s="331"/>
      <c r="U764" s="332"/>
      <c r="V764" s="154"/>
      <c r="W764" s="331"/>
      <c r="X764" s="324"/>
      <c r="Y764" s="205"/>
      <c r="Z764" s="205"/>
      <c r="AA764" s="205"/>
      <c r="AB764" s="17"/>
      <c r="AC764" s="17"/>
      <c r="AD764" s="17"/>
      <c r="AE764" s="17"/>
    </row>
    <row r="765">
      <c r="A765" s="154"/>
      <c r="B765" s="168"/>
      <c r="C765" s="324"/>
      <c r="D765" s="154"/>
      <c r="E765" s="168"/>
      <c r="F765" s="324"/>
      <c r="G765" s="154"/>
      <c r="H765" s="168"/>
      <c r="I765" s="324"/>
      <c r="J765" s="154"/>
      <c r="K765" s="168"/>
      <c r="L765" s="324"/>
      <c r="M765" s="330"/>
      <c r="N765" s="331"/>
      <c r="O765" s="332"/>
      <c r="P765" s="330"/>
      <c r="Q765" s="331"/>
      <c r="R765" s="332"/>
      <c r="S765" s="330"/>
      <c r="T765" s="331"/>
      <c r="U765" s="332"/>
      <c r="V765" s="154"/>
      <c r="W765" s="331"/>
      <c r="X765" s="324"/>
      <c r="Y765" s="205"/>
      <c r="Z765" s="205"/>
      <c r="AA765" s="205"/>
      <c r="AB765" s="17"/>
      <c r="AC765" s="17"/>
      <c r="AD765" s="17"/>
      <c r="AE765" s="17"/>
    </row>
    <row r="766">
      <c r="A766" s="154"/>
      <c r="B766" s="168"/>
      <c r="C766" s="324"/>
      <c r="D766" s="154"/>
      <c r="E766" s="168"/>
      <c r="F766" s="324"/>
      <c r="G766" s="154"/>
      <c r="H766" s="168"/>
      <c r="I766" s="324"/>
      <c r="J766" s="154"/>
      <c r="K766" s="168"/>
      <c r="L766" s="324"/>
      <c r="M766" s="330"/>
      <c r="N766" s="331"/>
      <c r="O766" s="332"/>
      <c r="P766" s="330"/>
      <c r="Q766" s="331"/>
      <c r="R766" s="332"/>
      <c r="S766" s="330"/>
      <c r="T766" s="331"/>
      <c r="U766" s="332"/>
      <c r="V766" s="154"/>
      <c r="W766" s="331"/>
      <c r="X766" s="324"/>
      <c r="Y766" s="205"/>
      <c r="Z766" s="205"/>
      <c r="AA766" s="205"/>
      <c r="AB766" s="17"/>
      <c r="AC766" s="17"/>
      <c r="AD766" s="17"/>
      <c r="AE766" s="17"/>
    </row>
    <row r="767">
      <c r="A767" s="154"/>
      <c r="B767" s="168"/>
      <c r="C767" s="324"/>
      <c r="D767" s="154"/>
      <c r="E767" s="168"/>
      <c r="F767" s="324"/>
      <c r="G767" s="154"/>
      <c r="H767" s="168"/>
      <c r="I767" s="324"/>
      <c r="J767" s="154"/>
      <c r="K767" s="168"/>
      <c r="L767" s="324"/>
      <c r="M767" s="330"/>
      <c r="N767" s="331"/>
      <c r="O767" s="332"/>
      <c r="P767" s="330"/>
      <c r="Q767" s="331"/>
      <c r="R767" s="332"/>
      <c r="S767" s="330"/>
      <c r="T767" s="331"/>
      <c r="U767" s="332"/>
      <c r="V767" s="154"/>
      <c r="W767" s="331"/>
      <c r="X767" s="324"/>
      <c r="Y767" s="205"/>
      <c r="Z767" s="205"/>
      <c r="AA767" s="205"/>
      <c r="AB767" s="17"/>
      <c r="AC767" s="17"/>
      <c r="AD767" s="17"/>
      <c r="AE767" s="17"/>
    </row>
    <row r="768">
      <c r="A768" s="154"/>
      <c r="B768" s="168"/>
      <c r="C768" s="324"/>
      <c r="D768" s="154"/>
      <c r="E768" s="168"/>
      <c r="F768" s="324"/>
      <c r="G768" s="154"/>
      <c r="H768" s="168"/>
      <c r="I768" s="324"/>
      <c r="J768" s="154"/>
      <c r="K768" s="168"/>
      <c r="L768" s="324"/>
      <c r="M768" s="330"/>
      <c r="N768" s="331"/>
      <c r="O768" s="332"/>
      <c r="P768" s="330"/>
      <c r="Q768" s="331"/>
      <c r="R768" s="332"/>
      <c r="S768" s="330"/>
      <c r="T768" s="331"/>
      <c r="U768" s="332"/>
      <c r="V768" s="154"/>
      <c r="W768" s="331"/>
      <c r="X768" s="324"/>
      <c r="Y768" s="205"/>
      <c r="Z768" s="205"/>
      <c r="AA768" s="205"/>
      <c r="AB768" s="17"/>
      <c r="AC768" s="17"/>
      <c r="AD768" s="17"/>
      <c r="AE768" s="17"/>
    </row>
    <row r="769">
      <c r="A769" s="154"/>
      <c r="B769" s="168"/>
      <c r="C769" s="324"/>
      <c r="D769" s="154"/>
      <c r="E769" s="168"/>
      <c r="F769" s="324"/>
      <c r="G769" s="154"/>
      <c r="H769" s="168"/>
      <c r="I769" s="324"/>
      <c r="J769" s="154"/>
      <c r="K769" s="168"/>
      <c r="L769" s="324"/>
      <c r="M769" s="330"/>
      <c r="N769" s="331"/>
      <c r="O769" s="332"/>
      <c r="P769" s="330"/>
      <c r="Q769" s="331"/>
      <c r="R769" s="332"/>
      <c r="S769" s="330"/>
      <c r="T769" s="331"/>
      <c r="U769" s="332"/>
      <c r="V769" s="154"/>
      <c r="W769" s="331"/>
      <c r="X769" s="324"/>
      <c r="Y769" s="205"/>
      <c r="Z769" s="205"/>
      <c r="AA769" s="205"/>
      <c r="AB769" s="17"/>
      <c r="AC769" s="17"/>
      <c r="AD769" s="17"/>
      <c r="AE769" s="17"/>
    </row>
    <row r="770">
      <c r="A770" s="154"/>
      <c r="B770" s="168"/>
      <c r="C770" s="324"/>
      <c r="D770" s="154"/>
      <c r="E770" s="168"/>
      <c r="F770" s="324"/>
      <c r="G770" s="154"/>
      <c r="H770" s="168"/>
      <c r="I770" s="324"/>
      <c r="J770" s="154"/>
      <c r="K770" s="168"/>
      <c r="L770" s="324"/>
      <c r="M770" s="330"/>
      <c r="N770" s="331"/>
      <c r="O770" s="332"/>
      <c r="P770" s="330"/>
      <c r="Q770" s="331"/>
      <c r="R770" s="332"/>
      <c r="S770" s="330"/>
      <c r="T770" s="331"/>
      <c r="U770" s="332"/>
      <c r="V770" s="154"/>
      <c r="W770" s="331"/>
      <c r="X770" s="324"/>
      <c r="Y770" s="205"/>
      <c r="Z770" s="205"/>
      <c r="AA770" s="205"/>
      <c r="AB770" s="17"/>
      <c r="AC770" s="17"/>
      <c r="AD770" s="17"/>
      <c r="AE770" s="17"/>
    </row>
    <row r="771">
      <c r="A771" s="154"/>
      <c r="B771" s="168"/>
      <c r="C771" s="324"/>
      <c r="D771" s="154"/>
      <c r="E771" s="168"/>
      <c r="F771" s="324"/>
      <c r="G771" s="154"/>
      <c r="H771" s="168"/>
      <c r="I771" s="324"/>
      <c r="J771" s="154"/>
      <c r="K771" s="168"/>
      <c r="L771" s="324"/>
      <c r="M771" s="330"/>
      <c r="N771" s="331"/>
      <c r="O771" s="332"/>
      <c r="P771" s="330"/>
      <c r="Q771" s="331"/>
      <c r="R771" s="332"/>
      <c r="S771" s="330"/>
      <c r="T771" s="331"/>
      <c r="U771" s="332"/>
      <c r="V771" s="154"/>
      <c r="W771" s="331"/>
      <c r="X771" s="324"/>
      <c r="Y771" s="205"/>
      <c r="Z771" s="205"/>
      <c r="AA771" s="205"/>
      <c r="AB771" s="17"/>
      <c r="AC771" s="17"/>
      <c r="AD771" s="17"/>
      <c r="AE771" s="17"/>
    </row>
    <row r="772">
      <c r="A772" s="154"/>
      <c r="B772" s="168"/>
      <c r="C772" s="324"/>
      <c r="D772" s="154"/>
      <c r="E772" s="168"/>
      <c r="F772" s="324"/>
      <c r="G772" s="154"/>
      <c r="H772" s="168"/>
      <c r="I772" s="324"/>
      <c r="J772" s="154"/>
      <c r="K772" s="168"/>
      <c r="L772" s="324"/>
      <c r="M772" s="330"/>
      <c r="N772" s="331"/>
      <c r="O772" s="332"/>
      <c r="P772" s="330"/>
      <c r="Q772" s="331"/>
      <c r="R772" s="332"/>
      <c r="S772" s="330"/>
      <c r="T772" s="331"/>
      <c r="U772" s="332"/>
      <c r="V772" s="154"/>
      <c r="W772" s="331"/>
      <c r="X772" s="324"/>
      <c r="Y772" s="205"/>
      <c r="Z772" s="205"/>
      <c r="AA772" s="205"/>
      <c r="AB772" s="17"/>
      <c r="AC772" s="17"/>
      <c r="AD772" s="17"/>
      <c r="AE772" s="17"/>
    </row>
    <row r="773">
      <c r="A773" s="154"/>
      <c r="B773" s="168"/>
      <c r="C773" s="324"/>
      <c r="D773" s="154"/>
      <c r="E773" s="168"/>
      <c r="F773" s="324"/>
      <c r="G773" s="154"/>
      <c r="H773" s="168"/>
      <c r="I773" s="324"/>
      <c r="J773" s="154"/>
      <c r="K773" s="168"/>
      <c r="L773" s="324"/>
      <c r="M773" s="330"/>
      <c r="N773" s="331"/>
      <c r="O773" s="332"/>
      <c r="P773" s="330"/>
      <c r="Q773" s="331"/>
      <c r="R773" s="332"/>
      <c r="S773" s="330"/>
      <c r="T773" s="331"/>
      <c r="U773" s="332"/>
      <c r="V773" s="154"/>
      <c r="W773" s="331"/>
      <c r="X773" s="324"/>
      <c r="Y773" s="205"/>
      <c r="Z773" s="205"/>
      <c r="AA773" s="205"/>
      <c r="AB773" s="17"/>
      <c r="AC773" s="17"/>
      <c r="AD773" s="17"/>
      <c r="AE773" s="17"/>
    </row>
    <row r="774">
      <c r="A774" s="154"/>
      <c r="B774" s="168"/>
      <c r="C774" s="324"/>
      <c r="D774" s="154"/>
      <c r="E774" s="168"/>
      <c r="F774" s="324"/>
      <c r="G774" s="154"/>
      <c r="H774" s="168"/>
      <c r="I774" s="324"/>
      <c r="J774" s="154"/>
      <c r="K774" s="168"/>
      <c r="L774" s="324"/>
      <c r="M774" s="330"/>
      <c r="N774" s="331"/>
      <c r="O774" s="332"/>
      <c r="P774" s="330"/>
      <c r="Q774" s="331"/>
      <c r="R774" s="332"/>
      <c r="S774" s="330"/>
      <c r="T774" s="331"/>
      <c r="U774" s="332"/>
      <c r="V774" s="154"/>
      <c r="W774" s="331"/>
      <c r="X774" s="324"/>
      <c r="Y774" s="205"/>
      <c r="Z774" s="205"/>
      <c r="AA774" s="205"/>
      <c r="AB774" s="17"/>
      <c r="AC774" s="17"/>
      <c r="AD774" s="17"/>
      <c r="AE774" s="17"/>
    </row>
    <row r="775">
      <c r="A775" s="154"/>
      <c r="B775" s="168"/>
      <c r="C775" s="324"/>
      <c r="D775" s="154"/>
      <c r="E775" s="168"/>
      <c r="F775" s="324"/>
      <c r="G775" s="154"/>
      <c r="H775" s="168"/>
      <c r="I775" s="324"/>
      <c r="J775" s="154"/>
      <c r="K775" s="168"/>
      <c r="L775" s="324"/>
      <c r="M775" s="330"/>
      <c r="N775" s="331"/>
      <c r="O775" s="332"/>
      <c r="P775" s="330"/>
      <c r="Q775" s="331"/>
      <c r="R775" s="332"/>
      <c r="S775" s="330"/>
      <c r="T775" s="331"/>
      <c r="U775" s="332"/>
      <c r="V775" s="154"/>
      <c r="W775" s="331"/>
      <c r="X775" s="324"/>
      <c r="Y775" s="205"/>
      <c r="Z775" s="205"/>
      <c r="AA775" s="205"/>
      <c r="AB775" s="17"/>
      <c r="AC775" s="17"/>
      <c r="AD775" s="17"/>
      <c r="AE775" s="17"/>
    </row>
    <row r="776">
      <c r="A776" s="154"/>
      <c r="B776" s="168"/>
      <c r="C776" s="324"/>
      <c r="D776" s="154"/>
      <c r="E776" s="168"/>
      <c r="F776" s="324"/>
      <c r="G776" s="154"/>
      <c r="H776" s="168"/>
      <c r="I776" s="324"/>
      <c r="J776" s="154"/>
      <c r="K776" s="168"/>
      <c r="L776" s="324"/>
      <c r="M776" s="330"/>
      <c r="N776" s="331"/>
      <c r="O776" s="332"/>
      <c r="P776" s="330"/>
      <c r="Q776" s="331"/>
      <c r="R776" s="332"/>
      <c r="S776" s="330"/>
      <c r="T776" s="331"/>
      <c r="U776" s="332"/>
      <c r="V776" s="154"/>
      <c r="W776" s="331"/>
      <c r="X776" s="324"/>
      <c r="Y776" s="205"/>
      <c r="Z776" s="205"/>
      <c r="AA776" s="205"/>
      <c r="AB776" s="17"/>
      <c r="AC776" s="17"/>
      <c r="AD776" s="17"/>
      <c r="AE776" s="17"/>
    </row>
    <row r="777">
      <c r="A777" s="154"/>
      <c r="B777" s="168"/>
      <c r="C777" s="324"/>
      <c r="D777" s="154"/>
      <c r="E777" s="168"/>
      <c r="F777" s="324"/>
      <c r="G777" s="154"/>
      <c r="H777" s="168"/>
      <c r="I777" s="324"/>
      <c r="J777" s="154"/>
      <c r="K777" s="168"/>
      <c r="L777" s="324"/>
      <c r="M777" s="330"/>
      <c r="N777" s="331"/>
      <c r="O777" s="332"/>
      <c r="P777" s="330"/>
      <c r="Q777" s="331"/>
      <c r="R777" s="332"/>
      <c r="S777" s="330"/>
      <c r="T777" s="331"/>
      <c r="U777" s="332"/>
      <c r="V777" s="154"/>
      <c r="W777" s="331"/>
      <c r="X777" s="324"/>
      <c r="Y777" s="205"/>
      <c r="Z777" s="205"/>
      <c r="AA777" s="205"/>
      <c r="AB777" s="17"/>
      <c r="AC777" s="17"/>
      <c r="AD777" s="17"/>
      <c r="AE777" s="17"/>
    </row>
    <row r="778">
      <c r="A778" s="154"/>
      <c r="B778" s="168"/>
      <c r="C778" s="324"/>
      <c r="D778" s="154"/>
      <c r="E778" s="168"/>
      <c r="F778" s="324"/>
      <c r="G778" s="154"/>
      <c r="H778" s="168"/>
      <c r="I778" s="324"/>
      <c r="J778" s="154"/>
      <c r="K778" s="168"/>
      <c r="L778" s="324"/>
      <c r="M778" s="330"/>
      <c r="N778" s="331"/>
      <c r="O778" s="332"/>
      <c r="P778" s="330"/>
      <c r="Q778" s="331"/>
      <c r="R778" s="332"/>
      <c r="S778" s="330"/>
      <c r="T778" s="331"/>
      <c r="U778" s="332"/>
      <c r="V778" s="154"/>
      <c r="W778" s="331"/>
      <c r="X778" s="324"/>
      <c r="Y778" s="205"/>
      <c r="Z778" s="205"/>
      <c r="AA778" s="205"/>
      <c r="AB778" s="17"/>
      <c r="AC778" s="17"/>
      <c r="AD778" s="17"/>
      <c r="AE778" s="17"/>
    </row>
    <row r="779">
      <c r="A779" s="154"/>
      <c r="B779" s="168"/>
      <c r="C779" s="324"/>
      <c r="D779" s="154"/>
      <c r="E779" s="168"/>
      <c r="F779" s="324"/>
      <c r="G779" s="154"/>
      <c r="H779" s="168"/>
      <c r="I779" s="324"/>
      <c r="J779" s="154"/>
      <c r="K779" s="168"/>
      <c r="L779" s="324"/>
      <c r="M779" s="330"/>
      <c r="N779" s="331"/>
      <c r="O779" s="332"/>
      <c r="P779" s="330"/>
      <c r="Q779" s="331"/>
      <c r="R779" s="332"/>
      <c r="S779" s="330"/>
      <c r="T779" s="331"/>
      <c r="U779" s="332"/>
      <c r="V779" s="154"/>
      <c r="W779" s="331"/>
      <c r="X779" s="324"/>
      <c r="Y779" s="205"/>
      <c r="Z779" s="205"/>
      <c r="AA779" s="205"/>
      <c r="AB779" s="17"/>
      <c r="AC779" s="17"/>
      <c r="AD779" s="17"/>
      <c r="AE779" s="17"/>
    </row>
    <row r="780">
      <c r="A780" s="154"/>
      <c r="B780" s="168"/>
      <c r="C780" s="324"/>
      <c r="D780" s="154"/>
      <c r="E780" s="168"/>
      <c r="F780" s="324"/>
      <c r="G780" s="154"/>
      <c r="H780" s="168"/>
      <c r="I780" s="324"/>
      <c r="J780" s="154"/>
      <c r="K780" s="168"/>
      <c r="L780" s="324"/>
      <c r="M780" s="330"/>
      <c r="N780" s="331"/>
      <c r="O780" s="332"/>
      <c r="P780" s="330"/>
      <c r="Q780" s="331"/>
      <c r="R780" s="332"/>
      <c r="S780" s="330"/>
      <c r="T780" s="331"/>
      <c r="U780" s="332"/>
      <c r="V780" s="154"/>
      <c r="W780" s="331"/>
      <c r="X780" s="324"/>
      <c r="Y780" s="205"/>
      <c r="Z780" s="205"/>
      <c r="AA780" s="205"/>
      <c r="AB780" s="17"/>
      <c r="AC780" s="17"/>
      <c r="AD780" s="17"/>
      <c r="AE780" s="17"/>
    </row>
    <row r="781">
      <c r="A781" s="154"/>
      <c r="B781" s="168"/>
      <c r="C781" s="324"/>
      <c r="D781" s="154"/>
      <c r="E781" s="168"/>
      <c r="F781" s="324"/>
      <c r="G781" s="154"/>
      <c r="H781" s="168"/>
      <c r="I781" s="324"/>
      <c r="J781" s="154"/>
      <c r="K781" s="168"/>
      <c r="L781" s="324"/>
      <c r="M781" s="330"/>
      <c r="N781" s="331"/>
      <c r="O781" s="332"/>
      <c r="P781" s="330"/>
      <c r="Q781" s="331"/>
      <c r="R781" s="332"/>
      <c r="S781" s="330"/>
      <c r="T781" s="331"/>
      <c r="U781" s="332"/>
      <c r="V781" s="154"/>
      <c r="W781" s="331"/>
      <c r="X781" s="324"/>
      <c r="Y781" s="205"/>
      <c r="Z781" s="205"/>
      <c r="AA781" s="205"/>
      <c r="AB781" s="17"/>
      <c r="AC781" s="17"/>
      <c r="AD781" s="17"/>
      <c r="AE781" s="17"/>
    </row>
    <row r="782">
      <c r="A782" s="154"/>
      <c r="B782" s="168"/>
      <c r="C782" s="324"/>
      <c r="D782" s="154"/>
      <c r="E782" s="168"/>
      <c r="F782" s="324"/>
      <c r="G782" s="154"/>
      <c r="H782" s="168"/>
      <c r="I782" s="324"/>
      <c r="J782" s="154"/>
      <c r="K782" s="168"/>
      <c r="L782" s="324"/>
      <c r="M782" s="330"/>
      <c r="N782" s="331"/>
      <c r="O782" s="332"/>
      <c r="P782" s="330"/>
      <c r="Q782" s="331"/>
      <c r="R782" s="332"/>
      <c r="S782" s="330"/>
      <c r="T782" s="331"/>
      <c r="U782" s="332"/>
      <c r="V782" s="154"/>
      <c r="W782" s="331"/>
      <c r="X782" s="324"/>
      <c r="Y782" s="205"/>
      <c r="Z782" s="205"/>
      <c r="AA782" s="205"/>
      <c r="AB782" s="17"/>
      <c r="AC782" s="17"/>
      <c r="AD782" s="17"/>
      <c r="AE782" s="17"/>
    </row>
    <row r="783">
      <c r="A783" s="154"/>
      <c r="B783" s="168"/>
      <c r="C783" s="324"/>
      <c r="D783" s="154"/>
      <c r="E783" s="168"/>
      <c r="F783" s="324"/>
      <c r="G783" s="154"/>
      <c r="H783" s="168"/>
      <c r="I783" s="324"/>
      <c r="J783" s="154"/>
      <c r="K783" s="168"/>
      <c r="L783" s="324"/>
      <c r="M783" s="330"/>
      <c r="N783" s="331"/>
      <c r="O783" s="332"/>
      <c r="P783" s="330"/>
      <c r="Q783" s="331"/>
      <c r="R783" s="332"/>
      <c r="S783" s="330"/>
      <c r="T783" s="331"/>
      <c r="U783" s="332"/>
      <c r="V783" s="154"/>
      <c r="W783" s="331"/>
      <c r="X783" s="324"/>
      <c r="Y783" s="205"/>
      <c r="Z783" s="205"/>
      <c r="AA783" s="205"/>
      <c r="AB783" s="17"/>
      <c r="AC783" s="17"/>
      <c r="AD783" s="17"/>
      <c r="AE783" s="17"/>
    </row>
    <row r="784">
      <c r="A784" s="154"/>
      <c r="B784" s="168"/>
      <c r="C784" s="324"/>
      <c r="D784" s="154"/>
      <c r="E784" s="168"/>
      <c r="F784" s="324"/>
      <c r="G784" s="154"/>
      <c r="H784" s="168"/>
      <c r="I784" s="324"/>
      <c r="J784" s="154"/>
      <c r="K784" s="168"/>
      <c r="L784" s="324"/>
      <c r="M784" s="330"/>
      <c r="N784" s="331"/>
      <c r="O784" s="332"/>
      <c r="P784" s="330"/>
      <c r="Q784" s="331"/>
      <c r="R784" s="332"/>
      <c r="S784" s="330"/>
      <c r="T784" s="331"/>
      <c r="U784" s="332"/>
      <c r="V784" s="154"/>
      <c r="W784" s="331"/>
      <c r="X784" s="324"/>
      <c r="Y784" s="205"/>
      <c r="Z784" s="205"/>
      <c r="AA784" s="205"/>
      <c r="AB784" s="17"/>
      <c r="AC784" s="17"/>
      <c r="AD784" s="17"/>
      <c r="AE784" s="17"/>
    </row>
    <row r="785">
      <c r="A785" s="154"/>
      <c r="B785" s="168"/>
      <c r="C785" s="324"/>
      <c r="D785" s="154"/>
      <c r="E785" s="168"/>
      <c r="F785" s="324"/>
      <c r="G785" s="154"/>
      <c r="H785" s="168"/>
      <c r="I785" s="324"/>
      <c r="J785" s="154"/>
      <c r="K785" s="168"/>
      <c r="L785" s="324"/>
      <c r="M785" s="330"/>
      <c r="N785" s="331"/>
      <c r="O785" s="332"/>
      <c r="P785" s="330"/>
      <c r="Q785" s="331"/>
      <c r="R785" s="332"/>
      <c r="S785" s="330"/>
      <c r="T785" s="331"/>
      <c r="U785" s="332"/>
      <c r="V785" s="154"/>
      <c r="W785" s="331"/>
      <c r="X785" s="324"/>
      <c r="Y785" s="205"/>
      <c r="Z785" s="205"/>
      <c r="AA785" s="205"/>
      <c r="AB785" s="17"/>
      <c r="AC785" s="17"/>
      <c r="AD785" s="17"/>
      <c r="AE785" s="17"/>
    </row>
    <row r="786">
      <c r="A786" s="154"/>
      <c r="B786" s="168"/>
      <c r="C786" s="324"/>
      <c r="D786" s="154"/>
      <c r="E786" s="168"/>
      <c r="F786" s="324"/>
      <c r="G786" s="154"/>
      <c r="H786" s="168"/>
      <c r="I786" s="324"/>
      <c r="J786" s="154"/>
      <c r="K786" s="168"/>
      <c r="L786" s="324"/>
      <c r="M786" s="330"/>
      <c r="N786" s="331"/>
      <c r="O786" s="332"/>
      <c r="P786" s="330"/>
      <c r="Q786" s="331"/>
      <c r="R786" s="332"/>
      <c r="S786" s="330"/>
      <c r="T786" s="331"/>
      <c r="U786" s="332"/>
      <c r="V786" s="154"/>
      <c r="W786" s="331"/>
      <c r="X786" s="324"/>
      <c r="Y786" s="205"/>
      <c r="Z786" s="205"/>
      <c r="AA786" s="205"/>
      <c r="AB786" s="17"/>
      <c r="AC786" s="17"/>
      <c r="AD786" s="17"/>
      <c r="AE786" s="17"/>
    </row>
    <row r="787">
      <c r="A787" s="154"/>
      <c r="B787" s="168"/>
      <c r="C787" s="324"/>
      <c r="D787" s="154"/>
      <c r="E787" s="168"/>
      <c r="F787" s="324"/>
      <c r="G787" s="154"/>
      <c r="H787" s="168"/>
      <c r="I787" s="324"/>
      <c r="J787" s="154"/>
      <c r="K787" s="168"/>
      <c r="L787" s="324"/>
      <c r="M787" s="330"/>
      <c r="N787" s="331"/>
      <c r="O787" s="332"/>
      <c r="P787" s="330"/>
      <c r="Q787" s="331"/>
      <c r="R787" s="332"/>
      <c r="S787" s="330"/>
      <c r="T787" s="331"/>
      <c r="U787" s="332"/>
      <c r="V787" s="154"/>
      <c r="W787" s="331"/>
      <c r="X787" s="324"/>
      <c r="Y787" s="205"/>
      <c r="Z787" s="205"/>
      <c r="AA787" s="205"/>
      <c r="AB787" s="17"/>
      <c r="AC787" s="17"/>
      <c r="AD787" s="17"/>
      <c r="AE787" s="17"/>
    </row>
    <row r="788">
      <c r="A788" s="154"/>
      <c r="B788" s="168"/>
      <c r="C788" s="324"/>
      <c r="D788" s="154"/>
      <c r="E788" s="168"/>
      <c r="F788" s="324"/>
      <c r="G788" s="154"/>
      <c r="H788" s="168"/>
      <c r="I788" s="324"/>
      <c r="J788" s="154"/>
      <c r="K788" s="168"/>
      <c r="L788" s="324"/>
      <c r="M788" s="330"/>
      <c r="N788" s="331"/>
      <c r="O788" s="332"/>
      <c r="P788" s="330"/>
      <c r="Q788" s="331"/>
      <c r="R788" s="332"/>
      <c r="S788" s="330"/>
      <c r="T788" s="331"/>
      <c r="U788" s="332"/>
      <c r="V788" s="154"/>
      <c r="W788" s="331"/>
      <c r="X788" s="324"/>
      <c r="Y788" s="205"/>
      <c r="Z788" s="205"/>
      <c r="AA788" s="205"/>
      <c r="AB788" s="17"/>
      <c r="AC788" s="17"/>
      <c r="AD788" s="17"/>
      <c r="AE788" s="17"/>
    </row>
    <row r="789">
      <c r="A789" s="154"/>
      <c r="B789" s="168"/>
      <c r="C789" s="324"/>
      <c r="D789" s="154"/>
      <c r="E789" s="168"/>
      <c r="F789" s="324"/>
      <c r="G789" s="154"/>
      <c r="H789" s="168"/>
      <c r="I789" s="324"/>
      <c r="J789" s="154"/>
      <c r="K789" s="168"/>
      <c r="L789" s="324"/>
      <c r="M789" s="330"/>
      <c r="N789" s="331"/>
      <c r="O789" s="332"/>
      <c r="P789" s="330"/>
      <c r="Q789" s="331"/>
      <c r="R789" s="332"/>
      <c r="S789" s="330"/>
      <c r="T789" s="331"/>
      <c r="U789" s="332"/>
      <c r="V789" s="154"/>
      <c r="W789" s="331"/>
      <c r="X789" s="324"/>
      <c r="Y789" s="205"/>
      <c r="Z789" s="205"/>
      <c r="AA789" s="205"/>
      <c r="AB789" s="17"/>
      <c r="AC789" s="17"/>
      <c r="AD789" s="17"/>
      <c r="AE789" s="17"/>
    </row>
    <row r="790">
      <c r="A790" s="154"/>
      <c r="B790" s="168"/>
      <c r="C790" s="324"/>
      <c r="D790" s="154"/>
      <c r="E790" s="168"/>
      <c r="F790" s="324"/>
      <c r="G790" s="154"/>
      <c r="H790" s="168"/>
      <c r="I790" s="324"/>
      <c r="J790" s="154"/>
      <c r="K790" s="168"/>
      <c r="L790" s="324"/>
      <c r="M790" s="330"/>
      <c r="N790" s="331"/>
      <c r="O790" s="332"/>
      <c r="P790" s="330"/>
      <c r="Q790" s="331"/>
      <c r="R790" s="332"/>
      <c r="S790" s="330"/>
      <c r="T790" s="331"/>
      <c r="U790" s="332"/>
      <c r="V790" s="154"/>
      <c r="W790" s="331"/>
      <c r="X790" s="324"/>
      <c r="Y790" s="205"/>
      <c r="Z790" s="205"/>
      <c r="AA790" s="205"/>
      <c r="AB790" s="17"/>
      <c r="AC790" s="17"/>
      <c r="AD790" s="17"/>
      <c r="AE790" s="17"/>
    </row>
    <row r="791">
      <c r="A791" s="154"/>
      <c r="B791" s="168"/>
      <c r="C791" s="324"/>
      <c r="D791" s="154"/>
      <c r="E791" s="168"/>
      <c r="F791" s="324"/>
      <c r="G791" s="154"/>
      <c r="H791" s="168"/>
      <c r="I791" s="324"/>
      <c r="J791" s="154"/>
      <c r="K791" s="168"/>
      <c r="L791" s="324"/>
      <c r="M791" s="330"/>
      <c r="N791" s="331"/>
      <c r="O791" s="332"/>
      <c r="P791" s="330"/>
      <c r="Q791" s="331"/>
      <c r="R791" s="332"/>
      <c r="S791" s="330"/>
      <c r="T791" s="331"/>
      <c r="U791" s="332"/>
      <c r="V791" s="154"/>
      <c r="W791" s="331"/>
      <c r="X791" s="324"/>
      <c r="Y791" s="205"/>
      <c r="Z791" s="205"/>
      <c r="AA791" s="205"/>
      <c r="AB791" s="17"/>
      <c r="AC791" s="17"/>
      <c r="AD791" s="17"/>
      <c r="AE791" s="17"/>
    </row>
    <row r="792">
      <c r="A792" s="154"/>
      <c r="B792" s="168"/>
      <c r="C792" s="324"/>
      <c r="D792" s="154"/>
      <c r="E792" s="168"/>
      <c r="F792" s="324"/>
      <c r="G792" s="154"/>
      <c r="H792" s="168"/>
      <c r="I792" s="324"/>
      <c r="J792" s="154"/>
      <c r="K792" s="168"/>
      <c r="L792" s="324"/>
      <c r="M792" s="330"/>
      <c r="N792" s="331"/>
      <c r="O792" s="332"/>
      <c r="P792" s="330"/>
      <c r="Q792" s="331"/>
      <c r="R792" s="332"/>
      <c r="S792" s="330"/>
      <c r="T792" s="331"/>
      <c r="U792" s="332"/>
      <c r="V792" s="154"/>
      <c r="W792" s="331"/>
      <c r="X792" s="324"/>
      <c r="Y792" s="205"/>
      <c r="Z792" s="205"/>
      <c r="AA792" s="205"/>
      <c r="AB792" s="17"/>
      <c r="AC792" s="17"/>
      <c r="AD792" s="17"/>
      <c r="AE792" s="17"/>
    </row>
    <row r="793">
      <c r="A793" s="154"/>
      <c r="B793" s="168"/>
      <c r="C793" s="324"/>
      <c r="D793" s="154"/>
      <c r="E793" s="168"/>
      <c r="F793" s="324"/>
      <c r="G793" s="154"/>
      <c r="H793" s="168"/>
      <c r="I793" s="324"/>
      <c r="J793" s="154"/>
      <c r="K793" s="168"/>
      <c r="L793" s="324"/>
      <c r="M793" s="330"/>
      <c r="N793" s="331"/>
      <c r="O793" s="332"/>
      <c r="P793" s="330"/>
      <c r="Q793" s="331"/>
      <c r="R793" s="332"/>
      <c r="S793" s="330"/>
      <c r="T793" s="331"/>
      <c r="U793" s="332"/>
      <c r="V793" s="154"/>
      <c r="W793" s="331"/>
      <c r="X793" s="324"/>
      <c r="Y793" s="205"/>
      <c r="Z793" s="205"/>
      <c r="AA793" s="205"/>
      <c r="AB793" s="17"/>
      <c r="AC793" s="17"/>
      <c r="AD793" s="17"/>
      <c r="AE793" s="17"/>
    </row>
    <row r="794">
      <c r="A794" s="154"/>
      <c r="B794" s="168"/>
      <c r="C794" s="324"/>
      <c r="D794" s="154"/>
      <c r="E794" s="168"/>
      <c r="F794" s="324"/>
      <c r="G794" s="154"/>
      <c r="H794" s="168"/>
      <c r="I794" s="324"/>
      <c r="J794" s="154"/>
      <c r="K794" s="168"/>
      <c r="L794" s="324"/>
      <c r="M794" s="330"/>
      <c r="N794" s="331"/>
      <c r="O794" s="332"/>
      <c r="P794" s="330"/>
      <c r="Q794" s="331"/>
      <c r="R794" s="332"/>
      <c r="S794" s="330"/>
      <c r="T794" s="331"/>
      <c r="U794" s="332"/>
      <c r="V794" s="154"/>
      <c r="W794" s="331"/>
      <c r="X794" s="324"/>
      <c r="Y794" s="205"/>
      <c r="Z794" s="205"/>
      <c r="AA794" s="205"/>
      <c r="AB794" s="17"/>
      <c r="AC794" s="17"/>
      <c r="AD794" s="17"/>
      <c r="AE794" s="17"/>
    </row>
    <row r="795">
      <c r="A795" s="154"/>
      <c r="B795" s="168"/>
      <c r="C795" s="324"/>
      <c r="D795" s="154"/>
      <c r="E795" s="168"/>
      <c r="F795" s="324"/>
      <c r="G795" s="154"/>
      <c r="H795" s="168"/>
      <c r="I795" s="324"/>
      <c r="J795" s="154"/>
      <c r="K795" s="168"/>
      <c r="L795" s="324"/>
      <c r="M795" s="330"/>
      <c r="N795" s="331"/>
      <c r="O795" s="332"/>
      <c r="P795" s="330"/>
      <c r="Q795" s="331"/>
      <c r="R795" s="332"/>
      <c r="S795" s="330"/>
      <c r="T795" s="331"/>
      <c r="U795" s="332"/>
      <c r="V795" s="154"/>
      <c r="W795" s="331"/>
      <c r="X795" s="324"/>
      <c r="Y795" s="205"/>
      <c r="Z795" s="205"/>
      <c r="AA795" s="205"/>
      <c r="AB795" s="17"/>
      <c r="AC795" s="17"/>
      <c r="AD795" s="17"/>
      <c r="AE795" s="17"/>
    </row>
    <row r="796">
      <c r="A796" s="154"/>
      <c r="B796" s="168"/>
      <c r="C796" s="324"/>
      <c r="D796" s="154"/>
      <c r="E796" s="168"/>
      <c r="F796" s="324"/>
      <c r="G796" s="154"/>
      <c r="H796" s="168"/>
      <c r="I796" s="324"/>
      <c r="J796" s="154"/>
      <c r="K796" s="168"/>
      <c r="L796" s="324"/>
      <c r="M796" s="330"/>
      <c r="N796" s="331"/>
      <c r="O796" s="332"/>
      <c r="P796" s="330"/>
      <c r="Q796" s="331"/>
      <c r="R796" s="332"/>
      <c r="S796" s="330"/>
      <c r="T796" s="331"/>
      <c r="U796" s="332"/>
      <c r="V796" s="154"/>
      <c r="W796" s="331"/>
      <c r="X796" s="324"/>
      <c r="Y796" s="205"/>
      <c r="Z796" s="205"/>
      <c r="AA796" s="205"/>
      <c r="AB796" s="17"/>
      <c r="AC796" s="17"/>
      <c r="AD796" s="17"/>
      <c r="AE796" s="17"/>
    </row>
    <row r="797">
      <c r="A797" s="154"/>
      <c r="B797" s="168"/>
      <c r="C797" s="324"/>
      <c r="D797" s="154"/>
      <c r="E797" s="168"/>
      <c r="F797" s="324"/>
      <c r="G797" s="154"/>
      <c r="H797" s="168"/>
      <c r="I797" s="324"/>
      <c r="J797" s="154"/>
      <c r="K797" s="168"/>
      <c r="L797" s="324"/>
      <c r="M797" s="330"/>
      <c r="N797" s="331"/>
      <c r="O797" s="332"/>
      <c r="P797" s="330"/>
      <c r="Q797" s="331"/>
      <c r="R797" s="332"/>
      <c r="S797" s="330"/>
      <c r="T797" s="331"/>
      <c r="U797" s="332"/>
      <c r="V797" s="154"/>
      <c r="W797" s="331"/>
      <c r="X797" s="324"/>
      <c r="Y797" s="205"/>
      <c r="Z797" s="205"/>
      <c r="AA797" s="205"/>
      <c r="AB797" s="17"/>
      <c r="AC797" s="17"/>
      <c r="AD797" s="17"/>
      <c r="AE797" s="17"/>
    </row>
    <row r="798">
      <c r="A798" s="154"/>
      <c r="B798" s="168"/>
      <c r="C798" s="324"/>
      <c r="D798" s="154"/>
      <c r="E798" s="168"/>
      <c r="F798" s="324"/>
      <c r="G798" s="154"/>
      <c r="H798" s="168"/>
      <c r="I798" s="324"/>
      <c r="J798" s="154"/>
      <c r="K798" s="168"/>
      <c r="L798" s="324"/>
      <c r="M798" s="330"/>
      <c r="N798" s="331"/>
      <c r="O798" s="332"/>
      <c r="P798" s="330"/>
      <c r="Q798" s="331"/>
      <c r="R798" s="332"/>
      <c r="S798" s="330"/>
      <c r="T798" s="331"/>
      <c r="U798" s="332"/>
      <c r="V798" s="154"/>
      <c r="W798" s="331"/>
      <c r="X798" s="324"/>
      <c r="Y798" s="205"/>
      <c r="Z798" s="205"/>
      <c r="AA798" s="205"/>
      <c r="AB798" s="17"/>
      <c r="AC798" s="17"/>
      <c r="AD798" s="17"/>
      <c r="AE798" s="17"/>
    </row>
    <row r="799">
      <c r="A799" s="154"/>
      <c r="B799" s="168"/>
      <c r="C799" s="324"/>
      <c r="D799" s="154"/>
      <c r="E799" s="168"/>
      <c r="F799" s="324"/>
      <c r="G799" s="154"/>
      <c r="H799" s="168"/>
      <c r="I799" s="324"/>
      <c r="J799" s="154"/>
      <c r="K799" s="168"/>
      <c r="L799" s="324"/>
      <c r="M799" s="330"/>
      <c r="N799" s="331"/>
      <c r="O799" s="332"/>
      <c r="P799" s="330"/>
      <c r="Q799" s="331"/>
      <c r="R799" s="332"/>
      <c r="S799" s="330"/>
      <c r="T799" s="331"/>
      <c r="U799" s="332"/>
      <c r="V799" s="154"/>
      <c r="W799" s="331"/>
      <c r="X799" s="324"/>
      <c r="Y799" s="205"/>
      <c r="Z799" s="205"/>
      <c r="AA799" s="205"/>
      <c r="AB799" s="17"/>
      <c r="AC799" s="17"/>
      <c r="AD799" s="17"/>
      <c r="AE799" s="17"/>
    </row>
    <row r="800">
      <c r="A800" s="154"/>
      <c r="B800" s="168"/>
      <c r="C800" s="324"/>
      <c r="D800" s="154"/>
      <c r="E800" s="168"/>
      <c r="F800" s="324"/>
      <c r="G800" s="154"/>
      <c r="H800" s="168"/>
      <c r="I800" s="324"/>
      <c r="J800" s="154"/>
      <c r="K800" s="168"/>
      <c r="L800" s="324"/>
      <c r="M800" s="330"/>
      <c r="N800" s="331"/>
      <c r="O800" s="332"/>
      <c r="P800" s="330"/>
      <c r="Q800" s="331"/>
      <c r="R800" s="332"/>
      <c r="S800" s="330"/>
      <c r="T800" s="331"/>
      <c r="U800" s="332"/>
      <c r="V800" s="154"/>
      <c r="W800" s="331"/>
      <c r="X800" s="324"/>
      <c r="Y800" s="205"/>
      <c r="Z800" s="205"/>
      <c r="AA800" s="205"/>
      <c r="AB800" s="17"/>
      <c r="AC800" s="17"/>
      <c r="AD800" s="17"/>
      <c r="AE800" s="17"/>
    </row>
    <row r="801">
      <c r="A801" s="154"/>
      <c r="B801" s="168"/>
      <c r="C801" s="324"/>
      <c r="D801" s="154"/>
      <c r="E801" s="168"/>
      <c r="F801" s="324"/>
      <c r="G801" s="154"/>
      <c r="H801" s="168"/>
      <c r="I801" s="324"/>
      <c r="J801" s="154"/>
      <c r="K801" s="168"/>
      <c r="L801" s="324"/>
      <c r="M801" s="330"/>
      <c r="N801" s="331"/>
      <c r="O801" s="332"/>
      <c r="P801" s="330"/>
      <c r="Q801" s="331"/>
      <c r="R801" s="332"/>
      <c r="S801" s="330"/>
      <c r="T801" s="331"/>
      <c r="U801" s="332"/>
      <c r="V801" s="154"/>
      <c r="W801" s="331"/>
      <c r="X801" s="324"/>
      <c r="Y801" s="205"/>
      <c r="Z801" s="205"/>
      <c r="AA801" s="205"/>
      <c r="AB801" s="17"/>
      <c r="AC801" s="17"/>
      <c r="AD801" s="17"/>
      <c r="AE801" s="17"/>
    </row>
    <row r="802">
      <c r="A802" s="154"/>
      <c r="B802" s="168"/>
      <c r="C802" s="324"/>
      <c r="D802" s="154"/>
      <c r="E802" s="168"/>
      <c r="F802" s="324"/>
      <c r="G802" s="154"/>
      <c r="H802" s="168"/>
      <c r="I802" s="324"/>
      <c r="J802" s="154"/>
      <c r="K802" s="168"/>
      <c r="L802" s="324"/>
      <c r="M802" s="330"/>
      <c r="N802" s="331"/>
      <c r="O802" s="332"/>
      <c r="P802" s="330"/>
      <c r="Q802" s="331"/>
      <c r="R802" s="332"/>
      <c r="S802" s="330"/>
      <c r="T802" s="331"/>
      <c r="U802" s="332"/>
      <c r="V802" s="154"/>
      <c r="W802" s="331"/>
      <c r="X802" s="324"/>
      <c r="Y802" s="205"/>
      <c r="Z802" s="205"/>
      <c r="AA802" s="205"/>
      <c r="AB802" s="17"/>
      <c r="AC802" s="17"/>
      <c r="AD802" s="17"/>
      <c r="AE802" s="17"/>
    </row>
    <row r="803">
      <c r="A803" s="154"/>
      <c r="B803" s="168"/>
      <c r="C803" s="324"/>
      <c r="D803" s="154"/>
      <c r="E803" s="168"/>
      <c r="F803" s="324"/>
      <c r="G803" s="154"/>
      <c r="H803" s="168"/>
      <c r="I803" s="324"/>
      <c r="J803" s="154"/>
      <c r="K803" s="168"/>
      <c r="L803" s="324"/>
      <c r="M803" s="330"/>
      <c r="N803" s="331"/>
      <c r="O803" s="332"/>
      <c r="P803" s="330"/>
      <c r="Q803" s="331"/>
      <c r="R803" s="332"/>
      <c r="S803" s="330"/>
      <c r="T803" s="331"/>
      <c r="U803" s="332"/>
      <c r="V803" s="154"/>
      <c r="W803" s="331"/>
      <c r="X803" s="324"/>
      <c r="Y803" s="205"/>
      <c r="Z803" s="205"/>
      <c r="AA803" s="205"/>
      <c r="AB803" s="17"/>
      <c r="AC803" s="17"/>
      <c r="AD803" s="17"/>
      <c r="AE803" s="17"/>
    </row>
    <row r="804">
      <c r="A804" s="154"/>
      <c r="B804" s="168"/>
      <c r="C804" s="324"/>
      <c r="D804" s="154"/>
      <c r="E804" s="168"/>
      <c r="F804" s="324"/>
      <c r="G804" s="154"/>
      <c r="H804" s="168"/>
      <c r="I804" s="324"/>
      <c r="J804" s="154"/>
      <c r="K804" s="168"/>
      <c r="L804" s="324"/>
      <c r="M804" s="330"/>
      <c r="N804" s="331"/>
      <c r="O804" s="332"/>
      <c r="P804" s="330"/>
      <c r="Q804" s="331"/>
      <c r="R804" s="332"/>
      <c r="S804" s="330"/>
      <c r="T804" s="331"/>
      <c r="U804" s="332"/>
      <c r="V804" s="154"/>
      <c r="W804" s="331"/>
      <c r="X804" s="324"/>
      <c r="Y804" s="205"/>
      <c r="Z804" s="205"/>
      <c r="AA804" s="205"/>
      <c r="AB804" s="17"/>
      <c r="AC804" s="17"/>
      <c r="AD804" s="17"/>
      <c r="AE804" s="17"/>
    </row>
    <row r="805">
      <c r="A805" s="154"/>
      <c r="B805" s="168"/>
      <c r="C805" s="324"/>
      <c r="D805" s="154"/>
      <c r="E805" s="168"/>
      <c r="F805" s="324"/>
      <c r="G805" s="154"/>
      <c r="H805" s="168"/>
      <c r="I805" s="324"/>
      <c r="J805" s="154"/>
      <c r="K805" s="168"/>
      <c r="L805" s="324"/>
      <c r="M805" s="330"/>
      <c r="N805" s="331"/>
      <c r="O805" s="332"/>
      <c r="P805" s="330"/>
      <c r="Q805" s="331"/>
      <c r="R805" s="332"/>
      <c r="S805" s="330"/>
      <c r="T805" s="331"/>
      <c r="U805" s="332"/>
      <c r="V805" s="154"/>
      <c r="W805" s="331"/>
      <c r="X805" s="324"/>
      <c r="Y805" s="205"/>
      <c r="Z805" s="205"/>
      <c r="AA805" s="205"/>
      <c r="AB805" s="17"/>
      <c r="AC805" s="17"/>
      <c r="AD805" s="17"/>
      <c r="AE805" s="17"/>
    </row>
    <row r="806">
      <c r="A806" s="154"/>
      <c r="B806" s="168"/>
      <c r="C806" s="324"/>
      <c r="D806" s="154"/>
      <c r="E806" s="168"/>
      <c r="F806" s="324"/>
      <c r="G806" s="154"/>
      <c r="H806" s="168"/>
      <c r="I806" s="324"/>
      <c r="J806" s="154"/>
      <c r="K806" s="168"/>
      <c r="L806" s="324"/>
      <c r="M806" s="330"/>
      <c r="N806" s="331"/>
      <c r="O806" s="332"/>
      <c r="P806" s="330"/>
      <c r="Q806" s="331"/>
      <c r="R806" s="332"/>
      <c r="S806" s="330"/>
      <c r="T806" s="331"/>
      <c r="U806" s="332"/>
      <c r="V806" s="154"/>
      <c r="W806" s="331"/>
      <c r="X806" s="324"/>
      <c r="Y806" s="205"/>
      <c r="Z806" s="205"/>
      <c r="AA806" s="205"/>
      <c r="AB806" s="17"/>
      <c r="AC806" s="17"/>
      <c r="AD806" s="17"/>
      <c r="AE806" s="17"/>
    </row>
    <row r="807">
      <c r="A807" s="154"/>
      <c r="B807" s="168"/>
      <c r="C807" s="324"/>
      <c r="D807" s="154"/>
      <c r="E807" s="168"/>
      <c r="F807" s="324"/>
      <c r="G807" s="154"/>
      <c r="H807" s="168"/>
      <c r="I807" s="324"/>
      <c r="J807" s="154"/>
      <c r="K807" s="168"/>
      <c r="L807" s="324"/>
      <c r="M807" s="330"/>
      <c r="N807" s="331"/>
      <c r="O807" s="332"/>
      <c r="P807" s="330"/>
      <c r="Q807" s="331"/>
      <c r="R807" s="332"/>
      <c r="S807" s="330"/>
      <c r="T807" s="331"/>
      <c r="U807" s="332"/>
      <c r="V807" s="154"/>
      <c r="W807" s="331"/>
      <c r="X807" s="324"/>
      <c r="Y807" s="205"/>
      <c r="Z807" s="205"/>
      <c r="AA807" s="205"/>
      <c r="AB807" s="17"/>
      <c r="AC807" s="17"/>
      <c r="AD807" s="17"/>
      <c r="AE807" s="17"/>
    </row>
    <row r="808">
      <c r="A808" s="154"/>
      <c r="B808" s="168"/>
      <c r="C808" s="324"/>
      <c r="D808" s="154"/>
      <c r="E808" s="168"/>
      <c r="F808" s="324"/>
      <c r="G808" s="154"/>
      <c r="H808" s="168"/>
      <c r="I808" s="324"/>
      <c r="J808" s="154"/>
      <c r="K808" s="168"/>
      <c r="L808" s="324"/>
      <c r="M808" s="330"/>
      <c r="N808" s="331"/>
      <c r="O808" s="332"/>
      <c r="P808" s="330"/>
      <c r="Q808" s="331"/>
      <c r="R808" s="332"/>
      <c r="S808" s="330"/>
      <c r="T808" s="331"/>
      <c r="U808" s="332"/>
      <c r="V808" s="154"/>
      <c r="W808" s="331"/>
      <c r="X808" s="324"/>
      <c r="Y808" s="205"/>
      <c r="Z808" s="205"/>
      <c r="AA808" s="205"/>
      <c r="AB808" s="17"/>
      <c r="AC808" s="17"/>
      <c r="AD808" s="17"/>
      <c r="AE808" s="17"/>
    </row>
    <row r="809">
      <c r="A809" s="154"/>
      <c r="B809" s="168"/>
      <c r="C809" s="324"/>
      <c r="D809" s="154"/>
      <c r="E809" s="168"/>
      <c r="F809" s="324"/>
      <c r="G809" s="154"/>
      <c r="H809" s="168"/>
      <c r="I809" s="324"/>
      <c r="J809" s="154"/>
      <c r="K809" s="168"/>
      <c r="L809" s="324"/>
      <c r="M809" s="330"/>
      <c r="N809" s="331"/>
      <c r="O809" s="332"/>
      <c r="P809" s="330"/>
      <c r="Q809" s="331"/>
      <c r="R809" s="332"/>
      <c r="S809" s="330"/>
      <c r="T809" s="331"/>
      <c r="U809" s="332"/>
      <c r="V809" s="154"/>
      <c r="W809" s="331"/>
      <c r="X809" s="324"/>
      <c r="Y809" s="205"/>
      <c r="Z809" s="205"/>
      <c r="AA809" s="205"/>
      <c r="AB809" s="17"/>
      <c r="AC809" s="17"/>
      <c r="AD809" s="17"/>
      <c r="AE809" s="17"/>
    </row>
    <row r="810">
      <c r="A810" s="154"/>
      <c r="B810" s="168"/>
      <c r="C810" s="324"/>
      <c r="D810" s="154"/>
      <c r="E810" s="168"/>
      <c r="F810" s="324"/>
      <c r="G810" s="154"/>
      <c r="H810" s="168"/>
      <c r="I810" s="324"/>
      <c r="J810" s="154"/>
      <c r="K810" s="168"/>
      <c r="L810" s="324"/>
      <c r="M810" s="330"/>
      <c r="N810" s="331"/>
      <c r="O810" s="332"/>
      <c r="P810" s="330"/>
      <c r="Q810" s="331"/>
      <c r="R810" s="332"/>
      <c r="S810" s="330"/>
      <c r="T810" s="331"/>
      <c r="U810" s="332"/>
      <c r="V810" s="154"/>
      <c r="W810" s="331"/>
      <c r="X810" s="324"/>
      <c r="Y810" s="205"/>
      <c r="Z810" s="205"/>
      <c r="AA810" s="205"/>
      <c r="AB810" s="17"/>
      <c r="AC810" s="17"/>
      <c r="AD810" s="17"/>
      <c r="AE810" s="17"/>
    </row>
    <row r="811">
      <c r="A811" s="154"/>
      <c r="B811" s="168"/>
      <c r="C811" s="324"/>
      <c r="D811" s="154"/>
      <c r="E811" s="168"/>
      <c r="F811" s="324"/>
      <c r="G811" s="154"/>
      <c r="H811" s="168"/>
      <c r="I811" s="324"/>
      <c r="J811" s="154"/>
      <c r="K811" s="168"/>
      <c r="L811" s="324"/>
      <c r="M811" s="330"/>
      <c r="N811" s="331"/>
      <c r="O811" s="332"/>
      <c r="P811" s="330"/>
      <c r="Q811" s="331"/>
      <c r="R811" s="332"/>
      <c r="S811" s="330"/>
      <c r="T811" s="331"/>
      <c r="U811" s="332"/>
      <c r="V811" s="154"/>
      <c r="W811" s="331"/>
      <c r="X811" s="324"/>
      <c r="Y811" s="205"/>
      <c r="Z811" s="205"/>
      <c r="AA811" s="205"/>
      <c r="AB811" s="17"/>
      <c r="AC811" s="17"/>
      <c r="AD811" s="17"/>
      <c r="AE811" s="17"/>
    </row>
    <row r="812">
      <c r="A812" s="154"/>
      <c r="B812" s="168"/>
      <c r="C812" s="324"/>
      <c r="D812" s="154"/>
      <c r="E812" s="168"/>
      <c r="F812" s="324"/>
      <c r="G812" s="154"/>
      <c r="H812" s="168"/>
      <c r="I812" s="324"/>
      <c r="J812" s="154"/>
      <c r="K812" s="168"/>
      <c r="L812" s="324"/>
      <c r="M812" s="330"/>
      <c r="N812" s="331"/>
      <c r="O812" s="332"/>
      <c r="P812" s="330"/>
      <c r="Q812" s="331"/>
      <c r="R812" s="332"/>
      <c r="S812" s="330"/>
      <c r="T812" s="331"/>
      <c r="U812" s="332"/>
      <c r="V812" s="154"/>
      <c r="W812" s="331"/>
      <c r="X812" s="324"/>
      <c r="Y812" s="205"/>
      <c r="Z812" s="205"/>
      <c r="AA812" s="205"/>
      <c r="AB812" s="17"/>
      <c r="AC812" s="17"/>
      <c r="AD812" s="17"/>
      <c r="AE812" s="17"/>
    </row>
    <row r="813">
      <c r="A813" s="154"/>
      <c r="B813" s="168"/>
      <c r="C813" s="324"/>
      <c r="D813" s="154"/>
      <c r="E813" s="168"/>
      <c r="F813" s="324"/>
      <c r="G813" s="154"/>
      <c r="H813" s="168"/>
      <c r="I813" s="324"/>
      <c r="J813" s="154"/>
      <c r="K813" s="168"/>
      <c r="L813" s="324"/>
      <c r="M813" s="330"/>
      <c r="N813" s="331"/>
      <c r="O813" s="332"/>
      <c r="P813" s="330"/>
      <c r="Q813" s="331"/>
      <c r="R813" s="332"/>
      <c r="S813" s="330"/>
      <c r="T813" s="331"/>
      <c r="U813" s="332"/>
      <c r="V813" s="154"/>
      <c r="W813" s="331"/>
      <c r="X813" s="324"/>
      <c r="Y813" s="205"/>
      <c r="Z813" s="205"/>
      <c r="AA813" s="205"/>
      <c r="AB813" s="17"/>
      <c r="AC813" s="17"/>
      <c r="AD813" s="17"/>
      <c r="AE813" s="17"/>
    </row>
    <row r="814">
      <c r="A814" s="154"/>
      <c r="B814" s="168"/>
      <c r="C814" s="324"/>
      <c r="D814" s="154"/>
      <c r="E814" s="168"/>
      <c r="F814" s="324"/>
      <c r="G814" s="154"/>
      <c r="H814" s="168"/>
      <c r="I814" s="324"/>
      <c r="J814" s="154"/>
      <c r="K814" s="168"/>
      <c r="L814" s="324"/>
      <c r="M814" s="330"/>
      <c r="N814" s="331"/>
      <c r="O814" s="332"/>
      <c r="P814" s="330"/>
      <c r="Q814" s="331"/>
      <c r="R814" s="332"/>
      <c r="S814" s="330"/>
      <c r="T814" s="331"/>
      <c r="U814" s="332"/>
      <c r="V814" s="154"/>
      <c r="W814" s="331"/>
      <c r="X814" s="324"/>
      <c r="Y814" s="205"/>
      <c r="Z814" s="205"/>
      <c r="AA814" s="205"/>
      <c r="AB814" s="17"/>
      <c r="AC814" s="17"/>
      <c r="AD814" s="17"/>
      <c r="AE814" s="17"/>
    </row>
    <row r="815">
      <c r="A815" s="154"/>
      <c r="B815" s="168"/>
      <c r="C815" s="324"/>
      <c r="D815" s="154"/>
      <c r="E815" s="168"/>
      <c r="F815" s="324"/>
      <c r="G815" s="154"/>
      <c r="H815" s="168"/>
      <c r="I815" s="324"/>
      <c r="J815" s="154"/>
      <c r="K815" s="168"/>
      <c r="L815" s="324"/>
      <c r="M815" s="330"/>
      <c r="N815" s="331"/>
      <c r="O815" s="332"/>
      <c r="P815" s="330"/>
      <c r="Q815" s="331"/>
      <c r="R815" s="332"/>
      <c r="S815" s="330"/>
      <c r="T815" s="331"/>
      <c r="U815" s="332"/>
      <c r="V815" s="154"/>
      <c r="W815" s="331"/>
      <c r="X815" s="324"/>
      <c r="Y815" s="205"/>
      <c r="Z815" s="205"/>
      <c r="AA815" s="205"/>
      <c r="AB815" s="17"/>
      <c r="AC815" s="17"/>
      <c r="AD815" s="17"/>
      <c r="AE815" s="17"/>
    </row>
    <row r="816">
      <c r="A816" s="154"/>
      <c r="B816" s="168"/>
      <c r="C816" s="324"/>
      <c r="D816" s="154"/>
      <c r="E816" s="168"/>
      <c r="F816" s="324"/>
      <c r="G816" s="154"/>
      <c r="H816" s="168"/>
      <c r="I816" s="324"/>
      <c r="J816" s="154"/>
      <c r="K816" s="168"/>
      <c r="L816" s="324"/>
      <c r="M816" s="330"/>
      <c r="N816" s="331"/>
      <c r="O816" s="332"/>
      <c r="P816" s="330"/>
      <c r="Q816" s="331"/>
      <c r="R816" s="332"/>
      <c r="S816" s="330"/>
      <c r="T816" s="331"/>
      <c r="U816" s="332"/>
      <c r="V816" s="154"/>
      <c r="W816" s="331"/>
      <c r="X816" s="324"/>
      <c r="Y816" s="205"/>
      <c r="Z816" s="205"/>
      <c r="AA816" s="205"/>
      <c r="AB816" s="17"/>
      <c r="AC816" s="17"/>
      <c r="AD816" s="17"/>
      <c r="AE816" s="17"/>
    </row>
    <row r="817">
      <c r="A817" s="154"/>
      <c r="B817" s="168"/>
      <c r="C817" s="324"/>
      <c r="D817" s="154"/>
      <c r="E817" s="168"/>
      <c r="F817" s="324"/>
      <c r="G817" s="154"/>
      <c r="H817" s="168"/>
      <c r="I817" s="324"/>
      <c r="J817" s="154"/>
      <c r="K817" s="168"/>
      <c r="L817" s="324"/>
      <c r="M817" s="330"/>
      <c r="N817" s="331"/>
      <c r="O817" s="332"/>
      <c r="P817" s="330"/>
      <c r="Q817" s="331"/>
      <c r="R817" s="332"/>
      <c r="S817" s="330"/>
      <c r="T817" s="331"/>
      <c r="U817" s="332"/>
      <c r="V817" s="154"/>
      <c r="W817" s="331"/>
      <c r="X817" s="324"/>
      <c r="Y817" s="205"/>
      <c r="Z817" s="205"/>
      <c r="AA817" s="205"/>
      <c r="AB817" s="17"/>
      <c r="AC817" s="17"/>
      <c r="AD817" s="17"/>
      <c r="AE817" s="17"/>
    </row>
    <row r="818">
      <c r="A818" s="154"/>
      <c r="B818" s="168"/>
      <c r="C818" s="324"/>
      <c r="D818" s="154"/>
      <c r="E818" s="168"/>
      <c r="F818" s="324"/>
      <c r="G818" s="154"/>
      <c r="H818" s="168"/>
      <c r="I818" s="324"/>
      <c r="J818" s="154"/>
      <c r="K818" s="168"/>
      <c r="L818" s="324"/>
      <c r="M818" s="330"/>
      <c r="N818" s="331"/>
      <c r="O818" s="332"/>
      <c r="P818" s="330"/>
      <c r="Q818" s="331"/>
      <c r="R818" s="332"/>
      <c r="S818" s="330"/>
      <c r="T818" s="331"/>
      <c r="U818" s="332"/>
      <c r="V818" s="154"/>
      <c r="W818" s="331"/>
      <c r="X818" s="324"/>
      <c r="Y818" s="205"/>
      <c r="Z818" s="205"/>
      <c r="AA818" s="205"/>
      <c r="AB818" s="17"/>
      <c r="AC818" s="17"/>
      <c r="AD818" s="17"/>
      <c r="AE818" s="17"/>
    </row>
    <row r="819">
      <c r="A819" s="154"/>
      <c r="B819" s="168"/>
      <c r="C819" s="324"/>
      <c r="D819" s="154"/>
      <c r="E819" s="168"/>
      <c r="F819" s="324"/>
      <c r="G819" s="154"/>
      <c r="H819" s="168"/>
      <c r="I819" s="324"/>
      <c r="J819" s="154"/>
      <c r="K819" s="168"/>
      <c r="L819" s="324"/>
      <c r="M819" s="330"/>
      <c r="N819" s="331"/>
      <c r="O819" s="332"/>
      <c r="P819" s="330"/>
      <c r="Q819" s="331"/>
      <c r="R819" s="332"/>
      <c r="S819" s="330"/>
      <c r="T819" s="331"/>
      <c r="U819" s="332"/>
      <c r="V819" s="154"/>
      <c r="W819" s="331"/>
      <c r="X819" s="324"/>
      <c r="Y819" s="205"/>
      <c r="Z819" s="205"/>
      <c r="AA819" s="205"/>
      <c r="AB819" s="17"/>
      <c r="AC819" s="17"/>
      <c r="AD819" s="17"/>
      <c r="AE819" s="17"/>
    </row>
    <row r="820">
      <c r="A820" s="154"/>
      <c r="B820" s="168"/>
      <c r="C820" s="324"/>
      <c r="D820" s="154"/>
      <c r="E820" s="168"/>
      <c r="F820" s="324"/>
      <c r="G820" s="154"/>
      <c r="H820" s="168"/>
      <c r="I820" s="324"/>
      <c r="J820" s="154"/>
      <c r="K820" s="168"/>
      <c r="L820" s="324"/>
      <c r="M820" s="330"/>
      <c r="N820" s="331"/>
      <c r="O820" s="332"/>
      <c r="P820" s="330"/>
      <c r="Q820" s="331"/>
      <c r="R820" s="332"/>
      <c r="S820" s="330"/>
      <c r="T820" s="331"/>
      <c r="U820" s="332"/>
      <c r="V820" s="154"/>
      <c r="W820" s="331"/>
      <c r="X820" s="324"/>
      <c r="Y820" s="205"/>
      <c r="Z820" s="205"/>
      <c r="AA820" s="205"/>
      <c r="AB820" s="17"/>
      <c r="AC820" s="17"/>
      <c r="AD820" s="17"/>
      <c r="AE820" s="17"/>
    </row>
    <row r="821">
      <c r="A821" s="154"/>
      <c r="B821" s="168"/>
      <c r="C821" s="324"/>
      <c r="D821" s="154"/>
      <c r="E821" s="168"/>
      <c r="F821" s="324"/>
      <c r="G821" s="154"/>
      <c r="H821" s="168"/>
      <c r="I821" s="324"/>
      <c r="J821" s="154"/>
      <c r="K821" s="168"/>
      <c r="L821" s="324"/>
      <c r="M821" s="330"/>
      <c r="N821" s="331"/>
      <c r="O821" s="332"/>
      <c r="P821" s="330"/>
      <c r="Q821" s="331"/>
      <c r="R821" s="332"/>
      <c r="S821" s="330"/>
      <c r="T821" s="331"/>
      <c r="U821" s="332"/>
      <c r="V821" s="154"/>
      <c r="W821" s="331"/>
      <c r="X821" s="324"/>
      <c r="Y821" s="205"/>
      <c r="Z821" s="205"/>
      <c r="AA821" s="205"/>
      <c r="AB821" s="17"/>
      <c r="AC821" s="17"/>
      <c r="AD821" s="17"/>
      <c r="AE821" s="17"/>
    </row>
    <row r="822">
      <c r="A822" s="154"/>
      <c r="B822" s="168"/>
      <c r="C822" s="324"/>
      <c r="D822" s="154"/>
      <c r="E822" s="168"/>
      <c r="F822" s="324"/>
      <c r="G822" s="154"/>
      <c r="H822" s="168"/>
      <c r="I822" s="324"/>
      <c r="J822" s="154"/>
      <c r="K822" s="168"/>
      <c r="L822" s="324"/>
      <c r="M822" s="330"/>
      <c r="N822" s="331"/>
      <c r="O822" s="332"/>
      <c r="P822" s="330"/>
      <c r="Q822" s="331"/>
      <c r="R822" s="332"/>
      <c r="S822" s="330"/>
      <c r="T822" s="331"/>
      <c r="U822" s="332"/>
      <c r="V822" s="154"/>
      <c r="W822" s="331"/>
      <c r="X822" s="324"/>
      <c r="Y822" s="205"/>
      <c r="Z822" s="205"/>
      <c r="AA822" s="205"/>
      <c r="AB822" s="17"/>
      <c r="AC822" s="17"/>
      <c r="AD822" s="17"/>
      <c r="AE822" s="17"/>
    </row>
    <row r="823">
      <c r="A823" s="154"/>
      <c r="B823" s="168"/>
      <c r="C823" s="324"/>
      <c r="D823" s="154"/>
      <c r="E823" s="168"/>
      <c r="F823" s="324"/>
      <c r="G823" s="154"/>
      <c r="H823" s="168"/>
      <c r="I823" s="324"/>
      <c r="J823" s="154"/>
      <c r="K823" s="168"/>
      <c r="L823" s="324"/>
      <c r="M823" s="330"/>
      <c r="N823" s="331"/>
      <c r="O823" s="332"/>
      <c r="P823" s="330"/>
      <c r="Q823" s="331"/>
      <c r="R823" s="332"/>
      <c r="S823" s="330"/>
      <c r="T823" s="331"/>
      <c r="U823" s="332"/>
      <c r="V823" s="154"/>
      <c r="W823" s="331"/>
      <c r="X823" s="324"/>
      <c r="Y823" s="205"/>
      <c r="Z823" s="205"/>
      <c r="AA823" s="205"/>
      <c r="AB823" s="17"/>
      <c r="AC823" s="17"/>
      <c r="AD823" s="17"/>
      <c r="AE823" s="17"/>
    </row>
    <row r="824">
      <c r="A824" s="154"/>
      <c r="B824" s="168"/>
      <c r="C824" s="324"/>
      <c r="D824" s="154"/>
      <c r="E824" s="168"/>
      <c r="F824" s="324"/>
      <c r="G824" s="154"/>
      <c r="H824" s="168"/>
      <c r="I824" s="324"/>
      <c r="J824" s="154"/>
      <c r="K824" s="168"/>
      <c r="L824" s="324"/>
      <c r="M824" s="330"/>
      <c r="N824" s="331"/>
      <c r="O824" s="332"/>
      <c r="P824" s="330"/>
      <c r="Q824" s="331"/>
      <c r="R824" s="332"/>
      <c r="S824" s="330"/>
      <c r="T824" s="331"/>
      <c r="U824" s="332"/>
      <c r="V824" s="154"/>
      <c r="W824" s="331"/>
      <c r="X824" s="324"/>
      <c r="Y824" s="205"/>
      <c r="Z824" s="205"/>
      <c r="AA824" s="205"/>
      <c r="AB824" s="17"/>
      <c r="AC824" s="17"/>
      <c r="AD824" s="17"/>
      <c r="AE824" s="17"/>
    </row>
    <row r="825">
      <c r="A825" s="154"/>
      <c r="B825" s="168"/>
      <c r="C825" s="324"/>
      <c r="D825" s="154"/>
      <c r="E825" s="168"/>
      <c r="F825" s="324"/>
      <c r="G825" s="154"/>
      <c r="H825" s="168"/>
      <c r="I825" s="324"/>
      <c r="J825" s="154"/>
      <c r="K825" s="168"/>
      <c r="L825" s="324"/>
      <c r="M825" s="330"/>
      <c r="N825" s="331"/>
      <c r="O825" s="332"/>
      <c r="P825" s="330"/>
      <c r="Q825" s="331"/>
      <c r="R825" s="332"/>
      <c r="S825" s="330"/>
      <c r="T825" s="331"/>
      <c r="U825" s="332"/>
      <c r="V825" s="154"/>
      <c r="W825" s="331"/>
      <c r="X825" s="324"/>
      <c r="Y825" s="205"/>
      <c r="Z825" s="205"/>
      <c r="AA825" s="205"/>
      <c r="AB825" s="17"/>
      <c r="AC825" s="17"/>
      <c r="AD825" s="17"/>
      <c r="AE825" s="17"/>
    </row>
    <row r="826">
      <c r="A826" s="154"/>
      <c r="B826" s="168"/>
      <c r="C826" s="324"/>
      <c r="D826" s="154"/>
      <c r="E826" s="168"/>
      <c r="F826" s="324"/>
      <c r="G826" s="154"/>
      <c r="H826" s="168"/>
      <c r="I826" s="324"/>
      <c r="J826" s="154"/>
      <c r="K826" s="168"/>
      <c r="L826" s="324"/>
      <c r="M826" s="330"/>
      <c r="N826" s="331"/>
      <c r="O826" s="332"/>
      <c r="P826" s="330"/>
      <c r="Q826" s="331"/>
      <c r="R826" s="332"/>
      <c r="S826" s="330"/>
      <c r="T826" s="331"/>
      <c r="U826" s="332"/>
      <c r="V826" s="154"/>
      <c r="W826" s="331"/>
      <c r="X826" s="324"/>
      <c r="Y826" s="205"/>
      <c r="Z826" s="205"/>
      <c r="AA826" s="205"/>
      <c r="AB826" s="17"/>
      <c r="AC826" s="17"/>
      <c r="AD826" s="17"/>
      <c r="AE826" s="17"/>
    </row>
    <row r="827">
      <c r="A827" s="154"/>
      <c r="B827" s="168"/>
      <c r="C827" s="324"/>
      <c r="D827" s="154"/>
      <c r="E827" s="168"/>
      <c r="F827" s="324"/>
      <c r="G827" s="154"/>
      <c r="H827" s="168"/>
      <c r="I827" s="324"/>
      <c r="J827" s="154"/>
      <c r="K827" s="168"/>
      <c r="L827" s="324"/>
      <c r="M827" s="330"/>
      <c r="N827" s="331"/>
      <c r="O827" s="332"/>
      <c r="P827" s="330"/>
      <c r="Q827" s="331"/>
      <c r="R827" s="332"/>
      <c r="S827" s="330"/>
      <c r="T827" s="331"/>
      <c r="U827" s="332"/>
      <c r="V827" s="154"/>
      <c r="W827" s="331"/>
      <c r="X827" s="324"/>
      <c r="Y827" s="205"/>
      <c r="Z827" s="205"/>
      <c r="AA827" s="205"/>
      <c r="AB827" s="17"/>
      <c r="AC827" s="17"/>
      <c r="AD827" s="17"/>
      <c r="AE827" s="17"/>
    </row>
    <row r="828">
      <c r="A828" s="154"/>
      <c r="B828" s="168"/>
      <c r="C828" s="324"/>
      <c r="D828" s="154"/>
      <c r="E828" s="168"/>
      <c r="F828" s="324"/>
      <c r="G828" s="154"/>
      <c r="H828" s="168"/>
      <c r="I828" s="324"/>
      <c r="J828" s="154"/>
      <c r="K828" s="168"/>
      <c r="L828" s="324"/>
      <c r="M828" s="330"/>
      <c r="N828" s="331"/>
      <c r="O828" s="332"/>
      <c r="P828" s="330"/>
      <c r="Q828" s="331"/>
      <c r="R828" s="332"/>
      <c r="S828" s="330"/>
      <c r="T828" s="331"/>
      <c r="U828" s="332"/>
      <c r="V828" s="154"/>
      <c r="W828" s="331"/>
      <c r="X828" s="324"/>
      <c r="Y828" s="205"/>
      <c r="Z828" s="205"/>
      <c r="AA828" s="205"/>
      <c r="AB828" s="17"/>
      <c r="AC828" s="17"/>
      <c r="AD828" s="17"/>
      <c r="AE828" s="17"/>
    </row>
    <row r="829">
      <c r="A829" s="154"/>
      <c r="B829" s="168"/>
      <c r="C829" s="324"/>
      <c r="D829" s="154"/>
      <c r="E829" s="168"/>
      <c r="F829" s="324"/>
      <c r="G829" s="154"/>
      <c r="H829" s="168"/>
      <c r="I829" s="324"/>
      <c r="J829" s="154"/>
      <c r="K829" s="168"/>
      <c r="L829" s="324"/>
      <c r="M829" s="330"/>
      <c r="N829" s="331"/>
      <c r="O829" s="332"/>
      <c r="P829" s="330"/>
      <c r="Q829" s="331"/>
      <c r="R829" s="332"/>
      <c r="S829" s="330"/>
      <c r="T829" s="331"/>
      <c r="U829" s="332"/>
      <c r="V829" s="154"/>
      <c r="W829" s="331"/>
      <c r="X829" s="324"/>
      <c r="Y829" s="205"/>
      <c r="Z829" s="205"/>
      <c r="AA829" s="205"/>
      <c r="AB829" s="17"/>
      <c r="AC829" s="17"/>
      <c r="AD829" s="17"/>
      <c r="AE829" s="17"/>
    </row>
    <row r="830">
      <c r="A830" s="154"/>
      <c r="B830" s="168"/>
      <c r="C830" s="324"/>
      <c r="D830" s="154"/>
      <c r="E830" s="168"/>
      <c r="F830" s="324"/>
      <c r="G830" s="154"/>
      <c r="H830" s="168"/>
      <c r="I830" s="324"/>
      <c r="J830" s="154"/>
      <c r="K830" s="168"/>
      <c r="L830" s="324"/>
      <c r="M830" s="330"/>
      <c r="N830" s="331"/>
      <c r="O830" s="332"/>
      <c r="P830" s="330"/>
      <c r="Q830" s="331"/>
      <c r="R830" s="332"/>
      <c r="S830" s="330"/>
      <c r="T830" s="331"/>
      <c r="U830" s="332"/>
      <c r="V830" s="154"/>
      <c r="W830" s="331"/>
      <c r="X830" s="324"/>
      <c r="Y830" s="205"/>
      <c r="Z830" s="205"/>
      <c r="AA830" s="205"/>
      <c r="AB830" s="17"/>
      <c r="AC830" s="17"/>
      <c r="AD830" s="17"/>
      <c r="AE830" s="17"/>
    </row>
    <row r="831">
      <c r="A831" s="154"/>
      <c r="B831" s="168"/>
      <c r="C831" s="324"/>
      <c r="D831" s="154"/>
      <c r="E831" s="168"/>
      <c r="F831" s="324"/>
      <c r="G831" s="154"/>
      <c r="H831" s="168"/>
      <c r="I831" s="324"/>
      <c r="J831" s="154"/>
      <c r="K831" s="168"/>
      <c r="L831" s="324"/>
      <c r="M831" s="330"/>
      <c r="N831" s="331"/>
      <c r="O831" s="332"/>
      <c r="P831" s="330"/>
      <c r="Q831" s="331"/>
      <c r="R831" s="332"/>
      <c r="S831" s="330"/>
      <c r="T831" s="331"/>
      <c r="U831" s="332"/>
      <c r="V831" s="154"/>
      <c r="W831" s="331"/>
      <c r="X831" s="324"/>
      <c r="Y831" s="205"/>
      <c r="Z831" s="205"/>
      <c r="AA831" s="205"/>
      <c r="AB831" s="17"/>
      <c r="AC831" s="17"/>
      <c r="AD831" s="17"/>
      <c r="AE831" s="17"/>
    </row>
    <row r="832">
      <c r="A832" s="154"/>
      <c r="B832" s="168"/>
      <c r="C832" s="324"/>
      <c r="D832" s="154"/>
      <c r="E832" s="168"/>
      <c r="F832" s="324"/>
      <c r="G832" s="154"/>
      <c r="H832" s="168"/>
      <c r="I832" s="324"/>
      <c r="J832" s="154"/>
      <c r="K832" s="168"/>
      <c r="L832" s="324"/>
      <c r="M832" s="330"/>
      <c r="N832" s="331"/>
      <c r="O832" s="332"/>
      <c r="P832" s="330"/>
      <c r="Q832" s="331"/>
      <c r="R832" s="332"/>
      <c r="S832" s="330"/>
      <c r="T832" s="331"/>
      <c r="U832" s="332"/>
      <c r="V832" s="154"/>
      <c r="W832" s="331"/>
      <c r="X832" s="324"/>
      <c r="Y832" s="205"/>
      <c r="Z832" s="205"/>
      <c r="AA832" s="205"/>
      <c r="AB832" s="17"/>
      <c r="AC832" s="17"/>
      <c r="AD832" s="17"/>
      <c r="AE832" s="17"/>
    </row>
    <row r="833">
      <c r="A833" s="154"/>
      <c r="B833" s="168"/>
      <c r="C833" s="324"/>
      <c r="D833" s="154"/>
      <c r="E833" s="168"/>
      <c r="F833" s="324"/>
      <c r="G833" s="154"/>
      <c r="H833" s="168"/>
      <c r="I833" s="324"/>
      <c r="J833" s="154"/>
      <c r="K833" s="168"/>
      <c r="L833" s="324"/>
      <c r="M833" s="330"/>
      <c r="N833" s="331"/>
      <c r="O833" s="332"/>
      <c r="P833" s="330"/>
      <c r="Q833" s="331"/>
      <c r="R833" s="332"/>
      <c r="S833" s="330"/>
      <c r="T833" s="331"/>
      <c r="U833" s="332"/>
      <c r="V833" s="154"/>
      <c r="W833" s="331"/>
      <c r="X833" s="324"/>
      <c r="Y833" s="205"/>
      <c r="Z833" s="205"/>
      <c r="AA833" s="205"/>
      <c r="AB833" s="17"/>
      <c r="AC833" s="17"/>
      <c r="AD833" s="17"/>
      <c r="AE833" s="17"/>
    </row>
    <row r="834">
      <c r="A834" s="154"/>
      <c r="B834" s="168"/>
      <c r="C834" s="324"/>
      <c r="D834" s="154"/>
      <c r="E834" s="168"/>
      <c r="F834" s="324"/>
      <c r="G834" s="154"/>
      <c r="H834" s="168"/>
      <c r="I834" s="324"/>
      <c r="J834" s="154"/>
      <c r="K834" s="168"/>
      <c r="L834" s="324"/>
      <c r="M834" s="330"/>
      <c r="N834" s="331"/>
      <c r="O834" s="332"/>
      <c r="P834" s="330"/>
      <c r="Q834" s="331"/>
      <c r="R834" s="332"/>
      <c r="S834" s="330"/>
      <c r="T834" s="331"/>
      <c r="U834" s="332"/>
      <c r="V834" s="154"/>
      <c r="W834" s="331"/>
      <c r="X834" s="324"/>
      <c r="Y834" s="205"/>
      <c r="Z834" s="205"/>
      <c r="AA834" s="205"/>
      <c r="AB834" s="17"/>
      <c r="AC834" s="17"/>
      <c r="AD834" s="17"/>
      <c r="AE834" s="17"/>
    </row>
    <row r="835">
      <c r="A835" s="154"/>
      <c r="B835" s="168"/>
      <c r="C835" s="324"/>
      <c r="D835" s="154"/>
      <c r="E835" s="168"/>
      <c r="F835" s="324"/>
      <c r="G835" s="154"/>
      <c r="H835" s="168"/>
      <c r="I835" s="324"/>
      <c r="J835" s="154"/>
      <c r="K835" s="168"/>
      <c r="L835" s="324"/>
      <c r="M835" s="330"/>
      <c r="N835" s="331"/>
      <c r="O835" s="332"/>
      <c r="P835" s="330"/>
      <c r="Q835" s="331"/>
      <c r="R835" s="332"/>
      <c r="S835" s="330"/>
      <c r="T835" s="331"/>
      <c r="U835" s="332"/>
      <c r="V835" s="154"/>
      <c r="W835" s="331"/>
      <c r="X835" s="324"/>
      <c r="Y835" s="205"/>
      <c r="Z835" s="205"/>
      <c r="AA835" s="205"/>
      <c r="AB835" s="17"/>
      <c r="AC835" s="17"/>
      <c r="AD835" s="17"/>
      <c r="AE835" s="17"/>
    </row>
    <row r="836">
      <c r="A836" s="154"/>
      <c r="B836" s="168"/>
      <c r="C836" s="324"/>
      <c r="D836" s="154"/>
      <c r="E836" s="168"/>
      <c r="F836" s="324"/>
      <c r="G836" s="154"/>
      <c r="H836" s="168"/>
      <c r="I836" s="324"/>
      <c r="J836" s="154"/>
      <c r="K836" s="168"/>
      <c r="L836" s="324"/>
      <c r="M836" s="330"/>
      <c r="N836" s="331"/>
      <c r="O836" s="332"/>
      <c r="P836" s="330"/>
      <c r="Q836" s="331"/>
      <c r="R836" s="332"/>
      <c r="S836" s="330"/>
      <c r="T836" s="331"/>
      <c r="U836" s="332"/>
      <c r="V836" s="154"/>
      <c r="W836" s="331"/>
      <c r="X836" s="324"/>
      <c r="Y836" s="205"/>
      <c r="Z836" s="205"/>
      <c r="AA836" s="205"/>
      <c r="AB836" s="17"/>
      <c r="AC836" s="17"/>
      <c r="AD836" s="17"/>
      <c r="AE836" s="17"/>
    </row>
    <row r="837">
      <c r="A837" s="154"/>
      <c r="B837" s="168"/>
      <c r="C837" s="324"/>
      <c r="D837" s="154"/>
      <c r="E837" s="168"/>
      <c r="F837" s="324"/>
      <c r="G837" s="154"/>
      <c r="H837" s="168"/>
      <c r="I837" s="324"/>
      <c r="J837" s="154"/>
      <c r="K837" s="168"/>
      <c r="L837" s="324"/>
      <c r="M837" s="330"/>
      <c r="N837" s="331"/>
      <c r="O837" s="332"/>
      <c r="P837" s="330"/>
      <c r="Q837" s="331"/>
      <c r="R837" s="332"/>
      <c r="S837" s="330"/>
      <c r="T837" s="331"/>
      <c r="U837" s="332"/>
      <c r="V837" s="154"/>
      <c r="W837" s="331"/>
      <c r="X837" s="324"/>
      <c r="Y837" s="205"/>
      <c r="Z837" s="205"/>
      <c r="AA837" s="205"/>
      <c r="AB837" s="17"/>
      <c r="AC837" s="17"/>
      <c r="AD837" s="17"/>
      <c r="AE837" s="17"/>
    </row>
    <row r="838">
      <c r="A838" s="154"/>
      <c r="B838" s="168"/>
      <c r="C838" s="324"/>
      <c r="D838" s="154"/>
      <c r="E838" s="168"/>
      <c r="F838" s="324"/>
      <c r="G838" s="154"/>
      <c r="H838" s="168"/>
      <c r="I838" s="324"/>
      <c r="J838" s="154"/>
      <c r="K838" s="168"/>
      <c r="L838" s="324"/>
      <c r="M838" s="330"/>
      <c r="N838" s="331"/>
      <c r="O838" s="332"/>
      <c r="P838" s="330"/>
      <c r="Q838" s="331"/>
      <c r="R838" s="332"/>
      <c r="S838" s="330"/>
      <c r="T838" s="331"/>
      <c r="U838" s="332"/>
      <c r="V838" s="154"/>
      <c r="W838" s="331"/>
      <c r="X838" s="324"/>
      <c r="Y838" s="205"/>
      <c r="Z838" s="205"/>
      <c r="AA838" s="205"/>
      <c r="AB838" s="17"/>
      <c r="AC838" s="17"/>
      <c r="AD838" s="17"/>
      <c r="AE838" s="17"/>
    </row>
    <row r="839">
      <c r="A839" s="154"/>
      <c r="B839" s="168"/>
      <c r="C839" s="324"/>
      <c r="D839" s="154"/>
      <c r="E839" s="168"/>
      <c r="F839" s="324"/>
      <c r="G839" s="154"/>
      <c r="H839" s="168"/>
      <c r="I839" s="324"/>
      <c r="J839" s="154"/>
      <c r="K839" s="168"/>
      <c r="L839" s="324"/>
      <c r="M839" s="330"/>
      <c r="N839" s="331"/>
      <c r="O839" s="332"/>
      <c r="P839" s="330"/>
      <c r="Q839" s="331"/>
      <c r="R839" s="332"/>
      <c r="S839" s="330"/>
      <c r="T839" s="331"/>
      <c r="U839" s="332"/>
      <c r="V839" s="154"/>
      <c r="W839" s="331"/>
      <c r="X839" s="324"/>
      <c r="Y839" s="205"/>
      <c r="Z839" s="205"/>
      <c r="AA839" s="205"/>
      <c r="AB839" s="17"/>
      <c r="AC839" s="17"/>
      <c r="AD839" s="17"/>
      <c r="AE839" s="17"/>
    </row>
    <row r="840">
      <c r="A840" s="154"/>
      <c r="B840" s="168"/>
      <c r="C840" s="324"/>
      <c r="D840" s="154"/>
      <c r="E840" s="168"/>
      <c r="F840" s="324"/>
      <c r="G840" s="154"/>
      <c r="H840" s="168"/>
      <c r="I840" s="324"/>
      <c r="J840" s="154"/>
      <c r="K840" s="168"/>
      <c r="L840" s="324"/>
      <c r="M840" s="330"/>
      <c r="N840" s="331"/>
      <c r="O840" s="332"/>
      <c r="P840" s="330"/>
      <c r="Q840" s="331"/>
      <c r="R840" s="332"/>
      <c r="S840" s="330"/>
      <c r="T840" s="331"/>
      <c r="U840" s="332"/>
      <c r="V840" s="154"/>
      <c r="W840" s="331"/>
      <c r="X840" s="324"/>
      <c r="Y840" s="205"/>
      <c r="Z840" s="205"/>
      <c r="AA840" s="205"/>
      <c r="AB840" s="17"/>
      <c r="AC840" s="17"/>
      <c r="AD840" s="17"/>
      <c r="AE840" s="17"/>
    </row>
    <row r="841">
      <c r="A841" s="154"/>
      <c r="B841" s="168"/>
      <c r="C841" s="324"/>
      <c r="D841" s="154"/>
      <c r="E841" s="168"/>
      <c r="F841" s="324"/>
      <c r="G841" s="154"/>
      <c r="H841" s="168"/>
      <c r="I841" s="324"/>
      <c r="J841" s="154"/>
      <c r="K841" s="168"/>
      <c r="L841" s="324"/>
      <c r="M841" s="330"/>
      <c r="N841" s="331"/>
      <c r="O841" s="332"/>
      <c r="P841" s="330"/>
      <c r="Q841" s="331"/>
      <c r="R841" s="332"/>
      <c r="S841" s="330"/>
      <c r="T841" s="331"/>
      <c r="U841" s="332"/>
      <c r="V841" s="154"/>
      <c r="W841" s="331"/>
      <c r="X841" s="324"/>
      <c r="Y841" s="205"/>
      <c r="Z841" s="205"/>
      <c r="AA841" s="205"/>
      <c r="AB841" s="17"/>
      <c r="AC841" s="17"/>
      <c r="AD841" s="17"/>
      <c r="AE841" s="17"/>
    </row>
    <row r="842">
      <c r="A842" s="154"/>
      <c r="B842" s="168"/>
      <c r="C842" s="324"/>
      <c r="D842" s="154"/>
      <c r="E842" s="168"/>
      <c r="F842" s="324"/>
      <c r="G842" s="154"/>
      <c r="H842" s="168"/>
      <c r="I842" s="324"/>
      <c r="J842" s="154"/>
      <c r="K842" s="168"/>
      <c r="L842" s="324"/>
      <c r="M842" s="330"/>
      <c r="N842" s="331"/>
      <c r="O842" s="332"/>
      <c r="P842" s="330"/>
      <c r="Q842" s="331"/>
      <c r="R842" s="332"/>
      <c r="S842" s="330"/>
      <c r="T842" s="331"/>
      <c r="U842" s="332"/>
      <c r="V842" s="154"/>
      <c r="W842" s="331"/>
      <c r="X842" s="324"/>
      <c r="Y842" s="205"/>
      <c r="Z842" s="205"/>
      <c r="AA842" s="205"/>
      <c r="AB842" s="17"/>
      <c r="AC842" s="17"/>
      <c r="AD842" s="17"/>
      <c r="AE842" s="17"/>
    </row>
    <row r="843">
      <c r="A843" s="154"/>
      <c r="B843" s="168"/>
      <c r="C843" s="324"/>
      <c r="D843" s="154"/>
      <c r="E843" s="168"/>
      <c r="F843" s="324"/>
      <c r="G843" s="154"/>
      <c r="H843" s="168"/>
      <c r="I843" s="324"/>
      <c r="J843" s="154"/>
      <c r="K843" s="168"/>
      <c r="L843" s="324"/>
      <c r="M843" s="330"/>
      <c r="N843" s="331"/>
      <c r="O843" s="332"/>
      <c r="P843" s="330"/>
      <c r="Q843" s="331"/>
      <c r="R843" s="332"/>
      <c r="S843" s="330"/>
      <c r="T843" s="331"/>
      <c r="U843" s="332"/>
      <c r="V843" s="154"/>
      <c r="W843" s="331"/>
      <c r="X843" s="324"/>
      <c r="Y843" s="205"/>
      <c r="Z843" s="205"/>
      <c r="AA843" s="205"/>
      <c r="AB843" s="17"/>
      <c r="AC843" s="17"/>
      <c r="AD843" s="17"/>
      <c r="AE843" s="17"/>
    </row>
    <row r="844">
      <c r="A844" s="154"/>
      <c r="B844" s="168"/>
      <c r="C844" s="324"/>
      <c r="D844" s="154"/>
      <c r="E844" s="168"/>
      <c r="F844" s="324"/>
      <c r="G844" s="154"/>
      <c r="H844" s="168"/>
      <c r="I844" s="324"/>
      <c r="J844" s="154"/>
      <c r="K844" s="168"/>
      <c r="L844" s="324"/>
      <c r="M844" s="330"/>
      <c r="N844" s="331"/>
      <c r="O844" s="332"/>
      <c r="P844" s="330"/>
      <c r="Q844" s="331"/>
      <c r="R844" s="332"/>
      <c r="S844" s="330"/>
      <c r="T844" s="331"/>
      <c r="U844" s="332"/>
      <c r="V844" s="154"/>
      <c r="W844" s="331"/>
      <c r="X844" s="324"/>
      <c r="Y844" s="205"/>
      <c r="Z844" s="205"/>
      <c r="AA844" s="205"/>
      <c r="AB844" s="17"/>
      <c r="AC844" s="17"/>
      <c r="AD844" s="17"/>
      <c r="AE844" s="17"/>
    </row>
    <row r="845">
      <c r="A845" s="154"/>
      <c r="B845" s="168"/>
      <c r="C845" s="324"/>
      <c r="D845" s="154"/>
      <c r="E845" s="168"/>
      <c r="F845" s="324"/>
      <c r="G845" s="154"/>
      <c r="H845" s="168"/>
      <c r="I845" s="324"/>
      <c r="J845" s="154"/>
      <c r="K845" s="168"/>
      <c r="L845" s="324"/>
      <c r="M845" s="330"/>
      <c r="N845" s="331"/>
      <c r="O845" s="332"/>
      <c r="P845" s="330"/>
      <c r="Q845" s="331"/>
      <c r="R845" s="332"/>
      <c r="S845" s="330"/>
      <c r="T845" s="331"/>
      <c r="U845" s="332"/>
      <c r="V845" s="154"/>
      <c r="W845" s="331"/>
      <c r="X845" s="324"/>
      <c r="Y845" s="205"/>
      <c r="Z845" s="205"/>
      <c r="AA845" s="205"/>
      <c r="AB845" s="17"/>
      <c r="AC845" s="17"/>
      <c r="AD845" s="17"/>
      <c r="AE845" s="17"/>
    </row>
    <row r="846">
      <c r="A846" s="154"/>
      <c r="B846" s="168"/>
      <c r="C846" s="324"/>
      <c r="D846" s="154"/>
      <c r="E846" s="168"/>
      <c r="F846" s="324"/>
      <c r="G846" s="154"/>
      <c r="H846" s="168"/>
      <c r="I846" s="324"/>
      <c r="J846" s="154"/>
      <c r="K846" s="168"/>
      <c r="L846" s="324"/>
      <c r="M846" s="330"/>
      <c r="N846" s="331"/>
      <c r="O846" s="332"/>
      <c r="P846" s="330"/>
      <c r="Q846" s="331"/>
      <c r="R846" s="332"/>
      <c r="S846" s="330"/>
      <c r="T846" s="331"/>
      <c r="U846" s="332"/>
      <c r="V846" s="154"/>
      <c r="W846" s="331"/>
      <c r="X846" s="324"/>
      <c r="Y846" s="205"/>
      <c r="Z846" s="205"/>
      <c r="AA846" s="205"/>
      <c r="AB846" s="17"/>
      <c r="AC846" s="17"/>
      <c r="AD846" s="17"/>
      <c r="AE846" s="17"/>
    </row>
    <row r="847">
      <c r="A847" s="154"/>
      <c r="B847" s="168"/>
      <c r="C847" s="324"/>
      <c r="D847" s="154"/>
      <c r="E847" s="168"/>
      <c r="F847" s="324"/>
      <c r="G847" s="154"/>
      <c r="H847" s="168"/>
      <c r="I847" s="324"/>
      <c r="J847" s="154"/>
      <c r="K847" s="168"/>
      <c r="L847" s="324"/>
      <c r="M847" s="330"/>
      <c r="N847" s="331"/>
      <c r="O847" s="332"/>
      <c r="P847" s="330"/>
      <c r="Q847" s="331"/>
      <c r="R847" s="332"/>
      <c r="S847" s="330"/>
      <c r="T847" s="331"/>
      <c r="U847" s="332"/>
      <c r="V847" s="154"/>
      <c r="W847" s="331"/>
      <c r="X847" s="324"/>
      <c r="Y847" s="205"/>
      <c r="Z847" s="205"/>
      <c r="AA847" s="205"/>
      <c r="AB847" s="17"/>
      <c r="AC847" s="17"/>
      <c r="AD847" s="17"/>
      <c r="AE847" s="17"/>
    </row>
    <row r="848">
      <c r="A848" s="154"/>
      <c r="B848" s="168"/>
      <c r="C848" s="324"/>
      <c r="D848" s="154"/>
      <c r="E848" s="168"/>
      <c r="F848" s="324"/>
      <c r="G848" s="154"/>
      <c r="H848" s="168"/>
      <c r="I848" s="324"/>
      <c r="J848" s="154"/>
      <c r="K848" s="168"/>
      <c r="L848" s="324"/>
      <c r="M848" s="330"/>
      <c r="N848" s="331"/>
      <c r="O848" s="332"/>
      <c r="P848" s="330"/>
      <c r="Q848" s="331"/>
      <c r="R848" s="332"/>
      <c r="S848" s="330"/>
      <c r="T848" s="331"/>
      <c r="U848" s="332"/>
      <c r="V848" s="154"/>
      <c r="W848" s="331"/>
      <c r="X848" s="324"/>
      <c r="Y848" s="205"/>
      <c r="Z848" s="205"/>
      <c r="AA848" s="205"/>
      <c r="AB848" s="17"/>
      <c r="AC848" s="17"/>
      <c r="AD848" s="17"/>
      <c r="AE848" s="17"/>
    </row>
    <row r="849">
      <c r="A849" s="154"/>
      <c r="B849" s="168"/>
      <c r="C849" s="324"/>
      <c r="D849" s="154"/>
      <c r="E849" s="168"/>
      <c r="F849" s="324"/>
      <c r="G849" s="154"/>
      <c r="H849" s="168"/>
      <c r="I849" s="324"/>
      <c r="J849" s="154"/>
      <c r="K849" s="168"/>
      <c r="L849" s="324"/>
      <c r="M849" s="330"/>
      <c r="N849" s="331"/>
      <c r="O849" s="332"/>
      <c r="P849" s="330"/>
      <c r="Q849" s="331"/>
      <c r="R849" s="332"/>
      <c r="S849" s="330"/>
      <c r="T849" s="331"/>
      <c r="U849" s="332"/>
      <c r="V849" s="154"/>
      <c r="W849" s="331"/>
      <c r="X849" s="324"/>
      <c r="Y849" s="205"/>
      <c r="Z849" s="205"/>
      <c r="AA849" s="205"/>
      <c r="AB849" s="17"/>
      <c r="AC849" s="17"/>
      <c r="AD849" s="17"/>
      <c r="AE849" s="17"/>
    </row>
    <row r="850">
      <c r="A850" s="154"/>
      <c r="B850" s="168"/>
      <c r="C850" s="324"/>
      <c r="D850" s="154"/>
      <c r="E850" s="168"/>
      <c r="F850" s="324"/>
      <c r="G850" s="154"/>
      <c r="H850" s="168"/>
      <c r="I850" s="324"/>
      <c r="J850" s="154"/>
      <c r="K850" s="168"/>
      <c r="L850" s="324"/>
      <c r="M850" s="330"/>
      <c r="N850" s="331"/>
      <c r="O850" s="332"/>
      <c r="P850" s="330"/>
      <c r="Q850" s="331"/>
      <c r="R850" s="332"/>
      <c r="S850" s="330"/>
      <c r="T850" s="331"/>
      <c r="U850" s="332"/>
      <c r="V850" s="154"/>
      <c r="W850" s="331"/>
      <c r="X850" s="324"/>
      <c r="Y850" s="205"/>
      <c r="Z850" s="205"/>
      <c r="AA850" s="205"/>
      <c r="AB850" s="17"/>
      <c r="AC850" s="17"/>
      <c r="AD850" s="17"/>
      <c r="AE850" s="17"/>
    </row>
    <row r="851">
      <c r="A851" s="154"/>
      <c r="B851" s="168"/>
      <c r="C851" s="324"/>
      <c r="D851" s="154"/>
      <c r="E851" s="168"/>
      <c r="F851" s="324"/>
      <c r="G851" s="154"/>
      <c r="H851" s="168"/>
      <c r="I851" s="324"/>
      <c r="J851" s="154"/>
      <c r="K851" s="168"/>
      <c r="L851" s="324"/>
      <c r="M851" s="330"/>
      <c r="N851" s="331"/>
      <c r="O851" s="332"/>
      <c r="P851" s="330"/>
      <c r="Q851" s="331"/>
      <c r="R851" s="332"/>
      <c r="S851" s="330"/>
      <c r="T851" s="331"/>
      <c r="U851" s="332"/>
      <c r="V851" s="154"/>
      <c r="W851" s="331"/>
      <c r="X851" s="324"/>
      <c r="Y851" s="205"/>
      <c r="Z851" s="205"/>
      <c r="AA851" s="205"/>
      <c r="AB851" s="17"/>
      <c r="AC851" s="17"/>
      <c r="AD851" s="17"/>
      <c r="AE851" s="17"/>
    </row>
    <row r="852">
      <c r="A852" s="154"/>
      <c r="B852" s="168"/>
      <c r="C852" s="324"/>
      <c r="D852" s="154"/>
      <c r="E852" s="168"/>
      <c r="F852" s="324"/>
      <c r="G852" s="154"/>
      <c r="H852" s="168"/>
      <c r="I852" s="324"/>
      <c r="J852" s="154"/>
      <c r="K852" s="168"/>
      <c r="L852" s="324"/>
      <c r="M852" s="330"/>
      <c r="N852" s="331"/>
      <c r="O852" s="332"/>
      <c r="P852" s="330"/>
      <c r="Q852" s="331"/>
      <c r="R852" s="332"/>
      <c r="S852" s="330"/>
      <c r="T852" s="331"/>
      <c r="U852" s="332"/>
      <c r="V852" s="154"/>
      <c r="W852" s="331"/>
      <c r="X852" s="324"/>
      <c r="Y852" s="205"/>
      <c r="Z852" s="205"/>
      <c r="AA852" s="205"/>
      <c r="AB852" s="17"/>
      <c r="AC852" s="17"/>
      <c r="AD852" s="17"/>
      <c r="AE852" s="17"/>
    </row>
    <row r="853">
      <c r="A853" s="154"/>
      <c r="B853" s="168"/>
      <c r="C853" s="324"/>
      <c r="D853" s="154"/>
      <c r="E853" s="168"/>
      <c r="F853" s="324"/>
      <c r="G853" s="154"/>
      <c r="H853" s="168"/>
      <c r="I853" s="324"/>
      <c r="J853" s="154"/>
      <c r="K853" s="168"/>
      <c r="L853" s="324"/>
      <c r="M853" s="330"/>
      <c r="N853" s="331"/>
      <c r="O853" s="332"/>
      <c r="P853" s="330"/>
      <c r="Q853" s="331"/>
      <c r="R853" s="332"/>
      <c r="S853" s="330"/>
      <c r="T853" s="331"/>
      <c r="U853" s="332"/>
      <c r="V853" s="154"/>
      <c r="W853" s="331"/>
      <c r="X853" s="324"/>
      <c r="Y853" s="205"/>
      <c r="Z853" s="205"/>
      <c r="AA853" s="205"/>
      <c r="AB853" s="17"/>
      <c r="AC853" s="17"/>
      <c r="AD853" s="17"/>
      <c r="AE853" s="17"/>
    </row>
    <row r="854">
      <c r="A854" s="154"/>
      <c r="B854" s="168"/>
      <c r="C854" s="324"/>
      <c r="D854" s="154"/>
      <c r="E854" s="168"/>
      <c r="F854" s="324"/>
      <c r="G854" s="154"/>
      <c r="H854" s="168"/>
      <c r="I854" s="324"/>
      <c r="J854" s="154"/>
      <c r="K854" s="168"/>
      <c r="L854" s="324"/>
      <c r="M854" s="330"/>
      <c r="N854" s="331"/>
      <c r="O854" s="332"/>
      <c r="P854" s="330"/>
      <c r="Q854" s="331"/>
      <c r="R854" s="332"/>
      <c r="S854" s="330"/>
      <c r="T854" s="331"/>
      <c r="U854" s="332"/>
      <c r="V854" s="154"/>
      <c r="W854" s="331"/>
      <c r="X854" s="324"/>
      <c r="Y854" s="205"/>
      <c r="Z854" s="205"/>
      <c r="AA854" s="205"/>
      <c r="AB854" s="17"/>
      <c r="AC854" s="17"/>
      <c r="AD854" s="17"/>
      <c r="AE854" s="17"/>
    </row>
    <row r="855">
      <c r="A855" s="154"/>
      <c r="B855" s="168"/>
      <c r="C855" s="324"/>
      <c r="D855" s="154"/>
      <c r="E855" s="168"/>
      <c r="F855" s="324"/>
      <c r="G855" s="154"/>
      <c r="H855" s="168"/>
      <c r="I855" s="324"/>
      <c r="J855" s="154"/>
      <c r="K855" s="168"/>
      <c r="L855" s="324"/>
      <c r="M855" s="330"/>
      <c r="N855" s="331"/>
      <c r="O855" s="332"/>
      <c r="P855" s="330"/>
      <c r="Q855" s="331"/>
      <c r="R855" s="332"/>
      <c r="S855" s="330"/>
      <c r="T855" s="331"/>
      <c r="U855" s="332"/>
      <c r="V855" s="154"/>
      <c r="W855" s="331"/>
      <c r="X855" s="324"/>
      <c r="Y855" s="205"/>
      <c r="Z855" s="205"/>
      <c r="AA855" s="205"/>
      <c r="AB855" s="17"/>
      <c r="AC855" s="17"/>
      <c r="AD855" s="17"/>
      <c r="AE855" s="17"/>
    </row>
    <row r="856">
      <c r="A856" s="154"/>
      <c r="B856" s="168"/>
      <c r="C856" s="324"/>
      <c r="D856" s="154"/>
      <c r="E856" s="168"/>
      <c r="F856" s="324"/>
      <c r="G856" s="154"/>
      <c r="H856" s="168"/>
      <c r="I856" s="324"/>
      <c r="J856" s="154"/>
      <c r="K856" s="168"/>
      <c r="L856" s="324"/>
      <c r="M856" s="330"/>
      <c r="N856" s="331"/>
      <c r="O856" s="332"/>
      <c r="P856" s="330"/>
      <c r="Q856" s="331"/>
      <c r="R856" s="332"/>
      <c r="S856" s="330"/>
      <c r="T856" s="331"/>
      <c r="U856" s="332"/>
      <c r="V856" s="154"/>
      <c r="W856" s="331"/>
      <c r="X856" s="324"/>
      <c r="Y856" s="205"/>
      <c r="Z856" s="205"/>
      <c r="AA856" s="205"/>
      <c r="AB856" s="17"/>
      <c r="AC856" s="17"/>
      <c r="AD856" s="17"/>
      <c r="AE856" s="17"/>
    </row>
    <row r="857">
      <c r="A857" s="154"/>
      <c r="B857" s="168"/>
      <c r="C857" s="324"/>
      <c r="D857" s="154"/>
      <c r="E857" s="168"/>
      <c r="F857" s="324"/>
      <c r="G857" s="154"/>
      <c r="H857" s="168"/>
      <c r="I857" s="324"/>
      <c r="J857" s="154"/>
      <c r="K857" s="168"/>
      <c r="L857" s="324"/>
      <c r="M857" s="330"/>
      <c r="N857" s="331"/>
      <c r="O857" s="332"/>
      <c r="P857" s="330"/>
      <c r="Q857" s="331"/>
      <c r="R857" s="332"/>
      <c r="S857" s="330"/>
      <c r="T857" s="331"/>
      <c r="U857" s="332"/>
      <c r="V857" s="154"/>
      <c r="W857" s="331"/>
      <c r="X857" s="324"/>
      <c r="Y857" s="205"/>
      <c r="Z857" s="205"/>
      <c r="AA857" s="205"/>
      <c r="AB857" s="17"/>
      <c r="AC857" s="17"/>
      <c r="AD857" s="17"/>
      <c r="AE857" s="17"/>
    </row>
    <row r="858">
      <c r="A858" s="154"/>
      <c r="B858" s="168"/>
      <c r="C858" s="324"/>
      <c r="D858" s="154"/>
      <c r="E858" s="168"/>
      <c r="F858" s="324"/>
      <c r="G858" s="154"/>
      <c r="H858" s="168"/>
      <c r="I858" s="324"/>
      <c r="J858" s="154"/>
      <c r="K858" s="168"/>
      <c r="L858" s="324"/>
      <c r="M858" s="330"/>
      <c r="N858" s="331"/>
      <c r="O858" s="332"/>
      <c r="P858" s="330"/>
      <c r="Q858" s="331"/>
      <c r="R858" s="332"/>
      <c r="S858" s="330"/>
      <c r="T858" s="331"/>
      <c r="U858" s="332"/>
      <c r="V858" s="154"/>
      <c r="W858" s="331"/>
      <c r="X858" s="324"/>
      <c r="Y858" s="205"/>
      <c r="Z858" s="205"/>
      <c r="AA858" s="205"/>
      <c r="AB858" s="17"/>
      <c r="AC858" s="17"/>
      <c r="AD858" s="17"/>
      <c r="AE858" s="17"/>
    </row>
    <row r="859">
      <c r="A859" s="154"/>
      <c r="B859" s="168"/>
      <c r="C859" s="324"/>
      <c r="D859" s="154"/>
      <c r="E859" s="168"/>
      <c r="F859" s="324"/>
      <c r="G859" s="154"/>
      <c r="H859" s="168"/>
      <c r="I859" s="324"/>
      <c r="J859" s="154"/>
      <c r="K859" s="168"/>
      <c r="L859" s="324"/>
      <c r="M859" s="330"/>
      <c r="N859" s="331"/>
      <c r="O859" s="332"/>
      <c r="P859" s="330"/>
      <c r="Q859" s="331"/>
      <c r="R859" s="332"/>
      <c r="S859" s="330"/>
      <c r="T859" s="331"/>
      <c r="U859" s="332"/>
      <c r="V859" s="154"/>
      <c r="W859" s="331"/>
      <c r="X859" s="324"/>
      <c r="Y859" s="205"/>
      <c r="Z859" s="205"/>
      <c r="AA859" s="205"/>
      <c r="AB859" s="17"/>
      <c r="AC859" s="17"/>
      <c r="AD859" s="17"/>
      <c r="AE859" s="17"/>
    </row>
    <row r="860">
      <c r="A860" s="154"/>
      <c r="B860" s="168"/>
      <c r="C860" s="324"/>
      <c r="D860" s="154"/>
      <c r="E860" s="168"/>
      <c r="F860" s="324"/>
      <c r="G860" s="154"/>
      <c r="H860" s="168"/>
      <c r="I860" s="324"/>
      <c r="J860" s="154"/>
      <c r="K860" s="168"/>
      <c r="L860" s="324"/>
      <c r="M860" s="330"/>
      <c r="N860" s="331"/>
      <c r="O860" s="332"/>
      <c r="P860" s="330"/>
      <c r="Q860" s="331"/>
      <c r="R860" s="332"/>
      <c r="S860" s="330"/>
      <c r="T860" s="331"/>
      <c r="U860" s="332"/>
      <c r="V860" s="154"/>
      <c r="W860" s="331"/>
      <c r="X860" s="324"/>
      <c r="Y860" s="205"/>
      <c r="Z860" s="205"/>
      <c r="AA860" s="205"/>
      <c r="AB860" s="17"/>
      <c r="AC860" s="17"/>
      <c r="AD860" s="17"/>
      <c r="AE860" s="17"/>
    </row>
    <row r="861">
      <c r="A861" s="154"/>
      <c r="B861" s="168"/>
      <c r="C861" s="324"/>
      <c r="D861" s="154"/>
      <c r="E861" s="168"/>
      <c r="F861" s="324"/>
      <c r="G861" s="154"/>
      <c r="H861" s="168"/>
      <c r="I861" s="324"/>
      <c r="J861" s="154"/>
      <c r="K861" s="168"/>
      <c r="L861" s="324"/>
      <c r="M861" s="330"/>
      <c r="N861" s="331"/>
      <c r="O861" s="332"/>
      <c r="P861" s="330"/>
      <c r="Q861" s="331"/>
      <c r="R861" s="332"/>
      <c r="S861" s="330"/>
      <c r="T861" s="331"/>
      <c r="U861" s="332"/>
      <c r="V861" s="154"/>
      <c r="W861" s="331"/>
      <c r="X861" s="324"/>
      <c r="Y861" s="205"/>
      <c r="Z861" s="205"/>
      <c r="AA861" s="205"/>
      <c r="AB861" s="17"/>
      <c r="AC861" s="17"/>
      <c r="AD861" s="17"/>
      <c r="AE861" s="17"/>
    </row>
    <row r="862">
      <c r="A862" s="154"/>
      <c r="B862" s="168"/>
      <c r="C862" s="324"/>
      <c r="D862" s="154"/>
      <c r="E862" s="168"/>
      <c r="F862" s="324"/>
      <c r="G862" s="154"/>
      <c r="H862" s="168"/>
      <c r="I862" s="324"/>
      <c r="J862" s="154"/>
      <c r="K862" s="168"/>
      <c r="L862" s="324"/>
      <c r="M862" s="330"/>
      <c r="N862" s="331"/>
      <c r="O862" s="332"/>
      <c r="P862" s="330"/>
      <c r="Q862" s="331"/>
      <c r="R862" s="332"/>
      <c r="S862" s="330"/>
      <c r="T862" s="331"/>
      <c r="U862" s="332"/>
      <c r="V862" s="154"/>
      <c r="W862" s="331"/>
      <c r="X862" s="324"/>
      <c r="Y862" s="205"/>
      <c r="Z862" s="205"/>
      <c r="AA862" s="205"/>
      <c r="AB862" s="17"/>
      <c r="AC862" s="17"/>
      <c r="AD862" s="17"/>
      <c r="AE862" s="17"/>
    </row>
    <row r="863">
      <c r="A863" s="154"/>
      <c r="B863" s="168"/>
      <c r="C863" s="324"/>
      <c r="D863" s="154"/>
      <c r="E863" s="168"/>
      <c r="F863" s="324"/>
      <c r="G863" s="154"/>
      <c r="H863" s="168"/>
      <c r="I863" s="324"/>
      <c r="J863" s="154"/>
      <c r="K863" s="168"/>
      <c r="L863" s="324"/>
      <c r="M863" s="330"/>
      <c r="N863" s="331"/>
      <c r="O863" s="332"/>
      <c r="P863" s="330"/>
      <c r="Q863" s="331"/>
      <c r="R863" s="332"/>
      <c r="S863" s="330"/>
      <c r="T863" s="331"/>
      <c r="U863" s="332"/>
      <c r="V863" s="154"/>
      <c r="W863" s="331"/>
      <c r="X863" s="324"/>
      <c r="Y863" s="205"/>
      <c r="Z863" s="205"/>
      <c r="AA863" s="205"/>
      <c r="AB863" s="17"/>
      <c r="AC863" s="17"/>
      <c r="AD863" s="17"/>
      <c r="AE863" s="17"/>
    </row>
    <row r="864">
      <c r="A864" s="154"/>
      <c r="B864" s="168"/>
      <c r="C864" s="324"/>
      <c r="D864" s="154"/>
      <c r="E864" s="168"/>
      <c r="F864" s="324"/>
      <c r="G864" s="154"/>
      <c r="H864" s="168"/>
      <c r="I864" s="324"/>
      <c r="J864" s="154"/>
      <c r="K864" s="168"/>
      <c r="L864" s="324"/>
      <c r="M864" s="330"/>
      <c r="N864" s="331"/>
      <c r="O864" s="332"/>
      <c r="P864" s="330"/>
      <c r="Q864" s="331"/>
      <c r="R864" s="332"/>
      <c r="S864" s="330"/>
      <c r="T864" s="331"/>
      <c r="U864" s="332"/>
      <c r="V864" s="154"/>
      <c r="W864" s="331"/>
      <c r="X864" s="324"/>
      <c r="Y864" s="205"/>
      <c r="Z864" s="205"/>
      <c r="AA864" s="205"/>
      <c r="AB864" s="17"/>
      <c r="AC864" s="17"/>
      <c r="AD864" s="17"/>
      <c r="AE864" s="17"/>
    </row>
    <row r="865">
      <c r="A865" s="154"/>
      <c r="B865" s="168"/>
      <c r="C865" s="324"/>
      <c r="D865" s="154"/>
      <c r="E865" s="168"/>
      <c r="F865" s="324"/>
      <c r="G865" s="154"/>
      <c r="H865" s="168"/>
      <c r="I865" s="324"/>
      <c r="J865" s="154"/>
      <c r="K865" s="168"/>
      <c r="L865" s="324"/>
      <c r="M865" s="330"/>
      <c r="N865" s="331"/>
      <c r="O865" s="332"/>
      <c r="P865" s="330"/>
      <c r="Q865" s="331"/>
      <c r="R865" s="332"/>
      <c r="S865" s="330"/>
      <c r="T865" s="331"/>
      <c r="U865" s="332"/>
      <c r="V865" s="154"/>
      <c r="W865" s="331"/>
      <c r="X865" s="324"/>
      <c r="Y865" s="205"/>
      <c r="Z865" s="205"/>
      <c r="AA865" s="205"/>
      <c r="AB865" s="17"/>
      <c r="AC865" s="17"/>
      <c r="AD865" s="17"/>
      <c r="AE865" s="17"/>
    </row>
    <row r="866">
      <c r="A866" s="154"/>
      <c r="B866" s="168"/>
      <c r="C866" s="324"/>
      <c r="D866" s="154"/>
      <c r="E866" s="168"/>
      <c r="F866" s="324"/>
      <c r="G866" s="154"/>
      <c r="H866" s="168"/>
      <c r="I866" s="324"/>
      <c r="J866" s="154"/>
      <c r="K866" s="168"/>
      <c r="L866" s="324"/>
      <c r="M866" s="330"/>
      <c r="N866" s="331"/>
      <c r="O866" s="332"/>
      <c r="P866" s="330"/>
      <c r="Q866" s="331"/>
      <c r="R866" s="332"/>
      <c r="S866" s="330"/>
      <c r="T866" s="331"/>
      <c r="U866" s="332"/>
      <c r="V866" s="154"/>
      <c r="W866" s="331"/>
      <c r="X866" s="324"/>
      <c r="Y866" s="205"/>
      <c r="Z866" s="205"/>
      <c r="AA866" s="205"/>
      <c r="AB866" s="17"/>
      <c r="AC866" s="17"/>
      <c r="AD866" s="17"/>
      <c r="AE866" s="17"/>
    </row>
    <row r="867">
      <c r="A867" s="154"/>
      <c r="B867" s="168"/>
      <c r="C867" s="324"/>
      <c r="D867" s="154"/>
      <c r="E867" s="168"/>
      <c r="F867" s="324"/>
      <c r="G867" s="154"/>
      <c r="H867" s="168"/>
      <c r="I867" s="324"/>
      <c r="J867" s="154"/>
      <c r="K867" s="168"/>
      <c r="L867" s="324"/>
      <c r="M867" s="330"/>
      <c r="N867" s="331"/>
      <c r="O867" s="332"/>
      <c r="P867" s="330"/>
      <c r="Q867" s="331"/>
      <c r="R867" s="332"/>
      <c r="S867" s="330"/>
      <c r="T867" s="331"/>
      <c r="U867" s="332"/>
      <c r="V867" s="154"/>
      <c r="W867" s="331"/>
      <c r="X867" s="324"/>
      <c r="Y867" s="205"/>
      <c r="Z867" s="205"/>
      <c r="AA867" s="205"/>
      <c r="AB867" s="17"/>
      <c r="AC867" s="17"/>
      <c r="AD867" s="17"/>
      <c r="AE867" s="17"/>
    </row>
    <row r="868">
      <c r="A868" s="154"/>
      <c r="B868" s="168"/>
      <c r="C868" s="324"/>
      <c r="D868" s="154"/>
      <c r="E868" s="168"/>
      <c r="F868" s="324"/>
      <c r="G868" s="154"/>
      <c r="H868" s="168"/>
      <c r="I868" s="324"/>
      <c r="J868" s="154"/>
      <c r="K868" s="168"/>
      <c r="L868" s="324"/>
      <c r="M868" s="330"/>
      <c r="N868" s="331"/>
      <c r="O868" s="332"/>
      <c r="P868" s="330"/>
      <c r="Q868" s="331"/>
      <c r="R868" s="332"/>
      <c r="S868" s="330"/>
      <c r="T868" s="331"/>
      <c r="U868" s="332"/>
      <c r="V868" s="154"/>
      <c r="W868" s="331"/>
      <c r="X868" s="324"/>
      <c r="Y868" s="205"/>
      <c r="Z868" s="205"/>
      <c r="AA868" s="205"/>
      <c r="AB868" s="17"/>
      <c r="AC868" s="17"/>
      <c r="AD868" s="17"/>
      <c r="AE868" s="17"/>
    </row>
    <row r="869">
      <c r="A869" s="154"/>
      <c r="B869" s="168"/>
      <c r="C869" s="324"/>
      <c r="D869" s="154"/>
      <c r="E869" s="168"/>
      <c r="F869" s="324"/>
      <c r="G869" s="154"/>
      <c r="H869" s="168"/>
      <c r="I869" s="324"/>
      <c r="J869" s="154"/>
      <c r="K869" s="168"/>
      <c r="L869" s="324"/>
      <c r="M869" s="330"/>
      <c r="N869" s="331"/>
      <c r="O869" s="332"/>
      <c r="P869" s="330"/>
      <c r="Q869" s="331"/>
      <c r="R869" s="332"/>
      <c r="S869" s="330"/>
      <c r="T869" s="331"/>
      <c r="U869" s="332"/>
      <c r="V869" s="154"/>
      <c r="W869" s="331"/>
      <c r="X869" s="324"/>
      <c r="Y869" s="205"/>
      <c r="Z869" s="205"/>
      <c r="AA869" s="205"/>
      <c r="AB869" s="17"/>
      <c r="AC869" s="17"/>
      <c r="AD869" s="17"/>
      <c r="AE869" s="17"/>
    </row>
    <row r="870">
      <c r="A870" s="154"/>
      <c r="B870" s="168"/>
      <c r="C870" s="324"/>
      <c r="D870" s="154"/>
      <c r="E870" s="168"/>
      <c r="F870" s="324"/>
      <c r="G870" s="154"/>
      <c r="H870" s="168"/>
      <c r="I870" s="324"/>
      <c r="J870" s="154"/>
      <c r="K870" s="168"/>
      <c r="L870" s="324"/>
      <c r="M870" s="330"/>
      <c r="N870" s="331"/>
      <c r="O870" s="332"/>
      <c r="P870" s="330"/>
      <c r="Q870" s="331"/>
      <c r="R870" s="332"/>
      <c r="S870" s="330"/>
      <c r="T870" s="331"/>
      <c r="U870" s="332"/>
      <c r="V870" s="154"/>
      <c r="W870" s="331"/>
      <c r="X870" s="324"/>
      <c r="Y870" s="205"/>
      <c r="Z870" s="205"/>
      <c r="AA870" s="205"/>
      <c r="AB870" s="17"/>
      <c r="AC870" s="17"/>
      <c r="AD870" s="17"/>
      <c r="AE870" s="17"/>
    </row>
    <row r="871">
      <c r="A871" s="154"/>
      <c r="B871" s="168"/>
      <c r="C871" s="324"/>
      <c r="D871" s="154"/>
      <c r="E871" s="168"/>
      <c r="F871" s="324"/>
      <c r="G871" s="154"/>
      <c r="H871" s="168"/>
      <c r="I871" s="324"/>
      <c r="J871" s="154"/>
      <c r="K871" s="168"/>
      <c r="L871" s="324"/>
      <c r="M871" s="330"/>
      <c r="N871" s="331"/>
      <c r="O871" s="332"/>
      <c r="P871" s="330"/>
      <c r="Q871" s="331"/>
      <c r="R871" s="332"/>
      <c r="S871" s="330"/>
      <c r="T871" s="331"/>
      <c r="U871" s="332"/>
      <c r="V871" s="154"/>
      <c r="W871" s="331"/>
      <c r="X871" s="324"/>
      <c r="Y871" s="205"/>
      <c r="Z871" s="205"/>
      <c r="AA871" s="205"/>
      <c r="AB871" s="17"/>
      <c r="AC871" s="17"/>
      <c r="AD871" s="17"/>
      <c r="AE871" s="17"/>
    </row>
    <row r="872">
      <c r="A872" s="154"/>
      <c r="B872" s="168"/>
      <c r="C872" s="324"/>
      <c r="D872" s="154"/>
      <c r="E872" s="168"/>
      <c r="F872" s="324"/>
      <c r="G872" s="154"/>
      <c r="H872" s="168"/>
      <c r="I872" s="324"/>
      <c r="J872" s="154"/>
      <c r="K872" s="168"/>
      <c r="L872" s="324"/>
      <c r="M872" s="330"/>
      <c r="N872" s="331"/>
      <c r="O872" s="332"/>
      <c r="P872" s="330"/>
      <c r="Q872" s="331"/>
      <c r="R872" s="332"/>
      <c r="S872" s="330"/>
      <c r="T872" s="331"/>
      <c r="U872" s="332"/>
      <c r="V872" s="154"/>
      <c r="W872" s="331"/>
      <c r="X872" s="324"/>
      <c r="Y872" s="205"/>
      <c r="Z872" s="205"/>
      <c r="AA872" s="205"/>
      <c r="AB872" s="17"/>
      <c r="AC872" s="17"/>
      <c r="AD872" s="17"/>
      <c r="AE872" s="17"/>
    </row>
    <row r="873">
      <c r="A873" s="154"/>
      <c r="B873" s="168"/>
      <c r="C873" s="324"/>
      <c r="D873" s="154"/>
      <c r="E873" s="168"/>
      <c r="F873" s="324"/>
      <c r="G873" s="154"/>
      <c r="H873" s="168"/>
      <c r="I873" s="324"/>
      <c r="J873" s="154"/>
      <c r="K873" s="168"/>
      <c r="L873" s="324"/>
      <c r="M873" s="330"/>
      <c r="N873" s="331"/>
      <c r="O873" s="332"/>
      <c r="P873" s="330"/>
      <c r="Q873" s="331"/>
      <c r="R873" s="332"/>
      <c r="S873" s="330"/>
      <c r="T873" s="331"/>
      <c r="U873" s="332"/>
      <c r="V873" s="154"/>
      <c r="W873" s="331"/>
      <c r="X873" s="324"/>
      <c r="Y873" s="205"/>
      <c r="Z873" s="205"/>
      <c r="AA873" s="205"/>
      <c r="AB873" s="17"/>
      <c r="AC873" s="17"/>
      <c r="AD873" s="17"/>
      <c r="AE873" s="17"/>
    </row>
    <row r="874">
      <c r="A874" s="154"/>
      <c r="B874" s="168"/>
      <c r="C874" s="324"/>
      <c r="D874" s="154"/>
      <c r="E874" s="168"/>
      <c r="F874" s="324"/>
      <c r="G874" s="154"/>
      <c r="H874" s="168"/>
      <c r="I874" s="324"/>
      <c r="J874" s="154"/>
      <c r="K874" s="168"/>
      <c r="L874" s="324"/>
      <c r="M874" s="330"/>
      <c r="N874" s="331"/>
      <c r="O874" s="332"/>
      <c r="P874" s="330"/>
      <c r="Q874" s="331"/>
      <c r="R874" s="332"/>
      <c r="S874" s="330"/>
      <c r="T874" s="331"/>
      <c r="U874" s="332"/>
      <c r="V874" s="154"/>
      <c r="W874" s="331"/>
      <c r="X874" s="324"/>
      <c r="Y874" s="205"/>
      <c r="Z874" s="205"/>
      <c r="AA874" s="205"/>
      <c r="AB874" s="17"/>
      <c r="AC874" s="17"/>
      <c r="AD874" s="17"/>
      <c r="AE874" s="17"/>
    </row>
    <row r="875">
      <c r="A875" s="154"/>
      <c r="B875" s="168"/>
      <c r="C875" s="324"/>
      <c r="D875" s="154"/>
      <c r="E875" s="168"/>
      <c r="F875" s="324"/>
      <c r="G875" s="154"/>
      <c r="H875" s="168"/>
      <c r="I875" s="324"/>
      <c r="J875" s="154"/>
      <c r="K875" s="168"/>
      <c r="L875" s="324"/>
      <c r="M875" s="330"/>
      <c r="N875" s="331"/>
      <c r="O875" s="332"/>
      <c r="P875" s="330"/>
      <c r="Q875" s="331"/>
      <c r="R875" s="332"/>
      <c r="S875" s="330"/>
      <c r="T875" s="331"/>
      <c r="U875" s="332"/>
      <c r="V875" s="154"/>
      <c r="W875" s="331"/>
      <c r="X875" s="324"/>
      <c r="Y875" s="205"/>
      <c r="Z875" s="205"/>
      <c r="AA875" s="205"/>
      <c r="AB875" s="17"/>
      <c r="AC875" s="17"/>
      <c r="AD875" s="17"/>
      <c r="AE875" s="17"/>
    </row>
    <row r="876">
      <c r="A876" s="154"/>
      <c r="B876" s="168"/>
      <c r="C876" s="324"/>
      <c r="D876" s="154"/>
      <c r="E876" s="168"/>
      <c r="F876" s="324"/>
      <c r="G876" s="154"/>
      <c r="H876" s="168"/>
      <c r="I876" s="324"/>
      <c r="J876" s="154"/>
      <c r="K876" s="168"/>
      <c r="L876" s="324"/>
      <c r="M876" s="330"/>
      <c r="N876" s="331"/>
      <c r="O876" s="332"/>
      <c r="P876" s="330"/>
      <c r="Q876" s="331"/>
      <c r="R876" s="332"/>
      <c r="S876" s="330"/>
      <c r="T876" s="331"/>
      <c r="U876" s="332"/>
      <c r="V876" s="154"/>
      <c r="W876" s="331"/>
      <c r="X876" s="324"/>
      <c r="Y876" s="205"/>
      <c r="Z876" s="205"/>
      <c r="AA876" s="205"/>
      <c r="AB876" s="17"/>
      <c r="AC876" s="17"/>
      <c r="AD876" s="17"/>
      <c r="AE876" s="17"/>
    </row>
    <row r="877">
      <c r="A877" s="154"/>
      <c r="B877" s="168"/>
      <c r="C877" s="324"/>
      <c r="D877" s="154"/>
      <c r="E877" s="168"/>
      <c r="F877" s="324"/>
      <c r="G877" s="154"/>
      <c r="H877" s="168"/>
      <c r="I877" s="324"/>
      <c r="J877" s="154"/>
      <c r="K877" s="168"/>
      <c r="L877" s="324"/>
      <c r="M877" s="330"/>
      <c r="N877" s="331"/>
      <c r="O877" s="332"/>
      <c r="P877" s="330"/>
      <c r="Q877" s="331"/>
      <c r="R877" s="332"/>
      <c r="S877" s="330"/>
      <c r="T877" s="331"/>
      <c r="U877" s="332"/>
      <c r="V877" s="154"/>
      <c r="W877" s="331"/>
      <c r="X877" s="324"/>
      <c r="Y877" s="205"/>
      <c r="Z877" s="205"/>
      <c r="AA877" s="205"/>
      <c r="AB877" s="17"/>
      <c r="AC877" s="17"/>
      <c r="AD877" s="17"/>
      <c r="AE877" s="17"/>
    </row>
    <row r="878">
      <c r="A878" s="154"/>
      <c r="B878" s="168"/>
      <c r="C878" s="324"/>
      <c r="D878" s="154"/>
      <c r="E878" s="168"/>
      <c r="F878" s="324"/>
      <c r="G878" s="154"/>
      <c r="H878" s="168"/>
      <c r="I878" s="324"/>
      <c r="J878" s="154"/>
      <c r="K878" s="168"/>
      <c r="L878" s="324"/>
      <c r="M878" s="330"/>
      <c r="N878" s="331"/>
      <c r="O878" s="332"/>
      <c r="P878" s="330"/>
      <c r="Q878" s="331"/>
      <c r="R878" s="332"/>
      <c r="S878" s="330"/>
      <c r="T878" s="331"/>
      <c r="U878" s="332"/>
      <c r="V878" s="154"/>
      <c r="W878" s="331"/>
      <c r="X878" s="324"/>
      <c r="Y878" s="205"/>
      <c r="Z878" s="205"/>
      <c r="AA878" s="205"/>
      <c r="AB878" s="17"/>
      <c r="AC878" s="17"/>
      <c r="AD878" s="17"/>
      <c r="AE878" s="17"/>
    </row>
    <row r="879">
      <c r="A879" s="154"/>
      <c r="B879" s="168"/>
      <c r="C879" s="324"/>
      <c r="D879" s="154"/>
      <c r="E879" s="168"/>
      <c r="F879" s="324"/>
      <c r="G879" s="154"/>
      <c r="H879" s="168"/>
      <c r="I879" s="324"/>
      <c r="J879" s="154"/>
      <c r="K879" s="168"/>
      <c r="L879" s="324"/>
      <c r="M879" s="330"/>
      <c r="N879" s="331"/>
      <c r="O879" s="332"/>
      <c r="P879" s="330"/>
      <c r="Q879" s="331"/>
      <c r="R879" s="332"/>
      <c r="S879" s="330"/>
      <c r="T879" s="331"/>
      <c r="U879" s="332"/>
      <c r="V879" s="154"/>
      <c r="W879" s="331"/>
      <c r="X879" s="324"/>
      <c r="Y879" s="205"/>
      <c r="Z879" s="205"/>
      <c r="AA879" s="205"/>
      <c r="AB879" s="17"/>
      <c r="AC879" s="17"/>
      <c r="AD879" s="17"/>
      <c r="AE879" s="17"/>
    </row>
    <row r="880">
      <c r="A880" s="154"/>
      <c r="B880" s="168"/>
      <c r="C880" s="324"/>
      <c r="D880" s="154"/>
      <c r="E880" s="168"/>
      <c r="F880" s="324"/>
      <c r="G880" s="154"/>
      <c r="H880" s="168"/>
      <c r="I880" s="324"/>
      <c r="J880" s="154"/>
      <c r="K880" s="168"/>
      <c r="L880" s="324"/>
      <c r="M880" s="330"/>
      <c r="N880" s="331"/>
      <c r="O880" s="332"/>
      <c r="P880" s="330"/>
      <c r="Q880" s="331"/>
      <c r="R880" s="332"/>
      <c r="S880" s="330"/>
      <c r="T880" s="331"/>
      <c r="U880" s="332"/>
      <c r="V880" s="154"/>
      <c r="W880" s="331"/>
      <c r="X880" s="324"/>
      <c r="Y880" s="205"/>
      <c r="Z880" s="205"/>
      <c r="AA880" s="205"/>
      <c r="AB880" s="17"/>
      <c r="AC880" s="17"/>
      <c r="AD880" s="17"/>
      <c r="AE880" s="17"/>
    </row>
    <row r="881">
      <c r="A881" s="154"/>
      <c r="B881" s="168"/>
      <c r="C881" s="324"/>
      <c r="D881" s="154"/>
      <c r="E881" s="168"/>
      <c r="F881" s="324"/>
      <c r="G881" s="154"/>
      <c r="H881" s="168"/>
      <c r="I881" s="324"/>
      <c r="J881" s="154"/>
      <c r="K881" s="168"/>
      <c r="L881" s="324"/>
      <c r="M881" s="330"/>
      <c r="N881" s="331"/>
      <c r="O881" s="332"/>
      <c r="P881" s="330"/>
      <c r="Q881" s="331"/>
      <c r="R881" s="332"/>
      <c r="S881" s="330"/>
      <c r="T881" s="331"/>
      <c r="U881" s="332"/>
      <c r="V881" s="154"/>
      <c r="W881" s="331"/>
      <c r="X881" s="324"/>
      <c r="Y881" s="205"/>
      <c r="Z881" s="205"/>
      <c r="AA881" s="205"/>
      <c r="AB881" s="17"/>
      <c r="AC881" s="17"/>
      <c r="AD881" s="17"/>
      <c r="AE881" s="17"/>
    </row>
    <row r="882">
      <c r="A882" s="154"/>
      <c r="B882" s="168"/>
      <c r="C882" s="324"/>
      <c r="D882" s="154"/>
      <c r="E882" s="168"/>
      <c r="F882" s="324"/>
      <c r="G882" s="154"/>
      <c r="H882" s="168"/>
      <c r="I882" s="324"/>
      <c r="J882" s="154"/>
      <c r="K882" s="168"/>
      <c r="L882" s="324"/>
      <c r="M882" s="330"/>
      <c r="N882" s="331"/>
      <c r="O882" s="332"/>
      <c r="P882" s="330"/>
      <c r="Q882" s="331"/>
      <c r="R882" s="332"/>
      <c r="S882" s="330"/>
      <c r="T882" s="331"/>
      <c r="U882" s="332"/>
      <c r="V882" s="154"/>
      <c r="W882" s="331"/>
      <c r="X882" s="324"/>
      <c r="Y882" s="205"/>
      <c r="Z882" s="205"/>
      <c r="AA882" s="205"/>
      <c r="AB882" s="17"/>
      <c r="AC882" s="17"/>
      <c r="AD882" s="17"/>
      <c r="AE882" s="17"/>
    </row>
    <row r="883">
      <c r="A883" s="154"/>
      <c r="B883" s="168"/>
      <c r="C883" s="324"/>
      <c r="D883" s="154"/>
      <c r="E883" s="168"/>
      <c r="F883" s="324"/>
      <c r="G883" s="154"/>
      <c r="H883" s="168"/>
      <c r="I883" s="324"/>
      <c r="J883" s="154"/>
      <c r="K883" s="168"/>
      <c r="L883" s="324"/>
      <c r="M883" s="330"/>
      <c r="N883" s="331"/>
      <c r="O883" s="332"/>
      <c r="P883" s="330"/>
      <c r="Q883" s="331"/>
      <c r="R883" s="332"/>
      <c r="S883" s="330"/>
      <c r="T883" s="331"/>
      <c r="U883" s="332"/>
      <c r="V883" s="154"/>
      <c r="W883" s="331"/>
      <c r="X883" s="324"/>
      <c r="Y883" s="205"/>
      <c r="Z883" s="205"/>
      <c r="AA883" s="205"/>
      <c r="AB883" s="17"/>
      <c r="AC883" s="17"/>
      <c r="AD883" s="17"/>
      <c r="AE883" s="17"/>
    </row>
    <row r="884">
      <c r="A884" s="154"/>
      <c r="B884" s="168"/>
      <c r="C884" s="324"/>
      <c r="D884" s="154"/>
      <c r="E884" s="168"/>
      <c r="F884" s="324"/>
      <c r="G884" s="154"/>
      <c r="H884" s="168"/>
      <c r="I884" s="324"/>
      <c r="J884" s="154"/>
      <c r="K884" s="168"/>
      <c r="L884" s="324"/>
      <c r="M884" s="330"/>
      <c r="N884" s="331"/>
      <c r="O884" s="332"/>
      <c r="P884" s="330"/>
      <c r="Q884" s="331"/>
      <c r="R884" s="332"/>
      <c r="S884" s="330"/>
      <c r="T884" s="331"/>
      <c r="U884" s="332"/>
      <c r="V884" s="154"/>
      <c r="W884" s="331"/>
      <c r="X884" s="324"/>
      <c r="Y884" s="205"/>
      <c r="Z884" s="205"/>
      <c r="AA884" s="205"/>
      <c r="AB884" s="17"/>
      <c r="AC884" s="17"/>
      <c r="AD884" s="17"/>
      <c r="AE884" s="17"/>
    </row>
    <row r="885">
      <c r="A885" s="154"/>
      <c r="B885" s="168"/>
      <c r="C885" s="324"/>
      <c r="D885" s="154"/>
      <c r="E885" s="168"/>
      <c r="F885" s="324"/>
      <c r="G885" s="154"/>
      <c r="H885" s="168"/>
      <c r="I885" s="324"/>
      <c r="J885" s="154"/>
      <c r="K885" s="168"/>
      <c r="L885" s="324"/>
      <c r="M885" s="330"/>
      <c r="N885" s="331"/>
      <c r="O885" s="332"/>
      <c r="P885" s="330"/>
      <c r="Q885" s="331"/>
      <c r="R885" s="332"/>
      <c r="S885" s="330"/>
      <c r="T885" s="331"/>
      <c r="U885" s="332"/>
      <c r="V885" s="154"/>
      <c r="W885" s="331"/>
      <c r="X885" s="324"/>
      <c r="Y885" s="205"/>
      <c r="Z885" s="205"/>
      <c r="AA885" s="205"/>
      <c r="AB885" s="17"/>
      <c r="AC885" s="17"/>
      <c r="AD885" s="17"/>
      <c r="AE885" s="17"/>
    </row>
    <row r="886">
      <c r="A886" s="154"/>
      <c r="B886" s="168"/>
      <c r="C886" s="324"/>
      <c r="D886" s="154"/>
      <c r="E886" s="168"/>
      <c r="F886" s="324"/>
      <c r="G886" s="154"/>
      <c r="H886" s="168"/>
      <c r="I886" s="324"/>
      <c r="J886" s="154"/>
      <c r="K886" s="168"/>
      <c r="L886" s="324"/>
      <c r="M886" s="330"/>
      <c r="N886" s="331"/>
      <c r="O886" s="332"/>
      <c r="P886" s="330"/>
      <c r="Q886" s="331"/>
      <c r="R886" s="332"/>
      <c r="S886" s="330"/>
      <c r="T886" s="331"/>
      <c r="U886" s="332"/>
      <c r="V886" s="154"/>
      <c r="W886" s="331"/>
      <c r="X886" s="324"/>
      <c r="Y886" s="205"/>
      <c r="Z886" s="205"/>
      <c r="AA886" s="205"/>
      <c r="AB886" s="17"/>
      <c r="AC886" s="17"/>
      <c r="AD886" s="17"/>
      <c r="AE886" s="17"/>
    </row>
    <row r="887">
      <c r="A887" s="154"/>
      <c r="B887" s="168"/>
      <c r="C887" s="324"/>
      <c r="D887" s="154"/>
      <c r="E887" s="168"/>
      <c r="F887" s="324"/>
      <c r="G887" s="154"/>
      <c r="H887" s="168"/>
      <c r="I887" s="324"/>
      <c r="J887" s="154"/>
      <c r="K887" s="168"/>
      <c r="L887" s="324"/>
      <c r="M887" s="330"/>
      <c r="N887" s="331"/>
      <c r="O887" s="332"/>
      <c r="P887" s="330"/>
      <c r="Q887" s="331"/>
      <c r="R887" s="332"/>
      <c r="S887" s="330"/>
      <c r="T887" s="331"/>
      <c r="U887" s="332"/>
      <c r="V887" s="154"/>
      <c r="W887" s="331"/>
      <c r="X887" s="324"/>
      <c r="Y887" s="205"/>
      <c r="Z887" s="205"/>
      <c r="AA887" s="205"/>
      <c r="AB887" s="17"/>
      <c r="AC887" s="17"/>
      <c r="AD887" s="17"/>
      <c r="AE887" s="17"/>
    </row>
    <row r="888">
      <c r="A888" s="154"/>
      <c r="B888" s="168"/>
      <c r="C888" s="324"/>
      <c r="D888" s="154"/>
      <c r="E888" s="168"/>
      <c r="F888" s="324"/>
      <c r="G888" s="154"/>
      <c r="H888" s="168"/>
      <c r="I888" s="324"/>
      <c r="J888" s="154"/>
      <c r="K888" s="168"/>
      <c r="L888" s="324"/>
      <c r="M888" s="330"/>
      <c r="N888" s="331"/>
      <c r="O888" s="332"/>
      <c r="P888" s="330"/>
      <c r="Q888" s="331"/>
      <c r="R888" s="332"/>
      <c r="S888" s="330"/>
      <c r="T888" s="331"/>
      <c r="U888" s="332"/>
      <c r="V888" s="154"/>
      <c r="W888" s="331"/>
      <c r="X888" s="324"/>
      <c r="Y888" s="205"/>
      <c r="Z888" s="205"/>
      <c r="AA888" s="205"/>
      <c r="AB888" s="17"/>
      <c r="AC888" s="17"/>
      <c r="AD888" s="17"/>
      <c r="AE888" s="17"/>
    </row>
    <row r="889">
      <c r="A889" s="154"/>
      <c r="B889" s="168"/>
      <c r="C889" s="324"/>
      <c r="D889" s="154"/>
      <c r="E889" s="168"/>
      <c r="F889" s="324"/>
      <c r="G889" s="154"/>
      <c r="H889" s="168"/>
      <c r="I889" s="324"/>
      <c r="J889" s="154"/>
      <c r="K889" s="168"/>
      <c r="L889" s="324"/>
      <c r="M889" s="330"/>
      <c r="N889" s="331"/>
      <c r="O889" s="332"/>
      <c r="P889" s="330"/>
      <c r="Q889" s="331"/>
      <c r="R889" s="332"/>
      <c r="S889" s="330"/>
      <c r="T889" s="331"/>
      <c r="U889" s="332"/>
      <c r="V889" s="154"/>
      <c r="W889" s="331"/>
      <c r="X889" s="324"/>
      <c r="Y889" s="205"/>
      <c r="Z889" s="205"/>
      <c r="AA889" s="205"/>
      <c r="AB889" s="17"/>
      <c r="AC889" s="17"/>
      <c r="AD889" s="17"/>
      <c r="AE889" s="17"/>
    </row>
    <row r="890">
      <c r="A890" s="154"/>
      <c r="B890" s="168"/>
      <c r="C890" s="324"/>
      <c r="D890" s="154"/>
      <c r="E890" s="168"/>
      <c r="F890" s="324"/>
      <c r="G890" s="154"/>
      <c r="H890" s="168"/>
      <c r="I890" s="324"/>
      <c r="J890" s="154"/>
      <c r="K890" s="168"/>
      <c r="L890" s="324"/>
      <c r="M890" s="330"/>
      <c r="N890" s="331"/>
      <c r="O890" s="332"/>
      <c r="P890" s="330"/>
      <c r="Q890" s="331"/>
      <c r="R890" s="332"/>
      <c r="S890" s="330"/>
      <c r="T890" s="331"/>
      <c r="U890" s="332"/>
      <c r="V890" s="154"/>
      <c r="W890" s="331"/>
      <c r="X890" s="324"/>
      <c r="Y890" s="205"/>
      <c r="Z890" s="205"/>
      <c r="AA890" s="205"/>
      <c r="AB890" s="17"/>
      <c r="AC890" s="17"/>
      <c r="AD890" s="17"/>
      <c r="AE890" s="17"/>
    </row>
    <row r="891">
      <c r="A891" s="154"/>
      <c r="B891" s="168"/>
      <c r="C891" s="324"/>
      <c r="D891" s="154"/>
      <c r="E891" s="168"/>
      <c r="F891" s="324"/>
      <c r="G891" s="154"/>
      <c r="H891" s="168"/>
      <c r="I891" s="324"/>
      <c r="J891" s="154"/>
      <c r="K891" s="168"/>
      <c r="L891" s="324"/>
      <c r="M891" s="330"/>
      <c r="N891" s="331"/>
      <c r="O891" s="332"/>
      <c r="P891" s="330"/>
      <c r="Q891" s="331"/>
      <c r="R891" s="332"/>
      <c r="S891" s="330"/>
      <c r="T891" s="331"/>
      <c r="U891" s="332"/>
      <c r="V891" s="154"/>
      <c r="W891" s="331"/>
      <c r="X891" s="324"/>
      <c r="Y891" s="205"/>
      <c r="Z891" s="205"/>
      <c r="AA891" s="205"/>
      <c r="AB891" s="17"/>
      <c r="AC891" s="17"/>
      <c r="AD891" s="17"/>
      <c r="AE891" s="17"/>
    </row>
    <row r="892">
      <c r="A892" s="154"/>
      <c r="B892" s="168"/>
      <c r="C892" s="324"/>
      <c r="D892" s="154"/>
      <c r="E892" s="168"/>
      <c r="F892" s="324"/>
      <c r="G892" s="154"/>
      <c r="H892" s="168"/>
      <c r="I892" s="324"/>
      <c r="J892" s="154"/>
      <c r="K892" s="168"/>
      <c r="L892" s="324"/>
      <c r="M892" s="330"/>
      <c r="N892" s="331"/>
      <c r="O892" s="332"/>
      <c r="P892" s="330"/>
      <c r="Q892" s="331"/>
      <c r="R892" s="332"/>
      <c r="S892" s="330"/>
      <c r="T892" s="331"/>
      <c r="U892" s="332"/>
      <c r="V892" s="154"/>
      <c r="W892" s="331"/>
      <c r="X892" s="324"/>
      <c r="Y892" s="205"/>
      <c r="Z892" s="205"/>
      <c r="AA892" s="205"/>
      <c r="AB892" s="17"/>
      <c r="AC892" s="17"/>
      <c r="AD892" s="17"/>
      <c r="AE892" s="17"/>
    </row>
    <row r="893">
      <c r="A893" s="154"/>
      <c r="B893" s="168"/>
      <c r="C893" s="324"/>
      <c r="D893" s="154"/>
      <c r="E893" s="168"/>
      <c r="F893" s="324"/>
      <c r="G893" s="154"/>
      <c r="H893" s="168"/>
      <c r="I893" s="324"/>
      <c r="J893" s="154"/>
      <c r="K893" s="168"/>
      <c r="L893" s="324"/>
      <c r="M893" s="330"/>
      <c r="N893" s="331"/>
      <c r="O893" s="332"/>
      <c r="P893" s="330"/>
      <c r="Q893" s="331"/>
      <c r="R893" s="332"/>
      <c r="S893" s="330"/>
      <c r="T893" s="331"/>
      <c r="U893" s="332"/>
      <c r="V893" s="154"/>
      <c r="W893" s="331"/>
      <c r="X893" s="324"/>
      <c r="Y893" s="205"/>
      <c r="Z893" s="205"/>
      <c r="AA893" s="205"/>
      <c r="AB893" s="17"/>
      <c r="AC893" s="17"/>
      <c r="AD893" s="17"/>
      <c r="AE893" s="17"/>
    </row>
    <row r="894">
      <c r="A894" s="154"/>
      <c r="B894" s="168"/>
      <c r="C894" s="324"/>
      <c r="D894" s="154"/>
      <c r="E894" s="168"/>
      <c r="F894" s="324"/>
      <c r="G894" s="154"/>
      <c r="H894" s="168"/>
      <c r="I894" s="324"/>
      <c r="J894" s="154"/>
      <c r="K894" s="168"/>
      <c r="L894" s="324"/>
      <c r="M894" s="330"/>
      <c r="N894" s="331"/>
      <c r="O894" s="332"/>
      <c r="P894" s="330"/>
      <c r="Q894" s="331"/>
      <c r="R894" s="332"/>
      <c r="S894" s="330"/>
      <c r="T894" s="331"/>
      <c r="U894" s="332"/>
      <c r="V894" s="154"/>
      <c r="W894" s="331"/>
      <c r="X894" s="324"/>
      <c r="Y894" s="205"/>
      <c r="Z894" s="205"/>
      <c r="AA894" s="205"/>
      <c r="AB894" s="17"/>
      <c r="AC894" s="17"/>
      <c r="AD894" s="17"/>
      <c r="AE894" s="17"/>
    </row>
    <row r="895">
      <c r="A895" s="154"/>
      <c r="B895" s="168"/>
      <c r="C895" s="324"/>
      <c r="D895" s="154"/>
      <c r="E895" s="168"/>
      <c r="F895" s="324"/>
      <c r="G895" s="154"/>
      <c r="H895" s="168"/>
      <c r="I895" s="324"/>
      <c r="J895" s="154"/>
      <c r="K895" s="168"/>
      <c r="L895" s="324"/>
      <c r="M895" s="330"/>
      <c r="N895" s="331"/>
      <c r="O895" s="332"/>
      <c r="P895" s="330"/>
      <c r="Q895" s="331"/>
      <c r="R895" s="332"/>
      <c r="S895" s="330"/>
      <c r="T895" s="331"/>
      <c r="U895" s="332"/>
      <c r="V895" s="154"/>
      <c r="W895" s="331"/>
      <c r="X895" s="324"/>
      <c r="Y895" s="205"/>
      <c r="Z895" s="205"/>
      <c r="AA895" s="205"/>
      <c r="AB895" s="17"/>
      <c r="AC895" s="17"/>
      <c r="AD895" s="17"/>
      <c r="AE895" s="17"/>
    </row>
    <row r="896">
      <c r="A896" s="154"/>
      <c r="B896" s="168"/>
      <c r="C896" s="324"/>
      <c r="D896" s="154"/>
      <c r="E896" s="168"/>
      <c r="F896" s="324"/>
      <c r="G896" s="154"/>
      <c r="H896" s="168"/>
      <c r="I896" s="324"/>
      <c r="J896" s="154"/>
      <c r="K896" s="168"/>
      <c r="L896" s="324"/>
      <c r="M896" s="330"/>
      <c r="N896" s="331"/>
      <c r="O896" s="332"/>
      <c r="P896" s="330"/>
      <c r="Q896" s="331"/>
      <c r="R896" s="332"/>
      <c r="S896" s="330"/>
      <c r="T896" s="331"/>
      <c r="U896" s="332"/>
      <c r="V896" s="154"/>
      <c r="W896" s="331"/>
      <c r="X896" s="324"/>
      <c r="Y896" s="205"/>
      <c r="Z896" s="205"/>
      <c r="AA896" s="205"/>
      <c r="AB896" s="17"/>
      <c r="AC896" s="17"/>
      <c r="AD896" s="17"/>
      <c r="AE896" s="17"/>
    </row>
    <row r="897">
      <c r="A897" s="154"/>
      <c r="B897" s="168"/>
      <c r="C897" s="324"/>
      <c r="D897" s="154"/>
      <c r="E897" s="168"/>
      <c r="F897" s="324"/>
      <c r="G897" s="154"/>
      <c r="H897" s="168"/>
      <c r="I897" s="324"/>
      <c r="J897" s="154"/>
      <c r="K897" s="168"/>
      <c r="L897" s="324"/>
      <c r="M897" s="330"/>
      <c r="N897" s="331"/>
      <c r="O897" s="332"/>
      <c r="P897" s="330"/>
      <c r="Q897" s="331"/>
      <c r="R897" s="332"/>
      <c r="S897" s="330"/>
      <c r="T897" s="331"/>
      <c r="U897" s="332"/>
      <c r="V897" s="154"/>
      <c r="W897" s="331"/>
      <c r="X897" s="324"/>
      <c r="Y897" s="205"/>
      <c r="Z897" s="205"/>
      <c r="AA897" s="205"/>
      <c r="AB897" s="17"/>
      <c r="AC897" s="17"/>
      <c r="AD897" s="17"/>
      <c r="AE897" s="17"/>
    </row>
    <row r="898">
      <c r="A898" s="154"/>
      <c r="B898" s="168"/>
      <c r="C898" s="324"/>
      <c r="D898" s="154"/>
      <c r="E898" s="168"/>
      <c r="F898" s="324"/>
      <c r="G898" s="154"/>
      <c r="H898" s="168"/>
      <c r="I898" s="324"/>
      <c r="J898" s="154"/>
      <c r="K898" s="168"/>
      <c r="L898" s="324"/>
      <c r="M898" s="330"/>
      <c r="N898" s="331"/>
      <c r="O898" s="332"/>
      <c r="P898" s="330"/>
      <c r="Q898" s="331"/>
      <c r="R898" s="332"/>
      <c r="S898" s="330"/>
      <c r="T898" s="331"/>
      <c r="U898" s="332"/>
      <c r="V898" s="154"/>
      <c r="W898" s="331"/>
      <c r="X898" s="324"/>
      <c r="Y898" s="205"/>
      <c r="Z898" s="205"/>
      <c r="AA898" s="205"/>
      <c r="AB898" s="17"/>
      <c r="AC898" s="17"/>
      <c r="AD898" s="17"/>
      <c r="AE898" s="17"/>
    </row>
    <row r="899">
      <c r="A899" s="154"/>
      <c r="B899" s="168"/>
      <c r="C899" s="324"/>
      <c r="D899" s="154"/>
      <c r="E899" s="168"/>
      <c r="F899" s="324"/>
      <c r="G899" s="154"/>
      <c r="H899" s="168"/>
      <c r="I899" s="324"/>
      <c r="J899" s="154"/>
      <c r="K899" s="168"/>
      <c r="L899" s="324"/>
      <c r="M899" s="330"/>
      <c r="N899" s="331"/>
      <c r="O899" s="332"/>
      <c r="P899" s="330"/>
      <c r="Q899" s="331"/>
      <c r="R899" s="332"/>
      <c r="S899" s="330"/>
      <c r="T899" s="331"/>
      <c r="U899" s="332"/>
      <c r="V899" s="154"/>
      <c r="W899" s="331"/>
      <c r="X899" s="324"/>
      <c r="Y899" s="205"/>
      <c r="Z899" s="205"/>
      <c r="AA899" s="205"/>
      <c r="AB899" s="17"/>
      <c r="AC899" s="17"/>
      <c r="AD899" s="17"/>
      <c r="AE899" s="17"/>
    </row>
    <row r="900">
      <c r="A900" s="154"/>
      <c r="B900" s="168"/>
      <c r="C900" s="324"/>
      <c r="D900" s="154"/>
      <c r="E900" s="168"/>
      <c r="F900" s="324"/>
      <c r="G900" s="154"/>
      <c r="H900" s="168"/>
      <c r="I900" s="324"/>
      <c r="J900" s="154"/>
      <c r="K900" s="168"/>
      <c r="L900" s="324"/>
      <c r="M900" s="330"/>
      <c r="N900" s="331"/>
      <c r="O900" s="332"/>
      <c r="P900" s="330"/>
      <c r="Q900" s="331"/>
      <c r="R900" s="332"/>
      <c r="S900" s="330"/>
      <c r="T900" s="331"/>
      <c r="U900" s="332"/>
      <c r="V900" s="154"/>
      <c r="W900" s="331"/>
      <c r="X900" s="324"/>
      <c r="Y900" s="205"/>
      <c r="Z900" s="205"/>
      <c r="AA900" s="205"/>
      <c r="AB900" s="17"/>
      <c r="AC900" s="17"/>
      <c r="AD900" s="17"/>
      <c r="AE900" s="17"/>
    </row>
    <row r="901">
      <c r="A901" s="154"/>
      <c r="B901" s="168"/>
      <c r="C901" s="324"/>
      <c r="D901" s="154"/>
      <c r="E901" s="168"/>
      <c r="F901" s="324"/>
      <c r="G901" s="154"/>
      <c r="H901" s="168"/>
      <c r="I901" s="324"/>
      <c r="J901" s="154"/>
      <c r="K901" s="168"/>
      <c r="L901" s="324"/>
      <c r="M901" s="330"/>
      <c r="N901" s="331"/>
      <c r="O901" s="332"/>
      <c r="P901" s="330"/>
      <c r="Q901" s="331"/>
      <c r="R901" s="332"/>
      <c r="S901" s="330"/>
      <c r="T901" s="331"/>
      <c r="U901" s="332"/>
      <c r="V901" s="154"/>
      <c r="W901" s="331"/>
      <c r="X901" s="324"/>
      <c r="Y901" s="205"/>
      <c r="Z901" s="205"/>
      <c r="AA901" s="205"/>
      <c r="AB901" s="17"/>
      <c r="AC901" s="17"/>
      <c r="AD901" s="17"/>
      <c r="AE901" s="17"/>
    </row>
    <row r="902">
      <c r="A902" s="154"/>
      <c r="B902" s="168"/>
      <c r="C902" s="324"/>
      <c r="D902" s="154"/>
      <c r="E902" s="168"/>
      <c r="F902" s="324"/>
      <c r="G902" s="154"/>
      <c r="H902" s="168"/>
      <c r="I902" s="324"/>
      <c r="J902" s="154"/>
      <c r="K902" s="168"/>
      <c r="L902" s="324"/>
      <c r="M902" s="330"/>
      <c r="N902" s="331"/>
      <c r="O902" s="332"/>
      <c r="P902" s="330"/>
      <c r="Q902" s="331"/>
      <c r="R902" s="332"/>
      <c r="S902" s="330"/>
      <c r="T902" s="331"/>
      <c r="U902" s="332"/>
      <c r="V902" s="154"/>
      <c r="W902" s="331"/>
      <c r="X902" s="324"/>
      <c r="Y902" s="205"/>
      <c r="Z902" s="205"/>
      <c r="AA902" s="205"/>
      <c r="AB902" s="17"/>
      <c r="AC902" s="17"/>
      <c r="AD902" s="17"/>
      <c r="AE902" s="17"/>
    </row>
    <row r="903">
      <c r="A903" s="154"/>
      <c r="B903" s="168"/>
      <c r="C903" s="324"/>
      <c r="D903" s="154"/>
      <c r="E903" s="168"/>
      <c r="F903" s="324"/>
      <c r="G903" s="154"/>
      <c r="H903" s="168"/>
      <c r="I903" s="324"/>
      <c r="J903" s="154"/>
      <c r="K903" s="168"/>
      <c r="L903" s="324"/>
      <c r="M903" s="330"/>
      <c r="N903" s="331"/>
      <c r="O903" s="332"/>
      <c r="P903" s="330"/>
      <c r="Q903" s="331"/>
      <c r="R903" s="332"/>
      <c r="S903" s="330"/>
      <c r="T903" s="331"/>
      <c r="U903" s="332"/>
      <c r="V903" s="154"/>
      <c r="W903" s="331"/>
      <c r="X903" s="324"/>
      <c r="Y903" s="205"/>
      <c r="Z903" s="205"/>
      <c r="AA903" s="205"/>
      <c r="AB903" s="17"/>
      <c r="AC903" s="17"/>
      <c r="AD903" s="17"/>
      <c r="AE903" s="17"/>
    </row>
    <row r="904">
      <c r="A904" s="154"/>
      <c r="B904" s="168"/>
      <c r="C904" s="324"/>
      <c r="D904" s="154"/>
      <c r="E904" s="168"/>
      <c r="F904" s="324"/>
      <c r="G904" s="154"/>
      <c r="H904" s="168"/>
      <c r="I904" s="324"/>
      <c r="J904" s="154"/>
      <c r="K904" s="168"/>
      <c r="L904" s="324"/>
      <c r="M904" s="330"/>
      <c r="N904" s="331"/>
      <c r="O904" s="332"/>
      <c r="P904" s="330"/>
      <c r="Q904" s="331"/>
      <c r="R904" s="332"/>
      <c r="S904" s="330"/>
      <c r="T904" s="331"/>
      <c r="U904" s="332"/>
      <c r="V904" s="154"/>
      <c r="W904" s="331"/>
      <c r="X904" s="324"/>
      <c r="Y904" s="205"/>
      <c r="Z904" s="205"/>
      <c r="AA904" s="205"/>
      <c r="AB904" s="17"/>
      <c r="AC904" s="17"/>
      <c r="AD904" s="17"/>
      <c r="AE904" s="17"/>
    </row>
    <row r="905">
      <c r="A905" s="154"/>
      <c r="B905" s="168"/>
      <c r="C905" s="324"/>
      <c r="D905" s="154"/>
      <c r="E905" s="168"/>
      <c r="F905" s="324"/>
      <c r="G905" s="154"/>
      <c r="H905" s="168"/>
      <c r="I905" s="324"/>
      <c r="J905" s="154"/>
      <c r="K905" s="168"/>
      <c r="L905" s="324"/>
      <c r="M905" s="330"/>
      <c r="N905" s="331"/>
      <c r="O905" s="332"/>
      <c r="P905" s="330"/>
      <c r="Q905" s="331"/>
      <c r="R905" s="332"/>
      <c r="S905" s="330"/>
      <c r="T905" s="331"/>
      <c r="U905" s="332"/>
      <c r="V905" s="154"/>
      <c r="W905" s="331"/>
      <c r="X905" s="324"/>
      <c r="Y905" s="205"/>
      <c r="Z905" s="205"/>
      <c r="AA905" s="205"/>
      <c r="AB905" s="17"/>
      <c r="AC905" s="17"/>
      <c r="AD905" s="17"/>
      <c r="AE905" s="17"/>
    </row>
    <row r="906">
      <c r="A906" s="154"/>
      <c r="B906" s="168"/>
      <c r="C906" s="324"/>
      <c r="D906" s="154"/>
      <c r="E906" s="168"/>
      <c r="F906" s="324"/>
      <c r="G906" s="154"/>
      <c r="H906" s="168"/>
      <c r="I906" s="324"/>
      <c r="J906" s="154"/>
      <c r="K906" s="168"/>
      <c r="L906" s="324"/>
      <c r="M906" s="330"/>
      <c r="N906" s="331"/>
      <c r="O906" s="332"/>
      <c r="P906" s="330"/>
      <c r="Q906" s="331"/>
      <c r="R906" s="332"/>
      <c r="S906" s="330"/>
      <c r="T906" s="331"/>
      <c r="U906" s="332"/>
      <c r="V906" s="154"/>
      <c r="W906" s="331"/>
      <c r="X906" s="324"/>
      <c r="Y906" s="205"/>
      <c r="Z906" s="205"/>
      <c r="AA906" s="205"/>
      <c r="AB906" s="17"/>
      <c r="AC906" s="17"/>
      <c r="AD906" s="17"/>
      <c r="AE906" s="17"/>
    </row>
    <row r="907">
      <c r="A907" s="154"/>
      <c r="B907" s="168"/>
      <c r="C907" s="324"/>
      <c r="D907" s="154"/>
      <c r="E907" s="168"/>
      <c r="F907" s="324"/>
      <c r="G907" s="154"/>
      <c r="H907" s="168"/>
      <c r="I907" s="324"/>
      <c r="J907" s="154"/>
      <c r="K907" s="168"/>
      <c r="L907" s="324"/>
      <c r="M907" s="330"/>
      <c r="N907" s="331"/>
      <c r="O907" s="332"/>
      <c r="P907" s="330"/>
      <c r="Q907" s="331"/>
      <c r="R907" s="332"/>
      <c r="S907" s="330"/>
      <c r="T907" s="331"/>
      <c r="U907" s="332"/>
      <c r="V907" s="154"/>
      <c r="W907" s="331"/>
      <c r="X907" s="324"/>
      <c r="Y907" s="205"/>
      <c r="Z907" s="205"/>
      <c r="AA907" s="205"/>
      <c r="AB907" s="17"/>
      <c r="AC907" s="17"/>
      <c r="AD907" s="17"/>
      <c r="AE907" s="17"/>
    </row>
    <row r="908">
      <c r="A908" s="154"/>
      <c r="B908" s="168"/>
      <c r="C908" s="324"/>
      <c r="D908" s="154"/>
      <c r="E908" s="168"/>
      <c r="F908" s="324"/>
      <c r="G908" s="154"/>
      <c r="H908" s="168"/>
      <c r="I908" s="324"/>
      <c r="J908" s="154"/>
      <c r="K908" s="168"/>
      <c r="L908" s="324"/>
      <c r="M908" s="330"/>
      <c r="N908" s="331"/>
      <c r="O908" s="332"/>
      <c r="P908" s="330"/>
      <c r="Q908" s="331"/>
      <c r="R908" s="332"/>
      <c r="S908" s="330"/>
      <c r="T908" s="331"/>
      <c r="U908" s="332"/>
      <c r="V908" s="154"/>
      <c r="W908" s="331"/>
      <c r="X908" s="324"/>
      <c r="Y908" s="205"/>
      <c r="Z908" s="205"/>
      <c r="AA908" s="205"/>
      <c r="AB908" s="17"/>
      <c r="AC908" s="17"/>
      <c r="AD908" s="17"/>
      <c r="AE908" s="17"/>
    </row>
    <row r="909">
      <c r="A909" s="154"/>
      <c r="B909" s="168"/>
      <c r="C909" s="324"/>
      <c r="D909" s="154"/>
      <c r="E909" s="168"/>
      <c r="F909" s="324"/>
      <c r="G909" s="154"/>
      <c r="H909" s="168"/>
      <c r="I909" s="324"/>
      <c r="J909" s="154"/>
      <c r="K909" s="168"/>
      <c r="L909" s="324"/>
      <c r="M909" s="330"/>
      <c r="N909" s="331"/>
      <c r="O909" s="332"/>
      <c r="P909" s="330"/>
      <c r="Q909" s="331"/>
      <c r="R909" s="332"/>
      <c r="S909" s="330"/>
      <c r="T909" s="331"/>
      <c r="U909" s="332"/>
      <c r="V909" s="154"/>
      <c r="W909" s="331"/>
      <c r="X909" s="324"/>
      <c r="Y909" s="205"/>
      <c r="Z909" s="205"/>
      <c r="AA909" s="205"/>
      <c r="AB909" s="17"/>
      <c r="AC909" s="17"/>
      <c r="AD909" s="17"/>
      <c r="AE909" s="17"/>
    </row>
    <row r="910">
      <c r="A910" s="154"/>
      <c r="B910" s="168"/>
      <c r="C910" s="324"/>
      <c r="D910" s="154"/>
      <c r="E910" s="168"/>
      <c r="F910" s="324"/>
      <c r="G910" s="154"/>
      <c r="H910" s="168"/>
      <c r="I910" s="324"/>
      <c r="J910" s="154"/>
      <c r="K910" s="168"/>
      <c r="L910" s="324"/>
      <c r="M910" s="330"/>
      <c r="N910" s="331"/>
      <c r="O910" s="332"/>
      <c r="P910" s="330"/>
      <c r="Q910" s="331"/>
      <c r="R910" s="332"/>
      <c r="S910" s="330"/>
      <c r="T910" s="331"/>
      <c r="U910" s="332"/>
      <c r="V910" s="154"/>
      <c r="W910" s="331"/>
      <c r="X910" s="324"/>
      <c r="Y910" s="205"/>
      <c r="Z910" s="205"/>
      <c r="AA910" s="205"/>
      <c r="AB910" s="17"/>
      <c r="AC910" s="17"/>
      <c r="AD910" s="17"/>
      <c r="AE910" s="17"/>
    </row>
    <row r="911">
      <c r="A911" s="154"/>
      <c r="B911" s="168"/>
      <c r="C911" s="324"/>
      <c r="D911" s="154"/>
      <c r="E911" s="168"/>
      <c r="F911" s="324"/>
      <c r="G911" s="154"/>
      <c r="H911" s="168"/>
      <c r="I911" s="324"/>
      <c r="J911" s="154"/>
      <c r="K911" s="168"/>
      <c r="L911" s="324"/>
      <c r="M911" s="330"/>
      <c r="N911" s="331"/>
      <c r="O911" s="332"/>
      <c r="P911" s="330"/>
      <c r="Q911" s="331"/>
      <c r="R911" s="332"/>
      <c r="S911" s="330"/>
      <c r="T911" s="331"/>
      <c r="U911" s="332"/>
      <c r="V911" s="154"/>
      <c r="W911" s="331"/>
      <c r="X911" s="324"/>
      <c r="Y911" s="205"/>
      <c r="Z911" s="205"/>
      <c r="AA911" s="205"/>
      <c r="AB911" s="17"/>
      <c r="AC911" s="17"/>
      <c r="AD911" s="17"/>
      <c r="AE911" s="17"/>
    </row>
    <row r="912">
      <c r="A912" s="154"/>
      <c r="B912" s="168"/>
      <c r="C912" s="324"/>
      <c r="D912" s="154"/>
      <c r="E912" s="168"/>
      <c r="F912" s="324"/>
      <c r="G912" s="154"/>
      <c r="H912" s="168"/>
      <c r="I912" s="324"/>
      <c r="J912" s="154"/>
      <c r="K912" s="168"/>
      <c r="L912" s="324"/>
      <c r="M912" s="330"/>
      <c r="N912" s="331"/>
      <c r="O912" s="332"/>
      <c r="P912" s="330"/>
      <c r="Q912" s="331"/>
      <c r="R912" s="332"/>
      <c r="S912" s="330"/>
      <c r="T912" s="331"/>
      <c r="U912" s="332"/>
      <c r="V912" s="154"/>
      <c r="W912" s="331"/>
      <c r="X912" s="324"/>
      <c r="Y912" s="205"/>
      <c r="Z912" s="205"/>
      <c r="AA912" s="205"/>
      <c r="AB912" s="17"/>
      <c r="AC912" s="17"/>
      <c r="AD912" s="17"/>
      <c r="AE912" s="17"/>
    </row>
    <row r="913">
      <c r="A913" s="154"/>
      <c r="B913" s="168"/>
      <c r="C913" s="324"/>
      <c r="D913" s="154"/>
      <c r="E913" s="168"/>
      <c r="F913" s="324"/>
      <c r="G913" s="154"/>
      <c r="H913" s="168"/>
      <c r="I913" s="324"/>
      <c r="J913" s="154"/>
      <c r="K913" s="168"/>
      <c r="L913" s="324"/>
      <c r="M913" s="330"/>
      <c r="N913" s="331"/>
      <c r="O913" s="332"/>
      <c r="P913" s="330"/>
      <c r="Q913" s="331"/>
      <c r="R913" s="332"/>
      <c r="S913" s="330"/>
      <c r="T913" s="331"/>
      <c r="U913" s="332"/>
      <c r="V913" s="154"/>
      <c r="W913" s="331"/>
      <c r="X913" s="324"/>
      <c r="Y913" s="205"/>
      <c r="Z913" s="205"/>
      <c r="AA913" s="205"/>
      <c r="AB913" s="17"/>
      <c r="AC913" s="17"/>
      <c r="AD913" s="17"/>
      <c r="AE913" s="17"/>
    </row>
    <row r="914">
      <c r="A914" s="154"/>
      <c r="B914" s="168"/>
      <c r="C914" s="324"/>
      <c r="D914" s="154"/>
      <c r="E914" s="168"/>
      <c r="F914" s="324"/>
      <c r="G914" s="154"/>
      <c r="H914" s="168"/>
      <c r="I914" s="324"/>
      <c r="J914" s="154"/>
      <c r="K914" s="168"/>
      <c r="L914" s="324"/>
      <c r="M914" s="330"/>
      <c r="N914" s="331"/>
      <c r="O914" s="332"/>
      <c r="P914" s="330"/>
      <c r="Q914" s="331"/>
      <c r="R914" s="332"/>
      <c r="S914" s="330"/>
      <c r="T914" s="331"/>
      <c r="U914" s="332"/>
      <c r="V914" s="154"/>
      <c r="W914" s="331"/>
      <c r="X914" s="324"/>
      <c r="Y914" s="205"/>
      <c r="Z914" s="205"/>
      <c r="AA914" s="205"/>
      <c r="AB914" s="17"/>
      <c r="AC914" s="17"/>
      <c r="AD914" s="17"/>
      <c r="AE914" s="17"/>
    </row>
    <row r="915">
      <c r="A915" s="154"/>
      <c r="B915" s="168"/>
      <c r="C915" s="324"/>
      <c r="D915" s="154"/>
      <c r="E915" s="168"/>
      <c r="F915" s="324"/>
      <c r="G915" s="154"/>
      <c r="H915" s="168"/>
      <c r="I915" s="324"/>
      <c r="J915" s="154"/>
      <c r="K915" s="168"/>
      <c r="L915" s="324"/>
      <c r="M915" s="330"/>
      <c r="N915" s="331"/>
      <c r="O915" s="332"/>
      <c r="P915" s="330"/>
      <c r="Q915" s="331"/>
      <c r="R915" s="332"/>
      <c r="S915" s="330"/>
      <c r="T915" s="331"/>
      <c r="U915" s="332"/>
      <c r="V915" s="154"/>
      <c r="W915" s="331"/>
      <c r="X915" s="324"/>
      <c r="Y915" s="205"/>
      <c r="Z915" s="205"/>
      <c r="AA915" s="205"/>
      <c r="AB915" s="17"/>
      <c r="AC915" s="17"/>
      <c r="AD915" s="17"/>
      <c r="AE915" s="17"/>
    </row>
    <row r="916">
      <c r="A916" s="154"/>
      <c r="B916" s="168"/>
      <c r="C916" s="324"/>
      <c r="D916" s="154"/>
      <c r="E916" s="168"/>
      <c r="F916" s="324"/>
      <c r="G916" s="154"/>
      <c r="H916" s="168"/>
      <c r="I916" s="324"/>
      <c r="J916" s="154"/>
      <c r="K916" s="168"/>
      <c r="L916" s="324"/>
      <c r="M916" s="330"/>
      <c r="N916" s="331"/>
      <c r="O916" s="332"/>
      <c r="P916" s="330"/>
      <c r="Q916" s="331"/>
      <c r="R916" s="332"/>
      <c r="S916" s="330"/>
      <c r="T916" s="331"/>
      <c r="U916" s="332"/>
      <c r="V916" s="154"/>
      <c r="W916" s="331"/>
      <c r="X916" s="324"/>
      <c r="Y916" s="205"/>
      <c r="Z916" s="205"/>
      <c r="AA916" s="205"/>
      <c r="AB916" s="17"/>
      <c r="AC916" s="17"/>
      <c r="AD916" s="17"/>
      <c r="AE916" s="17"/>
    </row>
    <row r="917">
      <c r="A917" s="154"/>
      <c r="B917" s="168"/>
      <c r="C917" s="324"/>
      <c r="D917" s="154"/>
      <c r="E917" s="168"/>
      <c r="F917" s="324"/>
      <c r="G917" s="154"/>
      <c r="H917" s="168"/>
      <c r="I917" s="324"/>
      <c r="J917" s="154"/>
      <c r="K917" s="168"/>
      <c r="L917" s="324"/>
      <c r="M917" s="330"/>
      <c r="N917" s="331"/>
      <c r="O917" s="332"/>
      <c r="P917" s="330"/>
      <c r="Q917" s="331"/>
      <c r="R917" s="332"/>
      <c r="S917" s="330"/>
      <c r="T917" s="331"/>
      <c r="U917" s="332"/>
      <c r="V917" s="154"/>
      <c r="W917" s="331"/>
      <c r="X917" s="324"/>
      <c r="Y917" s="205"/>
      <c r="Z917" s="205"/>
      <c r="AA917" s="205"/>
      <c r="AB917" s="17"/>
      <c r="AC917" s="17"/>
      <c r="AD917" s="17"/>
      <c r="AE917" s="17"/>
    </row>
    <row r="918">
      <c r="A918" s="154"/>
      <c r="B918" s="168"/>
      <c r="C918" s="324"/>
      <c r="D918" s="154"/>
      <c r="E918" s="168"/>
      <c r="F918" s="324"/>
      <c r="G918" s="154"/>
      <c r="H918" s="168"/>
      <c r="I918" s="324"/>
      <c r="J918" s="154"/>
      <c r="K918" s="168"/>
      <c r="L918" s="324"/>
      <c r="M918" s="330"/>
      <c r="N918" s="331"/>
      <c r="O918" s="332"/>
      <c r="P918" s="330"/>
      <c r="Q918" s="331"/>
      <c r="R918" s="332"/>
      <c r="S918" s="330"/>
      <c r="T918" s="331"/>
      <c r="U918" s="332"/>
      <c r="V918" s="154"/>
      <c r="W918" s="331"/>
      <c r="X918" s="324"/>
      <c r="Y918" s="205"/>
      <c r="Z918" s="205"/>
      <c r="AA918" s="205"/>
      <c r="AB918" s="17"/>
      <c r="AC918" s="17"/>
      <c r="AD918" s="17"/>
      <c r="AE918" s="17"/>
    </row>
    <row r="919">
      <c r="A919" s="154"/>
      <c r="B919" s="168"/>
      <c r="C919" s="324"/>
      <c r="D919" s="154"/>
      <c r="E919" s="168"/>
      <c r="F919" s="324"/>
      <c r="G919" s="154"/>
      <c r="H919" s="168"/>
      <c r="I919" s="324"/>
      <c r="J919" s="154"/>
      <c r="K919" s="168"/>
      <c r="L919" s="324"/>
      <c r="M919" s="330"/>
      <c r="N919" s="331"/>
      <c r="O919" s="332"/>
      <c r="P919" s="330"/>
      <c r="Q919" s="331"/>
      <c r="R919" s="332"/>
      <c r="S919" s="330"/>
      <c r="T919" s="331"/>
      <c r="U919" s="332"/>
      <c r="V919" s="154"/>
      <c r="W919" s="331"/>
      <c r="X919" s="324"/>
      <c r="Y919" s="205"/>
      <c r="Z919" s="205"/>
      <c r="AA919" s="205"/>
      <c r="AB919" s="17"/>
      <c r="AC919" s="17"/>
      <c r="AD919" s="17"/>
      <c r="AE919" s="17"/>
    </row>
    <row r="920">
      <c r="A920" s="154"/>
      <c r="B920" s="168"/>
      <c r="C920" s="324"/>
      <c r="D920" s="154"/>
      <c r="E920" s="168"/>
      <c r="F920" s="324"/>
      <c r="G920" s="154"/>
      <c r="H920" s="168"/>
      <c r="I920" s="324"/>
      <c r="J920" s="154"/>
      <c r="K920" s="168"/>
      <c r="L920" s="324"/>
      <c r="M920" s="330"/>
      <c r="N920" s="331"/>
      <c r="O920" s="332"/>
      <c r="P920" s="330"/>
      <c r="Q920" s="331"/>
      <c r="R920" s="332"/>
      <c r="S920" s="330"/>
      <c r="T920" s="331"/>
      <c r="U920" s="332"/>
      <c r="V920" s="154"/>
      <c r="W920" s="331"/>
      <c r="X920" s="324"/>
      <c r="Y920" s="205"/>
      <c r="Z920" s="205"/>
      <c r="AA920" s="205"/>
      <c r="AB920" s="17"/>
      <c r="AC920" s="17"/>
      <c r="AD920" s="17"/>
      <c r="AE920" s="17"/>
    </row>
    <row r="921">
      <c r="A921" s="154"/>
      <c r="B921" s="168"/>
      <c r="C921" s="324"/>
      <c r="D921" s="154"/>
      <c r="E921" s="168"/>
      <c r="F921" s="324"/>
      <c r="G921" s="154"/>
      <c r="H921" s="168"/>
      <c r="I921" s="324"/>
      <c r="J921" s="154"/>
      <c r="K921" s="168"/>
      <c r="L921" s="324"/>
      <c r="M921" s="330"/>
      <c r="N921" s="331"/>
      <c r="O921" s="332"/>
      <c r="P921" s="330"/>
      <c r="Q921" s="331"/>
      <c r="R921" s="332"/>
      <c r="S921" s="330"/>
      <c r="T921" s="331"/>
      <c r="U921" s="332"/>
      <c r="V921" s="154"/>
      <c r="W921" s="331"/>
      <c r="X921" s="324"/>
      <c r="Y921" s="205"/>
      <c r="Z921" s="205"/>
      <c r="AA921" s="205"/>
      <c r="AB921" s="17"/>
      <c r="AC921" s="17"/>
      <c r="AD921" s="17"/>
      <c r="AE921" s="17"/>
    </row>
    <row r="922">
      <c r="A922" s="154"/>
      <c r="B922" s="168"/>
      <c r="C922" s="324"/>
      <c r="D922" s="154"/>
      <c r="E922" s="168"/>
      <c r="F922" s="324"/>
      <c r="G922" s="154"/>
      <c r="H922" s="168"/>
      <c r="I922" s="324"/>
      <c r="J922" s="154"/>
      <c r="K922" s="168"/>
      <c r="L922" s="324"/>
      <c r="M922" s="330"/>
      <c r="N922" s="331"/>
      <c r="O922" s="332"/>
      <c r="P922" s="330"/>
      <c r="Q922" s="331"/>
      <c r="R922" s="332"/>
      <c r="S922" s="330"/>
      <c r="T922" s="331"/>
      <c r="U922" s="332"/>
      <c r="V922" s="154"/>
      <c r="W922" s="331"/>
      <c r="X922" s="324"/>
      <c r="Y922" s="205"/>
      <c r="Z922" s="205"/>
      <c r="AA922" s="205"/>
      <c r="AB922" s="17"/>
      <c r="AC922" s="17"/>
      <c r="AD922" s="17"/>
      <c r="AE922" s="17"/>
    </row>
    <row r="923">
      <c r="A923" s="154"/>
      <c r="B923" s="168"/>
      <c r="C923" s="324"/>
      <c r="D923" s="154"/>
      <c r="E923" s="168"/>
      <c r="F923" s="324"/>
      <c r="G923" s="154"/>
      <c r="H923" s="168"/>
      <c r="I923" s="324"/>
      <c r="J923" s="154"/>
      <c r="K923" s="168"/>
      <c r="L923" s="324"/>
      <c r="M923" s="330"/>
      <c r="N923" s="331"/>
      <c r="O923" s="332"/>
      <c r="P923" s="330"/>
      <c r="Q923" s="331"/>
      <c r="R923" s="332"/>
      <c r="S923" s="330"/>
      <c r="T923" s="331"/>
      <c r="U923" s="332"/>
      <c r="V923" s="154"/>
      <c r="W923" s="331"/>
      <c r="X923" s="324"/>
      <c r="Y923" s="205"/>
      <c r="Z923" s="205"/>
      <c r="AA923" s="205"/>
      <c r="AB923" s="17"/>
      <c r="AC923" s="17"/>
      <c r="AD923" s="17"/>
      <c r="AE923" s="17"/>
    </row>
    <row r="924">
      <c r="A924" s="154"/>
      <c r="B924" s="168"/>
      <c r="C924" s="324"/>
      <c r="D924" s="154"/>
      <c r="E924" s="168"/>
      <c r="F924" s="324"/>
      <c r="G924" s="154"/>
      <c r="H924" s="168"/>
      <c r="I924" s="324"/>
      <c r="J924" s="154"/>
      <c r="K924" s="168"/>
      <c r="L924" s="324"/>
      <c r="M924" s="330"/>
      <c r="N924" s="331"/>
      <c r="O924" s="332"/>
      <c r="P924" s="330"/>
      <c r="Q924" s="331"/>
      <c r="R924" s="332"/>
      <c r="S924" s="330"/>
      <c r="T924" s="331"/>
      <c r="U924" s="332"/>
      <c r="V924" s="154"/>
      <c r="W924" s="331"/>
      <c r="X924" s="324"/>
      <c r="Y924" s="205"/>
      <c r="Z924" s="205"/>
      <c r="AA924" s="205"/>
      <c r="AB924" s="17"/>
      <c r="AC924" s="17"/>
      <c r="AD924" s="17"/>
      <c r="AE924" s="17"/>
    </row>
    <row r="925">
      <c r="A925" s="154"/>
      <c r="B925" s="168"/>
      <c r="C925" s="324"/>
      <c r="D925" s="154"/>
      <c r="E925" s="168"/>
      <c r="F925" s="324"/>
      <c r="G925" s="154"/>
      <c r="H925" s="168"/>
      <c r="I925" s="324"/>
      <c r="J925" s="154"/>
      <c r="K925" s="168"/>
      <c r="L925" s="324"/>
      <c r="M925" s="330"/>
      <c r="N925" s="331"/>
      <c r="O925" s="332"/>
      <c r="P925" s="330"/>
      <c r="Q925" s="331"/>
      <c r="R925" s="332"/>
      <c r="S925" s="330"/>
      <c r="T925" s="331"/>
      <c r="U925" s="332"/>
      <c r="V925" s="154"/>
      <c r="W925" s="331"/>
      <c r="X925" s="324"/>
      <c r="Y925" s="205"/>
      <c r="Z925" s="205"/>
      <c r="AA925" s="205"/>
      <c r="AB925" s="17"/>
      <c r="AC925" s="17"/>
      <c r="AD925" s="17"/>
      <c r="AE925" s="17"/>
    </row>
    <row r="926">
      <c r="A926" s="154"/>
      <c r="B926" s="168"/>
      <c r="C926" s="324"/>
      <c r="D926" s="154"/>
      <c r="E926" s="168"/>
      <c r="F926" s="324"/>
      <c r="G926" s="154"/>
      <c r="H926" s="168"/>
      <c r="I926" s="324"/>
      <c r="J926" s="154"/>
      <c r="K926" s="168"/>
      <c r="L926" s="324"/>
      <c r="M926" s="330"/>
      <c r="N926" s="331"/>
      <c r="O926" s="332"/>
      <c r="P926" s="330"/>
      <c r="Q926" s="331"/>
      <c r="R926" s="332"/>
      <c r="S926" s="330"/>
      <c r="T926" s="331"/>
      <c r="U926" s="332"/>
      <c r="V926" s="154"/>
      <c r="W926" s="331"/>
      <c r="X926" s="324"/>
      <c r="Y926" s="205"/>
      <c r="Z926" s="205"/>
      <c r="AA926" s="205"/>
      <c r="AB926" s="17"/>
      <c r="AC926" s="17"/>
      <c r="AD926" s="17"/>
      <c r="AE926" s="17"/>
    </row>
    <row r="927">
      <c r="A927" s="154"/>
      <c r="B927" s="168"/>
      <c r="C927" s="324"/>
      <c r="D927" s="154"/>
      <c r="E927" s="168"/>
      <c r="F927" s="324"/>
      <c r="G927" s="154"/>
      <c r="H927" s="168"/>
      <c r="I927" s="324"/>
      <c r="J927" s="154"/>
      <c r="K927" s="168"/>
      <c r="L927" s="324"/>
      <c r="M927" s="330"/>
      <c r="N927" s="331"/>
      <c r="O927" s="332"/>
      <c r="P927" s="330"/>
      <c r="Q927" s="331"/>
      <c r="R927" s="332"/>
      <c r="S927" s="330"/>
      <c r="T927" s="331"/>
      <c r="U927" s="332"/>
      <c r="V927" s="154"/>
      <c r="W927" s="331"/>
      <c r="X927" s="324"/>
      <c r="Y927" s="205"/>
      <c r="Z927" s="205"/>
      <c r="AA927" s="205"/>
      <c r="AB927" s="17"/>
      <c r="AC927" s="17"/>
      <c r="AD927" s="17"/>
      <c r="AE927" s="17"/>
    </row>
    <row r="928">
      <c r="A928" s="154"/>
      <c r="B928" s="168"/>
      <c r="C928" s="324"/>
      <c r="D928" s="154"/>
      <c r="E928" s="168"/>
      <c r="F928" s="324"/>
      <c r="G928" s="154"/>
      <c r="H928" s="168"/>
      <c r="I928" s="324"/>
      <c r="J928" s="154"/>
      <c r="K928" s="168"/>
      <c r="L928" s="324"/>
      <c r="M928" s="330"/>
      <c r="N928" s="331"/>
      <c r="O928" s="332"/>
      <c r="P928" s="330"/>
      <c r="Q928" s="331"/>
      <c r="R928" s="332"/>
      <c r="S928" s="330"/>
      <c r="T928" s="331"/>
      <c r="U928" s="332"/>
      <c r="V928" s="154"/>
      <c r="W928" s="331"/>
      <c r="X928" s="324"/>
      <c r="Y928" s="205"/>
      <c r="Z928" s="205"/>
      <c r="AA928" s="205"/>
      <c r="AB928" s="17"/>
      <c r="AC928" s="17"/>
      <c r="AD928" s="17"/>
      <c r="AE928" s="17"/>
    </row>
    <row r="929">
      <c r="A929" s="154"/>
      <c r="B929" s="168"/>
      <c r="C929" s="324"/>
      <c r="D929" s="154"/>
      <c r="E929" s="168"/>
      <c r="F929" s="324"/>
      <c r="G929" s="154"/>
      <c r="H929" s="168"/>
      <c r="I929" s="324"/>
      <c r="J929" s="154"/>
      <c r="K929" s="168"/>
      <c r="L929" s="324"/>
      <c r="M929" s="330"/>
      <c r="N929" s="331"/>
      <c r="O929" s="332"/>
      <c r="P929" s="330"/>
      <c r="Q929" s="331"/>
      <c r="R929" s="332"/>
      <c r="S929" s="330"/>
      <c r="T929" s="331"/>
      <c r="U929" s="332"/>
      <c r="V929" s="154"/>
      <c r="W929" s="331"/>
      <c r="X929" s="324"/>
      <c r="Y929" s="205"/>
      <c r="Z929" s="205"/>
      <c r="AA929" s="205"/>
      <c r="AB929" s="17"/>
      <c r="AC929" s="17"/>
      <c r="AD929" s="17"/>
      <c r="AE929" s="17"/>
    </row>
    <row r="930">
      <c r="A930" s="154"/>
      <c r="B930" s="168"/>
      <c r="C930" s="324"/>
      <c r="D930" s="154"/>
      <c r="E930" s="168"/>
      <c r="F930" s="324"/>
      <c r="G930" s="154"/>
      <c r="H930" s="168"/>
      <c r="I930" s="324"/>
      <c r="J930" s="154"/>
      <c r="K930" s="168"/>
      <c r="L930" s="324"/>
      <c r="M930" s="330"/>
      <c r="N930" s="331"/>
      <c r="O930" s="332"/>
      <c r="P930" s="330"/>
      <c r="Q930" s="331"/>
      <c r="R930" s="332"/>
      <c r="S930" s="330"/>
      <c r="T930" s="331"/>
      <c r="U930" s="332"/>
      <c r="V930" s="154"/>
      <c r="W930" s="331"/>
      <c r="X930" s="324"/>
      <c r="Y930" s="205"/>
      <c r="Z930" s="205"/>
      <c r="AA930" s="205"/>
      <c r="AB930" s="17"/>
      <c r="AC930" s="17"/>
      <c r="AD930" s="17"/>
      <c r="AE930" s="17"/>
    </row>
    <row r="931">
      <c r="A931" s="154"/>
      <c r="B931" s="168"/>
      <c r="C931" s="324"/>
      <c r="D931" s="154"/>
      <c r="E931" s="168"/>
      <c r="F931" s="324"/>
      <c r="G931" s="154"/>
      <c r="H931" s="168"/>
      <c r="I931" s="324"/>
      <c r="J931" s="154"/>
      <c r="K931" s="168"/>
      <c r="L931" s="324"/>
      <c r="M931" s="330"/>
      <c r="N931" s="331"/>
      <c r="O931" s="332"/>
      <c r="P931" s="330"/>
      <c r="Q931" s="331"/>
      <c r="R931" s="332"/>
      <c r="S931" s="330"/>
      <c r="T931" s="331"/>
      <c r="U931" s="332"/>
      <c r="V931" s="154"/>
      <c r="W931" s="331"/>
      <c r="X931" s="324"/>
      <c r="Y931" s="205"/>
      <c r="Z931" s="205"/>
      <c r="AA931" s="205"/>
      <c r="AB931" s="17"/>
      <c r="AC931" s="17"/>
      <c r="AD931" s="17"/>
      <c r="AE931" s="17"/>
    </row>
    <row r="932">
      <c r="A932" s="154"/>
      <c r="B932" s="168"/>
      <c r="C932" s="324"/>
      <c r="D932" s="154"/>
      <c r="E932" s="168"/>
      <c r="F932" s="324"/>
      <c r="G932" s="154"/>
      <c r="H932" s="168"/>
      <c r="I932" s="324"/>
      <c r="J932" s="154"/>
      <c r="K932" s="168"/>
      <c r="L932" s="324"/>
      <c r="M932" s="330"/>
      <c r="N932" s="331"/>
      <c r="O932" s="332"/>
      <c r="P932" s="330"/>
      <c r="Q932" s="331"/>
      <c r="R932" s="332"/>
      <c r="S932" s="330"/>
      <c r="T932" s="331"/>
      <c r="U932" s="332"/>
      <c r="V932" s="154"/>
      <c r="W932" s="331"/>
      <c r="X932" s="324"/>
      <c r="Y932" s="205"/>
      <c r="Z932" s="205"/>
      <c r="AA932" s="205"/>
      <c r="AB932" s="17"/>
      <c r="AC932" s="17"/>
      <c r="AD932" s="17"/>
      <c r="AE932" s="17"/>
    </row>
    <row r="933">
      <c r="A933" s="154"/>
      <c r="B933" s="168"/>
      <c r="C933" s="324"/>
      <c r="D933" s="154"/>
      <c r="E933" s="168"/>
      <c r="F933" s="324"/>
      <c r="G933" s="154"/>
      <c r="H933" s="168"/>
      <c r="I933" s="324"/>
      <c r="J933" s="154"/>
      <c r="K933" s="168"/>
      <c r="L933" s="324"/>
      <c r="M933" s="330"/>
      <c r="N933" s="331"/>
      <c r="O933" s="332"/>
      <c r="P933" s="330"/>
      <c r="Q933" s="331"/>
      <c r="R933" s="332"/>
      <c r="S933" s="330"/>
      <c r="T933" s="331"/>
      <c r="U933" s="332"/>
      <c r="V933" s="154"/>
      <c r="W933" s="331"/>
      <c r="X933" s="324"/>
      <c r="Y933" s="205"/>
      <c r="Z933" s="205"/>
      <c r="AA933" s="205"/>
      <c r="AB933" s="17"/>
      <c r="AC933" s="17"/>
      <c r="AD933" s="17"/>
      <c r="AE933" s="17"/>
    </row>
    <row r="934">
      <c r="A934" s="154"/>
      <c r="B934" s="168"/>
      <c r="C934" s="324"/>
      <c r="D934" s="154"/>
      <c r="E934" s="168"/>
      <c r="F934" s="324"/>
      <c r="G934" s="154"/>
      <c r="H934" s="168"/>
      <c r="I934" s="324"/>
      <c r="J934" s="154"/>
      <c r="K934" s="168"/>
      <c r="L934" s="324"/>
      <c r="M934" s="330"/>
      <c r="N934" s="331"/>
      <c r="O934" s="332"/>
      <c r="P934" s="330"/>
      <c r="Q934" s="331"/>
      <c r="R934" s="332"/>
      <c r="S934" s="330"/>
      <c r="T934" s="331"/>
      <c r="U934" s="332"/>
      <c r="V934" s="154"/>
      <c r="W934" s="331"/>
      <c r="X934" s="324"/>
      <c r="Y934" s="205"/>
      <c r="Z934" s="205"/>
      <c r="AA934" s="205"/>
      <c r="AB934" s="17"/>
      <c r="AC934" s="17"/>
      <c r="AD934" s="17"/>
      <c r="AE934" s="17"/>
    </row>
    <row r="935">
      <c r="A935" s="154"/>
      <c r="B935" s="168"/>
      <c r="C935" s="324"/>
      <c r="D935" s="154"/>
      <c r="E935" s="168"/>
      <c r="F935" s="324"/>
      <c r="G935" s="154"/>
      <c r="H935" s="168"/>
      <c r="I935" s="324"/>
      <c r="J935" s="154"/>
      <c r="K935" s="168"/>
      <c r="L935" s="324"/>
      <c r="M935" s="330"/>
      <c r="N935" s="331"/>
      <c r="O935" s="332"/>
      <c r="P935" s="330"/>
      <c r="Q935" s="331"/>
      <c r="R935" s="332"/>
      <c r="S935" s="330"/>
      <c r="T935" s="331"/>
      <c r="U935" s="332"/>
      <c r="V935" s="154"/>
      <c r="W935" s="331"/>
      <c r="X935" s="324"/>
      <c r="Y935" s="205"/>
      <c r="Z935" s="205"/>
      <c r="AA935" s="205"/>
      <c r="AB935" s="17"/>
      <c r="AC935" s="17"/>
      <c r="AD935" s="17"/>
      <c r="AE935" s="17"/>
    </row>
    <row r="936">
      <c r="A936" s="154"/>
      <c r="B936" s="168"/>
      <c r="C936" s="324"/>
      <c r="D936" s="154"/>
      <c r="E936" s="168"/>
      <c r="F936" s="324"/>
      <c r="G936" s="154"/>
      <c r="H936" s="168"/>
      <c r="I936" s="324"/>
      <c r="J936" s="154"/>
      <c r="K936" s="168"/>
      <c r="L936" s="324"/>
      <c r="M936" s="330"/>
      <c r="N936" s="331"/>
      <c r="O936" s="332"/>
      <c r="P936" s="330"/>
      <c r="Q936" s="331"/>
      <c r="R936" s="332"/>
      <c r="S936" s="330"/>
      <c r="T936" s="331"/>
      <c r="U936" s="332"/>
      <c r="V936" s="154"/>
      <c r="W936" s="331"/>
      <c r="X936" s="324"/>
      <c r="Y936" s="205"/>
      <c r="Z936" s="205"/>
      <c r="AA936" s="205"/>
      <c r="AB936" s="17"/>
      <c r="AC936" s="17"/>
      <c r="AD936" s="17"/>
      <c r="AE936" s="17"/>
    </row>
    <row r="937">
      <c r="A937" s="154"/>
      <c r="B937" s="168"/>
      <c r="C937" s="324"/>
      <c r="D937" s="154"/>
      <c r="E937" s="168"/>
      <c r="F937" s="324"/>
      <c r="G937" s="154"/>
      <c r="H937" s="168"/>
      <c r="I937" s="324"/>
      <c r="J937" s="154"/>
      <c r="K937" s="168"/>
      <c r="L937" s="324"/>
      <c r="M937" s="330"/>
      <c r="N937" s="331"/>
      <c r="O937" s="332"/>
      <c r="P937" s="330"/>
      <c r="Q937" s="331"/>
      <c r="R937" s="332"/>
      <c r="S937" s="330"/>
      <c r="T937" s="331"/>
      <c r="U937" s="332"/>
      <c r="V937" s="154"/>
      <c r="W937" s="331"/>
      <c r="X937" s="324"/>
      <c r="Y937" s="205"/>
      <c r="Z937" s="205"/>
      <c r="AA937" s="205"/>
      <c r="AB937" s="17"/>
      <c r="AC937" s="17"/>
      <c r="AD937" s="17"/>
      <c r="AE937" s="17"/>
    </row>
    <row r="938">
      <c r="A938" s="154"/>
      <c r="B938" s="168"/>
      <c r="C938" s="324"/>
      <c r="D938" s="154"/>
      <c r="E938" s="168"/>
      <c r="F938" s="324"/>
      <c r="G938" s="154"/>
      <c r="H938" s="168"/>
      <c r="I938" s="324"/>
      <c r="J938" s="154"/>
      <c r="K938" s="168"/>
      <c r="L938" s="324"/>
      <c r="M938" s="330"/>
      <c r="N938" s="331"/>
      <c r="O938" s="332"/>
      <c r="P938" s="330"/>
      <c r="Q938" s="331"/>
      <c r="R938" s="332"/>
      <c r="S938" s="330"/>
      <c r="T938" s="331"/>
      <c r="U938" s="332"/>
      <c r="V938" s="154"/>
      <c r="W938" s="331"/>
      <c r="X938" s="324"/>
      <c r="Y938" s="205"/>
      <c r="Z938" s="205"/>
      <c r="AA938" s="205"/>
      <c r="AB938" s="17"/>
      <c r="AC938" s="17"/>
      <c r="AD938" s="17"/>
      <c r="AE938" s="17"/>
    </row>
    <row r="939">
      <c r="A939" s="154"/>
      <c r="B939" s="168"/>
      <c r="C939" s="324"/>
      <c r="D939" s="154"/>
      <c r="E939" s="168"/>
      <c r="F939" s="324"/>
      <c r="G939" s="154"/>
      <c r="H939" s="168"/>
      <c r="I939" s="324"/>
      <c r="J939" s="154"/>
      <c r="K939" s="168"/>
      <c r="L939" s="324"/>
      <c r="M939" s="330"/>
      <c r="N939" s="331"/>
      <c r="O939" s="332"/>
      <c r="P939" s="330"/>
      <c r="Q939" s="331"/>
      <c r="R939" s="332"/>
      <c r="S939" s="330"/>
      <c r="T939" s="331"/>
      <c r="U939" s="332"/>
      <c r="V939" s="154"/>
      <c r="W939" s="331"/>
      <c r="X939" s="324"/>
      <c r="Y939" s="205"/>
      <c r="Z939" s="205"/>
      <c r="AA939" s="205"/>
      <c r="AB939" s="17"/>
      <c r="AC939" s="17"/>
      <c r="AD939" s="17"/>
      <c r="AE939" s="17"/>
    </row>
    <row r="940">
      <c r="A940" s="154"/>
      <c r="B940" s="168"/>
      <c r="C940" s="324"/>
      <c r="D940" s="154"/>
      <c r="E940" s="168"/>
      <c r="F940" s="324"/>
      <c r="G940" s="154"/>
      <c r="H940" s="168"/>
      <c r="I940" s="324"/>
      <c r="J940" s="154"/>
      <c r="K940" s="168"/>
      <c r="L940" s="324"/>
      <c r="M940" s="330"/>
      <c r="N940" s="331"/>
      <c r="O940" s="332"/>
      <c r="P940" s="330"/>
      <c r="Q940" s="331"/>
      <c r="R940" s="332"/>
      <c r="S940" s="330"/>
      <c r="T940" s="331"/>
      <c r="U940" s="332"/>
      <c r="V940" s="154"/>
      <c r="W940" s="331"/>
      <c r="X940" s="324"/>
      <c r="Y940" s="205"/>
      <c r="Z940" s="205"/>
      <c r="AA940" s="205"/>
      <c r="AB940" s="17"/>
      <c r="AC940" s="17"/>
      <c r="AD940" s="17"/>
      <c r="AE940" s="17"/>
    </row>
    <row r="941">
      <c r="A941" s="154"/>
      <c r="B941" s="168"/>
      <c r="C941" s="324"/>
      <c r="D941" s="154"/>
      <c r="E941" s="168"/>
      <c r="F941" s="324"/>
      <c r="G941" s="154"/>
      <c r="H941" s="168"/>
      <c r="I941" s="324"/>
      <c r="J941" s="154"/>
      <c r="K941" s="168"/>
      <c r="L941" s="324"/>
      <c r="M941" s="330"/>
      <c r="N941" s="331"/>
      <c r="O941" s="332"/>
      <c r="P941" s="330"/>
      <c r="Q941" s="331"/>
      <c r="R941" s="332"/>
      <c r="S941" s="330"/>
      <c r="T941" s="331"/>
      <c r="U941" s="332"/>
      <c r="V941" s="154"/>
      <c r="W941" s="331"/>
      <c r="X941" s="324"/>
      <c r="Y941" s="205"/>
      <c r="Z941" s="205"/>
      <c r="AA941" s="205"/>
      <c r="AB941" s="17"/>
      <c r="AC941" s="17"/>
      <c r="AD941" s="17"/>
      <c r="AE941" s="17"/>
    </row>
    <row r="942">
      <c r="A942" s="154"/>
      <c r="B942" s="168"/>
      <c r="C942" s="324"/>
      <c r="D942" s="154"/>
      <c r="E942" s="168"/>
      <c r="F942" s="324"/>
      <c r="G942" s="154"/>
      <c r="H942" s="168"/>
      <c r="I942" s="324"/>
      <c r="J942" s="154"/>
      <c r="K942" s="168"/>
      <c r="L942" s="324"/>
      <c r="M942" s="330"/>
      <c r="N942" s="331"/>
      <c r="O942" s="332"/>
      <c r="P942" s="330"/>
      <c r="Q942" s="331"/>
      <c r="R942" s="332"/>
      <c r="S942" s="330"/>
      <c r="T942" s="331"/>
      <c r="U942" s="332"/>
      <c r="V942" s="154"/>
      <c r="W942" s="331"/>
      <c r="X942" s="324"/>
      <c r="Y942" s="205"/>
      <c r="Z942" s="205"/>
      <c r="AA942" s="205"/>
      <c r="AB942" s="17"/>
      <c r="AC942" s="17"/>
      <c r="AD942" s="17"/>
      <c r="AE942" s="17"/>
    </row>
    <row r="943">
      <c r="A943" s="154"/>
      <c r="B943" s="168"/>
      <c r="C943" s="324"/>
      <c r="D943" s="154"/>
      <c r="E943" s="168"/>
      <c r="F943" s="324"/>
      <c r="G943" s="154"/>
      <c r="H943" s="168"/>
      <c r="I943" s="324"/>
      <c r="J943" s="154"/>
      <c r="K943" s="168"/>
      <c r="L943" s="324"/>
      <c r="M943" s="330"/>
      <c r="N943" s="331"/>
      <c r="O943" s="332"/>
      <c r="P943" s="330"/>
      <c r="Q943" s="331"/>
      <c r="R943" s="332"/>
      <c r="S943" s="330"/>
      <c r="T943" s="331"/>
      <c r="U943" s="332"/>
      <c r="V943" s="154"/>
      <c r="W943" s="331"/>
      <c r="X943" s="324"/>
      <c r="Y943" s="205"/>
      <c r="Z943" s="205"/>
      <c r="AA943" s="205"/>
      <c r="AB943" s="17"/>
      <c r="AC943" s="17"/>
      <c r="AD943" s="17"/>
      <c r="AE943" s="17"/>
    </row>
    <row r="944">
      <c r="A944" s="154"/>
      <c r="B944" s="168"/>
      <c r="C944" s="324"/>
      <c r="D944" s="154"/>
      <c r="E944" s="168"/>
      <c r="F944" s="324"/>
      <c r="G944" s="154"/>
      <c r="H944" s="168"/>
      <c r="I944" s="324"/>
      <c r="J944" s="154"/>
      <c r="K944" s="168"/>
      <c r="L944" s="324"/>
      <c r="M944" s="330"/>
      <c r="N944" s="331"/>
      <c r="O944" s="332"/>
      <c r="P944" s="330"/>
      <c r="Q944" s="331"/>
      <c r="R944" s="332"/>
      <c r="S944" s="330"/>
      <c r="T944" s="331"/>
      <c r="U944" s="332"/>
      <c r="V944" s="154"/>
      <c r="W944" s="331"/>
      <c r="X944" s="324"/>
      <c r="Y944" s="205"/>
      <c r="Z944" s="205"/>
      <c r="AA944" s="205"/>
      <c r="AB944" s="17"/>
      <c r="AC944" s="17"/>
      <c r="AD944" s="17"/>
      <c r="AE944" s="17"/>
    </row>
    <row r="945">
      <c r="A945" s="154"/>
      <c r="B945" s="168"/>
      <c r="C945" s="324"/>
      <c r="D945" s="154"/>
      <c r="E945" s="168"/>
      <c r="F945" s="324"/>
      <c r="G945" s="154"/>
      <c r="H945" s="168"/>
      <c r="I945" s="324"/>
      <c r="J945" s="154"/>
      <c r="K945" s="168"/>
      <c r="L945" s="324"/>
      <c r="M945" s="330"/>
      <c r="N945" s="331"/>
      <c r="O945" s="332"/>
      <c r="P945" s="330"/>
      <c r="Q945" s="331"/>
      <c r="R945" s="332"/>
      <c r="S945" s="330"/>
      <c r="T945" s="331"/>
      <c r="U945" s="332"/>
      <c r="V945" s="154"/>
      <c r="W945" s="331"/>
      <c r="X945" s="324"/>
      <c r="Y945" s="205"/>
      <c r="Z945" s="205"/>
      <c r="AA945" s="205"/>
      <c r="AB945" s="17"/>
      <c r="AC945" s="17"/>
      <c r="AD945" s="17"/>
      <c r="AE945" s="17"/>
    </row>
    <row r="946">
      <c r="A946" s="154"/>
      <c r="B946" s="168"/>
      <c r="C946" s="324"/>
      <c r="D946" s="154"/>
      <c r="E946" s="168"/>
      <c r="F946" s="324"/>
      <c r="G946" s="154"/>
      <c r="H946" s="168"/>
      <c r="I946" s="324"/>
      <c r="J946" s="154"/>
      <c r="K946" s="168"/>
      <c r="L946" s="324"/>
      <c r="M946" s="330"/>
      <c r="N946" s="331"/>
      <c r="O946" s="332"/>
      <c r="P946" s="330"/>
      <c r="Q946" s="331"/>
      <c r="R946" s="332"/>
      <c r="S946" s="330"/>
      <c r="T946" s="331"/>
      <c r="U946" s="332"/>
      <c r="V946" s="154"/>
      <c r="W946" s="331"/>
      <c r="X946" s="324"/>
      <c r="Y946" s="205"/>
      <c r="Z946" s="205"/>
      <c r="AA946" s="205"/>
      <c r="AB946" s="17"/>
      <c r="AC946" s="17"/>
      <c r="AD946" s="17"/>
      <c r="AE946" s="17"/>
    </row>
    <row r="947">
      <c r="A947" s="154"/>
      <c r="B947" s="168"/>
      <c r="C947" s="324"/>
      <c r="D947" s="154"/>
      <c r="E947" s="168"/>
      <c r="F947" s="324"/>
      <c r="G947" s="154"/>
      <c r="H947" s="168"/>
      <c r="I947" s="324"/>
      <c r="J947" s="154"/>
      <c r="K947" s="168"/>
      <c r="L947" s="324"/>
      <c r="M947" s="330"/>
      <c r="N947" s="331"/>
      <c r="O947" s="332"/>
      <c r="P947" s="330"/>
      <c r="Q947" s="331"/>
      <c r="R947" s="332"/>
      <c r="S947" s="330"/>
      <c r="T947" s="331"/>
      <c r="U947" s="332"/>
      <c r="V947" s="154"/>
      <c r="W947" s="331"/>
      <c r="X947" s="324"/>
      <c r="Y947" s="205"/>
      <c r="Z947" s="205"/>
      <c r="AA947" s="205"/>
      <c r="AB947" s="17"/>
      <c r="AC947" s="17"/>
      <c r="AD947" s="17"/>
      <c r="AE947" s="17"/>
    </row>
    <row r="948">
      <c r="A948" s="154"/>
      <c r="B948" s="168"/>
      <c r="C948" s="324"/>
      <c r="D948" s="154"/>
      <c r="E948" s="168"/>
      <c r="F948" s="324"/>
      <c r="G948" s="154"/>
      <c r="H948" s="168"/>
      <c r="I948" s="324"/>
      <c r="J948" s="154"/>
      <c r="K948" s="168"/>
      <c r="L948" s="324"/>
      <c r="M948" s="330"/>
      <c r="N948" s="331"/>
      <c r="O948" s="332"/>
      <c r="P948" s="330"/>
      <c r="Q948" s="331"/>
      <c r="R948" s="332"/>
      <c r="S948" s="330"/>
      <c r="T948" s="331"/>
      <c r="U948" s="332"/>
      <c r="V948" s="154"/>
      <c r="W948" s="331"/>
      <c r="X948" s="324"/>
      <c r="Y948" s="205"/>
      <c r="Z948" s="205"/>
      <c r="AA948" s="205"/>
      <c r="AB948" s="17"/>
      <c r="AC948" s="17"/>
      <c r="AD948" s="17"/>
      <c r="AE948" s="17"/>
    </row>
    <row r="949">
      <c r="A949" s="154"/>
      <c r="B949" s="168"/>
      <c r="C949" s="324"/>
      <c r="D949" s="154"/>
      <c r="E949" s="168"/>
      <c r="F949" s="324"/>
      <c r="G949" s="154"/>
      <c r="H949" s="168"/>
      <c r="I949" s="324"/>
      <c r="J949" s="154"/>
      <c r="K949" s="168"/>
      <c r="L949" s="324"/>
      <c r="M949" s="330"/>
      <c r="N949" s="331"/>
      <c r="O949" s="332"/>
      <c r="P949" s="330"/>
      <c r="Q949" s="331"/>
      <c r="R949" s="332"/>
      <c r="S949" s="330"/>
      <c r="T949" s="331"/>
      <c r="U949" s="332"/>
      <c r="V949" s="154"/>
      <c r="W949" s="331"/>
      <c r="X949" s="324"/>
      <c r="Y949" s="205"/>
      <c r="Z949" s="205"/>
      <c r="AA949" s="205"/>
      <c r="AB949" s="17"/>
      <c r="AC949" s="17"/>
      <c r="AD949" s="17"/>
      <c r="AE949" s="17"/>
    </row>
    <row r="950">
      <c r="A950" s="154"/>
      <c r="B950" s="168"/>
      <c r="C950" s="324"/>
      <c r="D950" s="154"/>
      <c r="E950" s="168"/>
      <c r="F950" s="324"/>
      <c r="G950" s="154"/>
      <c r="H950" s="168"/>
      <c r="I950" s="324"/>
      <c r="J950" s="154"/>
      <c r="K950" s="168"/>
      <c r="L950" s="324"/>
      <c r="M950" s="330"/>
      <c r="N950" s="331"/>
      <c r="O950" s="332"/>
      <c r="P950" s="330"/>
      <c r="Q950" s="331"/>
      <c r="R950" s="332"/>
      <c r="S950" s="330"/>
      <c r="T950" s="331"/>
      <c r="U950" s="332"/>
      <c r="V950" s="154"/>
      <c r="W950" s="331"/>
      <c r="X950" s="324"/>
      <c r="Y950" s="205"/>
      <c r="Z950" s="205"/>
      <c r="AA950" s="205"/>
      <c r="AB950" s="17"/>
      <c r="AC950" s="17"/>
      <c r="AD950" s="17"/>
      <c r="AE950" s="17"/>
    </row>
    <row r="951">
      <c r="A951" s="154"/>
      <c r="B951" s="168"/>
      <c r="C951" s="324"/>
      <c r="D951" s="154"/>
      <c r="E951" s="168"/>
      <c r="F951" s="324"/>
      <c r="G951" s="154"/>
      <c r="H951" s="168"/>
      <c r="I951" s="324"/>
      <c r="J951" s="154"/>
      <c r="K951" s="168"/>
      <c r="L951" s="324"/>
      <c r="M951" s="330"/>
      <c r="N951" s="331"/>
      <c r="O951" s="332"/>
      <c r="P951" s="330"/>
      <c r="Q951" s="331"/>
      <c r="R951" s="332"/>
      <c r="S951" s="330"/>
      <c r="T951" s="331"/>
      <c r="U951" s="332"/>
      <c r="V951" s="154"/>
      <c r="W951" s="331"/>
      <c r="X951" s="324"/>
      <c r="Y951" s="205"/>
      <c r="Z951" s="205"/>
      <c r="AA951" s="205"/>
      <c r="AB951" s="17"/>
      <c r="AC951" s="17"/>
      <c r="AD951" s="17"/>
      <c r="AE951" s="17"/>
    </row>
    <row r="952">
      <c r="A952" s="154"/>
      <c r="B952" s="168"/>
      <c r="C952" s="324"/>
      <c r="D952" s="154"/>
      <c r="E952" s="168"/>
      <c r="F952" s="324"/>
      <c r="G952" s="154"/>
      <c r="H952" s="168"/>
      <c r="I952" s="324"/>
      <c r="J952" s="154"/>
      <c r="K952" s="168"/>
      <c r="L952" s="324"/>
      <c r="M952" s="330"/>
      <c r="N952" s="331"/>
      <c r="O952" s="332"/>
      <c r="P952" s="330"/>
      <c r="Q952" s="331"/>
      <c r="R952" s="332"/>
      <c r="S952" s="330"/>
      <c r="T952" s="331"/>
      <c r="U952" s="332"/>
      <c r="V952" s="154"/>
      <c r="W952" s="331"/>
      <c r="X952" s="324"/>
      <c r="Y952" s="205"/>
      <c r="Z952" s="205"/>
      <c r="AA952" s="205"/>
      <c r="AB952" s="17"/>
      <c r="AC952" s="17"/>
      <c r="AD952" s="17"/>
      <c r="AE952" s="17"/>
    </row>
    <row r="953">
      <c r="A953" s="154"/>
      <c r="B953" s="168"/>
      <c r="C953" s="324"/>
      <c r="D953" s="154"/>
      <c r="E953" s="168"/>
      <c r="F953" s="324"/>
      <c r="G953" s="154"/>
      <c r="H953" s="168"/>
      <c r="I953" s="324"/>
      <c r="J953" s="154"/>
      <c r="K953" s="168"/>
      <c r="L953" s="324"/>
      <c r="M953" s="330"/>
      <c r="N953" s="331"/>
      <c r="O953" s="332"/>
      <c r="P953" s="330"/>
      <c r="Q953" s="331"/>
      <c r="R953" s="332"/>
      <c r="S953" s="330"/>
      <c r="T953" s="331"/>
      <c r="U953" s="332"/>
      <c r="V953" s="154"/>
      <c r="W953" s="331"/>
      <c r="X953" s="324"/>
      <c r="Y953" s="205"/>
      <c r="Z953" s="205"/>
      <c r="AA953" s="205"/>
      <c r="AB953" s="17"/>
      <c r="AC953" s="17"/>
      <c r="AD953" s="17"/>
      <c r="AE953" s="17"/>
    </row>
    <row r="954">
      <c r="A954" s="154"/>
      <c r="B954" s="168"/>
      <c r="C954" s="324"/>
      <c r="D954" s="154"/>
      <c r="E954" s="168"/>
      <c r="F954" s="324"/>
      <c r="G954" s="154"/>
      <c r="H954" s="168"/>
      <c r="I954" s="324"/>
      <c r="J954" s="154"/>
      <c r="K954" s="168"/>
      <c r="L954" s="324"/>
      <c r="M954" s="330"/>
      <c r="N954" s="331"/>
      <c r="O954" s="332"/>
      <c r="P954" s="330"/>
      <c r="Q954" s="331"/>
      <c r="R954" s="332"/>
      <c r="S954" s="330"/>
      <c r="T954" s="331"/>
      <c r="U954" s="332"/>
      <c r="V954" s="154"/>
      <c r="W954" s="331"/>
      <c r="X954" s="324"/>
      <c r="Y954" s="205"/>
      <c r="Z954" s="205"/>
      <c r="AA954" s="205"/>
      <c r="AB954" s="17"/>
      <c r="AC954" s="17"/>
      <c r="AD954" s="17"/>
      <c r="AE954" s="17"/>
    </row>
    <row r="955">
      <c r="A955" s="154"/>
      <c r="B955" s="168"/>
      <c r="C955" s="324"/>
      <c r="D955" s="154"/>
      <c r="E955" s="168"/>
      <c r="F955" s="324"/>
      <c r="G955" s="154"/>
      <c r="H955" s="168"/>
      <c r="I955" s="324"/>
      <c r="J955" s="154"/>
      <c r="K955" s="168"/>
      <c r="L955" s="324"/>
      <c r="M955" s="330"/>
      <c r="N955" s="331"/>
      <c r="O955" s="332"/>
      <c r="P955" s="330"/>
      <c r="Q955" s="331"/>
      <c r="R955" s="332"/>
      <c r="S955" s="330"/>
      <c r="T955" s="331"/>
      <c r="U955" s="332"/>
      <c r="V955" s="154"/>
      <c r="W955" s="331"/>
      <c r="X955" s="324"/>
      <c r="Y955" s="205"/>
      <c r="Z955" s="205"/>
      <c r="AA955" s="205"/>
      <c r="AB955" s="17"/>
      <c r="AC955" s="17"/>
      <c r="AD955" s="17"/>
      <c r="AE955" s="17"/>
    </row>
    <row r="956">
      <c r="A956" s="154"/>
      <c r="B956" s="168"/>
      <c r="C956" s="324"/>
      <c r="D956" s="154"/>
      <c r="E956" s="168"/>
      <c r="F956" s="324"/>
      <c r="G956" s="154"/>
      <c r="H956" s="168"/>
      <c r="I956" s="324"/>
      <c r="J956" s="154"/>
      <c r="K956" s="168"/>
      <c r="L956" s="324"/>
      <c r="M956" s="330"/>
      <c r="N956" s="331"/>
      <c r="O956" s="332"/>
      <c r="P956" s="330"/>
      <c r="Q956" s="331"/>
      <c r="R956" s="332"/>
      <c r="S956" s="330"/>
      <c r="T956" s="331"/>
      <c r="U956" s="332"/>
      <c r="V956" s="154"/>
      <c r="W956" s="331"/>
      <c r="X956" s="324"/>
      <c r="Y956" s="205"/>
      <c r="Z956" s="205"/>
      <c r="AA956" s="205"/>
      <c r="AB956" s="17"/>
      <c r="AC956" s="17"/>
      <c r="AD956" s="17"/>
      <c r="AE956" s="17"/>
    </row>
    <row r="957">
      <c r="A957" s="154"/>
      <c r="B957" s="168"/>
      <c r="C957" s="324"/>
      <c r="D957" s="154"/>
      <c r="E957" s="168"/>
      <c r="F957" s="324"/>
      <c r="G957" s="154"/>
      <c r="H957" s="168"/>
      <c r="I957" s="324"/>
      <c r="J957" s="154"/>
      <c r="K957" s="168"/>
      <c r="L957" s="324"/>
      <c r="M957" s="330"/>
      <c r="N957" s="331"/>
      <c r="O957" s="332"/>
      <c r="P957" s="330"/>
      <c r="Q957" s="331"/>
      <c r="R957" s="332"/>
      <c r="S957" s="330"/>
      <c r="T957" s="331"/>
      <c r="U957" s="332"/>
      <c r="V957" s="154"/>
      <c r="W957" s="331"/>
      <c r="X957" s="324"/>
      <c r="Y957" s="205"/>
      <c r="Z957" s="205"/>
      <c r="AA957" s="205"/>
      <c r="AB957" s="17"/>
      <c r="AC957" s="17"/>
      <c r="AD957" s="17"/>
      <c r="AE957" s="17"/>
    </row>
    <row r="958">
      <c r="A958" s="154"/>
      <c r="B958" s="168"/>
      <c r="C958" s="324"/>
      <c r="D958" s="154"/>
      <c r="E958" s="168"/>
      <c r="F958" s="324"/>
      <c r="G958" s="154"/>
      <c r="H958" s="168"/>
      <c r="I958" s="324"/>
      <c r="J958" s="154"/>
      <c r="K958" s="168"/>
      <c r="L958" s="324"/>
      <c r="M958" s="330"/>
      <c r="N958" s="331"/>
      <c r="O958" s="332"/>
      <c r="P958" s="330"/>
      <c r="Q958" s="331"/>
      <c r="R958" s="332"/>
      <c r="S958" s="330"/>
      <c r="T958" s="331"/>
      <c r="U958" s="332"/>
      <c r="V958" s="154"/>
      <c r="W958" s="331"/>
      <c r="X958" s="324"/>
      <c r="Y958" s="205"/>
      <c r="Z958" s="205"/>
      <c r="AA958" s="205"/>
      <c r="AB958" s="17"/>
      <c r="AC958" s="17"/>
      <c r="AD958" s="17"/>
      <c r="AE958" s="17"/>
    </row>
    <row r="959">
      <c r="A959" s="154"/>
      <c r="B959" s="168"/>
      <c r="C959" s="324"/>
      <c r="D959" s="154"/>
      <c r="E959" s="168"/>
      <c r="F959" s="324"/>
      <c r="G959" s="154"/>
      <c r="H959" s="168"/>
      <c r="I959" s="324"/>
      <c r="J959" s="154"/>
      <c r="K959" s="168"/>
      <c r="L959" s="324"/>
      <c r="M959" s="330"/>
      <c r="N959" s="331"/>
      <c r="O959" s="332"/>
      <c r="P959" s="330"/>
      <c r="Q959" s="331"/>
      <c r="R959" s="332"/>
      <c r="S959" s="330"/>
      <c r="T959" s="331"/>
      <c r="U959" s="332"/>
      <c r="V959" s="154"/>
      <c r="W959" s="331"/>
      <c r="X959" s="324"/>
      <c r="Y959" s="205"/>
      <c r="Z959" s="205"/>
      <c r="AA959" s="205"/>
      <c r="AB959" s="17"/>
      <c r="AC959" s="17"/>
      <c r="AD959" s="17"/>
      <c r="AE959" s="17"/>
    </row>
    <row r="960">
      <c r="A960" s="154"/>
      <c r="B960" s="168"/>
      <c r="C960" s="324"/>
      <c r="D960" s="154"/>
      <c r="E960" s="168"/>
      <c r="F960" s="324"/>
      <c r="G960" s="154"/>
      <c r="H960" s="168"/>
      <c r="I960" s="324"/>
      <c r="J960" s="154"/>
      <c r="K960" s="168"/>
      <c r="L960" s="324"/>
      <c r="M960" s="330"/>
      <c r="N960" s="331"/>
      <c r="O960" s="332"/>
      <c r="P960" s="330"/>
      <c r="Q960" s="331"/>
      <c r="R960" s="332"/>
      <c r="S960" s="330"/>
      <c r="T960" s="331"/>
      <c r="U960" s="332"/>
      <c r="V960" s="154"/>
      <c r="W960" s="331"/>
      <c r="X960" s="324"/>
      <c r="Y960" s="205"/>
      <c r="Z960" s="205"/>
      <c r="AA960" s="205"/>
      <c r="AB960" s="17"/>
      <c r="AC960" s="17"/>
      <c r="AD960" s="17"/>
      <c r="AE960" s="17"/>
    </row>
    <row r="961">
      <c r="A961" s="154"/>
      <c r="B961" s="168"/>
      <c r="C961" s="324"/>
      <c r="D961" s="154"/>
      <c r="E961" s="168"/>
      <c r="F961" s="324"/>
      <c r="G961" s="154"/>
      <c r="H961" s="168"/>
      <c r="I961" s="324"/>
      <c r="J961" s="154"/>
      <c r="K961" s="168"/>
      <c r="L961" s="324"/>
      <c r="M961" s="330"/>
      <c r="N961" s="331"/>
      <c r="O961" s="332"/>
      <c r="P961" s="330"/>
      <c r="Q961" s="331"/>
      <c r="R961" s="332"/>
      <c r="S961" s="330"/>
      <c r="T961" s="331"/>
      <c r="U961" s="332"/>
      <c r="V961" s="154"/>
      <c r="W961" s="331"/>
      <c r="X961" s="324"/>
      <c r="Y961" s="205"/>
      <c r="Z961" s="205"/>
      <c r="AA961" s="205"/>
      <c r="AB961" s="17"/>
      <c r="AC961" s="17"/>
      <c r="AD961" s="17"/>
      <c r="AE961" s="17"/>
    </row>
    <row r="962">
      <c r="A962" s="154"/>
      <c r="B962" s="168"/>
      <c r="C962" s="324"/>
      <c r="D962" s="154"/>
      <c r="E962" s="168"/>
      <c r="F962" s="324"/>
      <c r="G962" s="154"/>
      <c r="H962" s="168"/>
      <c r="I962" s="324"/>
      <c r="J962" s="154"/>
      <c r="K962" s="168"/>
      <c r="L962" s="324"/>
      <c r="M962" s="330"/>
      <c r="N962" s="331"/>
      <c r="O962" s="332"/>
      <c r="P962" s="330"/>
      <c r="Q962" s="331"/>
      <c r="R962" s="332"/>
      <c r="S962" s="330"/>
      <c r="T962" s="331"/>
      <c r="U962" s="332"/>
      <c r="V962" s="154"/>
      <c r="W962" s="331"/>
      <c r="X962" s="324"/>
      <c r="Y962" s="205"/>
      <c r="Z962" s="205"/>
      <c r="AA962" s="205"/>
      <c r="AB962" s="17"/>
      <c r="AC962" s="17"/>
      <c r="AD962" s="17"/>
      <c r="AE962" s="17"/>
    </row>
    <row r="963">
      <c r="A963" s="154"/>
      <c r="B963" s="168"/>
      <c r="C963" s="324"/>
      <c r="D963" s="154"/>
      <c r="E963" s="168"/>
      <c r="F963" s="324"/>
      <c r="G963" s="154"/>
      <c r="H963" s="168"/>
      <c r="I963" s="324"/>
      <c r="J963" s="154"/>
      <c r="K963" s="168"/>
      <c r="L963" s="324"/>
      <c r="M963" s="330"/>
      <c r="N963" s="331"/>
      <c r="O963" s="332"/>
      <c r="P963" s="330"/>
      <c r="Q963" s="331"/>
      <c r="R963" s="332"/>
      <c r="S963" s="330"/>
      <c r="T963" s="331"/>
      <c r="U963" s="332"/>
      <c r="V963" s="154"/>
      <c r="W963" s="331"/>
      <c r="X963" s="324"/>
      <c r="Y963" s="205"/>
      <c r="Z963" s="205"/>
      <c r="AA963" s="205"/>
      <c r="AB963" s="17"/>
      <c r="AC963" s="17"/>
      <c r="AD963" s="17"/>
      <c r="AE963" s="17"/>
    </row>
    <row r="964">
      <c r="A964" s="154"/>
      <c r="B964" s="168"/>
      <c r="C964" s="324"/>
      <c r="D964" s="154"/>
      <c r="E964" s="168"/>
      <c r="F964" s="324"/>
      <c r="G964" s="154"/>
      <c r="H964" s="168"/>
      <c r="I964" s="324"/>
      <c r="J964" s="154"/>
      <c r="K964" s="168"/>
      <c r="L964" s="324"/>
      <c r="M964" s="330"/>
      <c r="N964" s="331"/>
      <c r="O964" s="332"/>
      <c r="P964" s="330"/>
      <c r="Q964" s="331"/>
      <c r="R964" s="332"/>
      <c r="S964" s="330"/>
      <c r="T964" s="331"/>
      <c r="U964" s="332"/>
      <c r="V964" s="154"/>
      <c r="W964" s="331"/>
      <c r="X964" s="324"/>
      <c r="Y964" s="205"/>
      <c r="Z964" s="205"/>
      <c r="AA964" s="205"/>
      <c r="AB964" s="17"/>
      <c r="AC964" s="17"/>
      <c r="AD964" s="17"/>
      <c r="AE964" s="17"/>
    </row>
    <row r="965">
      <c r="A965" s="154"/>
      <c r="B965" s="168"/>
      <c r="C965" s="324"/>
      <c r="D965" s="154"/>
      <c r="E965" s="168"/>
      <c r="F965" s="324"/>
      <c r="G965" s="154"/>
      <c r="H965" s="168"/>
      <c r="I965" s="324"/>
      <c r="J965" s="154"/>
      <c r="K965" s="168"/>
      <c r="L965" s="324"/>
      <c r="M965" s="330"/>
      <c r="N965" s="331"/>
      <c r="O965" s="332"/>
      <c r="P965" s="330"/>
      <c r="Q965" s="331"/>
      <c r="R965" s="332"/>
      <c r="S965" s="330"/>
      <c r="T965" s="331"/>
      <c r="U965" s="332"/>
      <c r="V965" s="154"/>
      <c r="W965" s="331"/>
      <c r="X965" s="324"/>
      <c r="Y965" s="205"/>
      <c r="Z965" s="205"/>
      <c r="AA965" s="205"/>
      <c r="AB965" s="17"/>
      <c r="AC965" s="17"/>
      <c r="AD965" s="17"/>
      <c r="AE965" s="17"/>
    </row>
    <row r="966">
      <c r="A966" s="154"/>
      <c r="B966" s="168"/>
      <c r="C966" s="324"/>
      <c r="D966" s="154"/>
      <c r="E966" s="168"/>
      <c r="F966" s="324"/>
      <c r="G966" s="154"/>
      <c r="H966" s="168"/>
      <c r="I966" s="324"/>
      <c r="J966" s="154"/>
      <c r="K966" s="168"/>
      <c r="L966" s="324"/>
      <c r="M966" s="330"/>
      <c r="N966" s="331"/>
      <c r="O966" s="332"/>
      <c r="P966" s="330"/>
      <c r="Q966" s="331"/>
      <c r="R966" s="332"/>
      <c r="S966" s="330"/>
      <c r="T966" s="331"/>
      <c r="U966" s="332"/>
      <c r="V966" s="154"/>
      <c r="W966" s="331"/>
      <c r="X966" s="324"/>
      <c r="Y966" s="205"/>
      <c r="Z966" s="205"/>
      <c r="AA966" s="205"/>
      <c r="AB966" s="17"/>
      <c r="AC966" s="17"/>
      <c r="AD966" s="17"/>
      <c r="AE966" s="17"/>
    </row>
    <row r="967">
      <c r="A967" s="154"/>
      <c r="B967" s="168"/>
      <c r="C967" s="324"/>
      <c r="D967" s="154"/>
      <c r="E967" s="168"/>
      <c r="F967" s="324"/>
      <c r="G967" s="154"/>
      <c r="H967" s="168"/>
      <c r="I967" s="324"/>
      <c r="J967" s="154"/>
      <c r="K967" s="168"/>
      <c r="L967" s="324"/>
      <c r="M967" s="330"/>
      <c r="N967" s="331"/>
      <c r="O967" s="332"/>
      <c r="P967" s="330"/>
      <c r="Q967" s="331"/>
      <c r="R967" s="332"/>
      <c r="S967" s="330"/>
      <c r="T967" s="331"/>
      <c r="U967" s="332"/>
      <c r="V967" s="154"/>
      <c r="W967" s="331"/>
      <c r="X967" s="324"/>
      <c r="Y967" s="205"/>
      <c r="Z967" s="205"/>
      <c r="AA967" s="205"/>
      <c r="AB967" s="17"/>
      <c r="AC967" s="17"/>
      <c r="AD967" s="17"/>
      <c r="AE967" s="17"/>
    </row>
    <row r="968">
      <c r="A968" s="154"/>
      <c r="B968" s="168"/>
      <c r="C968" s="324"/>
      <c r="D968" s="154"/>
      <c r="E968" s="168"/>
      <c r="F968" s="324"/>
      <c r="G968" s="154"/>
      <c r="H968" s="168"/>
      <c r="I968" s="324"/>
      <c r="J968" s="154"/>
      <c r="K968" s="168"/>
      <c r="L968" s="324"/>
      <c r="M968" s="330"/>
      <c r="N968" s="331"/>
      <c r="O968" s="332"/>
      <c r="P968" s="330"/>
      <c r="Q968" s="331"/>
      <c r="R968" s="332"/>
      <c r="S968" s="330"/>
      <c r="T968" s="331"/>
      <c r="U968" s="332"/>
      <c r="V968" s="154"/>
      <c r="W968" s="331"/>
      <c r="X968" s="324"/>
      <c r="Y968" s="205"/>
      <c r="Z968" s="205"/>
      <c r="AA968" s="205"/>
      <c r="AB968" s="17"/>
      <c r="AC968" s="17"/>
      <c r="AD968" s="17"/>
      <c r="AE968" s="17"/>
    </row>
    <row r="969">
      <c r="A969" s="154"/>
      <c r="B969" s="168"/>
      <c r="C969" s="324"/>
      <c r="D969" s="154"/>
      <c r="E969" s="168"/>
      <c r="F969" s="324"/>
      <c r="G969" s="154"/>
      <c r="H969" s="168"/>
      <c r="I969" s="324"/>
      <c r="J969" s="154"/>
      <c r="K969" s="168"/>
      <c r="L969" s="324"/>
      <c r="M969" s="330"/>
      <c r="N969" s="331"/>
      <c r="O969" s="332"/>
      <c r="P969" s="330"/>
      <c r="Q969" s="331"/>
      <c r="R969" s="332"/>
      <c r="S969" s="330"/>
      <c r="T969" s="331"/>
      <c r="U969" s="332"/>
      <c r="V969" s="154"/>
      <c r="W969" s="331"/>
      <c r="X969" s="324"/>
      <c r="Y969" s="205"/>
      <c r="Z969" s="205"/>
      <c r="AA969" s="205"/>
      <c r="AB969" s="17"/>
      <c r="AC969" s="17"/>
      <c r="AD969" s="17"/>
      <c r="AE969" s="17"/>
    </row>
    <row r="970">
      <c r="A970" s="154"/>
      <c r="B970" s="168"/>
      <c r="C970" s="324"/>
      <c r="D970" s="154"/>
      <c r="E970" s="168"/>
      <c r="F970" s="324"/>
      <c r="G970" s="154"/>
      <c r="H970" s="168"/>
      <c r="I970" s="324"/>
      <c r="J970" s="154"/>
      <c r="K970" s="168"/>
      <c r="L970" s="324"/>
      <c r="M970" s="330"/>
      <c r="N970" s="331"/>
      <c r="O970" s="332"/>
      <c r="P970" s="330"/>
      <c r="Q970" s="331"/>
      <c r="R970" s="332"/>
      <c r="S970" s="330"/>
      <c r="T970" s="331"/>
      <c r="U970" s="332"/>
      <c r="V970" s="154"/>
      <c r="W970" s="331"/>
      <c r="X970" s="324"/>
      <c r="Y970" s="205"/>
      <c r="Z970" s="205"/>
      <c r="AA970" s="205"/>
      <c r="AB970" s="17"/>
      <c r="AC970" s="17"/>
      <c r="AD970" s="17"/>
      <c r="AE970" s="17"/>
    </row>
    <row r="971">
      <c r="A971" s="154"/>
      <c r="B971" s="168"/>
      <c r="C971" s="324"/>
      <c r="D971" s="154"/>
      <c r="E971" s="168"/>
      <c r="F971" s="324"/>
      <c r="G971" s="154"/>
      <c r="H971" s="168"/>
      <c r="I971" s="324"/>
      <c r="J971" s="154"/>
      <c r="K971" s="168"/>
      <c r="L971" s="324"/>
      <c r="M971" s="330"/>
      <c r="N971" s="331"/>
      <c r="O971" s="332"/>
      <c r="P971" s="330"/>
      <c r="Q971" s="331"/>
      <c r="R971" s="332"/>
      <c r="S971" s="330"/>
      <c r="T971" s="331"/>
      <c r="U971" s="332"/>
      <c r="V971" s="154"/>
      <c r="W971" s="331"/>
      <c r="X971" s="324"/>
      <c r="Y971" s="205"/>
      <c r="Z971" s="205"/>
      <c r="AA971" s="205"/>
      <c r="AB971" s="17"/>
      <c r="AC971" s="17"/>
      <c r="AD971" s="17"/>
      <c r="AE971" s="17"/>
    </row>
    <row r="972">
      <c r="A972" s="154"/>
      <c r="B972" s="168"/>
      <c r="C972" s="324"/>
      <c r="D972" s="154"/>
      <c r="E972" s="168"/>
      <c r="F972" s="324"/>
      <c r="G972" s="154"/>
      <c r="H972" s="168"/>
      <c r="I972" s="324"/>
      <c r="J972" s="154"/>
      <c r="K972" s="168"/>
      <c r="L972" s="324"/>
      <c r="M972" s="330"/>
      <c r="N972" s="331"/>
      <c r="O972" s="332"/>
      <c r="P972" s="330"/>
      <c r="Q972" s="331"/>
      <c r="R972" s="332"/>
      <c r="S972" s="330"/>
      <c r="T972" s="331"/>
      <c r="U972" s="332"/>
      <c r="V972" s="154"/>
      <c r="W972" s="331"/>
      <c r="X972" s="324"/>
      <c r="Y972" s="205"/>
      <c r="Z972" s="205"/>
      <c r="AA972" s="205"/>
      <c r="AB972" s="17"/>
      <c r="AC972" s="17"/>
      <c r="AD972" s="17"/>
      <c r="AE972" s="17"/>
    </row>
    <row r="973">
      <c r="A973" s="154"/>
      <c r="B973" s="168"/>
      <c r="C973" s="324"/>
      <c r="D973" s="154"/>
      <c r="E973" s="168"/>
      <c r="F973" s="324"/>
      <c r="G973" s="154"/>
      <c r="H973" s="168"/>
      <c r="I973" s="324"/>
      <c r="J973" s="154"/>
      <c r="K973" s="168"/>
      <c r="L973" s="324"/>
      <c r="M973" s="330"/>
      <c r="N973" s="331"/>
      <c r="O973" s="332"/>
      <c r="P973" s="330"/>
      <c r="Q973" s="331"/>
      <c r="R973" s="332"/>
      <c r="S973" s="330"/>
      <c r="T973" s="331"/>
      <c r="U973" s="332"/>
      <c r="V973" s="154"/>
      <c r="W973" s="331"/>
      <c r="X973" s="324"/>
      <c r="Y973" s="205"/>
      <c r="Z973" s="205"/>
      <c r="AA973" s="205"/>
      <c r="AB973" s="17"/>
      <c r="AC973" s="17"/>
      <c r="AD973" s="17"/>
      <c r="AE973" s="17"/>
    </row>
    <row r="974">
      <c r="A974" s="154"/>
      <c r="B974" s="168"/>
      <c r="C974" s="324"/>
      <c r="D974" s="154"/>
      <c r="E974" s="168"/>
      <c r="F974" s="324"/>
      <c r="G974" s="154"/>
      <c r="H974" s="168"/>
      <c r="I974" s="324"/>
      <c r="J974" s="154"/>
      <c r="K974" s="168"/>
      <c r="L974" s="324"/>
      <c r="M974" s="330"/>
      <c r="N974" s="331"/>
      <c r="O974" s="332"/>
      <c r="P974" s="330"/>
      <c r="Q974" s="331"/>
      <c r="R974" s="332"/>
      <c r="S974" s="330"/>
      <c r="T974" s="331"/>
      <c r="U974" s="332"/>
      <c r="V974" s="154"/>
      <c r="W974" s="331"/>
      <c r="X974" s="324"/>
      <c r="Y974" s="205"/>
      <c r="Z974" s="205"/>
      <c r="AA974" s="205"/>
      <c r="AB974" s="17"/>
      <c r="AC974" s="17"/>
      <c r="AD974" s="17"/>
      <c r="AE974" s="17"/>
    </row>
    <row r="975">
      <c r="A975" s="154"/>
      <c r="B975" s="168"/>
      <c r="C975" s="324"/>
      <c r="D975" s="154"/>
      <c r="E975" s="168"/>
      <c r="F975" s="324"/>
      <c r="G975" s="154"/>
      <c r="H975" s="168"/>
      <c r="I975" s="324"/>
      <c r="J975" s="154"/>
      <c r="K975" s="168"/>
      <c r="L975" s="324"/>
      <c r="M975" s="330"/>
      <c r="N975" s="331"/>
      <c r="O975" s="332"/>
      <c r="P975" s="330"/>
      <c r="Q975" s="331"/>
      <c r="R975" s="332"/>
      <c r="S975" s="330"/>
      <c r="T975" s="331"/>
      <c r="U975" s="332"/>
      <c r="V975" s="154"/>
      <c r="W975" s="331"/>
      <c r="X975" s="324"/>
      <c r="Y975" s="205"/>
      <c r="Z975" s="205"/>
      <c r="AA975" s="205"/>
      <c r="AB975" s="17"/>
      <c r="AC975" s="17"/>
      <c r="AD975" s="17"/>
      <c r="AE975" s="17"/>
    </row>
    <row r="976">
      <c r="A976" s="154"/>
      <c r="B976" s="168"/>
      <c r="C976" s="324"/>
      <c r="D976" s="154"/>
      <c r="E976" s="168"/>
      <c r="F976" s="324"/>
      <c r="G976" s="154"/>
      <c r="H976" s="168"/>
      <c r="I976" s="324"/>
      <c r="J976" s="154"/>
      <c r="K976" s="168"/>
      <c r="L976" s="324"/>
      <c r="M976" s="330"/>
      <c r="N976" s="331"/>
      <c r="O976" s="332"/>
      <c r="P976" s="330"/>
      <c r="Q976" s="331"/>
      <c r="R976" s="332"/>
      <c r="S976" s="330"/>
      <c r="T976" s="331"/>
      <c r="U976" s="332"/>
      <c r="V976" s="154"/>
      <c r="W976" s="331"/>
      <c r="X976" s="324"/>
      <c r="Y976" s="205"/>
      <c r="Z976" s="205"/>
      <c r="AA976" s="205"/>
      <c r="AB976" s="17"/>
      <c r="AC976" s="17"/>
      <c r="AD976" s="17"/>
      <c r="AE976" s="17"/>
    </row>
    <row r="977">
      <c r="A977" s="154"/>
      <c r="B977" s="168"/>
      <c r="C977" s="324"/>
      <c r="D977" s="154"/>
      <c r="E977" s="168"/>
      <c r="F977" s="324"/>
      <c r="G977" s="154"/>
      <c r="H977" s="168"/>
      <c r="I977" s="324"/>
      <c r="J977" s="154"/>
      <c r="K977" s="168"/>
      <c r="L977" s="324"/>
      <c r="M977" s="330"/>
      <c r="N977" s="331"/>
      <c r="O977" s="332"/>
      <c r="P977" s="330"/>
      <c r="Q977" s="331"/>
      <c r="R977" s="332"/>
      <c r="S977" s="330"/>
      <c r="T977" s="331"/>
      <c r="U977" s="332"/>
      <c r="V977" s="154"/>
      <c r="W977" s="331"/>
      <c r="X977" s="324"/>
      <c r="Y977" s="205"/>
      <c r="Z977" s="205"/>
      <c r="AA977" s="205"/>
      <c r="AB977" s="17"/>
      <c r="AC977" s="17"/>
      <c r="AD977" s="17"/>
      <c r="AE977" s="17"/>
    </row>
    <row r="978">
      <c r="A978" s="154"/>
      <c r="B978" s="168"/>
      <c r="C978" s="324"/>
      <c r="D978" s="154"/>
      <c r="E978" s="168"/>
      <c r="F978" s="324"/>
      <c r="G978" s="154"/>
      <c r="H978" s="168"/>
      <c r="I978" s="324"/>
      <c r="J978" s="154"/>
      <c r="K978" s="168"/>
      <c r="L978" s="324"/>
      <c r="M978" s="330"/>
      <c r="N978" s="331"/>
      <c r="O978" s="332"/>
      <c r="P978" s="330"/>
      <c r="Q978" s="331"/>
      <c r="R978" s="332"/>
      <c r="S978" s="330"/>
      <c r="T978" s="331"/>
      <c r="U978" s="332"/>
      <c r="V978" s="154"/>
      <c r="W978" s="331"/>
      <c r="X978" s="324"/>
      <c r="Y978" s="205"/>
      <c r="Z978" s="205"/>
      <c r="AA978" s="205"/>
      <c r="AB978" s="17"/>
      <c r="AC978" s="17"/>
      <c r="AD978" s="17"/>
      <c r="AE978" s="17"/>
    </row>
    <row r="979">
      <c r="A979" s="154"/>
      <c r="B979" s="168"/>
      <c r="C979" s="324"/>
      <c r="D979" s="154"/>
      <c r="E979" s="168"/>
      <c r="F979" s="324"/>
      <c r="G979" s="154"/>
      <c r="H979" s="168"/>
      <c r="I979" s="324"/>
      <c r="J979" s="154"/>
      <c r="K979" s="168"/>
      <c r="L979" s="324"/>
      <c r="M979" s="330"/>
      <c r="N979" s="331"/>
      <c r="O979" s="332"/>
      <c r="P979" s="330"/>
      <c r="Q979" s="331"/>
      <c r="R979" s="332"/>
      <c r="S979" s="330"/>
      <c r="T979" s="331"/>
      <c r="U979" s="332"/>
      <c r="V979" s="154"/>
      <c r="W979" s="331"/>
      <c r="X979" s="324"/>
      <c r="Y979" s="205"/>
      <c r="Z979" s="205"/>
      <c r="AA979" s="205"/>
      <c r="AB979" s="17"/>
      <c r="AC979" s="17"/>
      <c r="AD979" s="17"/>
      <c r="AE979" s="17"/>
    </row>
    <row r="980">
      <c r="A980" s="154"/>
      <c r="B980" s="168"/>
      <c r="C980" s="324"/>
      <c r="D980" s="154"/>
      <c r="E980" s="168"/>
      <c r="F980" s="324"/>
      <c r="G980" s="154"/>
      <c r="H980" s="168"/>
      <c r="I980" s="324"/>
      <c r="J980" s="154"/>
      <c r="K980" s="168"/>
      <c r="L980" s="324"/>
      <c r="M980" s="330"/>
      <c r="N980" s="331"/>
      <c r="O980" s="332"/>
      <c r="P980" s="330"/>
      <c r="Q980" s="331"/>
      <c r="R980" s="332"/>
      <c r="S980" s="330"/>
      <c r="T980" s="331"/>
      <c r="U980" s="332"/>
      <c r="V980" s="154"/>
      <c r="W980" s="331"/>
      <c r="X980" s="324"/>
      <c r="Y980" s="205"/>
      <c r="Z980" s="205"/>
      <c r="AA980" s="205"/>
      <c r="AB980" s="17"/>
      <c r="AC980" s="17"/>
      <c r="AD980" s="17"/>
      <c r="AE980" s="17"/>
    </row>
    <row r="981">
      <c r="A981" s="154"/>
      <c r="B981" s="168"/>
      <c r="C981" s="324"/>
      <c r="D981" s="154"/>
      <c r="E981" s="168"/>
      <c r="F981" s="324"/>
      <c r="G981" s="154"/>
      <c r="H981" s="168"/>
      <c r="I981" s="324"/>
      <c r="J981" s="154"/>
      <c r="K981" s="168"/>
      <c r="L981" s="324"/>
      <c r="M981" s="330"/>
      <c r="N981" s="331"/>
      <c r="O981" s="332"/>
      <c r="P981" s="330"/>
      <c r="Q981" s="331"/>
      <c r="R981" s="332"/>
      <c r="S981" s="330"/>
      <c r="T981" s="331"/>
      <c r="U981" s="332"/>
      <c r="V981" s="154"/>
      <c r="W981" s="331"/>
      <c r="X981" s="324"/>
      <c r="Y981" s="205"/>
      <c r="Z981" s="205"/>
      <c r="AA981" s="205"/>
      <c r="AB981" s="17"/>
      <c r="AC981" s="17"/>
      <c r="AD981" s="17"/>
      <c r="AE981" s="17"/>
    </row>
    <row r="982">
      <c r="A982" s="154"/>
      <c r="B982" s="168"/>
      <c r="C982" s="324"/>
      <c r="D982" s="154"/>
      <c r="E982" s="168"/>
      <c r="F982" s="324"/>
      <c r="G982" s="154"/>
      <c r="H982" s="168"/>
      <c r="I982" s="324"/>
      <c r="J982" s="154"/>
      <c r="K982" s="168"/>
      <c r="L982" s="324"/>
      <c r="M982" s="330"/>
      <c r="N982" s="331"/>
      <c r="O982" s="332"/>
      <c r="P982" s="330"/>
      <c r="Q982" s="331"/>
      <c r="R982" s="332"/>
      <c r="S982" s="330"/>
      <c r="T982" s="331"/>
      <c r="U982" s="332"/>
      <c r="V982" s="154"/>
      <c r="W982" s="331"/>
      <c r="X982" s="324"/>
      <c r="Y982" s="205"/>
      <c r="Z982" s="205"/>
      <c r="AA982" s="205"/>
      <c r="AB982" s="17"/>
      <c r="AC982" s="17"/>
      <c r="AD982" s="17"/>
      <c r="AE982" s="17"/>
    </row>
    <row r="983">
      <c r="A983" s="154"/>
      <c r="B983" s="168"/>
      <c r="C983" s="324"/>
      <c r="D983" s="154"/>
      <c r="E983" s="168"/>
      <c r="F983" s="324"/>
      <c r="G983" s="154"/>
      <c r="H983" s="168"/>
      <c r="I983" s="324"/>
      <c r="J983" s="154"/>
      <c r="K983" s="168"/>
      <c r="L983" s="324"/>
      <c r="M983" s="330"/>
      <c r="N983" s="331"/>
      <c r="O983" s="332"/>
      <c r="P983" s="330"/>
      <c r="Q983" s="331"/>
      <c r="R983" s="332"/>
      <c r="S983" s="330"/>
      <c r="T983" s="331"/>
      <c r="U983" s="332"/>
      <c r="V983" s="154"/>
      <c r="W983" s="331"/>
      <c r="X983" s="324"/>
      <c r="Y983" s="205"/>
      <c r="Z983" s="205"/>
      <c r="AA983" s="205"/>
      <c r="AB983" s="17"/>
      <c r="AC983" s="17"/>
      <c r="AD983" s="17"/>
      <c r="AE983" s="17"/>
    </row>
    <row r="984">
      <c r="A984" s="154"/>
      <c r="B984" s="168"/>
      <c r="C984" s="324"/>
      <c r="D984" s="154"/>
      <c r="E984" s="168"/>
      <c r="F984" s="324"/>
      <c r="G984" s="154"/>
      <c r="H984" s="168"/>
      <c r="I984" s="324"/>
      <c r="J984" s="154"/>
      <c r="K984" s="168"/>
      <c r="L984" s="324"/>
      <c r="M984" s="330"/>
      <c r="N984" s="331"/>
      <c r="O984" s="332"/>
      <c r="P984" s="330"/>
      <c r="Q984" s="331"/>
      <c r="R984" s="332"/>
      <c r="S984" s="330"/>
      <c r="T984" s="331"/>
      <c r="U984" s="332"/>
      <c r="V984" s="154"/>
      <c r="W984" s="331"/>
      <c r="X984" s="324"/>
      <c r="Y984" s="205"/>
      <c r="Z984" s="205"/>
      <c r="AA984" s="205"/>
      <c r="AB984" s="17"/>
      <c r="AC984" s="17"/>
      <c r="AD984" s="17"/>
      <c r="AE984" s="17"/>
    </row>
    <row r="985">
      <c r="A985" s="154"/>
      <c r="B985" s="168"/>
      <c r="C985" s="324"/>
      <c r="D985" s="154"/>
      <c r="E985" s="168"/>
      <c r="F985" s="324"/>
      <c r="G985" s="154"/>
      <c r="H985" s="168"/>
      <c r="I985" s="324"/>
      <c r="J985" s="154"/>
      <c r="K985" s="168"/>
      <c r="L985" s="324"/>
      <c r="M985" s="330"/>
      <c r="N985" s="331"/>
      <c r="O985" s="332"/>
      <c r="P985" s="330"/>
      <c r="Q985" s="331"/>
      <c r="R985" s="332"/>
      <c r="S985" s="330"/>
      <c r="T985" s="331"/>
      <c r="U985" s="332"/>
      <c r="V985" s="154"/>
      <c r="W985" s="331"/>
      <c r="X985" s="324"/>
      <c r="Y985" s="205"/>
      <c r="Z985" s="205"/>
      <c r="AA985" s="205"/>
      <c r="AB985" s="17"/>
      <c r="AC985" s="17"/>
      <c r="AD985" s="17"/>
      <c r="AE985" s="17"/>
    </row>
    <row r="986">
      <c r="A986" s="154"/>
      <c r="B986" s="168"/>
      <c r="C986" s="324"/>
      <c r="D986" s="154"/>
      <c r="E986" s="168"/>
      <c r="F986" s="324"/>
      <c r="G986" s="154"/>
      <c r="H986" s="168"/>
      <c r="I986" s="324"/>
      <c r="J986" s="154"/>
      <c r="K986" s="168"/>
      <c r="L986" s="324"/>
      <c r="M986" s="330"/>
      <c r="N986" s="331"/>
      <c r="O986" s="332"/>
      <c r="P986" s="330"/>
      <c r="Q986" s="331"/>
      <c r="R986" s="332"/>
      <c r="S986" s="330"/>
      <c r="T986" s="331"/>
      <c r="U986" s="332"/>
      <c r="V986" s="154"/>
      <c r="W986" s="331"/>
      <c r="X986" s="324"/>
      <c r="Y986" s="205"/>
      <c r="Z986" s="205"/>
      <c r="AA986" s="205"/>
      <c r="AB986" s="17"/>
      <c r="AC986" s="17"/>
      <c r="AD986" s="17"/>
      <c r="AE986" s="17"/>
    </row>
    <row r="987">
      <c r="A987" s="154"/>
      <c r="B987" s="168"/>
      <c r="C987" s="324"/>
      <c r="D987" s="154"/>
      <c r="E987" s="168"/>
      <c r="F987" s="324"/>
      <c r="G987" s="154"/>
      <c r="H987" s="168"/>
      <c r="I987" s="324"/>
      <c r="J987" s="154"/>
      <c r="K987" s="168"/>
      <c r="L987" s="324"/>
      <c r="M987" s="330"/>
      <c r="N987" s="331"/>
      <c r="O987" s="332"/>
      <c r="P987" s="330"/>
      <c r="Q987" s="331"/>
      <c r="R987" s="332"/>
      <c r="S987" s="330"/>
      <c r="T987" s="331"/>
      <c r="U987" s="332"/>
      <c r="V987" s="154"/>
      <c r="W987" s="331"/>
      <c r="X987" s="324"/>
      <c r="Y987" s="205"/>
      <c r="Z987" s="205"/>
      <c r="AA987" s="205"/>
      <c r="AB987" s="17"/>
      <c r="AC987" s="17"/>
      <c r="AD987" s="17"/>
      <c r="AE987" s="17"/>
    </row>
    <row r="988">
      <c r="A988" s="154"/>
      <c r="B988" s="168"/>
      <c r="C988" s="324"/>
      <c r="D988" s="154"/>
      <c r="E988" s="168"/>
      <c r="F988" s="324"/>
      <c r="G988" s="154"/>
      <c r="H988" s="168"/>
      <c r="I988" s="324"/>
      <c r="J988" s="154"/>
      <c r="K988" s="168"/>
      <c r="L988" s="324"/>
      <c r="M988" s="330"/>
      <c r="N988" s="331"/>
      <c r="O988" s="332"/>
      <c r="P988" s="330"/>
      <c r="Q988" s="331"/>
      <c r="R988" s="332"/>
      <c r="S988" s="330"/>
      <c r="T988" s="331"/>
      <c r="U988" s="332"/>
      <c r="V988" s="154"/>
      <c r="W988" s="331"/>
      <c r="X988" s="324"/>
      <c r="Y988" s="205"/>
      <c r="Z988" s="205"/>
      <c r="AA988" s="205"/>
      <c r="AB988" s="17"/>
      <c r="AC988" s="17"/>
      <c r="AD988" s="17"/>
      <c r="AE988" s="17"/>
    </row>
    <row r="989">
      <c r="A989" s="154"/>
      <c r="B989" s="168"/>
      <c r="C989" s="324"/>
      <c r="D989" s="154"/>
      <c r="E989" s="168"/>
      <c r="F989" s="324"/>
      <c r="G989" s="154"/>
      <c r="H989" s="168"/>
      <c r="I989" s="324"/>
      <c r="J989" s="154"/>
      <c r="K989" s="168"/>
      <c r="L989" s="324"/>
      <c r="M989" s="330"/>
      <c r="N989" s="331"/>
      <c r="O989" s="332"/>
      <c r="P989" s="330"/>
      <c r="Q989" s="331"/>
      <c r="R989" s="332"/>
      <c r="S989" s="330"/>
      <c r="T989" s="331"/>
      <c r="U989" s="332"/>
      <c r="V989" s="154"/>
      <c r="W989" s="331"/>
      <c r="X989" s="324"/>
      <c r="Y989" s="205"/>
      <c r="Z989" s="205"/>
      <c r="AA989" s="205"/>
      <c r="AB989" s="17"/>
      <c r="AC989" s="17"/>
      <c r="AD989" s="17"/>
      <c r="AE989" s="17"/>
    </row>
    <row r="990">
      <c r="A990" s="154"/>
      <c r="B990" s="168"/>
      <c r="C990" s="324"/>
      <c r="D990" s="154"/>
      <c r="E990" s="168"/>
      <c r="F990" s="324"/>
      <c r="G990" s="154"/>
      <c r="H990" s="168"/>
      <c r="I990" s="324"/>
      <c r="J990" s="154"/>
      <c r="K990" s="168"/>
      <c r="L990" s="324"/>
      <c r="M990" s="330"/>
      <c r="N990" s="331"/>
      <c r="O990" s="332"/>
      <c r="P990" s="330"/>
      <c r="Q990" s="331"/>
      <c r="R990" s="332"/>
      <c r="S990" s="330"/>
      <c r="T990" s="331"/>
      <c r="U990" s="332"/>
      <c r="V990" s="154"/>
      <c r="W990" s="331"/>
      <c r="X990" s="324"/>
      <c r="Y990" s="205"/>
      <c r="Z990" s="205"/>
      <c r="AA990" s="205"/>
      <c r="AB990" s="17"/>
      <c r="AC990" s="17"/>
      <c r="AD990" s="17"/>
      <c r="AE990" s="17"/>
    </row>
    <row r="991">
      <c r="A991" s="154"/>
      <c r="B991" s="168"/>
      <c r="C991" s="324"/>
      <c r="D991" s="154"/>
      <c r="E991" s="168"/>
      <c r="F991" s="324"/>
      <c r="G991" s="154"/>
      <c r="H991" s="168"/>
      <c r="I991" s="324"/>
      <c r="J991" s="154"/>
      <c r="K991" s="168"/>
      <c r="L991" s="324"/>
      <c r="M991" s="330"/>
      <c r="N991" s="331"/>
      <c r="O991" s="332"/>
      <c r="P991" s="330"/>
      <c r="Q991" s="331"/>
      <c r="R991" s="332"/>
      <c r="S991" s="330"/>
      <c r="T991" s="331"/>
      <c r="U991" s="332"/>
      <c r="V991" s="154"/>
      <c r="W991" s="331"/>
      <c r="X991" s="324"/>
      <c r="Y991" s="205"/>
      <c r="Z991" s="205"/>
      <c r="AA991" s="205"/>
      <c r="AB991" s="17"/>
      <c r="AC991" s="17"/>
      <c r="AD991" s="17"/>
      <c r="AE991" s="17"/>
    </row>
    <row r="992">
      <c r="A992" s="154"/>
      <c r="B992" s="168"/>
      <c r="C992" s="324"/>
      <c r="D992" s="154"/>
      <c r="E992" s="168"/>
      <c r="F992" s="324"/>
      <c r="G992" s="154"/>
      <c r="H992" s="168"/>
      <c r="I992" s="324"/>
      <c r="J992" s="154"/>
      <c r="K992" s="168"/>
      <c r="L992" s="324"/>
      <c r="M992" s="330"/>
      <c r="N992" s="331"/>
      <c r="O992" s="332"/>
      <c r="P992" s="330"/>
      <c r="Q992" s="331"/>
      <c r="R992" s="332"/>
      <c r="S992" s="330"/>
      <c r="T992" s="331"/>
      <c r="U992" s="332"/>
      <c r="V992" s="154"/>
      <c r="W992" s="331"/>
      <c r="X992" s="324"/>
      <c r="Y992" s="205"/>
      <c r="Z992" s="205"/>
      <c r="AA992" s="205"/>
      <c r="AB992" s="17"/>
      <c r="AC992" s="17"/>
      <c r="AD992" s="17"/>
      <c r="AE992" s="17"/>
    </row>
    <row r="993">
      <c r="A993" s="154"/>
      <c r="B993" s="168"/>
      <c r="C993" s="324"/>
      <c r="D993" s="154"/>
      <c r="E993" s="168"/>
      <c r="F993" s="324"/>
      <c r="G993" s="154"/>
      <c r="H993" s="168"/>
      <c r="I993" s="324"/>
      <c r="J993" s="154"/>
      <c r="K993" s="168"/>
      <c r="L993" s="324"/>
      <c r="M993" s="330"/>
      <c r="N993" s="331"/>
      <c r="O993" s="332"/>
      <c r="P993" s="330"/>
      <c r="Q993" s="331"/>
      <c r="R993" s="332"/>
      <c r="S993" s="330"/>
      <c r="T993" s="331"/>
      <c r="U993" s="332"/>
      <c r="V993" s="154"/>
      <c r="W993" s="331"/>
      <c r="X993" s="324"/>
      <c r="Y993" s="205"/>
      <c r="Z993" s="205"/>
      <c r="AA993" s="205"/>
      <c r="AB993" s="17"/>
      <c r="AC993" s="17"/>
      <c r="AD993" s="17"/>
      <c r="AE993" s="17"/>
    </row>
    <row r="994">
      <c r="A994" s="154"/>
      <c r="B994" s="168"/>
      <c r="C994" s="324"/>
      <c r="D994" s="154"/>
      <c r="E994" s="168"/>
      <c r="F994" s="324"/>
      <c r="G994" s="154"/>
      <c r="H994" s="168"/>
      <c r="I994" s="324"/>
      <c r="J994" s="154"/>
      <c r="K994" s="168"/>
      <c r="L994" s="324"/>
      <c r="M994" s="330"/>
      <c r="N994" s="331"/>
      <c r="O994" s="332"/>
      <c r="P994" s="330"/>
      <c r="Q994" s="331"/>
      <c r="R994" s="332"/>
      <c r="S994" s="330"/>
      <c r="T994" s="331"/>
      <c r="U994" s="332"/>
      <c r="V994" s="154"/>
      <c r="W994" s="331"/>
      <c r="X994" s="324"/>
      <c r="Y994" s="205"/>
      <c r="Z994" s="205"/>
      <c r="AA994" s="205"/>
      <c r="AB994" s="17"/>
      <c r="AC994" s="17"/>
      <c r="AD994" s="17"/>
      <c r="AE994" s="17"/>
    </row>
    <row r="995">
      <c r="A995" s="154"/>
      <c r="B995" s="168"/>
      <c r="C995" s="324"/>
      <c r="D995" s="154"/>
      <c r="E995" s="168"/>
      <c r="F995" s="324"/>
      <c r="G995" s="154"/>
      <c r="H995" s="168"/>
      <c r="I995" s="324"/>
      <c r="J995" s="154"/>
      <c r="K995" s="168"/>
      <c r="L995" s="324"/>
      <c r="M995" s="330"/>
      <c r="N995" s="331"/>
      <c r="O995" s="332"/>
      <c r="P995" s="330"/>
      <c r="Q995" s="331"/>
      <c r="R995" s="332"/>
      <c r="S995" s="330"/>
      <c r="T995" s="331"/>
      <c r="U995" s="332"/>
      <c r="V995" s="154"/>
      <c r="W995" s="331"/>
      <c r="X995" s="324"/>
      <c r="Y995" s="205"/>
      <c r="Z995" s="205"/>
      <c r="AA995" s="205"/>
      <c r="AB995" s="17"/>
      <c r="AC995" s="17"/>
      <c r="AD995" s="17"/>
      <c r="AE995" s="17"/>
    </row>
    <row r="996">
      <c r="A996" s="154"/>
      <c r="B996" s="168"/>
      <c r="C996" s="324"/>
      <c r="D996" s="154"/>
      <c r="E996" s="168"/>
      <c r="F996" s="324"/>
      <c r="G996" s="154"/>
      <c r="H996" s="168"/>
      <c r="I996" s="324"/>
      <c r="J996" s="154"/>
      <c r="K996" s="168"/>
      <c r="L996" s="324"/>
      <c r="M996" s="330"/>
      <c r="N996" s="331"/>
      <c r="O996" s="332"/>
      <c r="P996" s="330"/>
      <c r="Q996" s="331"/>
      <c r="R996" s="332"/>
      <c r="S996" s="330"/>
      <c r="T996" s="331"/>
      <c r="U996" s="332"/>
      <c r="V996" s="154"/>
      <c r="W996" s="331"/>
      <c r="X996" s="324"/>
      <c r="Y996" s="205"/>
      <c r="Z996" s="205"/>
      <c r="AA996" s="205"/>
      <c r="AB996" s="17"/>
      <c r="AC996" s="17"/>
      <c r="AD996" s="17"/>
      <c r="AE996" s="17"/>
    </row>
    <row r="997">
      <c r="A997" s="154"/>
      <c r="B997" s="168"/>
      <c r="C997" s="324"/>
      <c r="D997" s="154"/>
      <c r="E997" s="168"/>
      <c r="F997" s="324"/>
      <c r="G997" s="154"/>
      <c r="H997" s="168"/>
      <c r="I997" s="324"/>
      <c r="J997" s="154"/>
      <c r="K997" s="168"/>
      <c r="L997" s="324"/>
      <c r="M997" s="330"/>
      <c r="N997" s="331"/>
      <c r="O997" s="332"/>
      <c r="P997" s="330"/>
      <c r="Q997" s="331"/>
      <c r="R997" s="332"/>
      <c r="S997" s="330"/>
      <c r="T997" s="331"/>
      <c r="U997" s="332"/>
      <c r="V997" s="154"/>
      <c r="W997" s="331"/>
      <c r="X997" s="324"/>
      <c r="Y997" s="205"/>
      <c r="Z997" s="205"/>
      <c r="AA997" s="205"/>
      <c r="AB997" s="17"/>
      <c r="AC997" s="17"/>
      <c r="AD997" s="17"/>
      <c r="AE997" s="17"/>
    </row>
    <row r="998">
      <c r="A998" s="154"/>
      <c r="B998" s="168"/>
      <c r="C998" s="324"/>
      <c r="D998" s="154"/>
      <c r="E998" s="168"/>
      <c r="F998" s="324"/>
      <c r="G998" s="154"/>
      <c r="H998" s="168"/>
      <c r="I998" s="324"/>
      <c r="J998" s="154"/>
      <c r="K998" s="168"/>
      <c r="L998" s="324"/>
      <c r="M998" s="330"/>
      <c r="N998" s="331"/>
      <c r="O998" s="332"/>
      <c r="P998" s="330"/>
      <c r="Q998" s="331"/>
      <c r="R998" s="332"/>
      <c r="S998" s="330"/>
      <c r="T998" s="331"/>
      <c r="U998" s="332"/>
      <c r="V998" s="154"/>
      <c r="W998" s="331"/>
      <c r="X998" s="324"/>
      <c r="Y998" s="205"/>
      <c r="Z998" s="205"/>
      <c r="AA998" s="205"/>
      <c r="AB998" s="17"/>
      <c r="AC998" s="17"/>
      <c r="AD998" s="17"/>
      <c r="AE998" s="17"/>
    </row>
    <row r="999">
      <c r="A999" s="154"/>
      <c r="B999" s="168"/>
      <c r="C999" s="324"/>
      <c r="D999" s="154"/>
      <c r="E999" s="168"/>
      <c r="F999" s="324"/>
      <c r="G999" s="154"/>
      <c r="H999" s="168"/>
      <c r="I999" s="324"/>
      <c r="J999" s="154"/>
      <c r="K999" s="168"/>
      <c r="L999" s="324"/>
      <c r="M999" s="330"/>
      <c r="N999" s="331"/>
      <c r="O999" s="332"/>
      <c r="P999" s="330"/>
      <c r="Q999" s="331"/>
      <c r="R999" s="332"/>
      <c r="S999" s="330"/>
      <c r="T999" s="331"/>
      <c r="U999" s="332"/>
      <c r="V999" s="154"/>
      <c r="W999" s="331"/>
      <c r="X999" s="324"/>
      <c r="Y999" s="205"/>
      <c r="Z999" s="205"/>
      <c r="AA999" s="205"/>
      <c r="AB999" s="17"/>
      <c r="AC999" s="17"/>
      <c r="AD999" s="17"/>
      <c r="AE999" s="17"/>
    </row>
    <row r="1000">
      <c r="A1000" s="154"/>
      <c r="B1000" s="168"/>
      <c r="C1000" s="324"/>
      <c r="D1000" s="154"/>
      <c r="E1000" s="168"/>
      <c r="F1000" s="324"/>
      <c r="G1000" s="154"/>
      <c r="H1000" s="168"/>
      <c r="I1000" s="324"/>
      <c r="J1000" s="154"/>
      <c r="K1000" s="168"/>
      <c r="L1000" s="324"/>
      <c r="M1000" s="330"/>
      <c r="N1000" s="331"/>
      <c r="O1000" s="332"/>
      <c r="P1000" s="330"/>
      <c r="Q1000" s="331"/>
      <c r="R1000" s="332"/>
      <c r="S1000" s="330"/>
      <c r="T1000" s="331"/>
      <c r="U1000" s="332"/>
      <c r="V1000" s="154"/>
      <c r="W1000" s="331"/>
      <c r="X1000" s="324"/>
      <c r="Y1000" s="205"/>
      <c r="Z1000" s="205"/>
      <c r="AA1000" s="205"/>
      <c r="AB1000" s="17"/>
      <c r="AC1000" s="17"/>
      <c r="AD1000" s="17"/>
      <c r="AE1000" s="17"/>
    </row>
    <row r="1001">
      <c r="A1001" s="154"/>
      <c r="B1001" s="168"/>
      <c r="C1001" s="324"/>
      <c r="D1001" s="154"/>
      <c r="E1001" s="168"/>
      <c r="F1001" s="324"/>
      <c r="G1001" s="154"/>
      <c r="H1001" s="168"/>
      <c r="I1001" s="324"/>
      <c r="J1001" s="154"/>
      <c r="K1001" s="168"/>
      <c r="L1001" s="324"/>
      <c r="M1001" s="330"/>
      <c r="N1001" s="331"/>
      <c r="O1001" s="332"/>
      <c r="P1001" s="330"/>
      <c r="Q1001" s="331"/>
      <c r="R1001" s="332"/>
      <c r="S1001" s="330"/>
      <c r="T1001" s="331"/>
      <c r="U1001" s="332"/>
      <c r="V1001" s="154"/>
      <c r="W1001" s="331"/>
      <c r="X1001" s="324"/>
      <c r="Y1001" s="205"/>
      <c r="Z1001" s="205"/>
      <c r="AA1001" s="205"/>
      <c r="AB1001" s="17"/>
      <c r="AC1001" s="17"/>
      <c r="AD1001" s="17"/>
      <c r="AE1001" s="17"/>
    </row>
    <row r="1002">
      <c r="A1002" s="154"/>
      <c r="B1002" s="168"/>
      <c r="C1002" s="324"/>
      <c r="D1002" s="154"/>
      <c r="E1002" s="168"/>
      <c r="F1002" s="324"/>
      <c r="G1002" s="154"/>
      <c r="H1002" s="168"/>
      <c r="I1002" s="324"/>
      <c r="J1002" s="154"/>
      <c r="K1002" s="168"/>
      <c r="L1002" s="324"/>
      <c r="M1002" s="330"/>
      <c r="N1002" s="331"/>
      <c r="O1002" s="332"/>
      <c r="P1002" s="330"/>
      <c r="Q1002" s="331"/>
      <c r="R1002" s="332"/>
      <c r="S1002" s="330"/>
      <c r="T1002" s="331"/>
      <c r="U1002" s="332"/>
      <c r="V1002" s="154"/>
      <c r="W1002" s="331"/>
      <c r="X1002" s="324"/>
      <c r="Y1002" s="154"/>
      <c r="Z1002" s="168"/>
      <c r="AA1002" s="324"/>
      <c r="AB1002" s="17"/>
      <c r="AC1002" s="17"/>
      <c r="AD1002" s="17"/>
      <c r="AE1002" s="17"/>
    </row>
    <row r="1003">
      <c r="A1003" s="154"/>
      <c r="B1003" s="168"/>
      <c r="C1003" s="324"/>
      <c r="D1003" s="154"/>
      <c r="E1003" s="168"/>
      <c r="F1003" s="324"/>
      <c r="G1003" s="154"/>
      <c r="H1003" s="168"/>
      <c r="I1003" s="324"/>
      <c r="J1003" s="154"/>
      <c r="K1003" s="168"/>
      <c r="L1003" s="324"/>
      <c r="M1003" s="330"/>
      <c r="N1003" s="331"/>
      <c r="O1003" s="332"/>
      <c r="P1003" s="330"/>
      <c r="Q1003" s="331"/>
      <c r="R1003" s="332"/>
      <c r="S1003" s="330"/>
      <c r="T1003" s="331"/>
      <c r="U1003" s="332"/>
      <c r="V1003" s="154"/>
      <c r="W1003" s="331"/>
      <c r="X1003" s="324"/>
      <c r="Y1003" s="154"/>
      <c r="Z1003" s="168"/>
      <c r="AA1003" s="324"/>
      <c r="AB1003" s="17"/>
      <c r="AC1003" s="17"/>
      <c r="AD1003" s="17"/>
      <c r="AE1003" s="17"/>
    </row>
    <row r="1004">
      <c r="A1004" s="154"/>
      <c r="B1004" s="168"/>
      <c r="C1004" s="324"/>
      <c r="D1004" s="154"/>
      <c r="E1004" s="168"/>
      <c r="F1004" s="324"/>
      <c r="G1004" s="154"/>
      <c r="H1004" s="168"/>
      <c r="I1004" s="324"/>
      <c r="J1004" s="154"/>
      <c r="K1004" s="168"/>
      <c r="L1004" s="324"/>
      <c r="M1004" s="330"/>
      <c r="N1004" s="331"/>
      <c r="O1004" s="332"/>
      <c r="P1004" s="330"/>
      <c r="Q1004" s="331"/>
      <c r="R1004" s="332"/>
      <c r="S1004" s="330"/>
      <c r="T1004" s="331"/>
      <c r="U1004" s="332"/>
      <c r="V1004" s="154"/>
      <c r="W1004" s="331"/>
      <c r="X1004" s="324"/>
      <c r="Y1004" s="154"/>
      <c r="Z1004" s="168"/>
      <c r="AA1004" s="324"/>
      <c r="AB1004" s="17"/>
      <c r="AC1004" s="17"/>
      <c r="AD1004" s="17"/>
      <c r="AE1004" s="17"/>
    </row>
    <row r="1005">
      <c r="A1005" s="154"/>
      <c r="B1005" s="168"/>
      <c r="C1005" s="324"/>
      <c r="D1005" s="154"/>
      <c r="E1005" s="168"/>
      <c r="F1005" s="324"/>
      <c r="G1005" s="154"/>
      <c r="H1005" s="168"/>
      <c r="I1005" s="324"/>
      <c r="J1005" s="154"/>
      <c r="K1005" s="168"/>
      <c r="L1005" s="324"/>
      <c r="M1005" s="330"/>
      <c r="N1005" s="331"/>
      <c r="O1005" s="332"/>
      <c r="P1005" s="330"/>
      <c r="Q1005" s="331"/>
      <c r="R1005" s="332"/>
      <c r="S1005" s="330"/>
      <c r="T1005" s="331"/>
      <c r="U1005" s="332"/>
      <c r="V1005" s="154"/>
      <c r="W1005" s="331"/>
      <c r="X1005" s="324"/>
      <c r="Y1005" s="154"/>
      <c r="Z1005" s="168"/>
      <c r="AA1005" s="324"/>
      <c r="AB1005" s="17"/>
      <c r="AC1005" s="17"/>
      <c r="AD1005" s="17"/>
      <c r="AE1005" s="17"/>
    </row>
    <row r="1006">
      <c r="A1006" s="154"/>
      <c r="B1006" s="168"/>
      <c r="C1006" s="324"/>
      <c r="D1006" s="154"/>
      <c r="E1006" s="168"/>
      <c r="F1006" s="324"/>
      <c r="G1006" s="154"/>
      <c r="H1006" s="168"/>
      <c r="I1006" s="324"/>
      <c r="J1006" s="154"/>
      <c r="K1006" s="168"/>
      <c r="L1006" s="324"/>
      <c r="M1006" s="330"/>
      <c r="N1006" s="331"/>
      <c r="O1006" s="332"/>
      <c r="P1006" s="330"/>
      <c r="Q1006" s="331"/>
      <c r="R1006" s="332"/>
      <c r="S1006" s="330"/>
      <c r="T1006" s="331"/>
      <c r="U1006" s="332"/>
      <c r="V1006" s="154"/>
      <c r="W1006" s="331"/>
      <c r="X1006" s="324"/>
      <c r="Y1006" s="154"/>
      <c r="Z1006" s="168"/>
      <c r="AA1006" s="324"/>
      <c r="AB1006" s="17"/>
      <c r="AC1006" s="17"/>
      <c r="AD1006" s="17"/>
      <c r="AE1006" s="17"/>
    </row>
    <row r="1007">
      <c r="A1007" s="154"/>
      <c r="B1007" s="168"/>
      <c r="C1007" s="324"/>
      <c r="D1007" s="154"/>
      <c r="E1007" s="168"/>
      <c r="F1007" s="324"/>
      <c r="G1007" s="154"/>
      <c r="H1007" s="168"/>
      <c r="I1007" s="324"/>
      <c r="J1007" s="154"/>
      <c r="K1007" s="168"/>
      <c r="L1007" s="324"/>
      <c r="M1007" s="330"/>
      <c r="N1007" s="331"/>
      <c r="O1007" s="332"/>
      <c r="P1007" s="330"/>
      <c r="Q1007" s="331"/>
      <c r="R1007" s="332"/>
      <c r="S1007" s="330"/>
      <c r="T1007" s="331"/>
      <c r="U1007" s="332"/>
      <c r="V1007" s="154"/>
      <c r="W1007" s="331"/>
      <c r="X1007" s="324"/>
      <c r="Y1007" s="154"/>
      <c r="Z1007" s="168"/>
      <c r="AA1007" s="324"/>
      <c r="AB1007" s="17"/>
      <c r="AC1007" s="17"/>
      <c r="AD1007" s="17"/>
      <c r="AE1007" s="17"/>
    </row>
    <row r="1008">
      <c r="A1008" s="154"/>
      <c r="B1008" s="168"/>
      <c r="C1008" s="324"/>
      <c r="D1008" s="154"/>
      <c r="E1008" s="168"/>
      <c r="F1008" s="324"/>
      <c r="G1008" s="154"/>
      <c r="H1008" s="168"/>
      <c r="I1008" s="324"/>
      <c r="J1008" s="154"/>
      <c r="K1008" s="168"/>
      <c r="L1008" s="324"/>
      <c r="M1008" s="330"/>
      <c r="N1008" s="331"/>
      <c r="O1008" s="332"/>
      <c r="P1008" s="330"/>
      <c r="Q1008" s="331"/>
      <c r="R1008" s="332"/>
      <c r="S1008" s="330"/>
      <c r="T1008" s="331"/>
      <c r="U1008" s="332"/>
      <c r="V1008" s="154"/>
      <c r="W1008" s="331"/>
      <c r="X1008" s="324"/>
      <c r="Y1008" s="154"/>
      <c r="Z1008" s="168"/>
      <c r="AA1008" s="324"/>
      <c r="AB1008" s="17"/>
      <c r="AC1008" s="17"/>
      <c r="AD1008" s="17"/>
      <c r="AE1008" s="17"/>
    </row>
    <row r="1009">
      <c r="A1009" s="154"/>
      <c r="B1009" s="168"/>
      <c r="C1009" s="324"/>
      <c r="D1009" s="154"/>
      <c r="E1009" s="168"/>
      <c r="F1009" s="324"/>
      <c r="G1009" s="154"/>
      <c r="H1009" s="168"/>
      <c r="I1009" s="324"/>
      <c r="J1009" s="154"/>
      <c r="K1009" s="168"/>
      <c r="L1009" s="324"/>
      <c r="M1009" s="330"/>
      <c r="N1009" s="331"/>
      <c r="O1009" s="332"/>
      <c r="P1009" s="330"/>
      <c r="Q1009" s="331"/>
      <c r="R1009" s="332"/>
      <c r="S1009" s="330"/>
      <c r="T1009" s="331"/>
      <c r="U1009" s="332"/>
      <c r="V1009" s="154"/>
      <c r="W1009" s="331"/>
      <c r="X1009" s="324"/>
      <c r="Y1009" s="154"/>
      <c r="Z1009" s="168"/>
      <c r="AA1009" s="324"/>
      <c r="AB1009" s="17"/>
      <c r="AC1009" s="17"/>
      <c r="AD1009" s="17"/>
      <c r="AE1009" s="17"/>
    </row>
    <row r="1010">
      <c r="A1010" s="154"/>
      <c r="B1010" s="168"/>
      <c r="C1010" s="324"/>
      <c r="D1010" s="154"/>
      <c r="E1010" s="168"/>
      <c r="F1010" s="324"/>
      <c r="G1010" s="154"/>
      <c r="H1010" s="168"/>
      <c r="I1010" s="324"/>
      <c r="J1010" s="154"/>
      <c r="K1010" s="168"/>
      <c r="L1010" s="324"/>
      <c r="M1010" s="330"/>
      <c r="N1010" s="331"/>
      <c r="O1010" s="332"/>
      <c r="P1010" s="330"/>
      <c r="Q1010" s="331"/>
      <c r="R1010" s="332"/>
      <c r="S1010" s="330"/>
      <c r="T1010" s="331"/>
      <c r="U1010" s="332"/>
      <c r="V1010" s="154"/>
      <c r="W1010" s="331"/>
      <c r="X1010" s="324"/>
      <c r="Y1010" s="154"/>
      <c r="Z1010" s="168"/>
      <c r="AA1010" s="324"/>
      <c r="AB1010" s="17"/>
      <c r="AC1010" s="17"/>
      <c r="AD1010" s="17"/>
      <c r="AE1010" s="17"/>
    </row>
    <row r="1011">
      <c r="A1011" s="154"/>
      <c r="B1011" s="168"/>
      <c r="C1011" s="324"/>
      <c r="D1011" s="154"/>
      <c r="E1011" s="168"/>
      <c r="F1011" s="324"/>
      <c r="G1011" s="154"/>
      <c r="H1011" s="168"/>
      <c r="I1011" s="324"/>
      <c r="J1011" s="154"/>
      <c r="K1011" s="168"/>
      <c r="L1011" s="324"/>
      <c r="M1011" s="330"/>
      <c r="N1011" s="331"/>
      <c r="O1011" s="332"/>
      <c r="P1011" s="330"/>
      <c r="Q1011" s="331"/>
      <c r="R1011" s="332"/>
      <c r="S1011" s="330"/>
      <c r="T1011" s="331"/>
      <c r="U1011" s="332"/>
      <c r="V1011" s="154"/>
      <c r="W1011" s="331"/>
      <c r="X1011" s="324"/>
      <c r="Y1011" s="154"/>
      <c r="Z1011" s="168"/>
      <c r="AA1011" s="324"/>
      <c r="AB1011" s="17"/>
      <c r="AC1011" s="17"/>
      <c r="AD1011" s="17"/>
      <c r="AE1011" s="17"/>
    </row>
    <row r="1012">
      <c r="A1012" s="154"/>
      <c r="B1012" s="168"/>
      <c r="C1012" s="324"/>
      <c r="D1012" s="154"/>
      <c r="E1012" s="168"/>
      <c r="F1012" s="324"/>
      <c r="G1012" s="154"/>
      <c r="H1012" s="168"/>
      <c r="I1012" s="324"/>
      <c r="J1012" s="154"/>
      <c r="K1012" s="168"/>
      <c r="L1012" s="324"/>
      <c r="M1012" s="330"/>
      <c r="N1012" s="331"/>
      <c r="O1012" s="332"/>
      <c r="P1012" s="330"/>
      <c r="Q1012" s="331"/>
      <c r="R1012" s="332"/>
      <c r="S1012" s="330"/>
      <c r="T1012" s="331"/>
      <c r="U1012" s="332"/>
      <c r="V1012" s="154"/>
      <c r="W1012" s="331"/>
      <c r="X1012" s="324"/>
      <c r="Y1012" s="154"/>
      <c r="Z1012" s="168"/>
      <c r="AA1012" s="324"/>
      <c r="AB1012" s="17"/>
      <c r="AC1012" s="17"/>
      <c r="AD1012" s="17"/>
      <c r="AE1012" s="17"/>
    </row>
    <row r="1013">
      <c r="A1013" s="154"/>
      <c r="B1013" s="168"/>
      <c r="C1013" s="324"/>
      <c r="D1013" s="154"/>
      <c r="E1013" s="168"/>
      <c r="F1013" s="324"/>
      <c r="G1013" s="154"/>
      <c r="H1013" s="168"/>
      <c r="I1013" s="324"/>
      <c r="J1013" s="154"/>
      <c r="K1013" s="168"/>
      <c r="L1013" s="324"/>
      <c r="M1013" s="330"/>
      <c r="N1013" s="331"/>
      <c r="O1013" s="332"/>
      <c r="P1013" s="330"/>
      <c r="Q1013" s="331"/>
      <c r="R1013" s="332"/>
      <c r="S1013" s="330"/>
      <c r="T1013" s="331"/>
      <c r="U1013" s="332"/>
      <c r="V1013" s="154"/>
      <c r="W1013" s="331"/>
      <c r="X1013" s="324"/>
      <c r="Y1013" s="154"/>
      <c r="Z1013" s="168"/>
      <c r="AA1013" s="324"/>
      <c r="AB1013" s="17"/>
      <c r="AC1013" s="17"/>
      <c r="AD1013" s="17"/>
      <c r="AE1013" s="17"/>
    </row>
    <row r="1014">
      <c r="A1014" s="154"/>
      <c r="B1014" s="168"/>
      <c r="C1014" s="324"/>
      <c r="D1014" s="154"/>
      <c r="E1014" s="168"/>
      <c r="F1014" s="324"/>
      <c r="G1014" s="154"/>
      <c r="H1014" s="168"/>
      <c r="I1014" s="324"/>
      <c r="J1014" s="154"/>
      <c r="K1014" s="168"/>
      <c r="L1014" s="324"/>
      <c r="M1014" s="330"/>
      <c r="N1014" s="331"/>
      <c r="O1014" s="332"/>
      <c r="P1014" s="330"/>
      <c r="Q1014" s="331"/>
      <c r="R1014" s="332"/>
      <c r="S1014" s="330"/>
      <c r="T1014" s="331"/>
      <c r="U1014" s="332"/>
      <c r="V1014" s="154"/>
      <c r="W1014" s="331"/>
      <c r="X1014" s="324"/>
      <c r="Y1014" s="154"/>
      <c r="Z1014" s="168"/>
      <c r="AA1014" s="324"/>
      <c r="AB1014" s="17"/>
      <c r="AC1014" s="17"/>
      <c r="AD1014" s="17"/>
      <c r="AE1014" s="17"/>
    </row>
    <row r="1015">
      <c r="A1015" s="154"/>
      <c r="B1015" s="168"/>
      <c r="C1015" s="324"/>
      <c r="D1015" s="154"/>
      <c r="E1015" s="168"/>
      <c r="F1015" s="324"/>
      <c r="G1015" s="154"/>
      <c r="H1015" s="168"/>
      <c r="I1015" s="324"/>
      <c r="J1015" s="154"/>
      <c r="K1015" s="168"/>
      <c r="L1015" s="324"/>
      <c r="M1015" s="330"/>
      <c r="N1015" s="331"/>
      <c r="O1015" s="332"/>
      <c r="P1015" s="330"/>
      <c r="Q1015" s="331"/>
      <c r="R1015" s="332"/>
      <c r="S1015" s="330"/>
      <c r="T1015" s="331"/>
      <c r="U1015" s="332"/>
      <c r="V1015" s="154"/>
      <c r="W1015" s="331"/>
      <c r="X1015" s="324"/>
      <c r="Y1015" s="154"/>
      <c r="Z1015" s="168"/>
      <c r="AA1015" s="324"/>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row>
    <row r="2" ht="55.5" customHeight="1">
      <c r="S2" s="306"/>
      <c r="T2" s="306"/>
    </row>
    <row r="3">
      <c r="A3" s="334" t="s">
        <v>4373</v>
      </c>
      <c r="B3" s="72" t="s">
        <v>4374</v>
      </c>
      <c r="C3" s="334" t="str">
        <f>IFERROR(__xludf.DUMMYFUNCTION("GOOGLETRANSLATE(A3,""zh-tw"",""ja"")"),"武器プロジェクト")</f>
        <v>武器プロジェクト</v>
      </c>
      <c r="D3" s="72" t="str">
        <f>IFERROR(__xludf.DUMMYFUNCTION("GOOGLETRANSLATE(B3,""zh-tw"",""ja"")"),"武器の属性")</f>
        <v>武器の属性</v>
      </c>
      <c r="E3" s="334" t="s">
        <v>4375</v>
      </c>
      <c r="F3" s="72" t="s">
        <v>4376</v>
      </c>
      <c r="G3" s="334" t="str">
        <f>IFERROR(__xludf.DUMMYFUNCTION("GOOGLETRANSLATE(A3,""zh-tw"",""zh"")"),"武器项目")</f>
        <v>武器项目</v>
      </c>
      <c r="H3" s="72" t="str">
        <f>IFERROR(__xludf.DUMMYFUNCTION("GOOGLETRANSLATE(B3,""zh-tw"",""zh"")"),"武器属性")</f>
        <v>武器属性</v>
      </c>
      <c r="I3" s="335" t="str">
        <f>IFERROR(__xludf.DUMMYFUNCTION("GOOGLETRANSLATE(A3,""zh-tw"",""es-MX"")"),"Proyecto de armas")</f>
        <v>Proyecto de armas</v>
      </c>
      <c r="J3" s="34" t="str">
        <f>IFERROR(__xludf.DUMMYFUNCTION("GOOGLETRANSLATE(B3,""zh-tw"",""es-MX"")"),"Atributos de armas")</f>
        <v>Atributos de armas</v>
      </c>
      <c r="K3" s="336" t="str">
        <f>IFERROR(__xludf.DUMMYFUNCTION("GOOGLETRANSLATE(A3,""zh-tw"",""KO"")"),"무기 프로젝트")</f>
        <v>무기 프로젝트</v>
      </c>
      <c r="L3" s="69" t="str">
        <f>IFERROR(__xludf.DUMMYFUNCTION("GOOGLETRANSLATE(B3,""zh-tw"",""KO"")"),"무기 속성")</f>
        <v>무기 속성</v>
      </c>
      <c r="M3" s="335" t="str">
        <f>IFERROR(__xludf.DUMMYFUNCTION("GOOGLETRANSLATE(A3,""zh-tw"",""ru"")"),"Проект «Оружие»")</f>
        <v>Проект «Оружие»</v>
      </c>
      <c r="N3" s="34" t="str">
        <f>IFERROR(__xludf.DUMMYFUNCTION("GOOGLETRANSLATE(B3,""zh-tw"",""ru"")"),"Атрибуты оружия")</f>
        <v>Атрибуты оружия</v>
      </c>
      <c r="O3" s="334" t="s">
        <v>4377</v>
      </c>
      <c r="P3" s="72" t="s">
        <v>4378</v>
      </c>
      <c r="Q3" s="337" t="s">
        <v>4379</v>
      </c>
      <c r="R3" s="338" t="s">
        <v>4380</v>
      </c>
      <c r="S3" s="318"/>
      <c r="T3" s="318"/>
    </row>
    <row r="4">
      <c r="A4" s="339" t="s">
        <v>4381</v>
      </c>
      <c r="B4" s="167" t="s">
        <v>4382</v>
      </c>
      <c r="C4" s="340" t="str">
        <f>IFERROR(__xludf.DUMMYFUNCTION("GOOGLETRANSLATE(A4,""zh-tw"",""ja"")"),"握りしめた拳")</f>
        <v>握りしめた拳</v>
      </c>
      <c r="D4" s="323" t="str">
        <f>IFERROR(__xludf.DUMMYFUNCTION("GOOGLETRANSLATE(B4,""zh-tw"",""ja"")"),"物理攻撃力：2
最大HPに応じて攻撃力が上昇")</f>
        <v>物理攻撃力：2
最大HPに応じて攻撃力が上昇</v>
      </c>
      <c r="E4" s="340" t="s">
        <v>4383</v>
      </c>
      <c r="F4" s="323" t="s">
        <v>4384</v>
      </c>
      <c r="G4" s="340" t="str">
        <f>IFERROR(__xludf.DUMMYFUNCTION("GOOGLETRANSLATE(A4,""zh-tw"",""zh"")"),"握紧的拳头")</f>
        <v>握紧的拳头</v>
      </c>
      <c r="H4" s="323" t="str">
        <f>IFERROR(__xludf.DUMMYFUNCTION("GOOGLETRANSLATE(B4,""zh-tw"",""zh"")"),"物攻：2消
攻击依照最大体力增加")</f>
        <v>物攻：2消
攻击依照最大体力增加</v>
      </c>
      <c r="I4" s="341" t="str">
        <f>IFERROR(__xludf.DUMMYFUNCTION("GOOGLETRANSLATE(A4,""zh-tw"",""es-MX"")"),"puño cerrado")</f>
        <v>puño cerrado</v>
      </c>
      <c r="J4" s="168" t="str">
        <f>IFERROR(__xludf.DUMMYFUNCTION("GOOGLETRANSLATE(B4,""zh-tw"",""es-MX"")"),"Ataque físico: 2")</f>
        <v>Ataque físico: 2</v>
      </c>
      <c r="K4" s="339" t="s">
        <v>4385</v>
      </c>
      <c r="L4" s="167" t="s">
        <v>4386</v>
      </c>
      <c r="M4" s="342" t="str">
        <f>IFERROR(__xludf.DUMMYFUNCTION("GOOGLETRANSLATE(A4,""zh-tw"",""ru"")"),"Сжатый кулак")</f>
        <v>Сжатый кулак</v>
      </c>
      <c r="N4" s="321"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40" t="s">
        <v>4387</v>
      </c>
      <c r="P4" s="323" t="s">
        <v>4388</v>
      </c>
      <c r="Q4" s="343" t="s">
        <v>4389</v>
      </c>
      <c r="R4" s="344" t="s">
        <v>4390</v>
      </c>
      <c r="S4" s="17"/>
      <c r="T4" s="17"/>
    </row>
    <row r="5">
      <c r="A5" s="340" t="s">
        <v>4391</v>
      </c>
      <c r="B5" s="323" t="s">
        <v>4392</v>
      </c>
      <c r="C5" s="340" t="s">
        <v>4393</v>
      </c>
      <c r="D5" s="323" t="str">
        <f>IFERROR(__xludf.DUMMYFUNCTION("GOOGLETRANSLATE(B5,""zh-tw"",""ja"")"),"物理攻撃力: 15")</f>
        <v>物理攻撃力: 15</v>
      </c>
      <c r="E5" s="340" t="s">
        <v>4394</v>
      </c>
      <c r="F5" s="323" t="s">
        <v>4395</v>
      </c>
      <c r="G5" s="340" t="str">
        <f>IFERROR(__xludf.DUMMYFUNCTION("GOOGLETRANSLATE(A5,""zh-tw"",""zh"")"),"硬木剑")</f>
        <v>硬木剑</v>
      </c>
      <c r="H5" s="323" t="str">
        <f>IFERROR(__xludf.DUMMYFUNCTION("GOOGLETRANSLATE(B5,""zh-tw"",""zh"")"),"物攻：15")</f>
        <v>物攻：15</v>
      </c>
      <c r="I5" s="341" t="str">
        <f>IFERROR(__xludf.DUMMYFUNCTION("GOOGLETRANSLATE(A5,""zh-tw"",""es-MX"")"),"Espada de madera dura")</f>
        <v>Espada de madera dura</v>
      </c>
      <c r="J5" s="168" t="str">
        <f>IFERROR(__xludf.DUMMYFUNCTION("GOOGLETRANSLATE(B5,""zh-tw"",""es-MX"")"),"Ataque físico: 15")</f>
        <v>Ataque físico: 15</v>
      </c>
      <c r="K5" s="340" t="s">
        <v>4396</v>
      </c>
      <c r="L5" s="167" t="s">
        <v>4397</v>
      </c>
      <c r="M5" s="342" t="str">
        <f>IFERROR(__xludf.DUMMYFUNCTION("GOOGLETRANSLATE(A5,""zh-tw"",""ru"")"),"Меч из твердой древесины")</f>
        <v>Меч из твердой древесины</v>
      </c>
      <c r="N5" s="321" t="str">
        <f>IFERROR(__xludf.DUMMYFUNCTION("GOOGLETRANSLATE(B5,""zh-tw"",""ru"")"),"Физическая атака: 15")</f>
        <v>Физическая атака: 15</v>
      </c>
      <c r="O5" s="340" t="s">
        <v>4398</v>
      </c>
      <c r="P5" s="323" t="s">
        <v>4399</v>
      </c>
      <c r="Q5" s="343" t="s">
        <v>4400</v>
      </c>
      <c r="R5" s="344" t="s">
        <v>4401</v>
      </c>
      <c r="S5" s="210"/>
      <c r="T5" s="210"/>
    </row>
    <row r="6">
      <c r="A6" s="340" t="s">
        <v>4402</v>
      </c>
      <c r="B6" s="323" t="s">
        <v>4403</v>
      </c>
      <c r="C6" s="340" t="s">
        <v>4404</v>
      </c>
      <c r="D6" s="323" t="str">
        <f>IFERROR(__xludf.DUMMYFUNCTION("GOOGLETRANSLATE(B6,""zh-tw"",""ja"")"),"物理攻撃力: 14")</f>
        <v>物理攻撃力: 14</v>
      </c>
      <c r="E6" s="340" t="s">
        <v>4405</v>
      </c>
      <c r="F6" s="323" t="s">
        <v>4406</v>
      </c>
      <c r="G6" s="340" t="str">
        <f>IFERROR(__xludf.DUMMYFUNCTION("GOOGLETRANSLATE(A6,""zh-tw"",""zh"")"),"硬木棒")</f>
        <v>硬木棒</v>
      </c>
      <c r="H6" s="323" t="str">
        <f>IFERROR(__xludf.DUMMYFUNCTION("GOOGLETRANSLATE(B6,""zh-tw"",""zh"")"),"物攻：14")</f>
        <v>物攻：14</v>
      </c>
      <c r="I6" s="341" t="str">
        <f>IFERROR(__xludf.DUMMYFUNCTION("GOOGLETRANSLATE(A6,""zh-tw"",""es-MX"")"),"palo de madera dura")</f>
        <v>palo de madera dura</v>
      </c>
      <c r="J6" s="168" t="str">
        <f>IFERROR(__xludf.DUMMYFUNCTION("GOOGLETRANSLATE(B6,""zh-tw"",""es-MX"")"),"Ataque físico: 14")</f>
        <v>Ataque físico: 14</v>
      </c>
      <c r="K6" s="341" t="str">
        <f>IFERROR(__xludf.DUMMYFUNCTION("GOOGLETRANSLATE(A6,""zh-tw"",""KO"")"),"단단한 나무 막대기")</f>
        <v>단단한 나무 막대기</v>
      </c>
      <c r="L6" s="167" t="s">
        <v>4407</v>
      </c>
      <c r="M6" s="342" t="str">
        <f>IFERROR(__xludf.DUMMYFUNCTION("GOOGLETRANSLATE(A6,""zh-tw"",""ru"")"),"палка из твердой древесины")</f>
        <v>палка из твердой древесины</v>
      </c>
      <c r="N6" s="321" t="str">
        <f>IFERROR(__xludf.DUMMYFUNCTION("GOOGLETRANSLATE(B6,""zh-tw"",""ru"")"),"Физическая атака: 14")</f>
        <v>Физическая атака: 14</v>
      </c>
      <c r="O6" s="340" t="s">
        <v>4408</v>
      </c>
      <c r="P6" s="323" t="s">
        <v>4409</v>
      </c>
      <c r="Q6" s="343" t="s">
        <v>4410</v>
      </c>
      <c r="R6" s="344" t="s">
        <v>4411</v>
      </c>
      <c r="S6" s="210"/>
      <c r="T6" s="210"/>
    </row>
    <row r="7">
      <c r="A7" s="340" t="s">
        <v>4412</v>
      </c>
      <c r="B7" s="323" t="s">
        <v>4413</v>
      </c>
      <c r="C7" s="340" t="str">
        <f>IFERROR(__xludf.DUMMYFUNCTION("GOOGLETRANSLATE(A7,""zh-tw"",""ja"")"),"伐採斧")</f>
        <v>伐採斧</v>
      </c>
      <c r="D7" s="323" t="str">
        <f>IFERROR(__xludf.DUMMYFUNCTION("GOOGLETRANSLATE(B7,""zh-tw"",""ja"")"),"物理攻撃力: 24")</f>
        <v>物理攻撃力: 24</v>
      </c>
      <c r="E7" s="340" t="s">
        <v>4414</v>
      </c>
      <c r="F7" s="323" t="s">
        <v>4415</v>
      </c>
      <c r="G7" s="340" t="str">
        <f>IFERROR(__xludf.DUMMYFUNCTION("GOOGLETRANSLATE(A7,""zh-tw"",""zh"")"),"伐木斧")</f>
        <v>伐木斧</v>
      </c>
      <c r="H7" s="323" t="str">
        <f>IFERROR(__xludf.DUMMYFUNCTION("GOOGLETRANSLATE(B7,""zh-tw"",""zh"")"),"物攻：24")</f>
        <v>物攻：24</v>
      </c>
      <c r="I7" s="341" t="str">
        <f>IFERROR(__xludf.DUMMYFUNCTION("GOOGLETRANSLATE(A7,""zh-tw"",""es-MX"")"),"hacha de leñador")</f>
        <v>hacha de leñador</v>
      </c>
      <c r="J7" s="168" t="str">
        <f>IFERROR(__xludf.DUMMYFUNCTION("GOOGLETRANSLATE(B7,""zh-tw"",""es-MX"")"),"Ataque físico: 24")</f>
        <v>Ataque físico: 24</v>
      </c>
      <c r="K7" s="339" t="s">
        <v>4416</v>
      </c>
      <c r="L7" s="167" t="s">
        <v>4417</v>
      </c>
      <c r="M7" s="342" t="str">
        <f>IFERROR(__xludf.DUMMYFUNCTION("GOOGLETRANSLATE(A7,""zh-tw"",""ru"")"),"топор для рубки леса")</f>
        <v>топор для рубки леса</v>
      </c>
      <c r="N7" s="321" t="str">
        <f>IFERROR(__xludf.DUMMYFUNCTION("GOOGLETRANSLATE(B7,""zh-tw"",""ru"")"),"Физическая атака: 24")</f>
        <v>Физическая атака: 24</v>
      </c>
      <c r="O7" s="340" t="s">
        <v>4418</v>
      </c>
      <c r="P7" s="323" t="s">
        <v>4419</v>
      </c>
      <c r="Q7" s="343" t="s">
        <v>4420</v>
      </c>
      <c r="R7" s="344" t="s">
        <v>4421</v>
      </c>
      <c r="S7" s="210"/>
      <c r="T7" s="210"/>
    </row>
    <row r="8">
      <c r="A8" s="340" t="s">
        <v>4422</v>
      </c>
      <c r="B8" s="323" t="s">
        <v>4423</v>
      </c>
      <c r="C8" s="340" t="str">
        <f>IFERROR(__xludf.DUMMYFUNCTION("GOOGLETRANSLATE(A8,""zh-tw"",""ja"")"),"騎士の剣")</f>
        <v>騎士の剣</v>
      </c>
      <c r="D8" s="323" t="str">
        <f>IFERROR(__xludf.DUMMYFUNCTION("GOOGLETRANSLATE(B8,""zh-tw"",""ja"")"),"物理攻撃力：30
条件を満たすと2倍")</f>
        <v>物理攻撃力：30
条件を満たすと2倍</v>
      </c>
      <c r="E8" s="340" t="s">
        <v>3999</v>
      </c>
      <c r="F8" s="323" t="s">
        <v>4424</v>
      </c>
      <c r="G8" s="340" t="str">
        <f>IFERROR(__xludf.DUMMYFUNCTION("GOOGLETRANSLATE(A8,""zh-tw"",""zh"")"),"骑士之剑")</f>
        <v>骑士之剑</v>
      </c>
      <c r="H8" s="323" t="str">
        <f>IFERROR(__xludf.DUMMYFUNCTION("GOOGLETRANSLATE(B8,""zh-tw"",""zh"")"),"物攻：30
满足条件后翻倍")</f>
        <v>物攻：30
满足条件后翻倍</v>
      </c>
      <c r="I8" s="341" t="str">
        <f>IFERROR(__xludf.DUMMYFUNCTION("GOOGLETRANSLATE(A8,""zh-tw"",""es-MX"")"),"Espada de caballero")</f>
        <v>Espada de caballero</v>
      </c>
      <c r="J8" s="168" t="str">
        <f>IFERROR(__xludf.DUMMYFUNCTION("GOOGLETRANSLATE(B8,""zh-tw"",""es-MX"")"),"Ataque físico: 30")</f>
        <v>Ataque físico: 30</v>
      </c>
      <c r="K8" s="341" t="str">
        <f>IFERROR(__xludf.DUMMYFUNCTION("GOOGLETRANSLATE(A8,""zh-tw"",""KO"")"),"기사의 검")</f>
        <v>기사의 검</v>
      </c>
      <c r="L8" s="167" t="s">
        <v>4425</v>
      </c>
      <c r="M8" s="342" t="str">
        <f>IFERROR(__xludf.DUMMYFUNCTION("GOOGLETRANSLATE(A8,""zh-tw"",""ru"")"),"Рыцарский меч")</f>
        <v>Рыцарский меч</v>
      </c>
      <c r="N8" s="321" t="str">
        <f>IFERROR(__xludf.DUMMYFUNCTION("GOOGLETRANSLATE(B8,""zh-tw"",""ru"")"),"Физическая атака: 30
Удваивается при выполнении условий")</f>
        <v>Физическая атака: 30
Удваивается при выполнении условий</v>
      </c>
      <c r="O8" s="340" t="s">
        <v>4003</v>
      </c>
      <c r="P8" s="323" t="s">
        <v>4426</v>
      </c>
      <c r="Q8" s="343" t="s">
        <v>4427</v>
      </c>
      <c r="R8" s="344" t="s">
        <v>4428</v>
      </c>
      <c r="S8" s="210"/>
      <c r="T8" s="210"/>
    </row>
    <row r="9">
      <c r="A9" s="340" t="s">
        <v>4429</v>
      </c>
      <c r="B9" s="323" t="s">
        <v>4430</v>
      </c>
      <c r="C9" s="340" t="s">
        <v>4431</v>
      </c>
      <c r="D9" s="323" t="str">
        <f>IFERROR(__xludf.DUMMYFUNCTION("GOOGLETRANSLATE(B9,""zh-tw"",""ja"")"),"物理攻撃力: 42")</f>
        <v>物理攻撃力: 42</v>
      </c>
      <c r="E9" s="340" t="s">
        <v>4432</v>
      </c>
      <c r="F9" s="323" t="s">
        <v>4433</v>
      </c>
      <c r="G9" s="340" t="str">
        <f>IFERROR(__xludf.DUMMYFUNCTION("GOOGLETRANSLATE(A9,""zh-tw"",""zh"")"),"兽人的骨釜")</f>
        <v>兽人的骨釜</v>
      </c>
      <c r="H9" s="323" t="str">
        <f>IFERROR(__xludf.DUMMYFUNCTION("GOOGLETRANSLATE(B9,""zh-tw"",""zh"")"),"物攻：42")</f>
        <v>物攻：42</v>
      </c>
      <c r="I9" s="341" t="str">
        <f>IFERROR(__xludf.DUMMYFUNCTION("GOOGLETRANSLATE(A9,""zh-tw"",""es-MX"")"),"Caldero de hueso de orco")</f>
        <v>Caldero de hueso de orco</v>
      </c>
      <c r="J9" s="168" t="str">
        <f>IFERROR(__xludf.DUMMYFUNCTION("GOOGLETRANSLATE(B9,""zh-tw"",""es-MX"")"),"Ataque físico: 42")</f>
        <v>Ataque físico: 42</v>
      </c>
      <c r="K9" s="340" t="s">
        <v>4434</v>
      </c>
      <c r="L9" s="167" t="s">
        <v>4435</v>
      </c>
      <c r="M9" s="342" t="str">
        <f>IFERROR(__xludf.DUMMYFUNCTION("GOOGLETRANSLATE(A9,""zh-tw"",""ru"")"),"Орочий костяной котел")</f>
        <v>Орочий костяной котел</v>
      </c>
      <c r="N9" s="321" t="str">
        <f>IFERROR(__xludf.DUMMYFUNCTION("GOOGLETRANSLATE(B9,""zh-tw"",""ru"")"),"Физическая атака: 42")</f>
        <v>Физическая атака: 42</v>
      </c>
      <c r="O9" s="340" t="s">
        <v>4436</v>
      </c>
      <c r="P9" s="323" t="s">
        <v>4437</v>
      </c>
      <c r="Q9" s="343" t="s">
        <v>4438</v>
      </c>
      <c r="R9" s="344" t="s">
        <v>4439</v>
      </c>
      <c r="S9" s="210"/>
      <c r="T9" s="210"/>
    </row>
    <row r="10">
      <c r="A10" s="341" t="s">
        <v>4440</v>
      </c>
      <c r="B10" s="168" t="s">
        <v>4441</v>
      </c>
      <c r="C10" s="341" t="s">
        <v>4442</v>
      </c>
      <c r="D10" s="328" t="s">
        <v>4443</v>
      </c>
      <c r="E10" s="345" t="s">
        <v>4444</v>
      </c>
      <c r="F10" s="328" t="s">
        <v>4445</v>
      </c>
      <c r="G10" s="340" t="str">
        <f>IFERROR(__xludf.DUMMYFUNCTION("GOOGLETRANSLATE(A10,""zh-tw"",""zh"")"),"怪鸟的羽毛")</f>
        <v>怪鸟的羽毛</v>
      </c>
      <c r="H10" s="323" t="str">
        <f>IFERROR(__xludf.DUMMYFUNCTION("GOOGLETRANSLATE(B10,""zh-tw"",""zh"")"),"物攻：18
旋风斩提升移速
旋风斩进入漂浮状态")</f>
        <v>物攻：18
旋风斩提升移速
旋风斩进入漂浮状态</v>
      </c>
      <c r="I10" s="341" t="str">
        <f>IFERROR(__xludf.DUMMYFUNCTION("GOOGLETRANSLATE(A10,""zh-tw"",""es-MX"")"),"Las plumas del extraño pájaro")</f>
        <v>Las plumas del extraño pájaro</v>
      </c>
      <c r="J10" s="168" t="str">
        <f>IFERROR(__xludf.DUMMYFUNCTION("GOOGLETRANSLATE(B10,""zh-tw"",""es-MX"")"),"Ataque físico: 18
Torbellino aumenta la velocidad de movimiento.
Torbellino causa un estado de flotación.")</f>
        <v>Ataque físico: 18
Torbellino aumenta la velocidad de movimiento.
Torbellino causa un estado de flotación.</v>
      </c>
      <c r="K10" s="341" t="str">
        <f>IFERROR(__xludf.DUMMYFUNCTION("GOOGLETRANSLATE(A10,""zh-tw"",""KO"")"),"이상한 새의 깃털")</f>
        <v>이상한 새의 깃털</v>
      </c>
      <c r="L10" s="168" t="str">
        <f>IFERROR(__xludf.DUMMYFUNCTION("GOOGLETRANSLATE(B10,""zh-tw"",""KO"")"),"물리 공격력: 18
회오리바람은 이동 속도를 증가시킵니다.
회오리바람은 부유 상태를 유발합니다.")</f>
        <v>물리 공격력: 18
회오리바람은 이동 속도를 증가시킵니다.
회오리바람은 부유 상태를 유발합니다.</v>
      </c>
      <c r="M10" s="342" t="str">
        <f>IFERROR(__xludf.DUMMYFUNCTION("GOOGLETRANSLATE(A10,""zh-tw"",""ru"")"),"Перья странной птицы")</f>
        <v>Перья странной птицы</v>
      </c>
      <c r="N10" s="321" t="str">
        <f>IFERROR(__xludf.DUMMYFUNCTION("GOOGLETRANSLATE(B10,""zh-tw"",""ru"")"),"Физическая атака: 18
Вихрь увеличивает скорость передвижения
Вихрь вызывает парение")</f>
        <v>Физическая атака: 18
Вихрь увеличивает скорость передвижения
Вихрь вызывает парение</v>
      </c>
      <c r="O10" s="345" t="s">
        <v>4446</v>
      </c>
      <c r="P10" s="328" t="s">
        <v>4447</v>
      </c>
      <c r="Q10" s="343" t="s">
        <v>4448</v>
      </c>
      <c r="R10" s="344" t="s">
        <v>4449</v>
      </c>
      <c r="S10" s="17"/>
      <c r="T10" s="17"/>
    </row>
    <row r="11">
      <c r="A11" s="340" t="s">
        <v>4450</v>
      </c>
      <c r="B11" s="323" t="s">
        <v>4451</v>
      </c>
      <c r="C11" s="340" t="s">
        <v>4452</v>
      </c>
      <c r="D11" s="323" t="str">
        <f>IFERROR(__xludf.DUMMYFUNCTION("GOOGLETRANSLATE(B11,""zh-tw"",""ja"")"),"物理攻撃: 20 飛び道具を反射する")</f>
        <v>物理攻撃: 20 飛び道具を反射する</v>
      </c>
      <c r="E11" s="340" t="s">
        <v>4453</v>
      </c>
      <c r="F11" s="323" t="s">
        <v>4454</v>
      </c>
      <c r="G11" s="340" t="str">
        <f>IFERROR(__xludf.DUMMYFUNCTION("GOOGLETRANSLATE(A11,""zh-tw"",""zh"")"),"棒球棍")</f>
        <v>棒球棍</v>
      </c>
      <c r="H11" s="323" t="str">
        <f>IFERROR(__xludf.DUMMYFUNCTION("GOOGLETRANSLATE(B11,""zh-tw"",""zh"")"),"物攻：20
反弹抛射物")</f>
        <v>物攻：20
反弹抛射物</v>
      </c>
      <c r="I11" s="341" t="str">
        <f>IFERROR(__xludf.DUMMYFUNCTION("GOOGLETRANSLATE(A11,""zh-tw"",""es-MX"")"),"bate de béisbol")</f>
        <v>bate de béisbol</v>
      </c>
      <c r="J11" s="168" t="str">
        <f>IFERROR(__xludf.DUMMYFUNCTION("GOOGLETRANSLATE(B11,""zh-tw"",""es-MX"")"),"Ataque físico: 20 Refleja proyectiles")</f>
        <v>Ataque físico: 20 Refleja proyectiles</v>
      </c>
      <c r="K11" s="339" t="s">
        <v>4455</v>
      </c>
      <c r="L11" s="167" t="s">
        <v>4456</v>
      </c>
      <c r="M11" s="342" t="str">
        <f>IFERROR(__xludf.DUMMYFUNCTION("GOOGLETRANSLATE(A11,""zh-tw"",""ru"")"),"бейсбольная бита")</f>
        <v>бейсбольная бита</v>
      </c>
      <c r="N11" s="321" t="str">
        <f>IFERROR(__xludf.DUMMYFUNCTION("GOOGLETRANSLATE(B11,""zh-tw"",""ru"")"),"Физическая атака: 20 отражает снаряды")</f>
        <v>Физическая атака: 20 отражает снаряды</v>
      </c>
      <c r="O11" s="340" t="s">
        <v>4457</v>
      </c>
      <c r="P11" s="323" t="s">
        <v>4458</v>
      </c>
      <c r="Q11" s="343" t="s">
        <v>4459</v>
      </c>
      <c r="R11" s="344" t="s">
        <v>4460</v>
      </c>
      <c r="S11" s="210"/>
      <c r="T11" s="210"/>
    </row>
    <row r="12">
      <c r="A12" s="340" t="s">
        <v>4461</v>
      </c>
      <c r="B12" s="323" t="s">
        <v>4462</v>
      </c>
      <c r="C12" s="340" t="s">
        <v>4463</v>
      </c>
      <c r="D12" s="323" t="str">
        <f>IFERROR(__xludf.DUMMYFUNCTION("GOOGLETRANSLATE(B12,""zh-tw"",""ja"")"),"物理攻撃力: 14 悪臭を放つ")</f>
        <v>物理攻撃力: 14 悪臭を放つ</v>
      </c>
      <c r="E12" s="340" t="s">
        <v>4464</v>
      </c>
      <c r="F12" s="323" t="s">
        <v>4465</v>
      </c>
      <c r="G12" s="340" t="str">
        <f>IFERROR(__xludf.DUMMYFUNCTION("GOOGLETRANSLATE(A12,""zh-tw"",""zh"")"),"臭鱼骨")</f>
        <v>臭鱼骨</v>
      </c>
      <c r="H12" s="323" t="str">
        <f>IFERROR(__xludf.DUMMYFUNCTION("GOOGLETRANSLATE(B12,""zh-tw"",""zh"")"),"物攻：14
散发恶臭")</f>
        <v>物攻：14
散发恶臭</v>
      </c>
      <c r="I12" s="341" t="str">
        <f>IFERROR(__xludf.DUMMYFUNCTION("GOOGLETRANSLATE(A12,""zh-tw"",""es-MX"")"),"Huesas de pescado apestosas")</f>
        <v>Huesas de pescado apestosas</v>
      </c>
      <c r="J12" s="168" t="str">
        <f>IFERROR(__xludf.DUMMYFUNCTION("GOOGLETRANSLATE(B12,""zh-tw"",""es-MX"")"),"Ataque físico: 14 Emite un hedor nauseabundo")</f>
        <v>Ataque físico: 14 Emite un hedor nauseabundo</v>
      </c>
      <c r="K12" s="341" t="str">
        <f>IFERROR(__xludf.DUMMYFUNCTION("GOOGLETRANSLATE(A12,""zh-tw"",""KO"")"),"냄새나는 생선 뼈")</f>
        <v>냄새나는 생선 뼈</v>
      </c>
      <c r="L12" s="167" t="s">
        <v>4466</v>
      </c>
      <c r="M12" s="342" t="str">
        <f>IFERROR(__xludf.DUMMYFUNCTION("GOOGLETRANSLATE(A12,""zh-tw"",""ru"")"),"Вонючие рыбьи кости")</f>
        <v>Вонючие рыбьи кости</v>
      </c>
      <c r="N12" s="321" t="str">
        <f>IFERROR(__xludf.DUMMYFUNCTION("GOOGLETRANSLATE(B12,""zh-tw"",""ru"")"),"Физическая атака: 14. Издает неприятный запах.")</f>
        <v>Физическая атака: 14. Издает неприятный запах.</v>
      </c>
      <c r="O12" s="340" t="s">
        <v>4467</v>
      </c>
      <c r="P12" s="323" t="s">
        <v>4468</v>
      </c>
      <c r="Q12" s="343" t="s">
        <v>4469</v>
      </c>
      <c r="R12" s="344" t="s">
        <v>4470</v>
      </c>
      <c r="S12" s="210"/>
      <c r="T12" s="210"/>
    </row>
    <row r="13">
      <c r="A13" s="340" t="s">
        <v>4471</v>
      </c>
      <c r="B13" s="323" t="s">
        <v>4472</v>
      </c>
      <c r="C13" s="340" t="str">
        <f>IFERROR(__xludf.DUMMYFUNCTION("GOOGLETRANSLATE(A13,""zh-tw"",""ja"")"),"ヤン・ヤン")</f>
        <v>ヤン・ヤン</v>
      </c>
      <c r="D13" s="323" t="str">
        <f>IFERROR(__xludf.DUMMYFUNCTION("GOOGLETRANSLATE(B13,""zh-tw"",""ja"")"),"物理攻撃力：32
魔法攻撃力：16
火属性")</f>
        <v>物理攻撃力：32
魔法攻撃力：16
火属性</v>
      </c>
      <c r="E13" s="340" t="s">
        <v>4473</v>
      </c>
      <c r="F13" s="323" t="s">
        <v>4474</v>
      </c>
      <c r="G13" s="340" t="str">
        <f>IFERROR(__xludf.DUMMYFUNCTION("GOOGLETRANSLATE(A13,""zh-tw"",""zh"")"),"阳炎")</f>
        <v>阳炎</v>
      </c>
      <c r="H13" s="323" t="str">
        <f>IFERROR(__xludf.DUMMYFUNCTION("GOOGLETRANSLATE(B13,""zh-tw"",""zh"")"),"物攻：32
魔攻：16
炎属性")</f>
        <v>物攻：32
魔攻：16
炎属性</v>
      </c>
      <c r="I13" s="341" t="str">
        <f>IFERROR(__xludf.DUMMYFUNCTION("GOOGLETRANSLATE(A13,""zh-tw"",""es-MX"")"),"Yang Yan")</f>
        <v>Yang Yan</v>
      </c>
      <c r="J13" s="168" t="str">
        <f>IFERROR(__xludf.DUMMYFUNCTION("GOOGLETRANSLATE(B13,""zh-tw"",""es-MX"")"),"Ataque físico: 32
Ataque mágico: 16
Atributo de fuego")</f>
        <v>Ataque físico: 32
Ataque mágico: 16
Atributo de fuego</v>
      </c>
      <c r="K13" s="340" t="s">
        <v>4475</v>
      </c>
      <c r="L13" s="167" t="s">
        <v>4476</v>
      </c>
      <c r="M13" s="342" t="str">
        <f>IFERROR(__xludf.DUMMYFUNCTION("GOOGLETRANSLATE(A13,""zh-tw"",""ru"")"),"Ян Янь")</f>
        <v>Ян Янь</v>
      </c>
      <c r="N13" s="321" t="str">
        <f>IFERROR(__xludf.DUMMYFUNCTION("GOOGLETRANSLATE(B13,""zh-tw"",""ru"")"),"Физическая атака: 32
Магическая атака: 16
Атрибут огня")</f>
        <v>Физическая атака: 32
Магическая атака: 16
Атрибут огня</v>
      </c>
      <c r="O13" s="340" t="s">
        <v>4477</v>
      </c>
      <c r="P13" s="323" t="s">
        <v>4478</v>
      </c>
      <c r="Q13" s="343" t="s">
        <v>4479</v>
      </c>
      <c r="R13" s="344" t="s">
        <v>4480</v>
      </c>
      <c r="S13" s="210"/>
      <c r="T13" s="210"/>
    </row>
    <row r="14">
      <c r="A14" s="340" t="s">
        <v>4481</v>
      </c>
      <c r="B14" s="323" t="s">
        <v>4482</v>
      </c>
      <c r="C14" s="340" t="s">
        <v>4481</v>
      </c>
      <c r="D14" s="323" t="str">
        <f>IFERROR(__xludf.DUMMYFUNCTION("GOOGLETRANSLATE(B14,""zh-tw"",""ja"")"),"物理攻撃力：20
魔法攻撃力：14
氷属性")</f>
        <v>物理攻撃力：20
魔法攻撃力：14
氷属性</v>
      </c>
      <c r="E14" s="340" t="s">
        <v>4483</v>
      </c>
      <c r="F14" s="323" t="s">
        <v>4484</v>
      </c>
      <c r="G14" s="340" t="str">
        <f>IFERROR(__xludf.DUMMYFUNCTION("GOOGLETRANSLATE(A14,""zh-tw"",""zh"")"),"霜月")</f>
        <v>霜月</v>
      </c>
      <c r="H14" s="323" t="str">
        <f>IFERROR(__xludf.DUMMYFUNCTION("GOOGLETRANSLATE(B14,""zh-tw"",""zh"")"),"物攻：20
魔攻：14
冰属性")</f>
        <v>物攻：20
魔攻：14
冰属性</v>
      </c>
      <c r="I14" s="341" t="str">
        <f>IFERROR(__xludf.DUMMYFUNCTION("GOOGLETRANSLATE(A14,""zh-tw"",""es-MX"")"),"luna helada")</f>
        <v>luna helada</v>
      </c>
      <c r="J14" s="168" t="str">
        <f>IFERROR(__xludf.DUMMYFUNCTION("GOOGLETRANSLATE(B14,""zh-tw"",""es-MX"")"),"Ataque físico: 20
Ataque mágico: 14
Atributo de hielo")</f>
        <v>Ataque físico: 20
Ataque mágico: 14
Atributo de hielo</v>
      </c>
      <c r="K14" s="339" t="s">
        <v>4485</v>
      </c>
      <c r="L14" s="167" t="s">
        <v>4486</v>
      </c>
      <c r="M14" s="342" t="str">
        <f>IFERROR(__xludf.DUMMYFUNCTION("GOOGLETRANSLATE(A14,""zh-tw"",""ru"")"),"морозная луна")</f>
        <v>морозная луна</v>
      </c>
      <c r="N14" s="321" t="str">
        <f>IFERROR(__xludf.DUMMYFUNCTION("GOOGLETRANSLATE(B14,""zh-tw"",""ru"")"),"Физическая атака: 20
Магическая атака: 14
Атрибут льда")</f>
        <v>Физическая атака: 20
Магическая атака: 14
Атрибут льда</v>
      </c>
      <c r="O14" s="340" t="s">
        <v>4487</v>
      </c>
      <c r="P14" s="323" t="s">
        <v>4488</v>
      </c>
      <c r="Q14" s="343" t="s">
        <v>4489</v>
      </c>
      <c r="R14" s="344" t="s">
        <v>4490</v>
      </c>
      <c r="S14" s="210"/>
      <c r="T14" s="210"/>
    </row>
    <row r="15">
      <c r="A15" s="340" t="s">
        <v>4491</v>
      </c>
      <c r="B15" s="323" t="s">
        <v>4492</v>
      </c>
      <c r="C15" s="340" t="str">
        <f>IFERROR(__xludf.DUMMYFUNCTION("GOOGLETRANSLATE(A15,""zh-tw"",""ja"")"),"漏電の可能性がある欠陥製品")</f>
        <v>漏電の可能性がある欠陥製品</v>
      </c>
      <c r="D15" s="323" t="str">
        <f>IFERROR(__xludf.DUMMYFUNCTION("GOOGLETRANSLATE(B15,""zh-tw"",""ja"")"),"物理攻撃力：32
魔法攻撃力：12
電撃")</f>
        <v>物理攻撃力：32
魔法攻撃力：12
電撃</v>
      </c>
      <c r="E15" s="340" t="s">
        <v>4493</v>
      </c>
      <c r="F15" s="323" t="s">
        <v>4494</v>
      </c>
      <c r="G15" s="340" t="str">
        <f>IFERROR(__xludf.DUMMYFUNCTION("GOOGLETRANSLATE(A15,""zh-tw"",""zh"")"),"会漏电的不良品")</f>
        <v>会漏电的不良品</v>
      </c>
      <c r="H15" s="323" t="str">
        <f>IFERROR(__xludf.DUMMYFUNCTION("GOOGLETRANSLATE(B15,""zh-tw"",""zh"")"),"物攻：32
魔攻：12
电属性")</f>
        <v>物攻：32
魔攻：12
电属性</v>
      </c>
      <c r="I15" s="341" t="str">
        <f>IFERROR(__xludf.DUMMYFUNCTION("GOOGLETRANSLATE(A15,""zh-tw"",""es-MX"")"),"Productos defectuosos que pueden tener fugas de electricidad.")</f>
        <v>Productos defectuosos que pueden tener fugas de electricidad.</v>
      </c>
      <c r="J15" s="168" t="str">
        <f>IFERROR(__xludf.DUMMYFUNCTION("GOOGLETRANSLATE(B15,""zh-tw"",""es-MX"")"),"Ataque físico: 32
Ataque mágico: 12
Eléctrico")</f>
        <v>Ataque físico: 32
Ataque mágico: 12
Eléctrico</v>
      </c>
      <c r="K15" s="339" t="s">
        <v>4495</v>
      </c>
      <c r="L15" s="168" t="str">
        <f>IFERROR(__xludf.DUMMYFUNCTION("GOOGLETRANSLATE(B15,""zh-tw"",""KO"")"),"물리 공격력: 32
마법 공격력: 12
전기")</f>
        <v>물리 공격력: 32
마법 공격력: 12
전기</v>
      </c>
      <c r="M15" s="342"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21" t="str">
        <f>IFERROR(__xludf.DUMMYFUNCTION("GOOGLETRANSLATE(B15,""zh-tw"",""ru"")"),"Физическая атака: 32
Магическая атака: 12
Электрическая")</f>
        <v>Физическая атака: 32
Магическая атака: 12
Электрическая</v>
      </c>
      <c r="O15" s="340" t="s">
        <v>4496</v>
      </c>
      <c r="P15" s="323" t="s">
        <v>4497</v>
      </c>
      <c r="Q15" s="343" t="s">
        <v>4498</v>
      </c>
      <c r="R15" s="344" t="s">
        <v>4499</v>
      </c>
      <c r="S15" s="210"/>
      <c r="T15" s="210"/>
    </row>
    <row r="16">
      <c r="A16" s="340" t="s">
        <v>4500</v>
      </c>
      <c r="B16" s="323" t="s">
        <v>4501</v>
      </c>
      <c r="C16" s="340" t="s">
        <v>4502</v>
      </c>
      <c r="D16" s="323" t="str">
        <f>IFERROR(__xludf.DUMMYFUNCTION("GOOGLETRANSLATE(B16,""zh-tw"",""ja"")"),"物理攻撃：毒属性14")</f>
        <v>物理攻撃：毒属性14</v>
      </c>
      <c r="E16" s="340" t="s">
        <v>4503</v>
      </c>
      <c r="F16" s="323" t="s">
        <v>4504</v>
      </c>
      <c r="G16" s="340" t="str">
        <f>IFERROR(__xludf.DUMMYFUNCTION("GOOGLETRANSLATE(A16,""zh-tw"",""zh"")"),"毒孢针")</f>
        <v>毒孢针</v>
      </c>
      <c r="H16" s="323" t="str">
        <f>IFERROR(__xludf.DUMMYFUNCTION("GOOGLETRANSLATE(B16,""zh-tw"",""zh"")"),"物攻：14
毒属性")</f>
        <v>物攻：14
毒属性</v>
      </c>
      <c r="I16" s="341" t="str">
        <f>IFERROR(__xludf.DUMMYFUNCTION("GOOGLETRANSLATE(A16,""zh-tw"",""es-MX"")"),"aguja de esporas venenosas")</f>
        <v>aguja de esporas venenosas</v>
      </c>
      <c r="J16" s="168" t="str">
        <f>IFERROR(__xludf.DUMMYFUNCTION("GOOGLETRANSLATE(B16,""zh-tw"",""es-MX"")"),"Ataque físico: 14 Atributo de veneno")</f>
        <v>Ataque físico: 14 Atributo de veneno</v>
      </c>
      <c r="K16" s="339" t="s">
        <v>4505</v>
      </c>
      <c r="L16" s="168" t="str">
        <f>IFERROR(__xludf.DUMMYFUNCTION("GOOGLETRANSLATE(B16,""zh-tw"",""KO"")"),"물리 공격력: 14 독 속성")</f>
        <v>물리 공격력: 14 독 속성</v>
      </c>
      <c r="M16" s="342" t="str">
        <f>IFERROR(__xludf.DUMMYFUNCTION("GOOGLETRANSLATE(A16,""zh-tw"",""ru"")"),"Игла с ядовитыми спорами")</f>
        <v>Игла с ядовитыми спорами</v>
      </c>
      <c r="N16" s="321" t="str">
        <f>IFERROR(__xludf.DUMMYFUNCTION("GOOGLETRANSLATE(B16,""zh-tw"",""ru"")"),"Физическая атака: 14 Атрибут Яда")</f>
        <v>Физическая атака: 14 Атрибут Яда</v>
      </c>
      <c r="O16" s="340" t="s">
        <v>4506</v>
      </c>
      <c r="P16" s="323" t="s">
        <v>4507</v>
      </c>
      <c r="Q16" s="343" t="s">
        <v>4508</v>
      </c>
      <c r="R16" s="344" t="s">
        <v>4509</v>
      </c>
      <c r="S16" s="210"/>
      <c r="T16" s="210"/>
    </row>
    <row r="17">
      <c r="A17" s="340" t="s">
        <v>4510</v>
      </c>
      <c r="B17" s="323" t="s">
        <v>4511</v>
      </c>
      <c r="C17" s="340" t="s">
        <v>4512</v>
      </c>
      <c r="D17" s="323" t="str">
        <f>IFERROR(__xludf.DUMMYFUNCTION("GOOGLETRANSLATE(B17,""zh-tw"",""ja"")"),"物理攻撃力：42 分割攻撃")</f>
        <v>物理攻撃力：42 分割攻撃</v>
      </c>
      <c r="E17" s="339" t="s">
        <v>4513</v>
      </c>
      <c r="F17" s="167" t="s">
        <v>4514</v>
      </c>
      <c r="G17" s="340" t="str">
        <f>IFERROR(__xludf.DUMMYFUNCTION("GOOGLETRANSLATE(A17,""zh-tw"",""zh"")"),"柳叶刀")</f>
        <v>柳叶刀</v>
      </c>
      <c r="H17" s="323" t="str">
        <f>IFERROR(__xludf.DUMMYFUNCTION("GOOGLETRANSLATE(B17,""zh-tw"",""zh"")"),"物攻：42
分裂攻击")</f>
        <v>物攻：42
分裂攻击</v>
      </c>
      <c r="I17" s="341" t="str">
        <f>IFERROR(__xludf.DUMMYFUNCTION("GOOGLETRANSLATE(A17,""zh-tw"",""es-MX"")"),"Lanceta")</f>
        <v>Lanceta</v>
      </c>
      <c r="J17" s="168" t="str">
        <f>IFERROR(__xludf.DUMMYFUNCTION("GOOGLETRANSLATE(B17,""zh-tw"",""es-MX"")"),"Ataque físico: 42 Ataque dividido")</f>
        <v>Ataque físico: 42 Ataque dividido</v>
      </c>
      <c r="K17" s="341" t="str">
        <f>IFERROR(__xludf.DUMMYFUNCTION("GOOGLETRANSLATE(A17,""zh-tw"",""KO"")"),"랜싯")</f>
        <v>랜싯</v>
      </c>
      <c r="L17" s="168" t="str">
        <f>IFERROR(__xludf.DUMMYFUNCTION("GOOGLETRANSLATE(B17,""zh-tw"",""KO"")"),"물리 공격: 42 분할 공격")</f>
        <v>물리 공격: 42 분할 공격</v>
      </c>
      <c r="M17" s="342" t="str">
        <f>IFERROR(__xludf.DUMMYFUNCTION("GOOGLETRANSLATE(A17,""zh-tw"",""ru"")"),"Ланцет")</f>
        <v>Ланцет</v>
      </c>
      <c r="N17" s="321" t="str">
        <f>IFERROR(__xludf.DUMMYFUNCTION("GOOGLETRANSLATE(B17,""zh-tw"",""ru"")"),"Физическая атака: 42-я раздельная атака")</f>
        <v>Физическая атака: 42-я раздельная атака</v>
      </c>
      <c r="O17" s="340" t="s">
        <v>4515</v>
      </c>
      <c r="P17" s="323" t="s">
        <v>4516</v>
      </c>
      <c r="Q17" s="343" t="s">
        <v>4517</v>
      </c>
      <c r="R17" s="344" t="s">
        <v>4518</v>
      </c>
      <c r="S17" s="210"/>
      <c r="T17" s="210"/>
    </row>
    <row r="18" ht="49.5" customHeight="1">
      <c r="A18" s="340" t="s">
        <v>4519</v>
      </c>
      <c r="B18" s="323" t="s">
        <v>4520</v>
      </c>
      <c r="C18" s="340" t="s">
        <v>4521</v>
      </c>
      <c r="D18" s="323" t="str">
        <f>IFERROR(__xludf.DUMMYFUNCTION("GOOGLETRANSLATE(B18,""zh-tw"",""ja"")"),"物理攻撃力：48
魔法耐性：20
条件を満たす武器種")</f>
        <v>物理攻撃力：48
魔法耐性：20
条件を満たす武器種</v>
      </c>
      <c r="E18" s="340" t="s">
        <v>4522</v>
      </c>
      <c r="F18" s="323" t="s">
        <v>4523</v>
      </c>
      <c r="G18" s="340" t="str">
        <f>IFERROR(__xludf.DUMMYFUNCTION("GOOGLETRANSLATE(A18,""zh-tw"",""zh"")"),"银辉大剑")</f>
        <v>银辉大剑</v>
      </c>
      <c r="H18" s="323" t="str">
        <f>IFERROR(__xludf.DUMMYFUNCTION("GOOGLETRANSLATE(B18,""zh-tw"",""zh"")"),"物攻：48
魔抗：20
满足条件类型武器")</f>
        <v>物攻：48
魔抗：20
满足条件类型武器</v>
      </c>
      <c r="I18" s="341" t="str">
        <f>IFERROR(__xludf.DUMMYFUNCTION("GOOGLETRANSLATE(A18,""zh-tw"",""es-MX"")"),"Gran espada de plata")</f>
        <v>Gran espada de plata</v>
      </c>
      <c r="J18" s="168" t="str">
        <f>IFERROR(__xludf.DUMMYFUNCTION("GOOGLETRANSLATE(B18,""zh-tw"",""es-MX"")"),"Ataque físico: 48
Resistencia mágica: 20
Tipo de arma que cumpla los requisitos")</f>
        <v>Ataque físico: 48
Resistencia mágica: 20
Tipo de arma que cumpla los requisitos</v>
      </c>
      <c r="K18" s="339" t="s">
        <v>4524</v>
      </c>
      <c r="L18" s="168" t="str">
        <f>IFERROR(__xludf.DUMMYFUNCTION("GOOGLETRANSLATE(B18,""zh-tw"",""KO"")"),"물리 공격력: 48
마법 저항력: 20
조건을 충족하는 무기 종류")</f>
        <v>물리 공격력: 48
마법 저항력: 20
조건을 충족하는 무기 종류</v>
      </c>
      <c r="M18" s="342" t="str">
        <f>IFERROR(__xludf.DUMMYFUNCTION("GOOGLETRANSLATE(A18,""zh-tw"",""ru"")"),"Серебряный большой меч")</f>
        <v>Серебряный большой меч</v>
      </c>
      <c r="N18" s="321" t="str">
        <f>IFERROR(__xludf.DUMMYFUNCTION("GOOGLETRANSLATE(B18,""zh-tw"",""ru"")"),"Физическая атака: 48
Сопротивление магии: 20
Тип оружия, соответствующий требованиям")</f>
        <v>Физическая атака: 48
Сопротивление магии: 20
Тип оружия, соответствующий требованиям</v>
      </c>
      <c r="O18" s="340" t="s">
        <v>4525</v>
      </c>
      <c r="P18" s="323" t="s">
        <v>4526</v>
      </c>
      <c r="Q18" s="343" t="s">
        <v>4527</v>
      </c>
      <c r="R18" s="344" t="s">
        <v>4528</v>
      </c>
      <c r="S18" s="210"/>
      <c r="T18" s="210"/>
    </row>
    <row r="19">
      <c r="A19" s="340" t="s">
        <v>4529</v>
      </c>
      <c r="B19" s="323" t="s">
        <v>4530</v>
      </c>
      <c r="C19" s="340" t="s">
        <v>4531</v>
      </c>
      <c r="D19" s="323" t="str">
        <f>IFERROR(__xludf.DUMMYFUNCTION("GOOGLETRANSLATE(B19,""zh-tw"",""ja"")"),"物理攻撃力：1（累積ダメージ型武器）")</f>
        <v>物理攻撃力：1（累積ダメージ型武器）</v>
      </c>
      <c r="E19" s="340" t="s">
        <v>4532</v>
      </c>
      <c r="F19" s="323" t="s">
        <v>4533</v>
      </c>
      <c r="G19" s="340" t="str">
        <f>IFERROR(__xludf.DUMMYFUNCTION("GOOGLETRANSLATE(A19,""zh-tw"",""zh"")"),"甜筒大剑")</f>
        <v>甜筒大剑</v>
      </c>
      <c r="H19" s="323" t="str">
        <f>IFERROR(__xludf.DUMMYFUNCTION("GOOGLETRANSLATE(B19,""zh-tw"",""zh"")"),"物攻：1
累计伤害型武器")</f>
        <v>物攻：1
累计伤害型武器</v>
      </c>
      <c r="I19" s="341" t="str">
        <f>IFERROR(__xludf.DUMMYFUNCTION("GOOGLETRANSLATE(A19,""zh-tw"",""es-MX"")"),"Espada de cono de helado")</f>
        <v>Espada de cono de helado</v>
      </c>
      <c r="J19" s="168" t="str">
        <f>IFERROR(__xludf.DUMMYFUNCTION("GOOGLETRANSLATE(B19,""zh-tw"",""es-MX"")"),"Ataque físico: 1 (Daño acumulativo tipo arma)")</f>
        <v>Ataque físico: 1 (Daño acumulativo tipo arma)</v>
      </c>
      <c r="K19" s="341" t="str">
        <f>IFERROR(__xludf.DUMMYFUNCTION("GOOGLETRANSLATE(A19,""zh-tw"",""KO"")"),"아이스크림 콘 검")</f>
        <v>아이스크림 콘 검</v>
      </c>
      <c r="L19" s="168" t="str">
        <f>IFERROR(__xludf.DUMMYFUNCTION("GOOGLETRANSLATE(B19,""zh-tw"",""KO"")"),"물리 공격력: 1 (누적 데미지 유형 무기)")</f>
        <v>물리 공격력: 1 (누적 데미지 유형 무기)</v>
      </c>
      <c r="M19" s="342" t="str">
        <f>IFERROR(__xludf.DUMMYFUNCTION("GOOGLETRANSLATE(A19,""zh-tw"",""ru"")"),"Меч из рожка мороженого")</f>
        <v>Меч из рожка мороженого</v>
      </c>
      <c r="N19" s="321" t="str">
        <f>IFERROR(__xludf.DUMMYFUNCTION("GOOGLETRANSLATE(B19,""zh-tw"",""ru"")"),"Физическая атака: 1 (Оружие кумулятивного урона)")</f>
        <v>Физическая атака: 1 (Оружие кумулятивного урона)</v>
      </c>
      <c r="O19" s="340" t="s">
        <v>4534</v>
      </c>
      <c r="P19" s="323" t="s">
        <v>4535</v>
      </c>
      <c r="Q19" s="343" t="s">
        <v>4536</v>
      </c>
      <c r="R19" s="344" t="s">
        <v>4537</v>
      </c>
      <c r="S19" s="210"/>
      <c r="T19" s="210"/>
    </row>
    <row r="20">
      <c r="A20" s="340" t="s">
        <v>4538</v>
      </c>
      <c r="B20" s="323" t="s">
        <v>4539</v>
      </c>
      <c r="C20" s="340" t="s">
        <v>4540</v>
      </c>
      <c r="D20" s="323" t="str">
        <f>IFERROR(__xludf.DUMMYFUNCTION("GOOGLETRANSLATE(B20,""zh-tw"",""ja"")"),"物理攻撃力：20
物理耐性：2
累積ステータスベースの武器")</f>
        <v>物理攻撃力：20
物理耐性：2
累積ステータスベースの武器</v>
      </c>
      <c r="E20" s="340" t="s">
        <v>4541</v>
      </c>
      <c r="F20" s="323" t="s">
        <v>4542</v>
      </c>
      <c r="G20" s="340" t="str">
        <f>IFERROR(__xludf.DUMMYFUNCTION("GOOGLETRANSLATE(A20,""zh-tw"",""zh"")"),"古树残骸")</f>
        <v>古树残骸</v>
      </c>
      <c r="H20" s="323" t="str">
        <f>IFERROR(__xludf.DUMMYFUNCTION("GOOGLETRANSLATE(B20,""zh-tw"",""zh"")"),"物攻：20
物抗：2
累计素质型武器")</f>
        <v>物攻：20
物抗：2
累计素质型武器</v>
      </c>
      <c r="I20" s="341" t="str">
        <f>IFERROR(__xludf.DUMMYFUNCTION("GOOGLETRANSLATE(A20,""zh-tw"",""es-MX"")"),"Restos de árboles antiguos")</f>
        <v>Restos de árboles antiguos</v>
      </c>
      <c r="J20" s="168" t="str">
        <f>IFERROR(__xludf.DUMMYFUNCTION("GOOGLETRANSLATE(B20,""zh-tw"",""es-MX"")"),"Ataque físico: 20
Resistencia física: 2
Arma con estadísticas acumulativas")</f>
        <v>Ataque físico: 20
Resistencia física: 2
Arma con estadísticas acumulativas</v>
      </c>
      <c r="K20" s="341" t="str">
        <f>IFERROR(__xludf.DUMMYFUNCTION("GOOGLETRANSLATE(A20,""zh-tw"",""KO"")"),"고대 나무 유적")</f>
        <v>고대 나무 유적</v>
      </c>
      <c r="L20" s="168" t="str">
        <f>IFERROR(__xludf.DUMMYFUNCTION("GOOGLETRANSLATE(B20,""zh-tw"",""KO"")"),"물리 공격력: 20
물리 저항력: 2
누적 능력치 기반 무기")</f>
        <v>물리 공격력: 20
물리 저항력: 2
누적 능력치 기반 무기</v>
      </c>
      <c r="M20" s="342" t="str">
        <f>IFERROR(__xludf.DUMMYFUNCTION("GOOGLETRANSLATE(A20,""zh-tw"",""ru"")"),"Останки древних деревьев")</f>
        <v>Останки древних деревьев</v>
      </c>
      <c r="N20" s="321" t="str">
        <f>IFERROR(__xludf.DUMMYFUNCTION("GOOGLETRANSLATE(B20,""zh-tw"",""ru"")"),"Физическая атака: 20
Физическая устойчивость: 2
Оружие, основанное на кумулятивных характеристиках")</f>
        <v>Физическая атака: 20
Физическая устойчивость: 2
Оружие, основанное на кумулятивных характеристиках</v>
      </c>
      <c r="O20" s="340" t="s">
        <v>4543</v>
      </c>
      <c r="P20" s="323" t="s">
        <v>4544</v>
      </c>
      <c r="Q20" s="343" t="s">
        <v>4545</v>
      </c>
      <c r="R20" s="344" t="s">
        <v>4546</v>
      </c>
      <c r="S20" s="210"/>
      <c r="T20" s="210"/>
    </row>
    <row r="21">
      <c r="A21" s="340" t="s">
        <v>4547</v>
      </c>
      <c r="B21" s="323" t="s">
        <v>4548</v>
      </c>
      <c r="C21" s="340" t="s">
        <v>4549</v>
      </c>
      <c r="D21" s="323" t="str">
        <f>IFERROR(__xludf.DUMMYFUNCTION("GOOGLETRANSLATE(B21,""zh-tw"",""ja"")"),"物理攻撃力：40
ソードウェーブ発射")</f>
        <v>物理攻撃力：40
ソードウェーブ発射</v>
      </c>
      <c r="E21" s="340" t="s">
        <v>4550</v>
      </c>
      <c r="F21" s="323" t="s">
        <v>4551</v>
      </c>
      <c r="G21" s="340" t="str">
        <f>IFERROR(__xludf.DUMMYFUNCTION("GOOGLETRANSLATE(A21,""zh-tw"",""zh"")"),"斩裂剑提尔锋")</f>
        <v>斩裂剑提尔锋</v>
      </c>
      <c r="H21" s="323" t="str">
        <f>IFERROR(__xludf.DUMMYFUNCTION("GOOGLETRANSLATE(B21,""zh-tw"",""zh"")"),"物攻：40
发射剑波")</f>
        <v>物攻：40
发射剑波</v>
      </c>
      <c r="I21" s="341" t="str">
        <f>IFERROR(__xludf.DUMMYFUNCTION("GOOGLETRANSLATE(A21,""zh-tw"",""es-MX"")"),"La hoja de la espada cortante, el filo de Tyr")</f>
        <v>La hoja de la espada cortante, el filo de Tyr</v>
      </c>
      <c r="J21" s="168" t="str">
        <f>IFERROR(__xludf.DUMMYFUNCTION("GOOGLETRANSLATE(B21,""zh-tw"",""es-MX"")"),"Ataque físico: 40
Lanzamiento de onda de espada")</f>
        <v>Ataque físico: 40
Lanzamiento de onda de espada</v>
      </c>
      <c r="K21" s="341" t="str">
        <f>IFERROR(__xludf.DUMMYFUNCTION("GOOGLETRANSLATE(A21,""zh-tw"",""KO"")"),"절단검의 칼날, 티르의 칼날")</f>
        <v>절단검의 칼날, 티르의 칼날</v>
      </c>
      <c r="L21" s="168" t="str">
        <f>IFERROR(__xludf.DUMMYFUNCTION("GOOGLETRANSLATE(B21,""zh-tw"",""KO"")"),"물리 공격력: 40
소드 웨이브 발사")</f>
        <v>물리 공격력: 40
소드 웨이브 발사</v>
      </c>
      <c r="M21" s="342" t="str">
        <f>IFERROR(__xludf.DUMMYFUNCTION("GOOGLETRANSLATE(A21,""zh-tw"",""ru"")"),"Клинок Разрубающего Меча, Лезвие Тира")</f>
        <v>Клинок Разрубающего Меча, Лезвие Тира</v>
      </c>
      <c r="N21" s="321" t="str">
        <f>IFERROR(__xludf.DUMMYFUNCTION("GOOGLETRANSLATE(B21,""zh-tw"",""ru"")"),"Физическая атака: 40
Запуск мечом")</f>
        <v>Физическая атака: 40
Запуск мечом</v>
      </c>
      <c r="O21" s="340" t="s">
        <v>4552</v>
      </c>
      <c r="P21" s="323" t="s">
        <v>4553</v>
      </c>
      <c r="Q21" s="343" t="s">
        <v>4554</v>
      </c>
      <c r="R21" s="344" t="s">
        <v>4555</v>
      </c>
      <c r="S21" s="210"/>
      <c r="T21" s="210"/>
    </row>
    <row r="22">
      <c r="A22" s="340" t="s">
        <v>4556</v>
      </c>
      <c r="B22" s="323" t="s">
        <v>4557</v>
      </c>
      <c r="C22" s="340" t="s">
        <v>4558</v>
      </c>
      <c r="D22" s="323" t="str">
        <f>IFERROR(__xludf.DUMMYFUNCTION("GOOGLETRANSLATE(B22,""zh-tw"",""ja"")"),"物理攻撃力：30
出血")</f>
        <v>物理攻撃力：30
出血</v>
      </c>
      <c r="E22" s="340" t="s">
        <v>4559</v>
      </c>
      <c r="F22" s="323" t="s">
        <v>4560</v>
      </c>
      <c r="G22" s="340" t="str">
        <f>IFERROR(__xludf.DUMMYFUNCTION("GOOGLETRANSLATE(A22,""zh-tw"",""zh"")"),"来自地狱")</f>
        <v>来自地狱</v>
      </c>
      <c r="H22" s="323" t="str">
        <f>IFERROR(__xludf.DUMMYFUNCTION("GOOGLETRANSLATE(B22,""zh-tw"",""zh"")"),"物攻：30
出血")</f>
        <v>物攻：30
出血</v>
      </c>
      <c r="I22" s="341" t="str">
        <f>IFERROR(__xludf.DUMMYFUNCTION("GOOGLETRANSLATE(A22,""zh-tw"",""es-MX"")"),"Desde el infierno")</f>
        <v>Desde el infierno</v>
      </c>
      <c r="J22" s="168" t="str">
        <f>IFERROR(__xludf.DUMMYFUNCTION("GOOGLETRANSLATE(B22,""zh-tw"",""es-MX"")"),"Ataque físico: 30 Sangrado")</f>
        <v>Ataque físico: 30 Sangrado</v>
      </c>
      <c r="K22" s="339" t="s">
        <v>4561</v>
      </c>
      <c r="L22" s="168" t="str">
        <f>IFERROR(__xludf.DUMMYFUNCTION("GOOGLETRANSLATE(B22,""zh-tw"",""KO"")"),"물리 공격력: 30
출혈")</f>
        <v>물리 공격력: 30
출혈</v>
      </c>
      <c r="M22" s="342" t="str">
        <f>IFERROR(__xludf.DUMMYFUNCTION("GOOGLETRANSLATE(A22,""zh-tw"",""ru"")"),"Из ада")</f>
        <v>Из ада</v>
      </c>
      <c r="N22" s="321" t="str">
        <f>IFERROR(__xludf.DUMMYFUNCTION("GOOGLETRANSLATE(B22,""zh-tw"",""ru"")"),"Физическая атака: 30
Кровотечение")</f>
        <v>Физическая атака: 30
Кровотечение</v>
      </c>
      <c r="O22" s="340" t="s">
        <v>4562</v>
      </c>
      <c r="P22" s="323" t="s">
        <v>4563</v>
      </c>
      <c r="Q22" s="343" t="s">
        <v>4564</v>
      </c>
      <c r="R22" s="344" t="s">
        <v>4565</v>
      </c>
      <c r="S22" s="210"/>
      <c r="T22" s="210"/>
    </row>
    <row r="23">
      <c r="A23" s="340" t="s">
        <v>4566</v>
      </c>
      <c r="B23" s="323" t="s">
        <v>4567</v>
      </c>
      <c r="C23" s="340" t="s">
        <v>4568</v>
      </c>
      <c r="D23" s="323" t="str">
        <f>IFERROR(__xludf.DUMMYFUNCTION("GOOGLETRANSLATE(B23,""zh-tw"",""ja"")"),"物理攻撃：ノックダウン回復32")</f>
        <v>物理攻撃：ノックダウン回復32</v>
      </c>
      <c r="E23" s="340" t="s">
        <v>4569</v>
      </c>
      <c r="F23" s="323" t="s">
        <v>4570</v>
      </c>
      <c r="G23" s="340" t="str">
        <f>IFERROR(__xludf.DUMMYFUNCTION("GOOGLETRANSLATE(A23,""zh-tw"",""zh"")"),"寄生刃")</f>
        <v>寄生刃</v>
      </c>
      <c r="H23" s="323" t="str">
        <f>IFERROR(__xludf.DUMMYFUNCTION("GOOGLETRANSLATE(B23,""zh-tw"",""zh"")"),"物攻：32
击倒回复")</f>
        <v>物攻：32
击倒回复</v>
      </c>
      <c r="I23" s="341" t="str">
        <f>IFERROR(__xludf.DUMMYFUNCTION("GOOGLETRANSLATE(A23,""zh-tw"",""es-MX"")"),"Hoja parásita")</f>
        <v>Hoja parásita</v>
      </c>
      <c r="J23" s="168" t="str">
        <f>IFERROR(__xludf.DUMMYFUNCTION("GOOGLETRANSLATE(B23,""zh-tw"",""es-MX"")"),"Ataque físico: 32 Recuperación tras derribo")</f>
        <v>Ataque físico: 32 Recuperación tras derribo</v>
      </c>
      <c r="K23" s="339" t="s">
        <v>4571</v>
      </c>
      <c r="L23" s="167" t="s">
        <v>4572</v>
      </c>
      <c r="M23" s="342" t="str">
        <f>IFERROR(__xludf.DUMMYFUNCTION("GOOGLETRANSLATE(A23,""zh-tw"",""ru"")"),"Паразитарный клинок")</f>
        <v>Паразитарный клинок</v>
      </c>
      <c r="N23" s="321" t="str">
        <f>IFERROR(__xludf.DUMMYFUNCTION("GOOGLETRANSLATE(B23,""zh-tw"",""ru"")"),"Физическая атака: 32 восстановления после нокдауна")</f>
        <v>Физическая атака: 32 восстановления после нокдауна</v>
      </c>
      <c r="O23" s="340" t="s">
        <v>4573</v>
      </c>
      <c r="P23" s="323" t="s">
        <v>4574</v>
      </c>
      <c r="Q23" s="343" t="s">
        <v>4575</v>
      </c>
      <c r="R23" s="344" t="s">
        <v>4576</v>
      </c>
      <c r="S23" s="210"/>
      <c r="T23" s="210"/>
    </row>
    <row r="24">
      <c r="A24" s="345" t="s">
        <v>4577</v>
      </c>
      <c r="B24" s="328" t="s">
        <v>4578</v>
      </c>
      <c r="C24" s="345" t="s">
        <v>4579</v>
      </c>
      <c r="D24" s="328" t="s">
        <v>4580</v>
      </c>
      <c r="E24" s="345" t="s">
        <v>4581</v>
      </c>
      <c r="F24" s="328" t="s">
        <v>4582</v>
      </c>
      <c r="G24" s="340" t="str">
        <f>IFERROR(__xludf.DUMMYFUNCTION("GOOGLETRANSLATE(A24,""zh-tw"",""zh"")"),"寄坏剑")</f>
        <v>寄坏剑</v>
      </c>
      <c r="H24" s="323"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41" t="str">
        <f>IFERROR(__xludf.DUMMYFUNCTION("GOOGLETRANSLATE(A24,""zh-tw"",""es-MX"")"),"Envía la espada")</f>
        <v>Envía la espada</v>
      </c>
      <c r="J24" s="168" t="str">
        <f>IFERROR(__xludf.DUMMYFUNCTION("GOOGLETRANSLATE(B24,""zh-tw"",""es-MX"")"),"Ataque físico: 36
1. Aumenta el daño a objetivos sangrantes
2. Restaura salud tras eliminar a un objetivo sangrante
(Se permite la sobrerestauración, superando el límite de salud y otorgando súper armadura)")</f>
        <v>Ataque físico: 36
1. Aumenta el daño a objetivos sangrantes
2. Restaura salud tras eliminar a un objetivo sangrante
(Se permite la sobrerestauración, superando el límite de salud y otorgando súper armadura)</v>
      </c>
      <c r="K24" s="339" t="s">
        <v>4583</v>
      </c>
      <c r="L24" s="168"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42" t="str">
        <f>IFERROR(__xludf.DUMMYFUNCTION("GOOGLETRANSLATE(A24,""zh-tw"",""ru"")"),"Отправь меч")</f>
        <v>Отправь меч</v>
      </c>
      <c r="N24" s="321"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45" t="s">
        <v>4584</v>
      </c>
      <c r="P24" s="328" t="s">
        <v>4585</v>
      </c>
      <c r="Q24" s="343" t="s">
        <v>4586</v>
      </c>
      <c r="R24" s="344" t="s">
        <v>4587</v>
      </c>
      <c r="S24" s="210"/>
      <c r="T24" s="210"/>
    </row>
    <row r="25">
      <c r="A25" s="345" t="s">
        <v>4588</v>
      </c>
      <c r="B25" s="328" t="s">
        <v>4589</v>
      </c>
      <c r="C25" s="345" t="s">
        <v>4590</v>
      </c>
      <c r="D25" s="328" t="s">
        <v>4591</v>
      </c>
      <c r="E25" s="345" t="s">
        <v>4592</v>
      </c>
      <c r="F25" s="328" t="s">
        <v>4593</v>
      </c>
      <c r="G25" s="340" t="str">
        <f>IFERROR(__xludf.DUMMYFUNCTION("GOOGLETRANSLATE(A25,""zh-tw"",""zh"")"),"血狩")</f>
        <v>血狩</v>
      </c>
      <c r="H25" s="323"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41" t="str">
        <f>IFERROR(__xludf.DUMMYFUNCTION("GOOGLETRANSLATE(A25,""zh-tw"",""es-MX"")"),"Cacería de sangre")</f>
        <v>Cacería de sangre</v>
      </c>
      <c r="J25" s="168" t="str">
        <f>IFERROR(__xludf.DUMMYFUNCTION("GOOGLETRANSLATE(B25,""zh-tw"",""es-MX"")"),"Ataque físico: 26
1. Puede usar Flecha Perforante tras cargar.
2. Consume sus propios PS para aumentar su ataque y los restaura tras derrotar a un objetivo.
(Los PS se pueden restaurar en exceso, superando el PS máximo y obteniendo invulnerabilidad).")</f>
        <v>Ataque físico: 26
1. Puede usar Flecha Perforante tras cargar.
2. Consume sus propios PS para aumentar su ataque y los restaura tras derrotar a un objetivo.
(Los PS se pueden restaurar en exceso, superando el PS máximo y obteniendo invulnerabilidad).</v>
      </c>
      <c r="K25" s="341" t="str">
        <f>IFERROR(__xludf.DUMMYFUNCTION("GOOGLETRANSLATE(A25,""zh-tw"",""KO"")"),"블러드 헌트")</f>
        <v>블러드 헌트</v>
      </c>
      <c r="L25" s="168" t="str">
        <f>IFERROR(__xludf.DUMMYFUNCTION("GOOGLETRANSLATE(B25,""zh-tw"",""KO"")"),"물리 공격력: 26
1. 충전 후 피어싱 애로우 사용 가능
2. 자신의 HP를 소모하여 공격력 증가, 대상 처치 시 HP 회복
(HP가 과도하게 회복되어 최대 HP를 초과하고 무적 상태가 될 수 있음)")</f>
        <v>물리 공격력: 26
1. 충전 후 피어싱 애로우 사용 가능
2. 자신의 HP를 소모하여 공격력 증가, 대상 처치 시 HP 회복
(HP가 과도하게 회복되어 최대 HP를 초과하고 무적 상태가 될 수 있음)</v>
      </c>
      <c r="M25" s="342" t="str">
        <f>IFERROR(__xludf.DUMMYFUNCTION("GOOGLETRANSLATE(A25,""zh-tw"",""ru"")"),"Кровавая охота")</f>
        <v>Кровавая охота</v>
      </c>
      <c r="N25" s="321" t="str">
        <f>IFERROR(__xludf.DUMMYFUNCTION("GOOGLETRANSLATE(B25,""zh-tw"",""ru"")"),"Физическая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п"&amp;"олучив неуязвимость).")</f>
        <v>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получив неуязвимость).</v>
      </c>
      <c r="O25" s="345" t="s">
        <v>4594</v>
      </c>
      <c r="P25" s="328" t="s">
        <v>4595</v>
      </c>
      <c r="Q25" s="343" t="s">
        <v>4596</v>
      </c>
      <c r="R25" s="344" t="s">
        <v>4597</v>
      </c>
      <c r="S25" s="210"/>
      <c r="T25" s="210"/>
    </row>
    <row r="26">
      <c r="A26" s="340" t="s">
        <v>4598</v>
      </c>
      <c r="B26" s="323" t="s">
        <v>4599</v>
      </c>
      <c r="C26" s="340" t="s">
        <v>4600</v>
      </c>
      <c r="D26" s="323" t="s">
        <v>4601</v>
      </c>
      <c r="E26" s="340" t="s">
        <v>4602</v>
      </c>
      <c r="F26" s="323" t="s">
        <v>4603</v>
      </c>
      <c r="G26" s="340" t="str">
        <f>IFERROR(__xludf.DUMMYFUNCTION("GOOGLETRANSLATE(A26,""zh-tw"",""zh"")"),"荒古荣光")</f>
        <v>荒古荣光</v>
      </c>
      <c r="H26" s="323" t="str">
        <f>IFERROR(__xludf.DUMMYFUNCTION("GOOGLETRANSLATE(B26,""zh-tw"",""zh"")"),"物攻：36
特殊指令强化
*稀有品扭蛋品")</f>
        <v>物攻：36
特殊指令强化
*稀有品扭蛋品</v>
      </c>
      <c r="I26" s="341" t="str">
        <f>IFERROR(__xludf.DUMMYFUNCTION("GOOGLETRANSLATE(A26,""zh-tw"",""es-MX"")"),"Gloria Antigua")</f>
        <v>Gloria Antigua</v>
      </c>
      <c r="J26" s="168" t="str">
        <f>IFERROR(__xludf.DUMMYFUNCTION("GOOGLETRANSLATE(B26,""zh-tw"",""es-MX"")"),"Ataque físico: 36
Mejora de comando especial
*Objeto raro de gacha")</f>
        <v>Ataque físico: 36
Mejora de comando especial
*Objeto raro de gacha</v>
      </c>
      <c r="K26" s="341" t="str">
        <f>IFERROR(__xludf.DUMMYFUNCTION("GOOGLETRANSLATE(A26,""zh-tw"",""KO"")"),"고대의 영광")</f>
        <v>고대의 영광</v>
      </c>
      <c r="L26" s="168" t="str">
        <f>IFERROR(__xludf.DUMMYFUNCTION("GOOGLETRANSLATE(B26,""zh-tw"",""KO"")"),"물리 공격력: 36
특수 커맨드 강화
*레어 가챠 아이템")</f>
        <v>물리 공격력: 36
특수 커맨드 강화
*레어 가챠 아이템</v>
      </c>
      <c r="M26" s="342" t="str">
        <f>IFERROR(__xludf.DUMMYFUNCTION("GOOGLETRANSLATE(A26,""zh-tw"",""ru"")"),"Древняя слава")</f>
        <v>Древняя слава</v>
      </c>
      <c r="N26" s="321"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40" t="s">
        <v>4604</v>
      </c>
      <c r="P26" s="323" t="s">
        <v>4605</v>
      </c>
      <c r="Q26" s="343" t="s">
        <v>4606</v>
      </c>
      <c r="R26" s="344" t="s">
        <v>4607</v>
      </c>
      <c r="S26" s="210"/>
      <c r="T26" s="210"/>
    </row>
    <row r="27">
      <c r="A27" s="340" t="s">
        <v>4608</v>
      </c>
      <c r="B27" s="323" t="s">
        <v>4609</v>
      </c>
      <c r="C27" s="340" t="s">
        <v>4610</v>
      </c>
      <c r="D27" s="323"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40" t="s">
        <v>4611</v>
      </c>
      <c r="F27" s="323" t="s">
        <v>4612</v>
      </c>
      <c r="G27" s="340" t="str">
        <f>IFERROR(__xludf.DUMMYFUNCTION("GOOGLETRANSLATE(A27,""zh-tw"",""zh"")"),"克里乌之光")</f>
        <v>克里乌之光</v>
      </c>
      <c r="H27" s="323" t="s">
        <v>4613</v>
      </c>
      <c r="I27" s="341" t="str">
        <f>IFERROR(__xludf.DUMMYFUNCTION("GOOGLETRANSLATE(A27,""zh-tw"",""es-MX"")"),"La luz de Kriu")</f>
        <v>La luz de Kriu</v>
      </c>
      <c r="J27" s="168" t="str">
        <f>IFERROR(__xludf.DUMMYFUNCTION("GOOGLETRANSLATE(B27,""zh-tw"",""es-MX"")"),"Ataque físico: 32
Ataque mágico: 36
Ignora la defensa, Hoja invisible
*Objeto raro de gacha")</f>
        <v>Ataque físico: 32
Ataque mágico: 36
Ignora la defensa, Hoja invisible
*Objeto raro de gacha</v>
      </c>
      <c r="K27" s="341" t="str">
        <f>IFERROR(__xludf.DUMMYFUNCTION("GOOGLETRANSLATE(A27,""zh-tw"",""KO"")"),"크리우의 빛")</f>
        <v>크리우의 빛</v>
      </c>
      <c r="L27" s="168" t="str">
        <f>IFERROR(__xludf.DUMMYFUNCTION("GOOGLETRANSLATE(B27,""zh-tw"",""KO"")"),"물리 공격력: 32
마법 공격력: 36
방어력 무시, 투명 칼날
*레어 가챠 아이템")</f>
        <v>물리 공격력: 32
마법 공격력: 36
방어력 무시, 투명 칼날
*레어 가챠 아이템</v>
      </c>
      <c r="M27" s="342" t="str">
        <f>IFERROR(__xludf.DUMMYFUNCTION("GOOGLETRANSLATE(A27,""zh-tw"",""ru"")"),"Свет Криу")</f>
        <v>Свет Криу</v>
      </c>
      <c r="N27" s="321"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40" t="s">
        <v>4614</v>
      </c>
      <c r="P27" s="323" t="s">
        <v>4615</v>
      </c>
      <c r="Q27" s="343" t="s">
        <v>4616</v>
      </c>
      <c r="R27" s="344" t="s">
        <v>4617</v>
      </c>
      <c r="S27" s="210"/>
      <c r="T27" s="210"/>
    </row>
    <row r="28">
      <c r="A28" s="340" t="s">
        <v>4618</v>
      </c>
      <c r="B28" s="323" t="s">
        <v>4619</v>
      </c>
      <c r="C28" s="340" t="str">
        <f>IFERROR(__xludf.DUMMYFUNCTION("GOOGLETRANSLATE(A28,""zh-tw"",""ja"")"),"木製の弓")</f>
        <v>木製の弓</v>
      </c>
      <c r="D28" s="323" t="str">
        <f>IFERROR(__xludf.DUMMYFUNCTION("GOOGLETRANSLATE(B28,""zh-tw"",""ja"")"),"物理攻撃力: 20")</f>
        <v>物理攻撃力: 20</v>
      </c>
      <c r="E28" s="340" t="s">
        <v>4620</v>
      </c>
      <c r="F28" s="323" t="s">
        <v>4621</v>
      </c>
      <c r="G28" s="340" t="str">
        <f>IFERROR(__xludf.DUMMYFUNCTION("GOOGLETRANSLATE(A28,""zh-tw"",""zh"")"),"木弓")</f>
        <v>木弓</v>
      </c>
      <c r="H28" s="323" t="str">
        <f>IFERROR(__xludf.DUMMYFUNCTION("GOOGLETRANSLATE(B28,""zh-tw"",""zh"")"),"物攻：20")</f>
        <v>物攻：20</v>
      </c>
      <c r="I28" s="341" t="str">
        <f>IFERROR(__xludf.DUMMYFUNCTION("GOOGLETRANSLATE(A28,""zh-tw"",""es-MX"")"),"arco de madera")</f>
        <v>arco de madera</v>
      </c>
      <c r="J28" s="168" t="str">
        <f>IFERROR(__xludf.DUMMYFUNCTION("GOOGLETRANSLATE(B28,""zh-tw"",""es-MX"")"),"Ataque físico: 20")</f>
        <v>Ataque físico: 20</v>
      </c>
      <c r="K28" s="341" t="str">
        <f>IFERROR(__xludf.DUMMYFUNCTION("GOOGLETRANSLATE(A28,""zh-tw"",""KO"")"),"나무 활")</f>
        <v>나무 활</v>
      </c>
      <c r="L28" s="168" t="str">
        <f>IFERROR(__xludf.DUMMYFUNCTION("GOOGLETRANSLATE(B28,""zh-tw"",""KO"")"),"물리 공격력: 20")</f>
        <v>물리 공격력: 20</v>
      </c>
      <c r="M28" s="342" t="str">
        <f>IFERROR(__xludf.DUMMYFUNCTION("GOOGLETRANSLATE(A28,""zh-tw"",""ru"")"),"деревянный лук")</f>
        <v>деревянный лук</v>
      </c>
      <c r="N28" s="321" t="str">
        <f>IFERROR(__xludf.DUMMYFUNCTION("GOOGLETRANSLATE(B28,""zh-tw"",""ru"")"),"Физическая атака: 20")</f>
        <v>Физическая атака: 20</v>
      </c>
      <c r="O28" s="340" t="s">
        <v>4622</v>
      </c>
      <c r="P28" s="323" t="s">
        <v>4623</v>
      </c>
      <c r="Q28" s="343" t="s">
        <v>4624</v>
      </c>
      <c r="R28" s="344" t="s">
        <v>4625</v>
      </c>
      <c r="S28" s="210"/>
      <c r="T28" s="210"/>
    </row>
    <row r="29">
      <c r="A29" s="340" t="s">
        <v>4626</v>
      </c>
      <c r="B29" s="323" t="s">
        <v>4627</v>
      </c>
      <c r="C29" s="340" t="s">
        <v>4628</v>
      </c>
      <c r="D29" s="323" t="str">
        <f>IFERROR(__xludf.DUMMYFUNCTION("GOOGLETRANSLATE(B29,""zh-tw"",""ja"")"),"物理攻撃：貫通力24")</f>
        <v>物理攻撃：貫通力24</v>
      </c>
      <c r="E29" s="340" t="s">
        <v>4629</v>
      </c>
      <c r="F29" s="323" t="s">
        <v>4630</v>
      </c>
      <c r="G29" s="340" t="str">
        <f>IFERROR(__xludf.DUMMYFUNCTION("GOOGLETRANSLATE(A29,""zh-tw"",""zh"")"),"猎人之弓")</f>
        <v>猎人之弓</v>
      </c>
      <c r="H29" s="323" t="str">
        <f>IFERROR(__xludf.DUMMYFUNCTION("GOOGLETRANSLATE(B29,""zh-tw"",""zh"")"),"物攻：24
穿透")</f>
        <v>物攻：24
穿透</v>
      </c>
      <c r="I29" s="341" t="str">
        <f>IFERROR(__xludf.DUMMYFUNCTION("GOOGLETRANSLATE(A29,""zh-tw"",""es-MX"")"),"Arco de cazador")</f>
        <v>Arco de cazador</v>
      </c>
      <c r="J29" s="168" t="str">
        <f>IFERROR(__xludf.DUMMYFUNCTION("GOOGLETRANSLATE(B29,""zh-tw"",""es-MX"")"),"Ataque físico: 24 de penetración")</f>
        <v>Ataque físico: 24 de penetración</v>
      </c>
      <c r="K29" s="341" t="str">
        <f>IFERROR(__xludf.DUMMYFUNCTION("GOOGLETRANSLATE(A29,""zh-tw"",""KO"")"),"사냥꾼의 활")</f>
        <v>사냥꾼의 활</v>
      </c>
      <c r="L29" s="168" t="str">
        <f>IFERROR(__xludf.DUMMYFUNCTION("GOOGLETRANSLATE(B29,""zh-tw"",""KO"")"),"물리 공격력: 24 관통력")</f>
        <v>물리 공격력: 24 관통력</v>
      </c>
      <c r="M29" s="342" t="str">
        <f>IFERROR(__xludf.DUMMYFUNCTION("GOOGLETRANSLATE(A29,""zh-tw"",""ru"")"),"Лук Охотника")</f>
        <v>Лук Охотника</v>
      </c>
      <c r="N29" s="321" t="str">
        <f>IFERROR(__xludf.DUMMYFUNCTION("GOOGLETRANSLATE(B29,""zh-tw"",""ru"")"),"Физическая атака: 24 Проникновение")</f>
        <v>Физическая атака: 24 Проникновение</v>
      </c>
      <c r="O29" s="340" t="s">
        <v>4631</v>
      </c>
      <c r="P29" s="323" t="s">
        <v>4632</v>
      </c>
      <c r="Q29" s="343" t="s">
        <v>4633</v>
      </c>
      <c r="R29" s="344" t="s">
        <v>4634</v>
      </c>
      <c r="S29" s="210"/>
      <c r="T29" s="210"/>
    </row>
    <row r="30">
      <c r="A30" s="340" t="s">
        <v>4635</v>
      </c>
      <c r="B30" s="323" t="s">
        <v>4636</v>
      </c>
      <c r="C30" s="340" t="s">
        <v>4637</v>
      </c>
      <c r="D30" s="323" t="str">
        <f>IFERROR(__xludf.DUMMYFUNCTION("GOOGLETRANSLATE(B30,""zh-tw"",""ja"")"),"物理攻撃力：18
魔法攻撃力：18
火属性")</f>
        <v>物理攻撃力：18
魔法攻撃力：18
火属性</v>
      </c>
      <c r="E30" s="340" t="s">
        <v>4638</v>
      </c>
      <c r="F30" s="323" t="s">
        <v>4639</v>
      </c>
      <c r="G30" s="340" t="str">
        <f>IFERROR(__xludf.DUMMYFUNCTION("GOOGLETRANSLATE(A30,""zh-tw"",""zh"")"),"火烧云")</f>
        <v>火烧云</v>
      </c>
      <c r="H30" s="323" t="str">
        <f>IFERROR(__xludf.DUMMYFUNCTION("GOOGLETRANSLATE(B30,""zh-tw"",""zh"")"),"物攻：18
魔攻：18
炎属性")</f>
        <v>物攻：18
魔攻：18
炎属性</v>
      </c>
      <c r="I30" s="341" t="str">
        <f>IFERROR(__xludf.DUMMYFUNCTION("GOOGLETRANSLATE(A30,""zh-tw"",""es-MX"")"),"Nube de fuego")</f>
        <v>Nube de fuego</v>
      </c>
      <c r="J30" s="168" t="str">
        <f>IFERROR(__xludf.DUMMYFUNCTION("GOOGLETRANSLATE(B30,""zh-tw"",""es-MX"")"),"Ataque físico: 18
Ataque mágico: 18
Atributo de fuego")</f>
        <v>Ataque físico: 18
Ataque mágico: 18
Atributo de fuego</v>
      </c>
      <c r="K30" s="341" t="str">
        <f>IFERROR(__xludf.DUMMYFUNCTION("GOOGLETRANSLATE(A30,""zh-tw"",""KO"")"),"불구름")</f>
        <v>불구름</v>
      </c>
      <c r="L30" s="168" t="str">
        <f>IFERROR(__xludf.DUMMYFUNCTION("GOOGLETRANSLATE(B30,""zh-tw"",""KO"")"),"물리 공격력: 18
마법 공격력: 18
화염 속성")</f>
        <v>물리 공격력: 18
마법 공격력: 18
화염 속성</v>
      </c>
      <c r="M30" s="342" t="str">
        <f>IFERROR(__xludf.DUMMYFUNCTION("GOOGLETRANSLATE(A30,""zh-tw"",""ru"")"),"Огненное облако")</f>
        <v>Огненное облако</v>
      </c>
      <c r="N30" s="321" t="str">
        <f>IFERROR(__xludf.DUMMYFUNCTION("GOOGLETRANSLATE(B30,""zh-tw"",""ru"")"),"Физическая атака: 18
Магическая атака: 18
Атрибут огня")</f>
        <v>Физическая атака: 18
Магическая атака: 18
Атрибут огня</v>
      </c>
      <c r="O30" s="340" t="s">
        <v>4640</v>
      </c>
      <c r="P30" s="323" t="s">
        <v>4641</v>
      </c>
      <c r="Q30" s="343" t="s">
        <v>4642</v>
      </c>
      <c r="R30" s="344" t="s">
        <v>4643</v>
      </c>
      <c r="S30" s="210"/>
      <c r="T30" s="210"/>
    </row>
    <row r="31">
      <c r="A31" s="340" t="s">
        <v>4644</v>
      </c>
      <c r="B31" s="323" t="s">
        <v>4645</v>
      </c>
      <c r="C31" s="340" t="s">
        <v>4644</v>
      </c>
      <c r="D31" s="323" t="str">
        <f>IFERROR(__xludf.DUMMYFUNCTION("GOOGLETRANSLATE(B31,""zh-tw"",""ja"")"),"物理攻撃力：16
魔法攻撃力：16
氷属性")</f>
        <v>物理攻撃力：16
魔法攻撃力：16
氷属性</v>
      </c>
      <c r="E31" s="340" t="s">
        <v>4646</v>
      </c>
      <c r="F31" s="323" t="s">
        <v>4647</v>
      </c>
      <c r="G31" s="340" t="str">
        <f>IFERROR(__xludf.DUMMYFUNCTION("GOOGLETRANSLATE(A31,""zh-tw"",""zh"")"),"雪见")</f>
        <v>雪见</v>
      </c>
      <c r="H31" s="323" t="str">
        <f>IFERROR(__xludf.DUMMYFUNCTION("GOOGLETRANSLATE(B31,""zh-tw"",""zh"")"),"物攻：16
魔攻：16
冰属性")</f>
        <v>物攻：16
魔攻：16
冰属性</v>
      </c>
      <c r="I31" s="341" t="str">
        <f>IFERROR(__xludf.DUMMYFUNCTION("GOOGLETRANSLATE(A31,""zh-tw"",""es-MX"")"),"Xuejian")</f>
        <v>Xuejian</v>
      </c>
      <c r="J31" s="168" t="str">
        <f>IFERROR(__xludf.DUMMYFUNCTION("GOOGLETRANSLATE(B31,""zh-tw"",""es-MX"")"),"Ataque físico: 16
Ataque mágico: 16
Atributo de hielo")</f>
        <v>Ataque físico: 16
Ataque mágico: 16
Atributo de hielo</v>
      </c>
      <c r="K31" s="341" t="str">
        <f>IFERROR(__xludf.DUMMYFUNCTION("GOOGLETRANSLATE(A31,""zh-tw"",""KO"")"),"쉐지안")</f>
        <v>쉐지안</v>
      </c>
      <c r="L31" s="168" t="str">
        <f>IFERROR(__xludf.DUMMYFUNCTION("GOOGLETRANSLATE(B31,""zh-tw"",""KO"")"),"물리 공격력: 16
마법 공격력: 16
얼음 속성")</f>
        <v>물리 공격력: 16
마법 공격력: 16
얼음 속성</v>
      </c>
      <c r="M31" s="342" t="str">
        <f>IFERROR(__xludf.DUMMYFUNCTION("GOOGLETRANSLATE(A31,""zh-tw"",""ru"")"),"Сюэцзянь")</f>
        <v>Сюэцзянь</v>
      </c>
      <c r="N31" s="321" t="str">
        <f>IFERROR(__xludf.DUMMYFUNCTION("GOOGLETRANSLATE(B31,""zh-tw"",""ru"")"),"Физическая атака: 16
Магическая атака: 16
Атрибут льда")</f>
        <v>Физическая атака: 16
Магическая атака: 16
Атрибут льда</v>
      </c>
      <c r="O31" s="340" t="s">
        <v>4648</v>
      </c>
      <c r="P31" s="323" t="s">
        <v>4649</v>
      </c>
      <c r="Q31" s="343" t="s">
        <v>4650</v>
      </c>
      <c r="R31" s="344" t="s">
        <v>4651</v>
      </c>
      <c r="S31" s="210"/>
      <c r="T31" s="210"/>
    </row>
    <row r="32">
      <c r="A32" s="340" t="s">
        <v>4652</v>
      </c>
      <c r="B32" s="323" t="s">
        <v>4653</v>
      </c>
      <c r="C32" s="340" t="str">
        <f>IFERROR(__xludf.DUMMYFUNCTION("GOOGLETRANSLATE(A32,""zh-tw"",""ja"")"),"千鳥")</f>
        <v>千鳥</v>
      </c>
      <c r="D32" s="323" t="str">
        <f>IFERROR(__xludf.DUMMYFUNCTION("GOOGLETRANSLATE(B32,""zh-tw"",""ja"")"),"物理攻撃力：16
魔法攻撃力：16
雷属性")</f>
        <v>物理攻撃力：16
魔法攻撃力：16
雷属性</v>
      </c>
      <c r="E32" s="340" t="s">
        <v>4654</v>
      </c>
      <c r="F32" s="323" t="s">
        <v>4655</v>
      </c>
      <c r="G32" s="340" t="str">
        <f>IFERROR(__xludf.DUMMYFUNCTION("GOOGLETRANSLATE(A32,""zh-tw"",""zh"")"),"千鸟")</f>
        <v>千鸟</v>
      </c>
      <c r="H32" s="323" t="str">
        <f>IFERROR(__xludf.DUMMYFUNCTION("GOOGLETRANSLATE(B32,""zh-tw"",""zh"")"),"物攻：16
魔攻：16
雷属性")</f>
        <v>物攻：16
魔攻：16
雷属性</v>
      </c>
      <c r="I32" s="341" t="str">
        <f>IFERROR(__xludf.DUMMYFUNCTION("GOOGLETRANSLATE(A32,""zh-tw"",""es-MX"")"),"Chidori")</f>
        <v>Chidori</v>
      </c>
      <c r="J32" s="168" t="str">
        <f>IFERROR(__xludf.DUMMYFUNCTION("GOOGLETRANSLATE(B32,""zh-tw"",""es-MX"")"),"Ataque físico: 16
Ataque mágico: 16
Atributo de rayo")</f>
        <v>Ataque físico: 16
Ataque mágico: 16
Atributo de rayo</v>
      </c>
      <c r="K32" s="341" t="str">
        <f>IFERROR(__xludf.DUMMYFUNCTION("GOOGLETRANSLATE(A32,""zh-tw"",""KO"")"),"치도리")</f>
        <v>치도리</v>
      </c>
      <c r="L32" s="168" t="str">
        <f>IFERROR(__xludf.DUMMYFUNCTION("GOOGLETRANSLATE(B32,""zh-tw"",""KO"")"),"물리 공격력: 16
마법 공격력: 16
번개 속성")</f>
        <v>물리 공격력: 16
마법 공격력: 16
번개 속성</v>
      </c>
      <c r="M32" s="342" t="str">
        <f>IFERROR(__xludf.DUMMYFUNCTION("GOOGLETRANSLATE(A32,""zh-tw"",""ru"")"),"Чидори")</f>
        <v>Чидори</v>
      </c>
      <c r="N32" s="321" t="str">
        <f>IFERROR(__xludf.DUMMYFUNCTION("GOOGLETRANSLATE(B32,""zh-tw"",""ru"")"),"Физическая атака: 16
Магическая атака: 16
Атрибут «Молния»")</f>
        <v>Физическая атака: 16
Магическая атака: 16
Атрибут «Молния»</v>
      </c>
      <c r="O32" s="340" t="s">
        <v>4656</v>
      </c>
      <c r="P32" s="323" t="s">
        <v>4657</v>
      </c>
      <c r="Q32" s="343" t="s">
        <v>4658</v>
      </c>
      <c r="R32" s="344" t="s">
        <v>4659</v>
      </c>
      <c r="S32" s="210"/>
      <c r="T32" s="210"/>
    </row>
    <row r="33">
      <c r="A33" s="340" t="s">
        <v>4660</v>
      </c>
      <c r="B33" s="323" t="s">
        <v>4661</v>
      </c>
      <c r="C33" s="340" t="s">
        <v>4662</v>
      </c>
      <c r="D33" s="323" t="str">
        <f>IFERROR(__xludf.DUMMYFUNCTION("GOOGLETRANSLATE(B33,""zh-tw"",""ja"")"),"物理攻撃力：32
バースト")</f>
        <v>物理攻撃力：32
バースト</v>
      </c>
      <c r="E33" s="340" t="s">
        <v>4663</v>
      </c>
      <c r="F33" s="323" t="s">
        <v>4664</v>
      </c>
      <c r="G33" s="340" t="str">
        <f>IFERROR(__xludf.DUMMYFUNCTION("GOOGLETRANSLATE(A33,""zh-tw"",""zh"")"),"三头连弓地狱犬")</f>
        <v>三头连弓地狱犬</v>
      </c>
      <c r="H33" s="323" t="str">
        <f>IFERROR(__xludf.DUMMYFUNCTION("GOOGLETRANSLATE(B33,""zh-tw"",""zh"")"),"物攻：32
连发")</f>
        <v>物攻：32
连发</v>
      </c>
      <c r="I33" s="341" t="str">
        <f>IFERROR(__xludf.DUMMYFUNCTION("GOOGLETRANSLATE(A33,""zh-tw"",""es-MX"")"),"Cerbero de tres cabezas")</f>
        <v>Cerbero de tres cabezas</v>
      </c>
      <c r="J33" s="168" t="str">
        <f>IFERROR(__xludf.DUMMYFUNCTION("GOOGLETRANSLATE(B33,""zh-tw"",""es-MX"")"),"Ataque físico: 32
Explosión")</f>
        <v>Ataque físico: 32
Explosión</v>
      </c>
      <c r="K33" s="341" t="str">
        <f>IFERROR(__xludf.DUMMYFUNCTION("GOOGLETRANSLATE(A33,""zh-tw"",""KO"")"),"세 개의 머리를 가진 세르베루스")</f>
        <v>세 개의 머리를 가진 세르베루스</v>
      </c>
      <c r="L33" s="168" t="str">
        <f>IFERROR(__xludf.DUMMYFUNCTION("GOOGLETRANSLATE(B33,""zh-tw"",""KO"")"),"물리 공격력: 32
버스트")</f>
        <v>물리 공격력: 32
버스트</v>
      </c>
      <c r="M33" s="342" t="str">
        <f>IFERROR(__xludf.DUMMYFUNCTION("GOOGLETRANSLATE(A33,""zh-tw"",""ru"")"),"Трехголовый Цербер")</f>
        <v>Трехголовый Цербер</v>
      </c>
      <c r="N33" s="321" t="str">
        <f>IFERROR(__xludf.DUMMYFUNCTION("GOOGLETRANSLATE(B33,""zh-tw"",""ru"")"),"Физическая атака: 32
Взрыв")</f>
        <v>Физическая атака: 32
Взрыв</v>
      </c>
      <c r="O33" s="340" t="s">
        <v>4665</v>
      </c>
      <c r="P33" s="323" t="s">
        <v>4666</v>
      </c>
      <c r="Q33" s="343" t="s">
        <v>4667</v>
      </c>
      <c r="R33" s="344" t="s">
        <v>4668</v>
      </c>
      <c r="S33" s="210"/>
      <c r="T33" s="210"/>
    </row>
    <row r="34">
      <c r="A34" s="340" t="s">
        <v>4259</v>
      </c>
      <c r="B34" s="323" t="s">
        <v>4669</v>
      </c>
      <c r="C34" s="340" t="str">
        <f>IFERROR(__xludf.DUMMYFUNCTION("GOOGLETRANSLATE(A34,""zh-tw"",""ja"")"),"溶岩の杖")</f>
        <v>溶岩の杖</v>
      </c>
      <c r="D34" s="323" t="str">
        <f>IFERROR(__xludf.DUMMYFUNCTION("GOOGLETRANSLATE(B34,""zh-tw"",""ja"")"),"物理攻撃力：1
魔法攻撃力：86
火属性")</f>
        <v>物理攻撃力：1
魔法攻撃力：86
火属性</v>
      </c>
      <c r="E34" s="340" t="s">
        <v>4263</v>
      </c>
      <c r="F34" s="323" t="s">
        <v>4670</v>
      </c>
      <c r="G34" s="340" t="str">
        <f>IFERROR(__xludf.DUMMYFUNCTION("GOOGLETRANSLATE(A34,""zh-tw"",""zh"")"),"熔岩杖")</f>
        <v>熔岩杖</v>
      </c>
      <c r="H34" s="323" t="str">
        <f>IFERROR(__xludf.DUMMYFUNCTION("GOOGLETRANSLATE(B34,""zh-tw"",""zh"")"),"物攻：1
魔攻：86
炎属性")</f>
        <v>物攻：1
魔攻：86
炎属性</v>
      </c>
      <c r="I34" s="341" t="str">
        <f>IFERROR(__xludf.DUMMYFUNCTION("GOOGLETRANSLATE(A34,""zh-tw"",""es-MX"")"),"Bastón de lava")</f>
        <v>Bastón de lava</v>
      </c>
      <c r="J34" s="168" t="str">
        <f>IFERROR(__xludf.DUMMYFUNCTION("GOOGLETRANSLATE(B34,""zh-tw"",""es-MX"")"),"Ataque físico: 1
Ataque mágico: 86
Atributo de fuego")</f>
        <v>Ataque físico: 1
Ataque mágico: 86
Atributo de fuego</v>
      </c>
      <c r="K34" s="341" t="str">
        <f>IFERROR(__xludf.DUMMYFUNCTION("GOOGLETRANSLATE(A34,""zh-tw"",""KO"")"),"라바 스태프")</f>
        <v>라바 스태프</v>
      </c>
      <c r="L34" s="168" t="str">
        <f>IFERROR(__xludf.DUMMYFUNCTION("GOOGLETRANSLATE(B34,""zh-tw"",""KO"")"),"물리 공격력: 1
마법 공격력: 86
화속성")</f>
        <v>물리 공격력: 1
마법 공격력: 86
화속성</v>
      </c>
      <c r="M34" s="342" t="str">
        <f>IFERROR(__xludf.DUMMYFUNCTION("GOOGLETRANSLATE(A34,""zh-tw"",""ru"")"),"Лавовый посох")</f>
        <v>Лавовый посох</v>
      </c>
      <c r="N34" s="321" t="str">
        <f>IFERROR(__xludf.DUMMYFUNCTION("GOOGLETRANSLATE(B34,""zh-tw"",""ru"")"),"Физическая атака: 1
Магическая атака: 86
Атрибут огня")</f>
        <v>Физическая атака: 1
Магическая атака: 86
Атрибут огня</v>
      </c>
      <c r="O34" s="340" t="s">
        <v>4266</v>
      </c>
      <c r="P34" s="323" t="s">
        <v>4671</v>
      </c>
      <c r="Q34" s="343" t="s">
        <v>4672</v>
      </c>
      <c r="R34" s="344" t="s">
        <v>4673</v>
      </c>
      <c r="S34" s="210"/>
      <c r="T34" s="210"/>
    </row>
    <row r="35">
      <c r="A35" s="340" t="s">
        <v>4674</v>
      </c>
      <c r="B35" s="323" t="s">
        <v>4675</v>
      </c>
      <c r="C35" s="340" t="s">
        <v>4676</v>
      </c>
      <c r="D35" s="323" t="str">
        <f>IFERROR(__xludf.DUMMYFUNCTION("GOOGLETRANSLATE(B35,""zh-tw"",""ja"")"),"物理攻撃: 1 魔法攻撃: 55 氷属性")</f>
        <v>物理攻撃: 1 魔法攻撃: 55 氷属性</v>
      </c>
      <c r="E35" s="340" t="s">
        <v>4677</v>
      </c>
      <c r="F35" s="323" t="s">
        <v>4678</v>
      </c>
      <c r="G35" s="340" t="str">
        <f>IFERROR(__xludf.DUMMYFUNCTION("GOOGLETRANSLATE(A35,""zh-tw"",""zh"")"),"寒冰杖")</f>
        <v>寒冰杖</v>
      </c>
      <c r="H35" s="323" t="str">
        <f>IFERROR(__xludf.DUMMYFUNCTION("GOOGLETRANSLATE(B35,""zh-tw"",""zh"")"),"物攻：1
魔攻：55
冰属性")</f>
        <v>物攻：1
魔攻：55
冰属性</v>
      </c>
      <c r="I35" s="341" t="str">
        <f>IFERROR(__xludf.DUMMYFUNCTION("GOOGLETRANSLATE(A35,""zh-tw"",""es-MX"")"),"Personal de hielo")</f>
        <v>Personal de hielo</v>
      </c>
      <c r="J35" s="168" t="str">
        <f>IFERROR(__xludf.DUMMYFUNCTION("GOOGLETRANSLATE(B35,""zh-tw"",""es-MX"")"),"Ataque físico: 1 Ataque mágico: 55 Atributo de hielo")</f>
        <v>Ataque físico: 1 Ataque mágico: 55 Atributo de hielo</v>
      </c>
      <c r="K35" s="341" t="str">
        <f>IFERROR(__xludf.DUMMYFUNCTION("GOOGLETRANSLATE(A35,""zh-tw"",""KO"")"),"얼음 지팡이")</f>
        <v>얼음 지팡이</v>
      </c>
      <c r="L35" s="168" t="str">
        <f>IFERROR(__xludf.DUMMYFUNCTION("GOOGLETRANSLATE(B35,""zh-tw"",""KO"")"),"물리 공격력: 1 마법 공격력: 55 얼음 속성")</f>
        <v>물리 공격력: 1 마법 공격력: 55 얼음 속성</v>
      </c>
      <c r="M35" s="342" t="str">
        <f>IFERROR(__xludf.DUMMYFUNCTION("GOOGLETRANSLATE(A35,""zh-tw"",""ru"")"),"Ледяной посох")</f>
        <v>Ледяной посох</v>
      </c>
      <c r="N35" s="321" t="str">
        <f>IFERROR(__xludf.DUMMYFUNCTION("GOOGLETRANSLATE(B35,""zh-tw"",""ru"")"),"Физическая атака: 1 Магическая атака: 55 Атрибут льда")</f>
        <v>Физическая атака: 1 Магическая атака: 55 Атрибут льда</v>
      </c>
      <c r="O35" s="340" t="s">
        <v>4679</v>
      </c>
      <c r="P35" s="323" t="s">
        <v>4680</v>
      </c>
      <c r="Q35" s="343" t="s">
        <v>4681</v>
      </c>
      <c r="R35" s="344" t="s">
        <v>4682</v>
      </c>
      <c r="S35" s="210"/>
      <c r="T35" s="210"/>
    </row>
    <row r="36">
      <c r="A36" s="340" t="s">
        <v>4683</v>
      </c>
      <c r="B36" s="323" t="s">
        <v>4684</v>
      </c>
      <c r="C36" s="340" t="str">
        <f>IFERROR(__xludf.DUMMYFUNCTION("GOOGLETRANSLATE(A36,""zh-tw"",""ja"")"),"星空の夜")</f>
        <v>星空の夜</v>
      </c>
      <c r="D36" s="323" t="str">
        <f>IFERROR(__xludf.DUMMYFUNCTION("GOOGLETRANSLATE(B36,""zh-tw"",""ja"")"),"物理攻撃力：1
魔法攻撃力：68
ブラックホール")</f>
        <v>物理攻撃力：1
魔法攻撃力：68
ブラックホール</v>
      </c>
      <c r="E36" s="340" t="s">
        <v>4685</v>
      </c>
      <c r="F36" s="323" t="s">
        <v>4686</v>
      </c>
      <c r="G36" s="340" t="str">
        <f>IFERROR(__xludf.DUMMYFUNCTION("GOOGLETRANSLATE(A36,""zh-tw"",""zh"")"),"星月夜")</f>
        <v>星月夜</v>
      </c>
      <c r="H36" s="323" t="str">
        <f>IFERROR(__xludf.DUMMYFUNCTION("GOOGLETRANSLATE(B36,""zh-tw"",""zh"")"),"物攻：1
魔攻：68
黑洞")</f>
        <v>物攻：1
魔攻：68
黑洞</v>
      </c>
      <c r="I36" s="341" t="str">
        <f>IFERROR(__xludf.DUMMYFUNCTION("GOOGLETRANSLATE(A36,""zh-tw"",""es-MX"")"),"noche de luna estrellada")</f>
        <v>noche de luna estrellada</v>
      </c>
      <c r="J36" s="168" t="str">
        <f>IFERROR(__xludf.DUMMYFUNCTION("GOOGLETRANSLATE(B36,""zh-tw"",""es-MX"")"),"Ataque físico: 1
Ataque mágico: 68
Agujero negro")</f>
        <v>Ataque físico: 1
Ataque mágico: 68
Agujero negro</v>
      </c>
      <c r="K36" s="341" t="str">
        <f>IFERROR(__xludf.DUMMYFUNCTION("GOOGLETRANSLATE(A36,""zh-tw"",""KO"")"),"별이 빛나는 달밤")</f>
        <v>별이 빛나는 달밤</v>
      </c>
      <c r="L36" s="168" t="str">
        <f>IFERROR(__xludf.DUMMYFUNCTION("GOOGLETRANSLATE(B36,""zh-tw"",""KO"")"),"물리 공격력: 1
마법 공격력: 68
블랙홀")</f>
        <v>물리 공격력: 1
마법 공격력: 68
블랙홀</v>
      </c>
      <c r="M36" s="342" t="str">
        <f>IFERROR(__xludf.DUMMYFUNCTION("GOOGLETRANSLATE(A36,""zh-tw"",""ru"")"),"звездная лунная ночь")</f>
        <v>звездная лунная ночь</v>
      </c>
      <c r="N36" s="321" t="str">
        <f>IFERROR(__xludf.DUMMYFUNCTION("GOOGLETRANSLATE(B36,""zh-tw"",""ru"")"),"Физическая атака: 1
Магическая атака: 68
Чёрная дыра")</f>
        <v>Физическая атака: 1
Магическая атака: 68
Чёрная дыра</v>
      </c>
      <c r="O36" s="340" t="s">
        <v>4687</v>
      </c>
      <c r="P36" s="323" t="s">
        <v>4688</v>
      </c>
      <c r="Q36" s="343" t="s">
        <v>4689</v>
      </c>
      <c r="R36" s="344" t="s">
        <v>4690</v>
      </c>
      <c r="S36" s="210"/>
      <c r="T36" s="210"/>
    </row>
    <row r="37">
      <c r="A37" s="340" t="s">
        <v>4691</v>
      </c>
      <c r="B37" s="323" t="s">
        <v>4692</v>
      </c>
      <c r="C37" s="340" t="str">
        <f>IFERROR(__xludf.DUMMYFUNCTION("GOOGLETRANSLATE(A37,""zh-tw"",""ja"")"),"バナナ？")</f>
        <v>バナナ？</v>
      </c>
      <c r="D37" s="323" t="str">
        <f>IFERROR(__xludf.DUMMYFUNCTION("GOOGLETRANSLATE(B37,""zh-tw"",""ja"")"),"物理攻撃力：10
爆発")</f>
        <v>物理攻撃力：10
爆発</v>
      </c>
      <c r="E37" s="340" t="s">
        <v>4693</v>
      </c>
      <c r="F37" s="323" t="s">
        <v>4694</v>
      </c>
      <c r="G37" s="340" t="str">
        <f>IFERROR(__xludf.DUMMYFUNCTION("GOOGLETRANSLATE(A37,""zh-tw"",""zh"")"),"香蕉?")</f>
        <v>香蕉?</v>
      </c>
      <c r="H37" s="323" t="str">
        <f>IFERROR(__xludf.DUMMYFUNCTION("GOOGLETRANSLATE(B37,""zh-tw"",""zh"")"),"物攻：10
爆炸")</f>
        <v>物攻：10
爆炸</v>
      </c>
      <c r="I37" s="341" t="str">
        <f>IFERROR(__xludf.DUMMYFUNCTION("GOOGLETRANSLATE(A37,""zh-tw"",""es-MX"")"),"¿banana?")</f>
        <v>¿banana?</v>
      </c>
      <c r="J37" s="168" t="str">
        <f>IFERROR(__xludf.DUMMYFUNCTION("GOOGLETRANSLATE(B37,""zh-tw"",""es-MX"")"),"Ataque físico: 10 Explosión")</f>
        <v>Ataque físico: 10 Explosión</v>
      </c>
      <c r="K37" s="341" t="str">
        <f>IFERROR(__xludf.DUMMYFUNCTION("GOOGLETRANSLATE(A37,""zh-tw"",""KO"")"),"바나나?")</f>
        <v>바나나?</v>
      </c>
      <c r="L37" s="168" t="str">
        <f>IFERROR(__xludf.DUMMYFUNCTION("GOOGLETRANSLATE(B37,""zh-tw"",""KO"")"),"물리 공격력: 10
폭발")</f>
        <v>물리 공격력: 10
폭발</v>
      </c>
      <c r="M37" s="342" t="str">
        <f>IFERROR(__xludf.DUMMYFUNCTION("GOOGLETRANSLATE(A37,""zh-tw"",""ru"")"),"банан?")</f>
        <v>банан?</v>
      </c>
      <c r="N37" s="321" t="str">
        <f>IFERROR(__xludf.DUMMYFUNCTION("GOOGLETRANSLATE(B37,""zh-tw"",""ru"")"),"Физическая атака: 10
Взрыв")</f>
        <v>Физическая атака: 10
Взрыв</v>
      </c>
      <c r="O37" s="340" t="s">
        <v>4695</v>
      </c>
      <c r="P37" s="323" t="s">
        <v>4696</v>
      </c>
      <c r="Q37" s="343" t="s">
        <v>4697</v>
      </c>
      <c r="R37" s="344" t="s">
        <v>4698</v>
      </c>
      <c r="S37" s="210"/>
      <c r="T37" s="210"/>
    </row>
    <row r="38" ht="68.25" customHeight="1">
      <c r="A38" s="340" t="s">
        <v>4699</v>
      </c>
      <c r="B38" s="323" t="s">
        <v>4700</v>
      </c>
      <c r="C38" s="340" t="s">
        <v>4701</v>
      </c>
      <c r="D38" s="323" t="str">
        <f>IFERROR(__xludf.DUMMYFUNCTION("GOOGLETRANSLATE(B38,""zh-tw"",""ja"")"),"物理攻撃力：1
魔法攻撃力：1
アイテム吸収")</f>
        <v>物理攻撃力：1
魔法攻撃力：1
アイテム吸収</v>
      </c>
      <c r="E38" s="340" t="s">
        <v>4702</v>
      </c>
      <c r="F38" s="323" t="s">
        <v>4703</v>
      </c>
      <c r="G38" s="340" t="str">
        <f>IFERROR(__xludf.DUMMYFUNCTION("GOOGLETRANSLATE(A38,""zh-tw"",""zh"")"),"巨蜗吸尘器")</f>
        <v>巨蜗吸尘器</v>
      </c>
      <c r="H38" s="323" t="str">
        <f>IFERROR(__xludf.DUMMYFUNCTION("GOOGLETRANSLATE(B38,""zh-tw"",""zh"")"),"物攻：1
魔攻：1
吸取物品")</f>
        <v>物攻：1
魔攻：1
吸取物品</v>
      </c>
      <c r="I38" s="341" t="str">
        <f>IFERROR(__xludf.DUMMYFUNCTION("GOOGLETRANSLATE(A38,""zh-tw"",""es-MX"")"),"Aspiradora de caracol gigante")</f>
        <v>Aspiradora de caracol gigante</v>
      </c>
      <c r="J38" s="168" t="str">
        <f>IFERROR(__xludf.DUMMYFUNCTION("GOOGLETRANSLATE(B38,""zh-tw"",""es-MX"")"),"Ataque físico: 1
Ataque mágico: 1
Absorción de objetos")</f>
        <v>Ataque físico: 1
Ataque mágico: 1
Absorción de objetos</v>
      </c>
      <c r="K38" s="341" t="str">
        <f>IFERROR(__xludf.DUMMYFUNCTION("GOOGLETRANSLATE(A38,""zh-tw"",""KO"")"),"자이언트 스네일 진공 청소기")</f>
        <v>자이언트 스네일 진공 청소기</v>
      </c>
      <c r="L38" s="168" t="str">
        <f>IFERROR(__xludf.DUMMYFUNCTION("GOOGLETRANSLATE(B38,""zh-tw"",""KO"")"),"물리 공격력: 1
마법 공격력: 1
아이템 흡수")</f>
        <v>물리 공격력: 1
마법 공격력: 1
아이템 흡수</v>
      </c>
      <c r="M38" s="342" t="str">
        <f>IFERROR(__xludf.DUMMYFUNCTION("GOOGLETRANSLATE(A38,""zh-tw"",""ru"")"),"Гигантский пылесос-улитка")</f>
        <v>Гигантский пылесос-улитка</v>
      </c>
      <c r="N38" s="321"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40" t="s">
        <v>4704</v>
      </c>
      <c r="P38" s="323" t="s">
        <v>4705</v>
      </c>
      <c r="Q38" s="343" t="s">
        <v>4706</v>
      </c>
      <c r="R38" s="344" t="s">
        <v>4707</v>
      </c>
      <c r="S38" s="210"/>
      <c r="T38" s="210"/>
    </row>
    <row r="39">
      <c r="A39" s="340" t="s">
        <v>4708</v>
      </c>
      <c r="B39" s="323" t="s">
        <v>4709</v>
      </c>
      <c r="C39" s="340" t="s">
        <v>4710</v>
      </c>
      <c r="D39" s="323" t="str">
        <f>IFERROR(__xludf.DUMMYFUNCTION("GOOGLETRANSLATE(B39,""zh-tw"",""ja"")"),"物理攻撃力：15
対象をクリップする")</f>
        <v>物理攻撃力：15
対象をクリップする</v>
      </c>
      <c r="E39" s="340" t="s">
        <v>4711</v>
      </c>
      <c r="F39" s="323" t="s">
        <v>4712</v>
      </c>
      <c r="G39" s="340" t="str">
        <f>IFERROR(__xludf.DUMMYFUNCTION("GOOGLETRANSLATE(A39,""zh-tw"",""zh"")"),"巨大蟹钳")</f>
        <v>巨大蟹钳</v>
      </c>
      <c r="H39" s="323" t="str">
        <f>IFERROR(__xludf.DUMMYFUNCTION("GOOGLETRANSLATE(B39,""zh-tw"",""zh"")"),"物攻：15
夹住目标")</f>
        <v>物攻：15
夹住目标</v>
      </c>
      <c r="I39" s="341" t="str">
        <f>IFERROR(__xludf.DUMMYFUNCTION("GOOGLETRANSLATE(A39,""zh-tw"",""es-MX"")"),"pinzas de cangrejo gigantes")</f>
        <v>pinzas de cangrejo gigantes</v>
      </c>
      <c r="J39" s="168" t="str">
        <f>IFERROR(__xludf.DUMMYFUNCTION("GOOGLETRANSLATE(B39,""zh-tw"",""es-MX"")"),"Ataque físico: 15")</f>
        <v>Ataque físico: 15</v>
      </c>
      <c r="K39" s="341" t="str">
        <f>IFERROR(__xludf.DUMMYFUNCTION("GOOGLETRANSLATE(A39,""zh-tw"",""KO"")"),"거대한 게 발톱")</f>
        <v>거대한 게 발톱</v>
      </c>
      <c r="L39" s="168" t="str">
        <f>IFERROR(__xludf.DUMMYFUNCTION("GOOGLETRANSLATE(B39,""zh-tw"",""KO"")"),"물리 공격력: 15
대상을 꺾습니다")</f>
        <v>물리 공격력: 15
대상을 꺾습니다</v>
      </c>
      <c r="M39" s="342" t="str">
        <f>IFERROR(__xludf.DUMMYFUNCTION("GOOGLETRANSLATE(A39,""zh-tw"",""ru"")"),"Клешни гигантского краба")</f>
        <v>Клешни гигантского краба</v>
      </c>
      <c r="N39" s="321" t="str">
        <f>IFERROR(__xludf.DUMMYFUNCTION("GOOGLETRANSLATE(B39,""zh-tw"",""ru"")"),"Физическая атака: 15
Захватывает цель")</f>
        <v>Физическая атака: 15
Захватывает цель</v>
      </c>
      <c r="O39" s="340" t="s">
        <v>4713</v>
      </c>
      <c r="P39" s="323" t="s">
        <v>4714</v>
      </c>
      <c r="Q39" s="343" t="s">
        <v>4715</v>
      </c>
      <c r="R39" s="344" t="s">
        <v>4716</v>
      </c>
      <c r="S39" s="210"/>
      <c r="T39" s="210"/>
    </row>
    <row r="40">
      <c r="A40" s="339" t="s">
        <v>4717</v>
      </c>
      <c r="B40" s="167" t="s">
        <v>4718</v>
      </c>
      <c r="C40" s="340" t="s">
        <v>4717</v>
      </c>
      <c r="D40" s="323" t="str">
        <f>IFERROR(__xludf.DUMMYFUNCTION("GOOGLETRANSLATE(B40,""zh-tw"",""ja"")"),"物理攻撃力：36
スタン確率")</f>
        <v>物理攻撃力：36
スタン確率</v>
      </c>
      <c r="E40" s="340" t="s">
        <v>4719</v>
      </c>
      <c r="F40" s="323" t="s">
        <v>4720</v>
      </c>
      <c r="G40" s="340" t="str">
        <f>IFERROR(__xludf.DUMMYFUNCTION("GOOGLETRANSLATE(A40,""zh-tw"",""zh"")"),"大木槌")</f>
        <v>大木槌</v>
      </c>
      <c r="H40" s="323" t="str">
        <f>IFERROR(__xludf.DUMMYFUNCTION("GOOGLETRANSLATE(B40,""zh-tw"",""zh"")"),"物攻：36
机率晕眩")</f>
        <v>物攻：36
机率晕眩</v>
      </c>
      <c r="I40" s="341" t="str">
        <f>IFERROR(__xludf.DUMMYFUNCTION("GOOGLETRANSLATE(A40,""zh-tw"",""es-MX"")"),"mazo de madera grande")</f>
        <v>mazo de madera grande</v>
      </c>
      <c r="J40" s="168" t="str">
        <f>IFERROR(__xludf.DUMMYFUNCTION("GOOGLETRANSLATE(B40,""zh-tw"",""es-MX"")"),"Ataque físico: 36% de probabilidad de aturdir")</f>
        <v>Ataque físico: 36% de probabilidad de aturdir</v>
      </c>
      <c r="K40" s="341" t="str">
        <f>IFERROR(__xludf.DUMMYFUNCTION("GOOGLETRANSLATE(A40,""zh-tw"",""KO"")"),"큰 나무 망치")</f>
        <v>큰 나무 망치</v>
      </c>
      <c r="L40" s="168" t="str">
        <f>IFERROR(__xludf.DUMMYFUNCTION("GOOGLETRANSLATE(B40,""zh-tw"",""KO"")"),"물리 공격력: 36
기절 확률")</f>
        <v>물리 공격력: 36
기절 확률</v>
      </c>
      <c r="M40" s="342" t="str">
        <f>IFERROR(__xludf.DUMMYFUNCTION("GOOGLETRANSLATE(A40,""zh-tw"",""ru"")"),"Большой деревянный молоток")</f>
        <v>Большой деревянный молоток</v>
      </c>
      <c r="N40" s="321" t="str">
        <f>IFERROR(__xludf.DUMMYFUNCTION("GOOGLETRANSLATE(B40,""zh-tw"",""ru"")"),"Физическая атака: 36
Вероятность оглушения")</f>
        <v>Физическая атака: 36
Вероятность оглушения</v>
      </c>
      <c r="O40" s="340" t="s">
        <v>4721</v>
      </c>
      <c r="P40" s="323" t="s">
        <v>4722</v>
      </c>
      <c r="Q40" s="343" t="s">
        <v>4723</v>
      </c>
      <c r="R40" s="344" t="s">
        <v>4724</v>
      </c>
      <c r="S40" s="17"/>
      <c r="T40" s="17"/>
    </row>
    <row r="41">
      <c r="A41" s="341" t="s">
        <v>4725</v>
      </c>
      <c r="B41" s="168" t="s">
        <v>4726</v>
      </c>
      <c r="C41" s="341" t="s">
        <v>4725</v>
      </c>
      <c r="D41" s="168" t="s">
        <v>4727</v>
      </c>
      <c r="E41" s="341" t="s">
        <v>4728</v>
      </c>
      <c r="F41" s="168" t="s">
        <v>4729</v>
      </c>
      <c r="G41" s="340" t="str">
        <f>IFERROR(__xludf.DUMMYFUNCTION("GOOGLETRANSLATE(A41,""zh-tw"",""zh"")"),"日轮")</f>
        <v>日轮</v>
      </c>
      <c r="H41" s="323" t="str">
        <f>IFERROR(__xludf.DUMMYFUNCTION("GOOGLETRANSLATE(B41,""zh-tw"",""zh"")"),"物攻：12
魔攻：30
魔防：30
召唤陨石")</f>
        <v>物攻：12
魔攻：30
魔防：30
召唤陨石</v>
      </c>
      <c r="I41" s="341" t="str">
        <f>IFERROR(__xludf.DUMMYFUNCTION("GOOGLETRANSLATE(A41,""zh-tw"",""es-MX"")"),"Rueda solar")</f>
        <v>Rueda solar</v>
      </c>
      <c r="J41" s="168" t="str">
        <f>IFERROR(__xludf.DUMMYFUNCTION("GOOGLETRANSLATE(B41,""zh-tw"",""es-MX"")"),"Ataque físico: 12
Ataque mágico: 30
Defensa mágica: 30
Invocar meteorito")</f>
        <v>Ataque físico: 12
Ataque mágico: 30
Defensa mágica: 30
Invocar meteorito</v>
      </c>
      <c r="K41" s="341" t="str">
        <f>IFERROR(__xludf.DUMMYFUNCTION("GOOGLETRANSLATE(A41,""zh-tw"",""KO"")"),"썬 휠")</f>
        <v>썬 휠</v>
      </c>
      <c r="L41" s="168" t="str">
        <f>IFERROR(__xludf.DUMMYFUNCTION("GOOGLETRANSLATE(B41,""zh-tw"",""KO"")"),"물리 공격력: 12
마법 공격력: 30
마법 방어력: 30
유성 소환")</f>
        <v>물리 공격력: 12
마법 공격력: 30
마법 방어력: 30
유성 소환</v>
      </c>
      <c r="M41" s="342" t="str">
        <f>IFERROR(__xludf.DUMMYFUNCTION("GOOGLETRANSLATE(A41,""zh-tw"",""ru"")"),"Солнечное колесо")</f>
        <v>Солнечное колесо</v>
      </c>
      <c r="N41" s="321"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45" t="s">
        <v>4730</v>
      </c>
      <c r="P41" s="328" t="s">
        <v>4731</v>
      </c>
      <c r="Q41" s="343" t="s">
        <v>4732</v>
      </c>
      <c r="R41" s="344" t="s">
        <v>4733</v>
      </c>
      <c r="S41" s="17"/>
      <c r="T41" s="17"/>
    </row>
    <row r="42">
      <c r="A42" s="341" t="s">
        <v>4734</v>
      </c>
      <c r="B42" s="167" t="s">
        <v>4735</v>
      </c>
      <c r="C42" s="341" t="s">
        <v>4736</v>
      </c>
      <c r="D42" s="168" t="s">
        <v>4737</v>
      </c>
      <c r="E42" s="341" t="s">
        <v>4738</v>
      </c>
      <c r="F42" s="168" t="s">
        <v>4739</v>
      </c>
      <c r="G42" s="340" t="str">
        <f>IFERROR(__xludf.DUMMYFUNCTION("GOOGLETRANSLATE(A42,""zh-tw"",""zh"")"),"登的阴郁手镰")</f>
        <v>登的阴郁手镰</v>
      </c>
      <c r="H42" s="323" t="str">
        <f>IFERROR(__xludf.DUMMYFUNCTION("GOOGLETRANSLATE(B42,""zh-tw"",""zh"")"),"
物攻：18
魔攻：9
回力镖类型武器")</f>
        <v>
物攻：18
魔攻：9
回力镖类型武器</v>
      </c>
      <c r="I42" s="341" t="str">
        <f>IFERROR(__xludf.DUMMYFUNCTION("GOOGLETRANSLATE(A42,""zh-tw"",""es-MX"")"),"La sombría hoz de Deng")</f>
        <v>La sombría hoz de Deng</v>
      </c>
      <c r="J42" s="168" t="str">
        <f>IFERROR(__xludf.DUMMYFUNCTION("GOOGLETRANSLATE(B42,""zh-tw"",""es-MX"")"),"Ataque físico: 18 Ataque mágico: 9 Arma tipo bumerán")</f>
        <v>Ataque físico: 18 Ataque mágico: 9 Arma tipo bumerán</v>
      </c>
      <c r="K42" s="341" t="str">
        <f>IFERROR(__xludf.DUMMYFUNCTION("GOOGLETRANSLATE(A42,""zh-tw"",""KO"")"),"덩의 우울한 낫")</f>
        <v>덩의 우울한 낫</v>
      </c>
      <c r="L42" s="168" t="str">
        <f>IFERROR(__xludf.DUMMYFUNCTION("GOOGLETRANSLATE(B42,""zh-tw"",""KO"")"),"물리 공격력: 18 마법 공격력: 9 부메랑 계열 무기")</f>
        <v>물리 공격력: 18 마법 공격력: 9 부메랑 계열 무기</v>
      </c>
      <c r="M42" s="342" t="str">
        <f>IFERROR(__xludf.DUMMYFUNCTION("GOOGLETRANSLATE(A42,""zh-tw"",""ru"")"),"Мрачный серп Дэнга")</f>
        <v>Мрачный серп Дэнга</v>
      </c>
      <c r="N42" s="321" t="str">
        <f>IFERROR(__xludf.DUMMYFUNCTION("GOOGLETRANSLATE(B42,""zh-tw"",""ru"")"),"Физическая атака: 18 Магическая атака: 9 Оружие типа «Бумеранг»")</f>
        <v>Физическая атака: 18 Магическая атака: 9 Оружие типа «Бумеранг»</v>
      </c>
      <c r="O42" s="345" t="s">
        <v>4740</v>
      </c>
      <c r="P42" s="328" t="s">
        <v>4741</v>
      </c>
      <c r="Q42" s="343" t="s">
        <v>4742</v>
      </c>
      <c r="R42" s="344" t="s">
        <v>4743</v>
      </c>
      <c r="S42" s="17"/>
      <c r="T42" s="17"/>
    </row>
    <row r="43">
      <c r="A43" s="339" t="s">
        <v>4744</v>
      </c>
      <c r="B43" s="167" t="s">
        <v>4745</v>
      </c>
      <c r="C43" s="341" t="str">
        <f>IFERROR(__xludf.DUMMYFUNCTION("GOOGLETRANSLATE(A43,""zh-tw"",""ja"")"),"錆びた鉄の剣")</f>
        <v>錆びた鉄の剣</v>
      </c>
      <c r="D43" s="168" t="str">
        <f>IFERROR(__xludf.DUMMYFUNCTION("GOOGLETRANSLATE(B43,""zh-tw"",""ja"")"),"物理攻撃: 毒または出血を与える確率 15%。毒は必ず発生します。")</f>
        <v>物理攻撃: 毒または出血を与える確率 15%。毒は必ず発生します。</v>
      </c>
      <c r="E43" s="339" t="s">
        <v>4746</v>
      </c>
      <c r="F43" s="167" t="s">
        <v>4747</v>
      </c>
      <c r="G43" s="340" t="str">
        <f>IFERROR(__xludf.DUMMYFUNCTION("GOOGLETRANSLATE(A43,""zh-tw"",""zh"")"),"生锈的铁剑")</f>
        <v>生锈的铁剑</v>
      </c>
      <c r="H43" s="323" t="str">
        <f>IFERROR(__xludf.DUMMYFUNCTION("GOOGLETRANSLATE(B43,""zh-tw"",""zh"")"),"物攻：15
机率附加中毒、出血必定中毒")</f>
        <v>物攻：15
机率附加中毒、出血必定中毒</v>
      </c>
      <c r="I43" s="341" t="str">
        <f>IFERROR(__xludf.DUMMYFUNCTION("GOOGLETRANSLATE(A43,""zh-tw"",""es-MX"")"),"espada de hierro oxidada")</f>
        <v>espada de hierro oxidada</v>
      </c>
      <c r="J43" s="168" t="str">
        <f>IFERROR(__xludf.DUMMYFUNCTION("GOOGLETRANSLATE(B43,""zh-tw"",""es-MX"")"),"Ataque físico: 15% de probabilidad de infligir veneno o sangrado; el envenenamiento está garantizado.")</f>
        <v>Ataque físico: 15% de probabilidad de infligir veneno o sangrado; el envenenamiento está garantizado.</v>
      </c>
      <c r="K43" s="341" t="str">
        <f>IFERROR(__xludf.DUMMYFUNCTION("GOOGLETRANSLATE(A43,""zh-tw"",""KO"")"),"녹슨 철검")</f>
        <v>녹슨 철검</v>
      </c>
      <c r="L43" s="168" t="str">
        <f>IFERROR(__xludf.DUMMYFUNCTION("GOOGLETRANSLATE(B43,""zh-tw"",""KO"")"),"물리 공격: 15% 확률로 독이나 출혈을 유발합니다. 중독은 보장됩니다.")</f>
        <v>물리 공격: 15% 확률로 독이나 출혈을 유발합니다. 중독은 보장됩니다.</v>
      </c>
      <c r="M43" s="342" t="str">
        <f>IFERROR(__xludf.DUMMYFUNCTION("GOOGLETRANSLATE(A43,""zh-tw"",""ru"")"),"Ржавый железный меч")</f>
        <v>Ржавый железный меч</v>
      </c>
      <c r="N43" s="321" t="str">
        <f>IFERROR(__xludf.DUMMYFUNCTION("GOOGLETRANSLATE(B43,""zh-tw"",""ru"")"),"Физическая атака: 15% вероятность вызвать отравление или кровотечение; отравление гарантировано.")</f>
        <v>Физическая атака: 15% вероятность вызвать отравление или кровотечение; отравление гарантировано.</v>
      </c>
      <c r="O43" s="339" t="s">
        <v>4748</v>
      </c>
      <c r="P43" s="167" t="s">
        <v>4749</v>
      </c>
      <c r="Q43" s="343" t="s">
        <v>4750</v>
      </c>
      <c r="R43" s="344" t="s">
        <v>4751</v>
      </c>
      <c r="S43" s="17"/>
      <c r="T43" s="17"/>
    </row>
    <row r="44">
      <c r="A44" s="339" t="s">
        <v>4752</v>
      </c>
      <c r="B44" s="167" t="s">
        <v>4753</v>
      </c>
      <c r="C44" s="341" t="str">
        <f>IFERROR(__xludf.DUMMYFUNCTION("GOOGLETRANSLATE(A44,""zh-tw"",""ja"")"),"鍛造ハンマー")</f>
        <v>鍛造ハンマー</v>
      </c>
      <c r="D44" s="168" t="str">
        <f>IFERROR(__xludf.DUMMYFUNCTION("GOOGLETRANSLATE(B44,""zh-tw"",""ja"")"),"物理攻撃：6。鍛造の使用については、詳細はTIPSを参照してください。")</f>
        <v>物理攻撃：6。鍛造の使用については、詳細はTIPSを参照してください。</v>
      </c>
      <c r="E44" s="339" t="s">
        <v>4754</v>
      </c>
      <c r="F44" s="167" t="s">
        <v>4755</v>
      </c>
      <c r="G44" s="340" t="str">
        <f>IFERROR(__xludf.DUMMYFUNCTION("GOOGLETRANSLATE(A44,""zh-tw"",""zh"")"),"锻造锤")</f>
        <v>锻造锤</v>
      </c>
      <c r="H44" s="323" t="str">
        <f>IFERROR(__xludf.DUMMYFUNCTION("GOOGLETRANSLATE(B44,""zh-tw"",""zh"")"),"物攻：6
锻造用途，详情于TIPS")</f>
        <v>物攻：6
锻造用途，详情于TIPS</v>
      </c>
      <c r="I44" s="341" t="str">
        <f>IFERROR(__xludf.DUMMYFUNCTION("GOOGLETRANSLATE(A44,""zh-tw"",""es-MX"")"),"Martillo de forja")</f>
        <v>Martillo de forja</v>
      </c>
      <c r="J44" s="168" t="str">
        <f>IFERROR(__xludf.DUMMYFUNCTION("GOOGLETRANSLATE(B44,""zh-tw"",""es-MX"")"),"Ataque físico: 6. Usos de forja, consulte CONSEJOS para obtener más detalles.")</f>
        <v>Ataque físico: 6. Usos de forja, consulte CONSEJOS para obtener más detalles.</v>
      </c>
      <c r="K44" s="341" t="str">
        <f>IFERROR(__xludf.DUMMYFUNCTION("GOOGLETRANSLATE(A44,""zh-tw"",""KO"")"),"단조 망치")</f>
        <v>단조 망치</v>
      </c>
      <c r="L44" s="168" t="str">
        <f>IFERROR(__xludf.DUMMYFUNCTION("GOOGLETRANSLATE(B44,""zh-tw"",""KO"")"),"물리적 공격력: 6. 단조에 사용 가능. 자세한 내용은 TIPS를 참조하세요.")</f>
        <v>물리적 공격력: 6. 단조에 사용 가능. 자세한 내용은 TIPS를 참조하세요.</v>
      </c>
      <c r="M44" s="342" t="str">
        <f>IFERROR(__xludf.DUMMYFUNCTION("GOOGLETRANSLATE(A44,""zh-tw"",""ru"")"),"Кузнечный молот")</f>
        <v>Кузнечный молот</v>
      </c>
      <c r="N44" s="321" t="str">
        <f>IFERROR(__xludf.DUMMYFUNCTION("GOOGLETRANSLATE(B44,""zh-tw"",""ru"")"),"Физическая атака: 6. Использование ковки, подробности см. в СОВЕТАХ.")</f>
        <v>Физическая атака: 6. Использование ковки, подробности см. в СОВЕТАХ.</v>
      </c>
      <c r="O44" s="339" t="s">
        <v>4756</v>
      </c>
      <c r="P44" s="167" t="s">
        <v>4757</v>
      </c>
      <c r="Q44" s="343" t="s">
        <v>4758</v>
      </c>
      <c r="R44" s="344" t="s">
        <v>4759</v>
      </c>
      <c r="S44" s="17"/>
      <c r="T44" s="17"/>
    </row>
    <row r="45">
      <c r="A45" s="340" t="s">
        <v>4760</v>
      </c>
      <c r="B45" s="323" t="s">
        <v>4761</v>
      </c>
      <c r="C45" s="340" t="s">
        <v>4762</v>
      </c>
      <c r="D45" s="323"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40" t="s">
        <v>4763</v>
      </c>
      <c r="F45" s="323" t="s">
        <v>4764</v>
      </c>
      <c r="G45" s="340" t="str">
        <f>IFERROR(__xludf.DUMMYFUNCTION("GOOGLETRANSLATE(A45,""zh-tw"",""zh"")"),"2号机")</f>
        <v>2号机</v>
      </c>
      <c r="H45" s="323"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41" t="str">
        <f>IFERROR(__xludf.DUMMYFUNCTION("GOOGLETRANSLATE(A45,""zh-tw"",""es-MX"")"),"Unidad 2")</f>
        <v>Unidad 2</v>
      </c>
      <c r="J45" s="168" t="str">
        <f>IFERROR(__xludf.DUMMYFUNCTION("GOOGLETRANSLATE(B45,""zh-tw"",""es-MX"")"),"Consume oro para atacar.
Ataque físico: 2
Defensa mágica: 20
Suerte: 20
*Este objeto se puede usar para mejorar el Núcleo-1.
(Se puede comprar en la tienda)")</f>
        <v>Consume oro para atacar.
Ataque físico: 2
Defensa mágica: 20
Suerte: 20
*Este objeto se puede usar para mejorar el Núcleo-1.
(Se puede comprar en la tienda)</v>
      </c>
      <c r="K45" s="341" t="str">
        <f>IFERROR(__xludf.DUMMYFUNCTION("GOOGLETRANSLATE(A45,""zh-tw"",""KO"")"),"2단원")</f>
        <v>2단원</v>
      </c>
      <c r="L45" s="168"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42" t="str">
        <f>IFERROR(__xludf.DUMMYFUNCTION("GOOGLETRANSLATE(A45,""zh-tw"",""ru"")"),"Блок 2")</f>
        <v>Блок 2</v>
      </c>
      <c r="N45" s="321"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40" t="s">
        <v>4765</v>
      </c>
      <c r="P45" s="323" t="s">
        <v>4766</v>
      </c>
      <c r="Q45" s="343" t="s">
        <v>4767</v>
      </c>
      <c r="R45" s="344" t="s">
        <v>4768</v>
      </c>
      <c r="S45" s="210"/>
      <c r="T45" s="210"/>
    </row>
    <row r="46">
      <c r="A46" s="339" t="s">
        <v>4769</v>
      </c>
      <c r="B46" s="167" t="s">
        <v>4770</v>
      </c>
      <c r="C46" s="339" t="s">
        <v>4771</v>
      </c>
      <c r="D46" s="173" t="s">
        <v>4772</v>
      </c>
      <c r="E46" s="339" t="s">
        <v>4773</v>
      </c>
      <c r="F46" s="167" t="s">
        <v>4774</v>
      </c>
      <c r="G46" s="340" t="str">
        <f>IFERROR(__xludf.DUMMYFUNCTION("GOOGLETRANSLATE(A46,""zh-tw"",""zh"")"),"潮汐之诗")</f>
        <v>潮汐之诗</v>
      </c>
      <c r="H46" s="323"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41" t="str">
        <f>IFERROR(__xludf.DUMMYFUNCTION("GOOGLETRANSLATE(A46,""zh-tw"",""es-MX"")"),"Poema de las mareas")</f>
        <v>Poema de las mareas</v>
      </c>
      <c r="J46" s="168" t="str">
        <f>IFERROR(__xludf.DUMMYFUNCTION("GOOGLETRANSLATE(B46,""zh-tw"",""es-MX"")"),"Ataque físico: 1
Ataque mágico: 45
Defensa mágica: 20
El poder de ataque aumenta al luchar en el agua.
(Onda Perforante: Puede usarse para crear ondas en la superficie del agua; no se puede combinar con Garra de Gato para aumentar el número de ondas).")</f>
        <v>Ataque físico: 1
Ataque mágico: 45
Defensa mágica: 20
El poder de ataque aumenta al luchar en el agua.
(Onda Perforante: Puede usarse para crear ondas en la superficie del agua; no se puede combinar con Garra de Gato para aumentar el número de ondas).</v>
      </c>
      <c r="K46" s="341" t="str">
        <f>IFERROR(__xludf.DUMMYFUNCTION("GOOGLETRANSLATE(A46,""zh-tw"",""KO"")"),"조수의 시")</f>
        <v>조수의 시</v>
      </c>
      <c r="L46" s="168" t="str">
        <f>IFERROR(__xludf.DUMMYFUNCTION("GOOGLETRANSLATE(B46,""zh-tw"",""KO"")"),"물리 공격력: 1
마법 공격력: 45
마법 방어력: 20
물속에서 싸울 때 공격력이 증가합니다.
(잔물결 피어스: 수면을 폭파하는 데 사용할 수 있습니다. 캣츠 클로와 함께 사용하면 물고기 폭발 횟수를 늘릴 수 없습니다.)")</f>
        <v>물리 공격력: 1
마법 공격력: 45
마법 방어력: 20
물속에서 싸울 때 공격력이 증가합니다.
(잔물결 피어스: 수면을 폭파하는 데 사용할 수 있습니다. 캣츠 클로와 함께 사용하면 물고기 폭발 횟수를 늘릴 수 없습니다.)</v>
      </c>
      <c r="M46" s="342" t="str">
        <f>IFERROR(__xludf.DUMMYFUNCTION("GOOGLETRANSLATE(A46,""zh-tw"",""ru"")"),"Поэма приливов")</f>
        <v>Поэма приливов</v>
      </c>
      <c r="N46" s="321" t="str">
        <f>IFERROR(__xludf.DUMMYFUNCTION("GOOGLETRANSLATE(B46,""zh-tw"",""ru"")"),"Физическая атака: 1
Магическая атака: 45
Магическая защита: 20
Сила атаки увеличивается при сражении в воде.
(«Пронзание волн»: может использоваться для разрушения поверхности воды; нельзя комбинировать с «Кошачьим когтем» для увеличения количества взрыв"&amp;"ов рыбы)")</f>
        <v>Физическая атака: 1
Магическая атака: 45
Магическая защита: 20
Сила атаки увеличивается при сражении в воде.
(«Пронзание волн»: может использоваться для разрушения поверхности воды; нельзя комбинировать с «Кошачьим когтем» для увеличения количества взрывов рыбы)</v>
      </c>
      <c r="O46" s="339" t="s">
        <v>4775</v>
      </c>
      <c r="P46" s="167" t="s">
        <v>4776</v>
      </c>
      <c r="Q46" s="346" t="s">
        <v>4777</v>
      </c>
      <c r="R46" s="170" t="s">
        <v>4778</v>
      </c>
      <c r="S46" s="17"/>
      <c r="T46" s="17"/>
    </row>
    <row r="47">
      <c r="A47" s="345" t="s">
        <v>4779</v>
      </c>
      <c r="B47" s="167" t="s">
        <v>4780</v>
      </c>
      <c r="C47" s="341"/>
      <c r="D47" s="328"/>
      <c r="E47" s="339" t="s">
        <v>3200</v>
      </c>
      <c r="F47" s="167" t="s">
        <v>4781</v>
      </c>
      <c r="G47" s="340" t="str">
        <f>IFERROR(__xludf.DUMMYFUNCTION("GOOGLETRANSLATE(A47,""zh-tw"",""zh"")"),"胡萝卜大剑")</f>
        <v>胡萝卜大剑</v>
      </c>
      <c r="H47" s="323" t="str">
        <f>IFERROR(__xludf.DUMMYFUNCTION("GOOGLETRANSLATE(B47,""zh-tw"",""zh"")"),"物攻：1
累计伤害型武器
投掷穿刺效果
*特殊传送效果(请参考TIPS)")</f>
        <v>物攻：1
累计伤害型武器
投掷穿刺效果
*特殊传送效果(请参考TIPS)</v>
      </c>
      <c r="I47" s="341" t="str">
        <f>IFERROR(__xludf.DUMMYFUNCTION("GOOGLETRANSLATE(A47,""zh-tw"",""es-MX"")"),"Espada de zanahoria")</f>
        <v>Espada de zanahoria</v>
      </c>
      <c r="J47" s="168"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41" t="str">
        <f>IFERROR(__xludf.DUMMYFUNCTION("GOOGLETRANSLATE(A47,""zh-tw"",""KO"")"),"당근 검")</f>
        <v>당근 검</v>
      </c>
      <c r="L47" s="168"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42" t="str">
        <f>IFERROR(__xludf.DUMMYFUNCTION("GOOGLETRANSLATE(A47,""zh-tw"",""ru"")"),"Морковный меч")</f>
        <v>Морковный меч</v>
      </c>
      <c r="N47" s="321"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45"/>
      <c r="P47" s="328"/>
      <c r="Q47" s="343" t="s">
        <v>3203</v>
      </c>
      <c r="R47" s="344" t="s">
        <v>4782</v>
      </c>
      <c r="S47" s="17"/>
      <c r="T47" s="17"/>
    </row>
    <row r="48">
      <c r="A48" s="339" t="s">
        <v>4783</v>
      </c>
      <c r="B48" s="167" t="s">
        <v>4784</v>
      </c>
      <c r="C48" s="341"/>
      <c r="D48" s="181"/>
      <c r="E48" s="339" t="s">
        <v>3189</v>
      </c>
      <c r="F48" s="167" t="s">
        <v>4785</v>
      </c>
      <c r="G48" s="340" t="str">
        <f>IFERROR(__xludf.DUMMYFUNCTION("GOOGLETRANSLATE(A48,""zh-tw"",""zh"")"),"冻萝卜大剑")</f>
        <v>冻萝卜大剑</v>
      </c>
      <c r="H48" s="323" t="str">
        <f>IFERROR(__xludf.DUMMYFUNCTION("GOOGLETRANSLATE(B48,""zh-tw"",""zh"")"),"物攻：26
物防：2
冻结效果
投掷穿刺效果")</f>
        <v>物攻：26
物防：2
冻结效果
投掷穿刺效果</v>
      </c>
      <c r="I48" s="341" t="str">
        <f>IFERROR(__xludf.DUMMYFUNCTION("GOOGLETRANSLATE(A48,""zh-tw"",""es-MX"")"),"Espada de rábano congelado")</f>
        <v>Espada de rábano congelado</v>
      </c>
      <c r="J48" s="168" t="str">
        <f>IFERROR(__xludf.DUMMYFUNCTION("GOOGLETRANSLATE(B48,""zh-tw"",""es-MX"")"),"Ataque: 26
Defensa: 2
Efecto de congelación
Efecto de penetración de lanzamiento")</f>
        <v>Ataque: 26
Defensa: 2
Efecto de congelación
Efecto de penetración de lanzamiento</v>
      </c>
      <c r="K48" s="341" t="str">
        <f>IFERROR(__xludf.DUMMYFUNCTION("GOOGLETRANSLATE(A48,""zh-tw"",""KO"")"),"냉동 무 칼")</f>
        <v>냉동 무 칼</v>
      </c>
      <c r="L48" s="168" t="str">
        <f>IFERROR(__xludf.DUMMYFUNCTION("GOOGLETRANSLATE(B48,""zh-tw"",""KO"")"),"공격력: 26
방어력: 2
동결 효과
투척 관통 효과")</f>
        <v>공격력: 26
방어력: 2
동결 효과
투척 관통 효과</v>
      </c>
      <c r="M48" s="342" t="str">
        <f>IFERROR(__xludf.DUMMYFUNCTION("GOOGLETRANSLATE(A48,""zh-tw"",""ru"")"),"Замороженный меч из редиса")</f>
        <v>Замороженный меч из редиса</v>
      </c>
      <c r="N48" s="321"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41"/>
      <c r="P48" s="168"/>
      <c r="Q48" s="347" t="s">
        <v>4786</v>
      </c>
      <c r="R48" s="187" t="s">
        <v>4787</v>
      </c>
      <c r="S48" s="17"/>
      <c r="T48" s="17"/>
    </row>
    <row r="49">
      <c r="A49" s="339" t="s">
        <v>4788</v>
      </c>
      <c r="B49" s="167" t="s">
        <v>4789</v>
      </c>
      <c r="C49" s="341"/>
      <c r="D49" s="181"/>
      <c r="E49" s="339" t="s">
        <v>4790</v>
      </c>
      <c r="F49" s="167" t="s">
        <v>4791</v>
      </c>
      <c r="G49" s="340" t="str">
        <f>IFERROR(__xludf.DUMMYFUNCTION("GOOGLETRANSLATE(A49,""zh-tw"",""zh"")"),"霉萝卜大剑")</f>
        <v>霉萝卜大剑</v>
      </c>
      <c r="H49" s="323" t="str">
        <f>IFERROR(__xludf.DUMMYFUNCTION("GOOGLETRANSLATE(B49,""zh-tw"",""zh"")"),"物攻：10
魔攻：10
中毒效果
投掷穿刺效果")</f>
        <v>物攻：10
魔攻：10
中毒效果
投掷穿刺效果</v>
      </c>
      <c r="I49" s="341" t="str">
        <f>IFERROR(__xludf.DUMMYFUNCTION("GOOGLETRANSLATE(A49,""zh-tw"",""es-MX"")"),"Espada magna de rábano mohoso")</f>
        <v>Espada magna de rábano mohoso</v>
      </c>
      <c r="J49" s="168" t="str">
        <f>IFERROR(__xludf.DUMMYFUNCTION("GOOGLETRANSLATE(B49,""zh-tw"",""es-MX"")"),"Ataque físico: 10
Ataque mágico: 10
Efecto de veneno
Efecto de perforación de lanzamiento")</f>
        <v>Ataque físico: 10
Ataque mágico: 10
Efecto de veneno
Efecto de perforación de lanzamiento</v>
      </c>
      <c r="K49" s="341" t="str">
        <f>IFERROR(__xludf.DUMMYFUNCTION("GOOGLETRANSLATE(A49,""zh-tw"",""KO"")"),"곰팡이 핀 무 대검")</f>
        <v>곰팡이 핀 무 대검</v>
      </c>
      <c r="L49" s="168" t="str">
        <f>IFERROR(__xludf.DUMMYFUNCTION("GOOGLETRANSLATE(B49,""zh-tw"",""KO"")"),"물리 공격력: 10
마법 공격력: 10
독 효과
투척 관통 효과")</f>
        <v>물리 공격력: 10
마법 공격력: 10
독 효과
투척 관통 효과</v>
      </c>
      <c r="M49" s="342" t="str">
        <f>IFERROR(__xludf.DUMMYFUNCTION("GOOGLETRANSLATE(A49,""zh-tw"",""ru"")"),"Заплесневелый редис Большой меч")</f>
        <v>Заплесневелый редис Большой меч</v>
      </c>
      <c r="N49" s="321"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41"/>
      <c r="P49" s="168"/>
      <c r="Q49" s="347" t="s">
        <v>4792</v>
      </c>
      <c r="R49" s="187" t="s">
        <v>4793</v>
      </c>
      <c r="S49" s="17"/>
      <c r="T49" s="17"/>
    </row>
    <row r="50">
      <c r="A50" s="341"/>
      <c r="B50" s="168"/>
      <c r="C50" s="341"/>
      <c r="D50" s="181"/>
      <c r="E50" s="341"/>
      <c r="F50" s="168"/>
      <c r="G50" s="341"/>
      <c r="H50" s="168"/>
      <c r="I50" s="348"/>
      <c r="J50" s="181"/>
      <c r="K50" s="348"/>
      <c r="L50" s="181"/>
      <c r="M50" s="348"/>
      <c r="N50" s="181"/>
      <c r="O50" s="341"/>
      <c r="P50" s="168"/>
      <c r="Q50" s="347"/>
      <c r="R50" s="187"/>
      <c r="S50" s="17"/>
      <c r="T50" s="17"/>
    </row>
    <row r="51">
      <c r="A51" s="341"/>
      <c r="B51" s="168"/>
      <c r="C51" s="341"/>
      <c r="D51" s="181"/>
      <c r="E51" s="341"/>
      <c r="F51" s="168"/>
      <c r="G51" s="341"/>
      <c r="H51" s="168"/>
      <c r="I51" s="348"/>
      <c r="J51" s="181"/>
      <c r="K51" s="348"/>
      <c r="L51" s="181"/>
      <c r="M51" s="348"/>
      <c r="N51" s="181"/>
      <c r="O51" s="341"/>
      <c r="P51" s="168"/>
      <c r="Q51" s="347"/>
      <c r="R51" s="187"/>
      <c r="S51" s="17"/>
      <c r="T51" s="17"/>
    </row>
    <row r="52">
      <c r="A52" s="341"/>
      <c r="B52" s="168"/>
      <c r="C52" s="341"/>
      <c r="D52" s="181"/>
      <c r="E52" s="341"/>
      <c r="F52" s="168"/>
      <c r="G52" s="341"/>
      <c r="H52" s="168"/>
      <c r="I52" s="348"/>
      <c r="J52" s="181"/>
      <c r="K52" s="348"/>
      <c r="L52" s="181"/>
      <c r="M52" s="348"/>
      <c r="N52" s="181"/>
      <c r="O52" s="341"/>
      <c r="P52" s="168"/>
      <c r="Q52" s="347"/>
      <c r="R52" s="187"/>
      <c r="S52" s="17"/>
      <c r="T52" s="17"/>
    </row>
    <row r="53">
      <c r="A53" s="341"/>
      <c r="B53" s="168"/>
      <c r="C53" s="341"/>
      <c r="D53" s="181"/>
      <c r="E53" s="341"/>
      <c r="F53" s="168"/>
      <c r="G53" s="341"/>
      <c r="H53" s="168"/>
      <c r="I53" s="348"/>
      <c r="J53" s="181"/>
      <c r="K53" s="348"/>
      <c r="L53" s="181"/>
      <c r="M53" s="348"/>
      <c r="N53" s="181"/>
      <c r="O53" s="341"/>
      <c r="P53" s="168"/>
      <c r="Q53" s="347"/>
      <c r="R53" s="187"/>
      <c r="S53" s="17"/>
      <c r="T53" s="17"/>
    </row>
    <row r="54">
      <c r="A54" s="341"/>
      <c r="B54" s="168"/>
      <c r="C54" s="341"/>
      <c r="D54" s="181"/>
      <c r="E54" s="341"/>
      <c r="F54" s="168"/>
      <c r="G54" s="341"/>
      <c r="H54" s="168"/>
      <c r="I54" s="348"/>
      <c r="J54" s="181"/>
      <c r="K54" s="348"/>
      <c r="L54" s="181"/>
      <c r="M54" s="348"/>
      <c r="N54" s="181"/>
      <c r="O54" s="341"/>
      <c r="P54" s="168"/>
      <c r="Q54" s="347"/>
      <c r="R54" s="187"/>
      <c r="S54" s="17"/>
      <c r="T54" s="17"/>
    </row>
    <row r="55">
      <c r="A55" s="341"/>
      <c r="B55" s="168"/>
      <c r="C55" s="341"/>
      <c r="D55" s="181"/>
      <c r="E55" s="341"/>
      <c r="F55" s="168"/>
      <c r="G55" s="341"/>
      <c r="H55" s="168"/>
      <c r="I55" s="348"/>
      <c r="J55" s="181"/>
      <c r="K55" s="348"/>
      <c r="L55" s="181"/>
      <c r="M55" s="348"/>
      <c r="N55" s="181"/>
      <c r="O55" s="341"/>
      <c r="P55" s="168"/>
      <c r="Q55" s="347"/>
      <c r="R55" s="187"/>
      <c r="S55" s="17"/>
      <c r="T55" s="17"/>
    </row>
    <row r="56">
      <c r="A56" s="341"/>
      <c r="B56" s="168"/>
      <c r="C56" s="341"/>
      <c r="D56" s="181"/>
      <c r="E56" s="341"/>
      <c r="F56" s="168"/>
      <c r="G56" s="341"/>
      <c r="H56" s="168"/>
      <c r="I56" s="348"/>
      <c r="J56" s="181"/>
      <c r="K56" s="348"/>
      <c r="L56" s="181"/>
      <c r="M56" s="348"/>
      <c r="N56" s="181"/>
      <c r="O56" s="341"/>
      <c r="P56" s="168"/>
      <c r="Q56" s="347"/>
      <c r="R56" s="187"/>
      <c r="S56" s="17"/>
      <c r="T56" s="17"/>
    </row>
    <row r="57">
      <c r="A57" s="341"/>
      <c r="B57" s="168"/>
      <c r="C57" s="341"/>
      <c r="D57" s="181"/>
      <c r="E57" s="341"/>
      <c r="F57" s="168"/>
      <c r="G57" s="341"/>
      <c r="H57" s="168"/>
      <c r="I57" s="348"/>
      <c r="J57" s="181"/>
      <c r="K57" s="348"/>
      <c r="L57" s="181"/>
      <c r="M57" s="348"/>
      <c r="N57" s="181"/>
      <c r="O57" s="341"/>
      <c r="P57" s="168"/>
      <c r="Q57" s="347"/>
      <c r="R57" s="187"/>
      <c r="S57" s="17"/>
      <c r="T57" s="17"/>
    </row>
    <row r="58">
      <c r="A58" s="341"/>
      <c r="B58" s="168"/>
      <c r="C58" s="341"/>
      <c r="D58" s="181"/>
      <c r="E58" s="341"/>
      <c r="F58" s="168"/>
      <c r="G58" s="341"/>
      <c r="H58" s="168"/>
      <c r="I58" s="348"/>
      <c r="J58" s="181"/>
      <c r="K58" s="348"/>
      <c r="L58" s="181"/>
      <c r="M58" s="348"/>
      <c r="N58" s="181"/>
      <c r="O58" s="341"/>
      <c r="P58" s="168"/>
      <c r="Q58" s="347"/>
      <c r="R58" s="187"/>
      <c r="S58" s="17"/>
      <c r="T58" s="17"/>
    </row>
    <row r="59">
      <c r="A59" s="341"/>
      <c r="B59" s="168"/>
      <c r="C59" s="341"/>
      <c r="D59" s="181"/>
      <c r="E59" s="341"/>
      <c r="F59" s="168"/>
      <c r="G59" s="341"/>
      <c r="H59" s="168"/>
      <c r="I59" s="348"/>
      <c r="J59" s="181"/>
      <c r="K59" s="348"/>
      <c r="L59" s="181"/>
      <c r="M59" s="348"/>
      <c r="N59" s="181"/>
      <c r="O59" s="341"/>
      <c r="P59" s="168"/>
      <c r="Q59" s="347"/>
      <c r="R59" s="187"/>
      <c r="S59" s="17"/>
      <c r="T59" s="17"/>
    </row>
    <row r="60">
      <c r="A60" s="341"/>
      <c r="B60" s="168"/>
      <c r="C60" s="341"/>
      <c r="D60" s="181"/>
      <c r="E60" s="341"/>
      <c r="F60" s="168"/>
      <c r="G60" s="341"/>
      <c r="H60" s="168"/>
      <c r="I60" s="348"/>
      <c r="J60" s="181"/>
      <c r="K60" s="348"/>
      <c r="L60" s="181"/>
      <c r="M60" s="348"/>
      <c r="N60" s="181"/>
      <c r="O60" s="341"/>
      <c r="P60" s="168"/>
      <c r="Q60" s="347"/>
      <c r="R60" s="187"/>
      <c r="S60" s="17"/>
      <c r="T60" s="17"/>
    </row>
    <row r="61">
      <c r="A61" s="341"/>
      <c r="B61" s="168"/>
      <c r="C61" s="341"/>
      <c r="D61" s="181"/>
      <c r="E61" s="341"/>
      <c r="F61" s="168"/>
      <c r="G61" s="341"/>
      <c r="H61" s="168"/>
      <c r="I61" s="348"/>
      <c r="J61" s="181"/>
      <c r="K61" s="348"/>
      <c r="L61" s="181"/>
      <c r="M61" s="348"/>
      <c r="N61" s="181"/>
      <c r="O61" s="341"/>
      <c r="P61" s="168"/>
      <c r="Q61" s="347"/>
      <c r="R61" s="187"/>
      <c r="S61" s="17"/>
      <c r="T61" s="17"/>
    </row>
    <row r="62">
      <c r="A62" s="341"/>
      <c r="B62" s="168"/>
      <c r="C62" s="341"/>
      <c r="D62" s="181"/>
      <c r="E62" s="341"/>
      <c r="F62" s="168"/>
      <c r="G62" s="341"/>
      <c r="H62" s="168"/>
      <c r="I62" s="348"/>
      <c r="J62" s="181"/>
      <c r="K62" s="348"/>
      <c r="L62" s="181"/>
      <c r="M62" s="348"/>
      <c r="N62" s="181"/>
      <c r="O62" s="341"/>
      <c r="P62" s="168"/>
      <c r="Q62" s="347"/>
      <c r="R62" s="187"/>
      <c r="S62" s="17"/>
      <c r="T62" s="17"/>
    </row>
    <row r="63">
      <c r="A63" s="341"/>
      <c r="B63" s="168"/>
      <c r="C63" s="341"/>
      <c r="D63" s="181"/>
      <c r="E63" s="341"/>
      <c r="F63" s="168"/>
      <c r="G63" s="341"/>
      <c r="H63" s="168"/>
      <c r="I63" s="348"/>
      <c r="J63" s="181"/>
      <c r="K63" s="348"/>
      <c r="L63" s="181"/>
      <c r="M63" s="348"/>
      <c r="N63" s="181"/>
      <c r="O63" s="341"/>
      <c r="P63" s="168"/>
      <c r="Q63" s="347"/>
      <c r="R63" s="187"/>
      <c r="S63" s="17"/>
      <c r="T63" s="17"/>
    </row>
    <row r="64">
      <c r="A64" s="341"/>
      <c r="B64" s="168"/>
      <c r="C64" s="341"/>
      <c r="D64" s="181"/>
      <c r="E64" s="341"/>
      <c r="F64" s="168"/>
      <c r="G64" s="341"/>
      <c r="H64" s="168"/>
      <c r="I64" s="348"/>
      <c r="J64" s="181"/>
      <c r="K64" s="348"/>
      <c r="L64" s="181"/>
      <c r="M64" s="348"/>
      <c r="N64" s="181"/>
      <c r="O64" s="341"/>
      <c r="P64" s="168"/>
      <c r="Q64" s="347"/>
      <c r="R64" s="187"/>
      <c r="S64" s="17"/>
      <c r="T64" s="17"/>
    </row>
    <row r="65">
      <c r="A65" s="341"/>
      <c r="B65" s="168"/>
      <c r="C65" s="341"/>
      <c r="D65" s="181"/>
      <c r="E65" s="341"/>
      <c r="F65" s="168"/>
      <c r="G65" s="341"/>
      <c r="H65" s="168"/>
      <c r="I65" s="348"/>
      <c r="J65" s="181"/>
      <c r="K65" s="348"/>
      <c r="L65" s="181"/>
      <c r="M65" s="348"/>
      <c r="N65" s="181"/>
      <c r="O65" s="341"/>
      <c r="P65" s="168"/>
      <c r="Q65" s="347"/>
      <c r="R65" s="187"/>
      <c r="S65" s="17"/>
      <c r="T65" s="17"/>
    </row>
    <row r="66">
      <c r="A66" s="341"/>
      <c r="B66" s="168"/>
      <c r="C66" s="341"/>
      <c r="D66" s="181"/>
      <c r="E66" s="341"/>
      <c r="F66" s="168"/>
      <c r="G66" s="341"/>
      <c r="H66" s="168"/>
      <c r="I66" s="348"/>
      <c r="J66" s="181"/>
      <c r="K66" s="348"/>
      <c r="L66" s="181"/>
      <c r="M66" s="348"/>
      <c r="N66" s="181"/>
      <c r="O66" s="341"/>
      <c r="P66" s="168"/>
      <c r="Q66" s="347"/>
      <c r="R66" s="187"/>
      <c r="S66" s="17"/>
      <c r="T66" s="17"/>
    </row>
    <row r="67">
      <c r="A67" s="341"/>
      <c r="B67" s="168"/>
      <c r="C67" s="341"/>
      <c r="D67" s="181"/>
      <c r="E67" s="341"/>
      <c r="F67" s="168"/>
      <c r="G67" s="341"/>
      <c r="H67" s="168"/>
      <c r="I67" s="348"/>
      <c r="J67" s="181"/>
      <c r="K67" s="348"/>
      <c r="L67" s="181"/>
      <c r="M67" s="348"/>
      <c r="N67" s="181"/>
      <c r="O67" s="341"/>
      <c r="P67" s="168"/>
      <c r="Q67" s="347"/>
      <c r="R67" s="187"/>
      <c r="S67" s="17"/>
      <c r="T67" s="17"/>
    </row>
    <row r="68">
      <c r="A68" s="341"/>
      <c r="B68" s="168"/>
      <c r="C68" s="341"/>
      <c r="D68" s="181"/>
      <c r="E68" s="341"/>
      <c r="F68" s="168"/>
      <c r="G68" s="341"/>
      <c r="H68" s="168"/>
      <c r="I68" s="348"/>
      <c r="J68" s="181"/>
      <c r="K68" s="348"/>
      <c r="L68" s="181"/>
      <c r="M68" s="348"/>
      <c r="N68" s="181"/>
      <c r="O68" s="341"/>
      <c r="P68" s="168"/>
      <c r="Q68" s="347"/>
      <c r="R68" s="187"/>
      <c r="S68" s="17"/>
      <c r="T68" s="17"/>
    </row>
    <row r="69">
      <c r="A69" s="341"/>
      <c r="B69" s="168"/>
      <c r="C69" s="341"/>
      <c r="D69" s="181"/>
      <c r="E69" s="341"/>
      <c r="F69" s="168"/>
      <c r="G69" s="341"/>
      <c r="H69" s="168"/>
      <c r="I69" s="348"/>
      <c r="J69" s="181"/>
      <c r="K69" s="348"/>
      <c r="L69" s="181"/>
      <c r="M69" s="348"/>
      <c r="N69" s="181"/>
      <c r="O69" s="341"/>
      <c r="P69" s="168"/>
      <c r="Q69" s="347"/>
      <c r="R69" s="187"/>
      <c r="S69" s="17"/>
      <c r="T69" s="17"/>
    </row>
    <row r="70">
      <c r="A70" s="341"/>
      <c r="B70" s="168"/>
      <c r="C70" s="341"/>
      <c r="D70" s="181"/>
      <c r="E70" s="341"/>
      <c r="F70" s="168"/>
      <c r="G70" s="341"/>
      <c r="H70" s="168"/>
      <c r="I70" s="348"/>
      <c r="J70" s="181"/>
      <c r="K70" s="348"/>
      <c r="L70" s="181"/>
      <c r="M70" s="348"/>
      <c r="N70" s="181"/>
      <c r="O70" s="341"/>
      <c r="P70" s="168"/>
      <c r="Q70" s="347"/>
      <c r="R70" s="187"/>
      <c r="S70" s="17"/>
      <c r="T70" s="17"/>
    </row>
    <row r="71">
      <c r="A71" s="341"/>
      <c r="B71" s="168"/>
      <c r="C71" s="341"/>
      <c r="D71" s="181"/>
      <c r="E71" s="341"/>
      <c r="F71" s="168"/>
      <c r="G71" s="341"/>
      <c r="H71" s="168"/>
      <c r="I71" s="348"/>
      <c r="J71" s="181"/>
      <c r="K71" s="348"/>
      <c r="L71" s="181"/>
      <c r="M71" s="348"/>
      <c r="N71" s="181"/>
      <c r="O71" s="341"/>
      <c r="P71" s="168"/>
      <c r="Q71" s="347"/>
      <c r="R71" s="187"/>
      <c r="S71" s="17"/>
      <c r="T71" s="17"/>
    </row>
    <row r="72">
      <c r="A72" s="341"/>
      <c r="B72" s="168"/>
      <c r="C72" s="341"/>
      <c r="D72" s="181"/>
      <c r="E72" s="341"/>
      <c r="F72" s="168"/>
      <c r="G72" s="341"/>
      <c r="H72" s="168"/>
      <c r="I72" s="348"/>
      <c r="J72" s="181"/>
      <c r="K72" s="348"/>
      <c r="L72" s="181"/>
      <c r="M72" s="348"/>
      <c r="N72" s="181"/>
      <c r="O72" s="341"/>
      <c r="P72" s="168"/>
      <c r="Q72" s="347"/>
      <c r="R72" s="187"/>
      <c r="S72" s="17"/>
      <c r="T72" s="17"/>
    </row>
    <row r="73">
      <c r="A73" s="341"/>
      <c r="B73" s="168"/>
      <c r="C73" s="341"/>
      <c r="D73" s="181"/>
      <c r="E73" s="341"/>
      <c r="F73" s="168"/>
      <c r="G73" s="341"/>
      <c r="H73" s="168"/>
      <c r="I73" s="348"/>
      <c r="J73" s="181"/>
      <c r="K73" s="348"/>
      <c r="L73" s="181"/>
      <c r="M73" s="348"/>
      <c r="N73" s="181"/>
      <c r="O73" s="341"/>
      <c r="P73" s="168"/>
      <c r="Q73" s="347"/>
      <c r="R73" s="187"/>
      <c r="S73" s="17"/>
      <c r="T73" s="17"/>
    </row>
    <row r="74">
      <c r="A74" s="341"/>
      <c r="B74" s="168"/>
      <c r="C74" s="341"/>
      <c r="D74" s="181"/>
      <c r="E74" s="341"/>
      <c r="F74" s="168"/>
      <c r="G74" s="341"/>
      <c r="H74" s="168"/>
      <c r="I74" s="348"/>
      <c r="J74" s="181"/>
      <c r="K74" s="348"/>
      <c r="L74" s="181"/>
      <c r="M74" s="348"/>
      <c r="N74" s="181"/>
      <c r="O74" s="341"/>
      <c r="P74" s="168"/>
      <c r="Q74" s="347"/>
      <c r="R74" s="187"/>
      <c r="S74" s="17"/>
      <c r="T74" s="17"/>
    </row>
    <row r="75">
      <c r="A75" s="341"/>
      <c r="B75" s="168"/>
      <c r="C75" s="341"/>
      <c r="D75" s="181"/>
      <c r="E75" s="341"/>
      <c r="F75" s="168"/>
      <c r="G75" s="341"/>
      <c r="H75" s="168"/>
      <c r="I75" s="348"/>
      <c r="J75" s="181"/>
      <c r="K75" s="348"/>
      <c r="L75" s="181"/>
      <c r="M75" s="348"/>
      <c r="N75" s="181"/>
      <c r="O75" s="341"/>
      <c r="P75" s="168"/>
      <c r="Q75" s="347"/>
      <c r="R75" s="187"/>
      <c r="S75" s="17"/>
      <c r="T75" s="17"/>
    </row>
    <row r="76">
      <c r="A76" s="341"/>
      <c r="B76" s="168"/>
      <c r="C76" s="341"/>
      <c r="D76" s="181"/>
      <c r="E76" s="341"/>
      <c r="F76" s="168"/>
      <c r="G76" s="341"/>
      <c r="H76" s="168"/>
      <c r="I76" s="348"/>
      <c r="J76" s="181"/>
      <c r="K76" s="348"/>
      <c r="L76" s="181"/>
      <c r="M76" s="348"/>
      <c r="N76" s="181"/>
      <c r="O76" s="341"/>
      <c r="P76" s="168"/>
      <c r="Q76" s="347"/>
      <c r="R76" s="187"/>
      <c r="S76" s="17"/>
      <c r="T76" s="17"/>
    </row>
    <row r="77">
      <c r="A77" s="341"/>
      <c r="B77" s="168"/>
      <c r="C77" s="341"/>
      <c r="D77" s="181"/>
      <c r="E77" s="341"/>
      <c r="F77" s="168"/>
      <c r="G77" s="341"/>
      <c r="H77" s="168"/>
      <c r="I77" s="348"/>
      <c r="J77" s="181"/>
      <c r="K77" s="348"/>
      <c r="L77" s="181"/>
      <c r="M77" s="348"/>
      <c r="N77" s="181"/>
      <c r="O77" s="341"/>
      <c r="P77" s="168"/>
      <c r="Q77" s="347"/>
      <c r="R77" s="187"/>
      <c r="S77" s="17"/>
      <c r="T77" s="17"/>
    </row>
    <row r="78">
      <c r="A78" s="341"/>
      <c r="B78" s="168"/>
      <c r="C78" s="341"/>
      <c r="D78" s="181"/>
      <c r="E78" s="341"/>
      <c r="F78" s="168"/>
      <c r="G78" s="341"/>
      <c r="H78" s="168"/>
      <c r="I78" s="348"/>
      <c r="J78" s="181"/>
      <c r="K78" s="348"/>
      <c r="L78" s="181"/>
      <c r="M78" s="348"/>
      <c r="N78" s="181"/>
      <c r="O78" s="341"/>
      <c r="P78" s="168"/>
      <c r="Q78" s="347"/>
      <c r="R78" s="187"/>
      <c r="S78" s="17"/>
      <c r="T78" s="17"/>
    </row>
    <row r="79">
      <c r="A79" s="341"/>
      <c r="B79" s="168"/>
      <c r="C79" s="341"/>
      <c r="D79" s="181"/>
      <c r="E79" s="341"/>
      <c r="F79" s="168"/>
      <c r="G79" s="341"/>
      <c r="H79" s="168"/>
      <c r="I79" s="348"/>
      <c r="J79" s="181"/>
      <c r="K79" s="348"/>
      <c r="L79" s="181"/>
      <c r="M79" s="348"/>
      <c r="N79" s="181"/>
      <c r="O79" s="341"/>
      <c r="P79" s="168"/>
      <c r="Q79" s="347"/>
      <c r="R79" s="187"/>
      <c r="S79" s="17"/>
      <c r="T79" s="17"/>
    </row>
    <row r="80">
      <c r="A80" s="341"/>
      <c r="B80" s="168"/>
      <c r="C80" s="341"/>
      <c r="D80" s="181"/>
      <c r="E80" s="341"/>
      <c r="F80" s="168"/>
      <c r="G80" s="341"/>
      <c r="H80" s="168"/>
      <c r="I80" s="348"/>
      <c r="J80" s="181"/>
      <c r="K80" s="348"/>
      <c r="L80" s="181"/>
      <c r="M80" s="348"/>
      <c r="N80" s="181"/>
      <c r="O80" s="341"/>
      <c r="P80" s="168"/>
      <c r="Q80" s="347"/>
      <c r="R80" s="187"/>
      <c r="S80" s="17"/>
      <c r="T80" s="17"/>
    </row>
    <row r="81">
      <c r="A81" s="341"/>
      <c r="B81" s="168"/>
      <c r="C81" s="341"/>
      <c r="D81" s="181"/>
      <c r="E81" s="341"/>
      <c r="F81" s="168"/>
      <c r="G81" s="341"/>
      <c r="H81" s="168"/>
      <c r="I81" s="348"/>
      <c r="J81" s="181"/>
      <c r="K81" s="348"/>
      <c r="L81" s="181"/>
      <c r="M81" s="348"/>
      <c r="N81" s="181"/>
      <c r="O81" s="341"/>
      <c r="P81" s="168"/>
      <c r="Q81" s="347"/>
      <c r="R81" s="187"/>
      <c r="S81" s="17"/>
      <c r="T81" s="17"/>
    </row>
    <row r="82">
      <c r="A82" s="341"/>
      <c r="B82" s="168"/>
      <c r="C82" s="341"/>
      <c r="D82" s="181"/>
      <c r="E82" s="341"/>
      <c r="F82" s="168"/>
      <c r="G82" s="341"/>
      <c r="H82" s="168"/>
      <c r="I82" s="348"/>
      <c r="J82" s="181"/>
      <c r="K82" s="348"/>
      <c r="L82" s="181"/>
      <c r="M82" s="348"/>
      <c r="N82" s="181"/>
      <c r="O82" s="341"/>
      <c r="P82" s="168"/>
      <c r="Q82" s="347"/>
      <c r="R82" s="187"/>
      <c r="S82" s="17"/>
      <c r="T82" s="17"/>
    </row>
    <row r="83">
      <c r="A83" s="341"/>
      <c r="B83" s="168"/>
      <c r="C83" s="341"/>
      <c r="D83" s="181"/>
      <c r="E83" s="341"/>
      <c r="F83" s="168"/>
      <c r="G83" s="341"/>
      <c r="H83" s="168"/>
      <c r="I83" s="348"/>
      <c r="J83" s="181"/>
      <c r="K83" s="348"/>
      <c r="L83" s="181"/>
      <c r="M83" s="348"/>
      <c r="N83" s="181"/>
      <c r="O83" s="341"/>
      <c r="P83" s="168"/>
      <c r="Q83" s="347"/>
      <c r="R83" s="187"/>
      <c r="S83" s="17"/>
      <c r="T83" s="17"/>
    </row>
    <row r="84">
      <c r="A84" s="341"/>
      <c r="B84" s="168"/>
      <c r="C84" s="341"/>
      <c r="D84" s="181"/>
      <c r="E84" s="341"/>
      <c r="F84" s="168"/>
      <c r="G84" s="341"/>
      <c r="H84" s="168"/>
      <c r="I84" s="348"/>
      <c r="J84" s="181"/>
      <c r="K84" s="348"/>
      <c r="L84" s="181"/>
      <c r="M84" s="348"/>
      <c r="N84" s="181"/>
      <c r="O84" s="341"/>
      <c r="P84" s="168"/>
      <c r="Q84" s="347"/>
      <c r="R84" s="187"/>
      <c r="S84" s="17"/>
      <c r="T84" s="17"/>
    </row>
    <row r="85">
      <c r="A85" s="341"/>
      <c r="B85" s="168"/>
      <c r="C85" s="341"/>
      <c r="D85" s="181"/>
      <c r="E85" s="341"/>
      <c r="F85" s="168"/>
      <c r="G85" s="341"/>
      <c r="H85" s="168"/>
      <c r="I85" s="348"/>
      <c r="J85" s="181"/>
      <c r="K85" s="348"/>
      <c r="L85" s="181"/>
      <c r="M85" s="348"/>
      <c r="N85" s="181"/>
      <c r="O85" s="341"/>
      <c r="P85" s="168"/>
      <c r="Q85" s="347"/>
      <c r="R85" s="187"/>
      <c r="S85" s="17"/>
      <c r="T85" s="17"/>
    </row>
    <row r="86">
      <c r="A86" s="341"/>
      <c r="B86" s="168"/>
      <c r="C86" s="341"/>
      <c r="D86" s="181"/>
      <c r="E86" s="341"/>
      <c r="F86" s="168"/>
      <c r="G86" s="341"/>
      <c r="H86" s="168"/>
      <c r="I86" s="348"/>
      <c r="J86" s="181"/>
      <c r="K86" s="348"/>
      <c r="L86" s="181"/>
      <c r="M86" s="348"/>
      <c r="N86" s="181"/>
      <c r="O86" s="341"/>
      <c r="P86" s="168"/>
      <c r="Q86" s="347"/>
      <c r="R86" s="187"/>
      <c r="S86" s="17"/>
      <c r="T86" s="17"/>
    </row>
    <row r="87">
      <c r="A87" s="341"/>
      <c r="B87" s="168"/>
      <c r="C87" s="341"/>
      <c r="D87" s="181"/>
      <c r="E87" s="341"/>
      <c r="F87" s="168"/>
      <c r="G87" s="341"/>
      <c r="H87" s="168"/>
      <c r="I87" s="348"/>
      <c r="J87" s="181"/>
      <c r="K87" s="348"/>
      <c r="L87" s="181"/>
      <c r="M87" s="348"/>
      <c r="N87" s="181"/>
      <c r="O87" s="341"/>
      <c r="P87" s="168"/>
      <c r="Q87" s="347"/>
      <c r="R87" s="187"/>
      <c r="S87" s="17"/>
      <c r="T87" s="17"/>
    </row>
    <row r="88">
      <c r="A88" s="341"/>
      <c r="B88" s="168"/>
      <c r="C88" s="341"/>
      <c r="D88" s="181"/>
      <c r="E88" s="341"/>
      <c r="F88" s="168"/>
      <c r="G88" s="341"/>
      <c r="H88" s="168"/>
      <c r="I88" s="348"/>
      <c r="J88" s="181"/>
      <c r="K88" s="348"/>
      <c r="L88" s="181"/>
      <c r="M88" s="348"/>
      <c r="N88" s="181"/>
      <c r="O88" s="341"/>
      <c r="P88" s="168"/>
      <c r="Q88" s="347"/>
      <c r="R88" s="187"/>
      <c r="S88" s="17"/>
      <c r="T88" s="17"/>
    </row>
    <row r="89">
      <c r="A89" s="341"/>
      <c r="B89" s="168"/>
      <c r="C89" s="341"/>
      <c r="D89" s="181"/>
      <c r="E89" s="341"/>
      <c r="F89" s="168"/>
      <c r="G89" s="341"/>
      <c r="H89" s="168"/>
      <c r="I89" s="348"/>
      <c r="J89" s="181"/>
      <c r="K89" s="348"/>
      <c r="L89" s="181"/>
      <c r="M89" s="348"/>
      <c r="N89" s="181"/>
      <c r="O89" s="341"/>
      <c r="P89" s="168"/>
      <c r="Q89" s="347"/>
      <c r="R89" s="187"/>
      <c r="S89" s="17"/>
      <c r="T89" s="17"/>
    </row>
    <row r="90">
      <c r="A90" s="341"/>
      <c r="B90" s="168"/>
      <c r="C90" s="341"/>
      <c r="D90" s="181"/>
      <c r="E90" s="341"/>
      <c r="F90" s="168"/>
      <c r="G90" s="341"/>
      <c r="H90" s="168"/>
      <c r="I90" s="348"/>
      <c r="J90" s="181"/>
      <c r="K90" s="348"/>
      <c r="L90" s="181"/>
      <c r="M90" s="348"/>
      <c r="N90" s="181"/>
      <c r="O90" s="341"/>
      <c r="P90" s="168"/>
      <c r="Q90" s="205"/>
      <c r="R90" s="205"/>
      <c r="S90" s="17"/>
      <c r="T90" s="17"/>
    </row>
    <row r="91">
      <c r="A91" s="341"/>
      <c r="B91" s="168"/>
      <c r="C91" s="341"/>
      <c r="D91" s="181"/>
      <c r="E91" s="341"/>
      <c r="F91" s="168"/>
      <c r="G91" s="341"/>
      <c r="H91" s="168"/>
      <c r="I91" s="348"/>
      <c r="J91" s="181"/>
      <c r="K91" s="348"/>
      <c r="L91" s="181"/>
      <c r="M91" s="348"/>
      <c r="N91" s="181"/>
      <c r="O91" s="341"/>
      <c r="P91" s="168"/>
      <c r="Q91" s="205"/>
      <c r="R91" s="205"/>
      <c r="S91" s="17"/>
      <c r="T91" s="17"/>
    </row>
    <row r="92">
      <c r="A92" s="341"/>
      <c r="B92" s="168"/>
      <c r="C92" s="341"/>
      <c r="D92" s="181"/>
      <c r="E92" s="341"/>
      <c r="F92" s="168"/>
      <c r="G92" s="341"/>
      <c r="H92" s="168"/>
      <c r="I92" s="348"/>
      <c r="J92" s="181"/>
      <c r="K92" s="348"/>
      <c r="L92" s="181"/>
      <c r="M92" s="348"/>
      <c r="N92" s="181"/>
      <c r="O92" s="341"/>
      <c r="P92" s="168"/>
      <c r="Q92" s="205"/>
      <c r="R92" s="205"/>
      <c r="S92" s="17"/>
      <c r="T92" s="17"/>
    </row>
    <row r="93">
      <c r="A93" s="341"/>
      <c r="B93" s="168"/>
      <c r="C93" s="341"/>
      <c r="D93" s="181"/>
      <c r="E93" s="341"/>
      <c r="F93" s="168"/>
      <c r="G93" s="341"/>
      <c r="H93" s="168"/>
      <c r="I93" s="348"/>
      <c r="J93" s="181"/>
      <c r="K93" s="348"/>
      <c r="L93" s="181"/>
      <c r="M93" s="348"/>
      <c r="N93" s="181"/>
      <c r="O93" s="341"/>
      <c r="P93" s="168"/>
      <c r="Q93" s="205"/>
      <c r="R93" s="205"/>
      <c r="S93" s="17"/>
      <c r="T93" s="17"/>
    </row>
    <row r="94">
      <c r="A94" s="341"/>
      <c r="B94" s="168"/>
      <c r="C94" s="341"/>
      <c r="D94" s="181"/>
      <c r="E94" s="341"/>
      <c r="F94" s="168"/>
      <c r="G94" s="341"/>
      <c r="H94" s="168"/>
      <c r="I94" s="348"/>
      <c r="J94" s="181"/>
      <c r="K94" s="348"/>
      <c r="L94" s="181"/>
      <c r="M94" s="348"/>
      <c r="N94" s="181"/>
      <c r="O94" s="341"/>
      <c r="P94" s="168"/>
      <c r="Q94" s="205"/>
      <c r="R94" s="205"/>
      <c r="S94" s="17"/>
      <c r="T94" s="17"/>
    </row>
    <row r="95">
      <c r="A95" s="341"/>
      <c r="B95" s="168"/>
      <c r="C95" s="341"/>
      <c r="D95" s="181"/>
      <c r="E95" s="341"/>
      <c r="F95" s="168"/>
      <c r="G95" s="341"/>
      <c r="H95" s="168"/>
      <c r="I95" s="348"/>
      <c r="J95" s="181"/>
      <c r="K95" s="348"/>
      <c r="L95" s="181"/>
      <c r="M95" s="348"/>
      <c r="N95" s="181"/>
      <c r="O95" s="341"/>
      <c r="P95" s="168"/>
      <c r="Q95" s="205"/>
      <c r="R95" s="205"/>
      <c r="S95" s="17"/>
      <c r="T95" s="17"/>
    </row>
    <row r="96">
      <c r="A96" s="341"/>
      <c r="B96" s="168"/>
      <c r="C96" s="341"/>
      <c r="D96" s="181"/>
      <c r="E96" s="341"/>
      <c r="F96" s="168"/>
      <c r="G96" s="341"/>
      <c r="H96" s="168"/>
      <c r="I96" s="348"/>
      <c r="J96" s="181"/>
      <c r="K96" s="348"/>
      <c r="L96" s="181"/>
      <c r="M96" s="348"/>
      <c r="N96" s="181"/>
      <c r="O96" s="341"/>
      <c r="P96" s="168"/>
      <c r="Q96" s="205"/>
      <c r="R96" s="205"/>
      <c r="S96" s="17"/>
      <c r="T96" s="17"/>
    </row>
    <row r="97">
      <c r="A97" s="341"/>
      <c r="B97" s="168"/>
      <c r="C97" s="341"/>
      <c r="D97" s="181"/>
      <c r="E97" s="341"/>
      <c r="F97" s="168"/>
      <c r="G97" s="341"/>
      <c r="H97" s="168"/>
      <c r="I97" s="348"/>
      <c r="J97" s="181"/>
      <c r="K97" s="348"/>
      <c r="L97" s="181"/>
      <c r="M97" s="348"/>
      <c r="N97" s="181"/>
      <c r="O97" s="341"/>
      <c r="P97" s="168"/>
      <c r="Q97" s="205"/>
      <c r="R97" s="205"/>
      <c r="S97" s="17"/>
      <c r="T97" s="17"/>
    </row>
    <row r="98">
      <c r="A98" s="341"/>
      <c r="B98" s="168"/>
      <c r="C98" s="341"/>
      <c r="D98" s="181"/>
      <c r="E98" s="341"/>
      <c r="F98" s="168"/>
      <c r="G98" s="341"/>
      <c r="H98" s="168"/>
      <c r="I98" s="348"/>
      <c r="J98" s="181"/>
      <c r="K98" s="348"/>
      <c r="L98" s="181"/>
      <c r="M98" s="348"/>
      <c r="N98" s="181"/>
      <c r="O98" s="341"/>
      <c r="P98" s="168"/>
      <c r="Q98" s="205"/>
      <c r="R98" s="205"/>
      <c r="S98" s="17"/>
      <c r="T98" s="17"/>
    </row>
    <row r="99">
      <c r="A99" s="341"/>
      <c r="B99" s="168"/>
      <c r="C99" s="341"/>
      <c r="D99" s="181"/>
      <c r="E99" s="341"/>
      <c r="F99" s="168"/>
      <c r="G99" s="341"/>
      <c r="H99" s="168"/>
      <c r="I99" s="348"/>
      <c r="J99" s="181"/>
      <c r="K99" s="348"/>
      <c r="L99" s="181"/>
      <c r="M99" s="348"/>
      <c r="N99" s="181"/>
      <c r="O99" s="341"/>
      <c r="P99" s="168"/>
      <c r="Q99" s="205"/>
      <c r="R99" s="205"/>
      <c r="S99" s="17"/>
      <c r="T99" s="17"/>
    </row>
    <row r="100">
      <c r="A100" s="341"/>
      <c r="B100" s="168"/>
      <c r="C100" s="341"/>
      <c r="D100" s="181"/>
      <c r="E100" s="341"/>
      <c r="F100" s="168"/>
      <c r="G100" s="341"/>
      <c r="H100" s="168"/>
      <c r="I100" s="348"/>
      <c r="J100" s="181"/>
      <c r="K100" s="348"/>
      <c r="L100" s="181"/>
      <c r="M100" s="348"/>
      <c r="N100" s="181"/>
      <c r="O100" s="341"/>
      <c r="P100" s="168"/>
      <c r="Q100" s="205"/>
      <c r="R100" s="205"/>
      <c r="S100" s="17"/>
      <c r="T100" s="17"/>
    </row>
    <row r="101">
      <c r="A101" s="341"/>
      <c r="B101" s="168"/>
      <c r="C101" s="341"/>
      <c r="D101" s="181"/>
      <c r="E101" s="341"/>
      <c r="F101" s="168"/>
      <c r="G101" s="341"/>
      <c r="H101" s="168"/>
      <c r="I101" s="348"/>
      <c r="J101" s="181"/>
      <c r="K101" s="348"/>
      <c r="L101" s="181"/>
      <c r="M101" s="348"/>
      <c r="N101" s="181"/>
      <c r="O101" s="341"/>
      <c r="P101" s="168"/>
      <c r="Q101" s="205"/>
      <c r="R101" s="205"/>
      <c r="S101" s="17"/>
      <c r="T101" s="17"/>
    </row>
    <row r="102">
      <c r="A102" s="341"/>
      <c r="B102" s="168"/>
      <c r="C102" s="341"/>
      <c r="D102" s="181"/>
      <c r="E102" s="341"/>
      <c r="F102" s="168"/>
      <c r="G102" s="341"/>
      <c r="H102" s="168"/>
      <c r="I102" s="348"/>
      <c r="J102" s="181"/>
      <c r="K102" s="348"/>
      <c r="L102" s="181"/>
      <c r="M102" s="348"/>
      <c r="N102" s="181"/>
      <c r="O102" s="341"/>
      <c r="P102" s="168"/>
      <c r="Q102" s="205"/>
      <c r="R102" s="205"/>
      <c r="S102" s="17"/>
      <c r="T102" s="17"/>
    </row>
    <row r="103">
      <c r="A103" s="341"/>
      <c r="B103" s="168"/>
      <c r="C103" s="341"/>
      <c r="D103" s="181"/>
      <c r="E103" s="341"/>
      <c r="F103" s="168"/>
      <c r="G103" s="341"/>
      <c r="H103" s="168"/>
      <c r="I103" s="348"/>
      <c r="J103" s="181"/>
      <c r="K103" s="348"/>
      <c r="L103" s="181"/>
      <c r="M103" s="348"/>
      <c r="N103" s="181"/>
      <c r="O103" s="341"/>
      <c r="P103" s="168"/>
      <c r="Q103" s="205"/>
      <c r="R103" s="205"/>
      <c r="S103" s="17"/>
      <c r="T103" s="17"/>
    </row>
    <row r="104">
      <c r="A104" s="341"/>
      <c r="B104" s="168"/>
      <c r="C104" s="341"/>
      <c r="D104" s="181"/>
      <c r="E104" s="341"/>
      <c r="F104" s="168"/>
      <c r="G104" s="341"/>
      <c r="H104" s="168"/>
      <c r="I104" s="348"/>
      <c r="J104" s="181"/>
      <c r="K104" s="348"/>
      <c r="L104" s="181"/>
      <c r="M104" s="348"/>
      <c r="N104" s="181"/>
      <c r="O104" s="341"/>
      <c r="P104" s="168"/>
      <c r="Q104" s="205"/>
      <c r="R104" s="205"/>
      <c r="S104" s="17"/>
      <c r="T104" s="17"/>
    </row>
    <row r="105">
      <c r="A105" s="341"/>
      <c r="B105" s="168"/>
      <c r="C105" s="341"/>
      <c r="D105" s="181"/>
      <c r="E105" s="341"/>
      <c r="F105" s="168"/>
      <c r="G105" s="341"/>
      <c r="H105" s="168"/>
      <c r="I105" s="348"/>
      <c r="J105" s="181"/>
      <c r="K105" s="348"/>
      <c r="L105" s="181"/>
      <c r="M105" s="348"/>
      <c r="N105" s="181"/>
      <c r="O105" s="341"/>
      <c r="P105" s="168"/>
      <c r="Q105" s="205"/>
      <c r="R105" s="205"/>
      <c r="S105" s="17"/>
      <c r="T105" s="17"/>
    </row>
    <row r="106">
      <c r="A106" s="341"/>
      <c r="B106" s="168"/>
      <c r="C106" s="341"/>
      <c r="D106" s="181"/>
      <c r="E106" s="341"/>
      <c r="F106" s="168"/>
      <c r="G106" s="341"/>
      <c r="H106" s="168"/>
      <c r="I106" s="348"/>
      <c r="J106" s="181"/>
      <c r="K106" s="348"/>
      <c r="L106" s="181"/>
      <c r="M106" s="348"/>
      <c r="N106" s="181"/>
      <c r="O106" s="341"/>
      <c r="P106" s="168"/>
      <c r="Q106" s="205"/>
      <c r="R106" s="205"/>
      <c r="S106" s="17"/>
      <c r="T106" s="17"/>
    </row>
    <row r="107">
      <c r="A107" s="341"/>
      <c r="B107" s="168"/>
      <c r="C107" s="341"/>
      <c r="D107" s="181"/>
      <c r="E107" s="341"/>
      <c r="F107" s="168"/>
      <c r="G107" s="341"/>
      <c r="H107" s="168"/>
      <c r="I107" s="348"/>
      <c r="J107" s="181"/>
      <c r="K107" s="348"/>
      <c r="L107" s="181"/>
      <c r="M107" s="348"/>
      <c r="N107" s="181"/>
      <c r="O107" s="341"/>
      <c r="P107" s="168"/>
      <c r="Q107" s="205"/>
      <c r="R107" s="205"/>
      <c r="S107" s="17"/>
      <c r="T107" s="17"/>
    </row>
    <row r="108">
      <c r="A108" s="341"/>
      <c r="B108" s="168"/>
      <c r="C108" s="341"/>
      <c r="D108" s="181"/>
      <c r="E108" s="341"/>
      <c r="F108" s="168"/>
      <c r="G108" s="341"/>
      <c r="H108" s="168"/>
      <c r="I108" s="348"/>
      <c r="J108" s="181"/>
      <c r="K108" s="348"/>
      <c r="L108" s="181"/>
      <c r="M108" s="348"/>
      <c r="N108" s="181"/>
      <c r="O108" s="341"/>
      <c r="P108" s="168"/>
      <c r="Q108" s="205"/>
      <c r="R108" s="205"/>
      <c r="S108" s="17"/>
      <c r="T108" s="17"/>
    </row>
    <row r="109">
      <c r="A109" s="341"/>
      <c r="B109" s="168"/>
      <c r="C109" s="341"/>
      <c r="D109" s="181"/>
      <c r="E109" s="341"/>
      <c r="F109" s="168"/>
      <c r="G109" s="341"/>
      <c r="H109" s="168"/>
      <c r="I109" s="348"/>
      <c r="J109" s="181"/>
      <c r="K109" s="348"/>
      <c r="L109" s="181"/>
      <c r="M109" s="348"/>
      <c r="N109" s="181"/>
      <c r="O109" s="341"/>
      <c r="P109" s="168"/>
      <c r="Q109" s="205"/>
      <c r="R109" s="205"/>
      <c r="S109" s="17"/>
      <c r="T109" s="17"/>
    </row>
    <row r="110">
      <c r="A110" s="341"/>
      <c r="B110" s="168"/>
      <c r="C110" s="341"/>
      <c r="D110" s="181"/>
      <c r="E110" s="341"/>
      <c r="F110" s="168"/>
      <c r="G110" s="341"/>
      <c r="H110" s="168"/>
      <c r="I110" s="348"/>
      <c r="J110" s="181"/>
      <c r="K110" s="348"/>
      <c r="L110" s="181"/>
      <c r="M110" s="348"/>
      <c r="N110" s="181"/>
      <c r="O110" s="341"/>
      <c r="P110" s="168"/>
      <c r="Q110" s="205"/>
      <c r="R110" s="205"/>
      <c r="S110" s="17"/>
      <c r="T110" s="17"/>
    </row>
    <row r="111">
      <c r="A111" s="341"/>
      <c r="B111" s="168"/>
      <c r="C111" s="341"/>
      <c r="D111" s="181"/>
      <c r="E111" s="341"/>
      <c r="F111" s="168"/>
      <c r="G111" s="341"/>
      <c r="H111" s="168"/>
      <c r="I111" s="348"/>
      <c r="J111" s="181"/>
      <c r="K111" s="348"/>
      <c r="L111" s="181"/>
      <c r="M111" s="348"/>
      <c r="N111" s="181"/>
      <c r="O111" s="341"/>
      <c r="P111" s="168"/>
      <c r="Q111" s="205"/>
      <c r="R111" s="205"/>
      <c r="S111" s="17"/>
      <c r="T111" s="17"/>
    </row>
    <row r="112">
      <c r="A112" s="341"/>
      <c r="B112" s="168"/>
      <c r="C112" s="341"/>
      <c r="D112" s="181"/>
      <c r="E112" s="341"/>
      <c r="F112" s="168"/>
      <c r="G112" s="341"/>
      <c r="H112" s="168"/>
      <c r="I112" s="348"/>
      <c r="J112" s="181"/>
      <c r="K112" s="348"/>
      <c r="L112" s="181"/>
      <c r="M112" s="348"/>
      <c r="N112" s="181"/>
      <c r="O112" s="341"/>
      <c r="P112" s="168"/>
      <c r="Q112" s="205"/>
      <c r="R112" s="205"/>
      <c r="S112" s="17"/>
      <c r="T112" s="17"/>
    </row>
    <row r="113">
      <c r="A113" s="341"/>
      <c r="B113" s="168"/>
      <c r="C113" s="341"/>
      <c r="D113" s="181"/>
      <c r="E113" s="341"/>
      <c r="F113" s="168"/>
      <c r="G113" s="341"/>
      <c r="H113" s="168"/>
      <c r="I113" s="348"/>
      <c r="J113" s="181"/>
      <c r="K113" s="348"/>
      <c r="L113" s="181"/>
      <c r="M113" s="348"/>
      <c r="N113" s="181"/>
      <c r="O113" s="341"/>
      <c r="P113" s="168"/>
      <c r="Q113" s="205"/>
      <c r="R113" s="205"/>
      <c r="S113" s="17"/>
      <c r="T113" s="17"/>
    </row>
    <row r="114">
      <c r="A114" s="341"/>
      <c r="B114" s="168"/>
      <c r="C114" s="341"/>
      <c r="D114" s="181"/>
      <c r="E114" s="341"/>
      <c r="F114" s="168"/>
      <c r="G114" s="341"/>
      <c r="H114" s="168"/>
      <c r="I114" s="348"/>
      <c r="J114" s="181"/>
      <c r="K114" s="348"/>
      <c r="L114" s="181"/>
      <c r="M114" s="348"/>
      <c r="N114" s="181"/>
      <c r="O114" s="341"/>
      <c r="P114" s="168"/>
      <c r="Q114" s="205"/>
      <c r="R114" s="205"/>
      <c r="S114" s="17"/>
      <c r="T114" s="17"/>
    </row>
    <row r="115">
      <c r="A115" s="341"/>
      <c r="B115" s="168"/>
      <c r="C115" s="341"/>
      <c r="D115" s="181"/>
      <c r="E115" s="341"/>
      <c r="F115" s="168"/>
      <c r="G115" s="341"/>
      <c r="H115" s="168"/>
      <c r="I115" s="348"/>
      <c r="J115" s="181"/>
      <c r="K115" s="348"/>
      <c r="L115" s="181"/>
      <c r="M115" s="348"/>
      <c r="N115" s="181"/>
      <c r="O115" s="341"/>
      <c r="P115" s="168"/>
      <c r="Q115" s="205"/>
      <c r="R115" s="205"/>
      <c r="S115" s="17"/>
      <c r="T115" s="17"/>
    </row>
    <row r="116">
      <c r="A116" s="341"/>
      <c r="B116" s="168"/>
      <c r="C116" s="341"/>
      <c r="D116" s="181"/>
      <c r="E116" s="341"/>
      <c r="F116" s="168"/>
      <c r="G116" s="341"/>
      <c r="H116" s="168"/>
      <c r="I116" s="348"/>
      <c r="J116" s="181"/>
      <c r="K116" s="348"/>
      <c r="L116" s="181"/>
      <c r="M116" s="348"/>
      <c r="N116" s="181"/>
      <c r="O116" s="341"/>
      <c r="P116" s="168"/>
      <c r="Q116" s="205"/>
      <c r="R116" s="205"/>
      <c r="S116" s="17"/>
      <c r="T116" s="17"/>
    </row>
    <row r="117">
      <c r="A117" s="341"/>
      <c r="B117" s="168"/>
      <c r="C117" s="341"/>
      <c r="D117" s="181"/>
      <c r="E117" s="341"/>
      <c r="F117" s="168"/>
      <c r="G117" s="341"/>
      <c r="H117" s="168"/>
      <c r="I117" s="348"/>
      <c r="J117" s="181"/>
      <c r="K117" s="348"/>
      <c r="L117" s="181"/>
      <c r="M117" s="348"/>
      <c r="N117" s="181"/>
      <c r="O117" s="341"/>
      <c r="P117" s="168"/>
      <c r="Q117" s="205"/>
      <c r="R117" s="205"/>
      <c r="S117" s="17"/>
      <c r="T117" s="17"/>
    </row>
    <row r="118">
      <c r="A118" s="341"/>
      <c r="B118" s="168"/>
      <c r="C118" s="341"/>
      <c r="D118" s="181"/>
      <c r="E118" s="341"/>
      <c r="F118" s="168"/>
      <c r="G118" s="341"/>
      <c r="H118" s="168"/>
      <c r="I118" s="348"/>
      <c r="J118" s="181"/>
      <c r="K118" s="348"/>
      <c r="L118" s="181"/>
      <c r="M118" s="348"/>
      <c r="N118" s="181"/>
      <c r="O118" s="341"/>
      <c r="P118" s="168"/>
      <c r="Q118" s="205"/>
      <c r="R118" s="205"/>
      <c r="S118" s="17"/>
      <c r="T118" s="17"/>
    </row>
    <row r="119">
      <c r="A119" s="341"/>
      <c r="B119" s="168"/>
      <c r="C119" s="341"/>
      <c r="D119" s="181"/>
      <c r="E119" s="341"/>
      <c r="F119" s="168"/>
      <c r="G119" s="341"/>
      <c r="H119" s="168"/>
      <c r="I119" s="348"/>
      <c r="J119" s="181"/>
      <c r="K119" s="348"/>
      <c r="L119" s="181"/>
      <c r="M119" s="348"/>
      <c r="N119" s="181"/>
      <c r="O119" s="341"/>
      <c r="P119" s="168"/>
      <c r="Q119" s="205"/>
      <c r="R119" s="205"/>
      <c r="S119" s="17"/>
      <c r="T119" s="17"/>
    </row>
    <row r="120">
      <c r="A120" s="341"/>
      <c r="B120" s="168"/>
      <c r="C120" s="341"/>
      <c r="D120" s="181"/>
      <c r="E120" s="341"/>
      <c r="F120" s="168"/>
      <c r="G120" s="341"/>
      <c r="H120" s="168"/>
      <c r="I120" s="348"/>
      <c r="J120" s="181"/>
      <c r="K120" s="348"/>
      <c r="L120" s="181"/>
      <c r="M120" s="348"/>
      <c r="N120" s="181"/>
      <c r="O120" s="341"/>
      <c r="P120" s="168"/>
      <c r="Q120" s="205"/>
      <c r="R120" s="205"/>
      <c r="S120" s="17"/>
      <c r="T120" s="17"/>
    </row>
    <row r="121">
      <c r="A121" s="341"/>
      <c r="B121" s="168"/>
      <c r="C121" s="341"/>
      <c r="D121" s="181"/>
      <c r="E121" s="341"/>
      <c r="F121" s="168"/>
      <c r="G121" s="341"/>
      <c r="H121" s="168"/>
      <c r="I121" s="348"/>
      <c r="J121" s="181"/>
      <c r="K121" s="348"/>
      <c r="L121" s="181"/>
      <c r="M121" s="348"/>
      <c r="N121" s="181"/>
      <c r="O121" s="341"/>
      <c r="P121" s="168"/>
      <c r="Q121" s="205"/>
      <c r="R121" s="205"/>
      <c r="S121" s="17"/>
      <c r="T121" s="17"/>
    </row>
    <row r="122">
      <c r="A122" s="341"/>
      <c r="B122" s="168"/>
      <c r="C122" s="341"/>
      <c r="D122" s="181"/>
      <c r="E122" s="341"/>
      <c r="F122" s="168"/>
      <c r="G122" s="341"/>
      <c r="H122" s="168"/>
      <c r="I122" s="348"/>
      <c r="J122" s="181"/>
      <c r="K122" s="348"/>
      <c r="L122" s="181"/>
      <c r="M122" s="348"/>
      <c r="N122" s="181"/>
      <c r="O122" s="341"/>
      <c r="P122" s="168"/>
      <c r="Q122" s="205"/>
      <c r="R122" s="205"/>
      <c r="S122" s="17"/>
      <c r="T122" s="17"/>
    </row>
    <row r="123">
      <c r="A123" s="341"/>
      <c r="B123" s="168"/>
      <c r="C123" s="341"/>
      <c r="D123" s="181"/>
      <c r="E123" s="341"/>
      <c r="F123" s="168"/>
      <c r="G123" s="341"/>
      <c r="H123" s="168"/>
      <c r="I123" s="348"/>
      <c r="J123" s="181"/>
      <c r="K123" s="348"/>
      <c r="L123" s="181"/>
      <c r="M123" s="348"/>
      <c r="N123" s="181"/>
      <c r="O123" s="341"/>
      <c r="P123" s="168"/>
      <c r="Q123" s="205"/>
      <c r="R123" s="205"/>
      <c r="S123" s="17"/>
      <c r="T123" s="17"/>
    </row>
    <row r="124">
      <c r="A124" s="341"/>
      <c r="B124" s="168"/>
      <c r="C124" s="341"/>
      <c r="D124" s="181"/>
      <c r="E124" s="341"/>
      <c r="F124" s="168"/>
      <c r="G124" s="341"/>
      <c r="H124" s="168"/>
      <c r="I124" s="348"/>
      <c r="J124" s="181"/>
      <c r="K124" s="348"/>
      <c r="L124" s="181"/>
      <c r="M124" s="348"/>
      <c r="N124" s="181"/>
      <c r="O124" s="341"/>
      <c r="P124" s="168"/>
      <c r="Q124" s="205"/>
      <c r="R124" s="205"/>
      <c r="S124" s="17"/>
      <c r="T124" s="17"/>
    </row>
    <row r="125">
      <c r="A125" s="341"/>
      <c r="B125" s="168"/>
      <c r="C125" s="341"/>
      <c r="D125" s="181"/>
      <c r="E125" s="341"/>
      <c r="F125" s="168"/>
      <c r="G125" s="341"/>
      <c r="H125" s="168"/>
      <c r="I125" s="348"/>
      <c r="J125" s="181"/>
      <c r="K125" s="348"/>
      <c r="L125" s="181"/>
      <c r="M125" s="348"/>
      <c r="N125" s="181"/>
      <c r="O125" s="341"/>
      <c r="P125" s="168"/>
      <c r="Q125" s="205"/>
      <c r="R125" s="205"/>
      <c r="S125" s="17"/>
      <c r="T125" s="17"/>
    </row>
    <row r="126">
      <c r="A126" s="341"/>
      <c r="B126" s="168"/>
      <c r="C126" s="341"/>
      <c r="D126" s="181"/>
      <c r="E126" s="341"/>
      <c r="F126" s="168"/>
      <c r="G126" s="341"/>
      <c r="H126" s="168"/>
      <c r="I126" s="348"/>
      <c r="J126" s="181"/>
      <c r="K126" s="348"/>
      <c r="L126" s="181"/>
      <c r="M126" s="348"/>
      <c r="N126" s="181"/>
      <c r="O126" s="341"/>
      <c r="P126" s="168"/>
      <c r="Q126" s="205"/>
      <c r="R126" s="205"/>
      <c r="S126" s="17"/>
      <c r="T126" s="17"/>
    </row>
    <row r="127">
      <c r="A127" s="341"/>
      <c r="B127" s="168"/>
      <c r="C127" s="341"/>
      <c r="D127" s="181"/>
      <c r="E127" s="341"/>
      <c r="F127" s="168"/>
      <c r="G127" s="341"/>
      <c r="H127" s="168"/>
      <c r="I127" s="348"/>
      <c r="J127" s="181"/>
      <c r="K127" s="348"/>
      <c r="L127" s="181"/>
      <c r="M127" s="348"/>
      <c r="N127" s="181"/>
      <c r="O127" s="341"/>
      <c r="P127" s="168"/>
      <c r="Q127" s="205"/>
      <c r="R127" s="205"/>
      <c r="S127" s="17"/>
      <c r="T127" s="17"/>
    </row>
    <row r="128">
      <c r="A128" s="341"/>
      <c r="B128" s="168"/>
      <c r="C128" s="341"/>
      <c r="D128" s="181"/>
      <c r="E128" s="341"/>
      <c r="F128" s="168"/>
      <c r="G128" s="341"/>
      <c r="H128" s="168"/>
      <c r="I128" s="348"/>
      <c r="J128" s="181"/>
      <c r="K128" s="348"/>
      <c r="L128" s="181"/>
      <c r="M128" s="348"/>
      <c r="N128" s="181"/>
      <c r="O128" s="341"/>
      <c r="P128" s="168"/>
      <c r="Q128" s="205"/>
      <c r="R128" s="205"/>
      <c r="S128" s="17"/>
      <c r="T128" s="17"/>
    </row>
    <row r="129">
      <c r="A129" s="341"/>
      <c r="B129" s="168"/>
      <c r="C129" s="341"/>
      <c r="D129" s="181"/>
      <c r="E129" s="341"/>
      <c r="F129" s="168"/>
      <c r="G129" s="341"/>
      <c r="H129" s="168"/>
      <c r="I129" s="348"/>
      <c r="J129" s="181"/>
      <c r="K129" s="348"/>
      <c r="L129" s="181"/>
      <c r="M129" s="348"/>
      <c r="N129" s="181"/>
      <c r="O129" s="341"/>
      <c r="P129" s="168"/>
      <c r="Q129" s="205"/>
      <c r="R129" s="205"/>
      <c r="S129" s="17"/>
      <c r="T129" s="17"/>
    </row>
    <row r="130">
      <c r="A130" s="341"/>
      <c r="B130" s="168"/>
      <c r="C130" s="341"/>
      <c r="D130" s="181"/>
      <c r="E130" s="341"/>
      <c r="F130" s="168"/>
      <c r="G130" s="341"/>
      <c r="H130" s="168"/>
      <c r="I130" s="348"/>
      <c r="J130" s="181"/>
      <c r="K130" s="348"/>
      <c r="L130" s="181"/>
      <c r="M130" s="348"/>
      <c r="N130" s="181"/>
      <c r="O130" s="341"/>
      <c r="P130" s="168"/>
      <c r="Q130" s="205"/>
      <c r="R130" s="205"/>
      <c r="S130" s="17"/>
      <c r="T130" s="17"/>
    </row>
    <row r="131">
      <c r="A131" s="341"/>
      <c r="B131" s="168"/>
      <c r="C131" s="341"/>
      <c r="D131" s="181"/>
      <c r="E131" s="341"/>
      <c r="F131" s="168"/>
      <c r="G131" s="341"/>
      <c r="H131" s="168"/>
      <c r="I131" s="348"/>
      <c r="J131" s="181"/>
      <c r="K131" s="348"/>
      <c r="L131" s="181"/>
      <c r="M131" s="348"/>
      <c r="N131" s="181"/>
      <c r="O131" s="341"/>
      <c r="P131" s="168"/>
      <c r="Q131" s="205"/>
      <c r="R131" s="205"/>
      <c r="S131" s="17"/>
      <c r="T131" s="17"/>
    </row>
    <row r="132">
      <c r="A132" s="341"/>
      <c r="B132" s="168"/>
      <c r="C132" s="341"/>
      <c r="D132" s="181"/>
      <c r="E132" s="341"/>
      <c r="F132" s="168"/>
      <c r="G132" s="341"/>
      <c r="H132" s="168"/>
      <c r="I132" s="348"/>
      <c r="J132" s="181"/>
      <c r="K132" s="348"/>
      <c r="L132" s="181"/>
      <c r="M132" s="348"/>
      <c r="N132" s="181"/>
      <c r="O132" s="341"/>
      <c r="P132" s="168"/>
      <c r="Q132" s="205"/>
      <c r="R132" s="205"/>
      <c r="S132" s="17"/>
      <c r="T132" s="17"/>
    </row>
    <row r="133">
      <c r="A133" s="341"/>
      <c r="B133" s="168"/>
      <c r="C133" s="341"/>
      <c r="D133" s="181"/>
      <c r="E133" s="341"/>
      <c r="F133" s="168"/>
      <c r="G133" s="341"/>
      <c r="H133" s="168"/>
      <c r="I133" s="348"/>
      <c r="J133" s="181"/>
      <c r="K133" s="348"/>
      <c r="L133" s="181"/>
      <c r="M133" s="348"/>
      <c r="N133" s="181"/>
      <c r="O133" s="341"/>
      <c r="P133" s="168"/>
      <c r="Q133" s="205"/>
      <c r="R133" s="205"/>
      <c r="S133" s="17"/>
      <c r="T133" s="17"/>
    </row>
    <row r="134">
      <c r="A134" s="341"/>
      <c r="B134" s="168"/>
      <c r="C134" s="341"/>
      <c r="D134" s="181"/>
      <c r="E134" s="341"/>
      <c r="F134" s="168"/>
      <c r="G134" s="341"/>
      <c r="H134" s="168"/>
      <c r="I134" s="348"/>
      <c r="J134" s="181"/>
      <c r="K134" s="348"/>
      <c r="L134" s="181"/>
      <c r="M134" s="348"/>
      <c r="N134" s="181"/>
      <c r="O134" s="341"/>
      <c r="P134" s="168"/>
      <c r="Q134" s="205"/>
      <c r="R134" s="205"/>
      <c r="S134" s="17"/>
      <c r="T134" s="17"/>
    </row>
    <row r="135">
      <c r="A135" s="341"/>
      <c r="B135" s="168"/>
      <c r="C135" s="341"/>
      <c r="D135" s="181"/>
      <c r="E135" s="341"/>
      <c r="F135" s="168"/>
      <c r="G135" s="341"/>
      <c r="H135" s="168"/>
      <c r="I135" s="348"/>
      <c r="J135" s="181"/>
      <c r="K135" s="348"/>
      <c r="L135" s="181"/>
      <c r="M135" s="348"/>
      <c r="N135" s="181"/>
      <c r="O135" s="341"/>
      <c r="P135" s="168"/>
      <c r="Q135" s="205"/>
      <c r="R135" s="205"/>
      <c r="S135" s="17"/>
      <c r="T135" s="17"/>
    </row>
    <row r="136">
      <c r="A136" s="341"/>
      <c r="B136" s="168"/>
      <c r="C136" s="341"/>
      <c r="D136" s="181"/>
      <c r="E136" s="341"/>
      <c r="F136" s="168"/>
      <c r="G136" s="341"/>
      <c r="H136" s="168"/>
      <c r="I136" s="348"/>
      <c r="J136" s="181"/>
      <c r="K136" s="348"/>
      <c r="L136" s="181"/>
      <c r="M136" s="348"/>
      <c r="N136" s="181"/>
      <c r="O136" s="341"/>
      <c r="P136" s="168"/>
      <c r="Q136" s="205"/>
      <c r="R136" s="205"/>
      <c r="S136" s="17"/>
      <c r="T136" s="17"/>
    </row>
    <row r="137">
      <c r="A137" s="341"/>
      <c r="B137" s="168"/>
      <c r="C137" s="341"/>
      <c r="D137" s="181"/>
      <c r="E137" s="341"/>
      <c r="F137" s="168"/>
      <c r="G137" s="341"/>
      <c r="H137" s="168"/>
      <c r="I137" s="348"/>
      <c r="J137" s="181"/>
      <c r="K137" s="348"/>
      <c r="L137" s="181"/>
      <c r="M137" s="348"/>
      <c r="N137" s="181"/>
      <c r="O137" s="341"/>
      <c r="P137" s="168"/>
      <c r="Q137" s="205"/>
      <c r="R137" s="205"/>
      <c r="S137" s="17"/>
      <c r="T137" s="17"/>
    </row>
    <row r="138">
      <c r="A138" s="341"/>
      <c r="B138" s="168"/>
      <c r="C138" s="341"/>
      <c r="D138" s="181"/>
      <c r="E138" s="341"/>
      <c r="F138" s="168"/>
      <c r="G138" s="341"/>
      <c r="H138" s="168"/>
      <c r="I138" s="348"/>
      <c r="J138" s="181"/>
      <c r="K138" s="348"/>
      <c r="L138" s="181"/>
      <c r="M138" s="348"/>
      <c r="N138" s="181"/>
      <c r="O138" s="341"/>
      <c r="P138" s="168"/>
      <c r="Q138" s="205"/>
      <c r="R138" s="205"/>
      <c r="S138" s="17"/>
      <c r="T138" s="17"/>
    </row>
    <row r="139">
      <c r="A139" s="341"/>
      <c r="B139" s="168"/>
      <c r="C139" s="341"/>
      <c r="D139" s="181"/>
      <c r="E139" s="341"/>
      <c r="F139" s="168"/>
      <c r="G139" s="341"/>
      <c r="H139" s="168"/>
      <c r="I139" s="348"/>
      <c r="J139" s="181"/>
      <c r="K139" s="348"/>
      <c r="L139" s="181"/>
      <c r="M139" s="348"/>
      <c r="N139" s="181"/>
      <c r="O139" s="341"/>
      <c r="P139" s="168"/>
      <c r="Q139" s="205"/>
      <c r="R139" s="205"/>
      <c r="S139" s="17"/>
      <c r="T139" s="17"/>
    </row>
    <row r="140">
      <c r="A140" s="341"/>
      <c r="B140" s="168"/>
      <c r="C140" s="341"/>
      <c r="D140" s="181"/>
      <c r="E140" s="341"/>
      <c r="F140" s="168"/>
      <c r="G140" s="341"/>
      <c r="H140" s="168"/>
      <c r="I140" s="348"/>
      <c r="J140" s="181"/>
      <c r="K140" s="348"/>
      <c r="L140" s="181"/>
      <c r="M140" s="348"/>
      <c r="N140" s="181"/>
      <c r="O140" s="341"/>
      <c r="P140" s="168"/>
      <c r="Q140" s="205"/>
      <c r="R140" s="205"/>
      <c r="S140" s="17"/>
      <c r="T140" s="17"/>
    </row>
    <row r="141">
      <c r="A141" s="341"/>
      <c r="B141" s="168"/>
      <c r="C141" s="341"/>
      <c r="D141" s="181"/>
      <c r="E141" s="341"/>
      <c r="F141" s="168"/>
      <c r="G141" s="341"/>
      <c r="H141" s="168"/>
      <c r="I141" s="348"/>
      <c r="J141" s="181"/>
      <c r="K141" s="348"/>
      <c r="L141" s="181"/>
      <c r="M141" s="348"/>
      <c r="N141" s="181"/>
      <c r="O141" s="341"/>
      <c r="P141" s="168"/>
      <c r="Q141" s="205"/>
      <c r="R141" s="205"/>
      <c r="S141" s="17"/>
      <c r="T141" s="17"/>
    </row>
    <row r="142">
      <c r="A142" s="341"/>
      <c r="B142" s="168"/>
      <c r="C142" s="341"/>
      <c r="D142" s="181"/>
      <c r="E142" s="341"/>
      <c r="F142" s="168"/>
      <c r="G142" s="341"/>
      <c r="H142" s="168"/>
      <c r="I142" s="348"/>
      <c r="J142" s="181"/>
      <c r="K142" s="348"/>
      <c r="L142" s="181"/>
      <c r="M142" s="348"/>
      <c r="N142" s="181"/>
      <c r="O142" s="341"/>
      <c r="P142" s="168"/>
      <c r="Q142" s="205"/>
      <c r="R142" s="205"/>
      <c r="S142" s="17"/>
      <c r="T142" s="17"/>
    </row>
    <row r="143">
      <c r="A143" s="341"/>
      <c r="B143" s="168"/>
      <c r="C143" s="341"/>
      <c r="D143" s="181"/>
      <c r="E143" s="341"/>
      <c r="F143" s="168"/>
      <c r="G143" s="341"/>
      <c r="H143" s="168"/>
      <c r="I143" s="348"/>
      <c r="J143" s="181"/>
      <c r="K143" s="348"/>
      <c r="L143" s="181"/>
      <c r="M143" s="348"/>
      <c r="N143" s="181"/>
      <c r="O143" s="341"/>
      <c r="P143" s="168"/>
      <c r="Q143" s="205"/>
      <c r="R143" s="205"/>
      <c r="S143" s="17"/>
      <c r="T143" s="17"/>
    </row>
    <row r="144">
      <c r="A144" s="341"/>
      <c r="B144" s="168"/>
      <c r="C144" s="341"/>
      <c r="D144" s="181"/>
      <c r="E144" s="341"/>
      <c r="F144" s="168"/>
      <c r="G144" s="341"/>
      <c r="H144" s="168"/>
      <c r="I144" s="348"/>
      <c r="J144" s="181"/>
      <c r="K144" s="348"/>
      <c r="L144" s="181"/>
      <c r="M144" s="348"/>
      <c r="N144" s="181"/>
      <c r="O144" s="341"/>
      <c r="P144" s="168"/>
      <c r="Q144" s="205"/>
      <c r="R144" s="205"/>
      <c r="S144" s="17"/>
      <c r="T144" s="17"/>
    </row>
    <row r="145">
      <c r="A145" s="341"/>
      <c r="B145" s="168"/>
      <c r="C145" s="341"/>
      <c r="D145" s="181"/>
      <c r="E145" s="341"/>
      <c r="F145" s="168"/>
      <c r="G145" s="341"/>
      <c r="H145" s="168"/>
      <c r="I145" s="348"/>
      <c r="J145" s="181"/>
      <c r="K145" s="348"/>
      <c r="L145" s="181"/>
      <c r="M145" s="348"/>
      <c r="N145" s="181"/>
      <c r="O145" s="341"/>
      <c r="P145" s="168"/>
      <c r="Q145" s="205"/>
      <c r="R145" s="205"/>
      <c r="S145" s="17"/>
      <c r="T145" s="17"/>
    </row>
    <row r="146">
      <c r="A146" s="341"/>
      <c r="B146" s="168"/>
      <c r="C146" s="341"/>
      <c r="D146" s="181"/>
      <c r="E146" s="341"/>
      <c r="F146" s="168"/>
      <c r="G146" s="341"/>
      <c r="H146" s="168"/>
      <c r="I146" s="348"/>
      <c r="J146" s="181"/>
      <c r="K146" s="348"/>
      <c r="L146" s="181"/>
      <c r="M146" s="348"/>
      <c r="N146" s="181"/>
      <c r="O146" s="341"/>
      <c r="P146" s="168"/>
      <c r="Q146" s="205"/>
      <c r="R146" s="205"/>
      <c r="S146" s="17"/>
      <c r="T146" s="17"/>
    </row>
    <row r="147">
      <c r="A147" s="341"/>
      <c r="B147" s="168"/>
      <c r="C147" s="341"/>
      <c r="D147" s="181"/>
      <c r="E147" s="341"/>
      <c r="F147" s="168"/>
      <c r="G147" s="341"/>
      <c r="H147" s="168"/>
      <c r="I147" s="348"/>
      <c r="J147" s="181"/>
      <c r="K147" s="348"/>
      <c r="L147" s="181"/>
      <c r="M147" s="348"/>
      <c r="N147" s="181"/>
      <c r="O147" s="341"/>
      <c r="P147" s="168"/>
      <c r="Q147" s="205"/>
      <c r="R147" s="205"/>
      <c r="S147" s="17"/>
      <c r="T147" s="17"/>
    </row>
    <row r="148">
      <c r="A148" s="341"/>
      <c r="B148" s="168"/>
      <c r="C148" s="341"/>
      <c r="D148" s="181"/>
      <c r="E148" s="341"/>
      <c r="F148" s="168"/>
      <c r="G148" s="341"/>
      <c r="H148" s="168"/>
      <c r="I148" s="348"/>
      <c r="J148" s="181"/>
      <c r="K148" s="348"/>
      <c r="L148" s="181"/>
      <c r="M148" s="348"/>
      <c r="N148" s="181"/>
      <c r="O148" s="341"/>
      <c r="P148" s="168"/>
      <c r="Q148" s="205"/>
      <c r="R148" s="205"/>
      <c r="S148" s="17"/>
      <c r="T148" s="17"/>
    </row>
    <row r="149">
      <c r="A149" s="341"/>
      <c r="B149" s="168"/>
      <c r="C149" s="341"/>
      <c r="D149" s="181"/>
      <c r="E149" s="341"/>
      <c r="F149" s="168"/>
      <c r="G149" s="341"/>
      <c r="H149" s="168"/>
      <c r="I149" s="348"/>
      <c r="J149" s="181"/>
      <c r="K149" s="348"/>
      <c r="L149" s="181"/>
      <c r="M149" s="348"/>
      <c r="N149" s="181"/>
      <c r="O149" s="341"/>
      <c r="P149" s="168"/>
      <c r="Q149" s="205"/>
      <c r="R149" s="205"/>
      <c r="S149" s="17"/>
      <c r="T149" s="17"/>
    </row>
    <row r="150">
      <c r="A150" s="341"/>
      <c r="B150" s="168"/>
      <c r="C150" s="341"/>
      <c r="D150" s="181"/>
      <c r="E150" s="341"/>
      <c r="F150" s="168"/>
      <c r="G150" s="341"/>
      <c r="H150" s="168"/>
      <c r="I150" s="348"/>
      <c r="J150" s="181"/>
      <c r="K150" s="348"/>
      <c r="L150" s="181"/>
      <c r="M150" s="348"/>
      <c r="N150" s="181"/>
      <c r="O150" s="341"/>
      <c r="P150" s="168"/>
      <c r="Q150" s="205"/>
      <c r="R150" s="205"/>
      <c r="S150" s="17"/>
      <c r="T150" s="17"/>
    </row>
    <row r="151">
      <c r="A151" s="341"/>
      <c r="B151" s="168"/>
      <c r="C151" s="341"/>
      <c r="D151" s="181"/>
      <c r="E151" s="341"/>
      <c r="F151" s="168"/>
      <c r="G151" s="341"/>
      <c r="H151" s="168"/>
      <c r="I151" s="348"/>
      <c r="J151" s="181"/>
      <c r="K151" s="348"/>
      <c r="L151" s="181"/>
      <c r="M151" s="348"/>
      <c r="N151" s="181"/>
      <c r="O151" s="341"/>
      <c r="P151" s="168"/>
      <c r="Q151" s="205"/>
      <c r="R151" s="205"/>
      <c r="S151" s="17"/>
      <c r="T151" s="17"/>
    </row>
    <row r="152">
      <c r="A152" s="341"/>
      <c r="B152" s="168"/>
      <c r="C152" s="341"/>
      <c r="D152" s="181"/>
      <c r="E152" s="341"/>
      <c r="F152" s="168"/>
      <c r="G152" s="341"/>
      <c r="H152" s="168"/>
      <c r="I152" s="348"/>
      <c r="J152" s="181"/>
      <c r="K152" s="348"/>
      <c r="L152" s="181"/>
      <c r="M152" s="348"/>
      <c r="N152" s="181"/>
      <c r="O152" s="341"/>
      <c r="P152" s="168"/>
      <c r="Q152" s="205"/>
      <c r="R152" s="205"/>
      <c r="S152" s="17"/>
      <c r="T152" s="17"/>
    </row>
    <row r="153">
      <c r="A153" s="341"/>
      <c r="B153" s="168"/>
      <c r="C153" s="341"/>
      <c r="D153" s="181"/>
      <c r="E153" s="341"/>
      <c r="F153" s="168"/>
      <c r="G153" s="341"/>
      <c r="H153" s="168"/>
      <c r="I153" s="348"/>
      <c r="J153" s="181"/>
      <c r="K153" s="348"/>
      <c r="L153" s="181"/>
      <c r="M153" s="348"/>
      <c r="N153" s="181"/>
      <c r="O153" s="341"/>
      <c r="P153" s="168"/>
      <c r="Q153" s="205"/>
      <c r="R153" s="205"/>
      <c r="S153" s="17"/>
      <c r="T153" s="17"/>
    </row>
    <row r="154">
      <c r="A154" s="341"/>
      <c r="B154" s="168"/>
      <c r="C154" s="341"/>
      <c r="D154" s="181"/>
      <c r="E154" s="341"/>
      <c r="F154" s="168"/>
      <c r="G154" s="341"/>
      <c r="H154" s="168"/>
      <c r="I154" s="348"/>
      <c r="J154" s="181"/>
      <c r="K154" s="348"/>
      <c r="L154" s="181"/>
      <c r="M154" s="348"/>
      <c r="N154" s="181"/>
      <c r="O154" s="341"/>
      <c r="P154" s="168"/>
      <c r="Q154" s="205"/>
      <c r="R154" s="205"/>
      <c r="S154" s="17"/>
      <c r="T154" s="17"/>
    </row>
    <row r="155">
      <c r="A155" s="341"/>
      <c r="B155" s="168"/>
      <c r="C155" s="341"/>
      <c r="D155" s="181"/>
      <c r="E155" s="341"/>
      <c r="F155" s="168"/>
      <c r="G155" s="341"/>
      <c r="H155" s="168"/>
      <c r="I155" s="348"/>
      <c r="J155" s="181"/>
      <c r="K155" s="348"/>
      <c r="L155" s="181"/>
      <c r="M155" s="348"/>
      <c r="N155" s="181"/>
      <c r="O155" s="341"/>
      <c r="P155" s="168"/>
      <c r="Q155" s="205"/>
      <c r="R155" s="205"/>
      <c r="S155" s="17"/>
      <c r="T155" s="17"/>
    </row>
    <row r="156">
      <c r="A156" s="341"/>
      <c r="B156" s="168"/>
      <c r="C156" s="341"/>
      <c r="D156" s="181"/>
      <c r="E156" s="341"/>
      <c r="F156" s="168"/>
      <c r="G156" s="341"/>
      <c r="H156" s="168"/>
      <c r="I156" s="348"/>
      <c r="J156" s="181"/>
      <c r="K156" s="348"/>
      <c r="L156" s="181"/>
      <c r="M156" s="348"/>
      <c r="N156" s="181"/>
      <c r="O156" s="341"/>
      <c r="P156" s="168"/>
      <c r="Q156" s="205"/>
      <c r="R156" s="205"/>
      <c r="S156" s="17"/>
      <c r="T156" s="17"/>
    </row>
    <row r="157">
      <c r="A157" s="341"/>
      <c r="B157" s="168"/>
      <c r="C157" s="341"/>
      <c r="D157" s="181"/>
      <c r="E157" s="341"/>
      <c r="F157" s="168"/>
      <c r="G157" s="341"/>
      <c r="H157" s="168"/>
      <c r="I157" s="348"/>
      <c r="J157" s="181"/>
      <c r="K157" s="348"/>
      <c r="L157" s="181"/>
      <c r="M157" s="348"/>
      <c r="N157" s="181"/>
      <c r="O157" s="341"/>
      <c r="P157" s="168"/>
      <c r="Q157" s="205"/>
      <c r="R157" s="205"/>
      <c r="S157" s="17"/>
      <c r="T157" s="17"/>
    </row>
    <row r="158">
      <c r="A158" s="341"/>
      <c r="B158" s="168"/>
      <c r="C158" s="341"/>
      <c r="D158" s="181"/>
      <c r="E158" s="341"/>
      <c r="F158" s="168"/>
      <c r="G158" s="341"/>
      <c r="H158" s="168"/>
      <c r="I158" s="348"/>
      <c r="J158" s="181"/>
      <c r="K158" s="348"/>
      <c r="L158" s="181"/>
      <c r="M158" s="348"/>
      <c r="N158" s="181"/>
      <c r="O158" s="341"/>
      <c r="P158" s="168"/>
      <c r="Q158" s="205"/>
      <c r="R158" s="205"/>
      <c r="S158" s="17"/>
      <c r="T158" s="17"/>
    </row>
    <row r="159">
      <c r="A159" s="341"/>
      <c r="B159" s="168"/>
      <c r="C159" s="341"/>
      <c r="D159" s="181"/>
      <c r="E159" s="341"/>
      <c r="F159" s="168"/>
      <c r="G159" s="341"/>
      <c r="H159" s="168"/>
      <c r="I159" s="348"/>
      <c r="J159" s="181"/>
      <c r="K159" s="348"/>
      <c r="L159" s="181"/>
      <c r="M159" s="348"/>
      <c r="N159" s="181"/>
      <c r="O159" s="341"/>
      <c r="P159" s="168"/>
      <c r="Q159" s="205"/>
      <c r="R159" s="205"/>
      <c r="S159" s="17"/>
      <c r="T159" s="17"/>
    </row>
    <row r="160">
      <c r="A160" s="341"/>
      <c r="B160" s="168"/>
      <c r="C160" s="341"/>
      <c r="D160" s="181"/>
      <c r="E160" s="341"/>
      <c r="F160" s="168"/>
      <c r="G160" s="341"/>
      <c r="H160" s="168"/>
      <c r="I160" s="348"/>
      <c r="J160" s="181"/>
      <c r="K160" s="348"/>
      <c r="L160" s="181"/>
      <c r="M160" s="348"/>
      <c r="N160" s="181"/>
      <c r="O160" s="341"/>
      <c r="P160" s="168"/>
      <c r="Q160" s="205"/>
      <c r="R160" s="205"/>
      <c r="S160" s="17"/>
      <c r="T160" s="17"/>
    </row>
    <row r="161">
      <c r="A161" s="341"/>
      <c r="B161" s="168"/>
      <c r="C161" s="341"/>
      <c r="D161" s="181"/>
      <c r="E161" s="341"/>
      <c r="F161" s="168"/>
      <c r="G161" s="341"/>
      <c r="H161" s="168"/>
      <c r="I161" s="348"/>
      <c r="J161" s="181"/>
      <c r="K161" s="348"/>
      <c r="L161" s="181"/>
      <c r="M161" s="348"/>
      <c r="N161" s="181"/>
      <c r="O161" s="341"/>
      <c r="P161" s="168"/>
      <c r="Q161" s="205"/>
      <c r="R161" s="205"/>
      <c r="S161" s="17"/>
      <c r="T161" s="17"/>
    </row>
    <row r="162">
      <c r="A162" s="341"/>
      <c r="B162" s="168"/>
      <c r="C162" s="341"/>
      <c r="D162" s="181"/>
      <c r="E162" s="341"/>
      <c r="F162" s="168"/>
      <c r="G162" s="341"/>
      <c r="H162" s="168"/>
      <c r="I162" s="348"/>
      <c r="J162" s="181"/>
      <c r="K162" s="348"/>
      <c r="L162" s="181"/>
      <c r="M162" s="348"/>
      <c r="N162" s="181"/>
      <c r="O162" s="341"/>
      <c r="P162" s="168"/>
      <c r="Q162" s="205"/>
      <c r="R162" s="205"/>
      <c r="S162" s="17"/>
      <c r="T162" s="17"/>
    </row>
    <row r="163">
      <c r="A163" s="341"/>
      <c r="B163" s="168"/>
      <c r="C163" s="341"/>
      <c r="D163" s="181"/>
      <c r="E163" s="341"/>
      <c r="F163" s="168"/>
      <c r="G163" s="341"/>
      <c r="H163" s="168"/>
      <c r="I163" s="348"/>
      <c r="J163" s="181"/>
      <c r="K163" s="348"/>
      <c r="L163" s="181"/>
      <c r="M163" s="348"/>
      <c r="N163" s="181"/>
      <c r="O163" s="341"/>
      <c r="P163" s="168"/>
      <c r="Q163" s="205"/>
      <c r="R163" s="205"/>
      <c r="S163" s="17"/>
      <c r="T163" s="17"/>
    </row>
    <row r="164">
      <c r="A164" s="341"/>
      <c r="B164" s="168"/>
      <c r="C164" s="341"/>
      <c r="D164" s="181"/>
      <c r="E164" s="341"/>
      <c r="F164" s="168"/>
      <c r="G164" s="341"/>
      <c r="H164" s="168"/>
      <c r="I164" s="348"/>
      <c r="J164" s="181"/>
      <c r="K164" s="348"/>
      <c r="L164" s="181"/>
      <c r="M164" s="348"/>
      <c r="N164" s="181"/>
      <c r="O164" s="341"/>
      <c r="P164" s="168"/>
      <c r="Q164" s="205"/>
      <c r="R164" s="205"/>
      <c r="S164" s="17"/>
      <c r="T164" s="17"/>
    </row>
    <row r="165">
      <c r="A165" s="341"/>
      <c r="B165" s="168"/>
      <c r="C165" s="341"/>
      <c r="D165" s="181"/>
      <c r="E165" s="341"/>
      <c r="F165" s="168"/>
      <c r="G165" s="341"/>
      <c r="H165" s="168"/>
      <c r="I165" s="348"/>
      <c r="J165" s="181"/>
      <c r="K165" s="348"/>
      <c r="L165" s="181"/>
      <c r="M165" s="348"/>
      <c r="N165" s="181"/>
      <c r="O165" s="341"/>
      <c r="P165" s="168"/>
      <c r="Q165" s="205"/>
      <c r="R165" s="205"/>
      <c r="S165" s="17"/>
      <c r="T165" s="17"/>
    </row>
    <row r="166">
      <c r="A166" s="341"/>
      <c r="B166" s="168"/>
      <c r="C166" s="341"/>
      <c r="D166" s="181"/>
      <c r="E166" s="341"/>
      <c r="F166" s="168"/>
      <c r="G166" s="341"/>
      <c r="H166" s="168"/>
      <c r="I166" s="348"/>
      <c r="J166" s="181"/>
      <c r="K166" s="348"/>
      <c r="L166" s="181"/>
      <c r="M166" s="348"/>
      <c r="N166" s="181"/>
      <c r="O166" s="341"/>
      <c r="P166" s="168"/>
      <c r="Q166" s="205"/>
      <c r="R166" s="205"/>
      <c r="S166" s="17"/>
      <c r="T166" s="17"/>
    </row>
    <row r="167">
      <c r="A167" s="341"/>
      <c r="B167" s="168"/>
      <c r="C167" s="341"/>
      <c r="D167" s="181"/>
      <c r="E167" s="341"/>
      <c r="F167" s="168"/>
      <c r="G167" s="341"/>
      <c r="H167" s="168"/>
      <c r="I167" s="348"/>
      <c r="J167" s="181"/>
      <c r="K167" s="348"/>
      <c r="L167" s="181"/>
      <c r="M167" s="348"/>
      <c r="N167" s="181"/>
      <c r="O167" s="341"/>
      <c r="P167" s="168"/>
      <c r="Q167" s="205"/>
      <c r="R167" s="205"/>
      <c r="S167" s="17"/>
      <c r="T167" s="17"/>
    </row>
    <row r="168">
      <c r="A168" s="341"/>
      <c r="B168" s="168"/>
      <c r="C168" s="341"/>
      <c r="D168" s="181"/>
      <c r="E168" s="341"/>
      <c r="F168" s="168"/>
      <c r="G168" s="341"/>
      <c r="H168" s="168"/>
      <c r="I168" s="348"/>
      <c r="J168" s="181"/>
      <c r="K168" s="348"/>
      <c r="L168" s="181"/>
      <c r="M168" s="348"/>
      <c r="N168" s="181"/>
      <c r="O168" s="341"/>
      <c r="P168" s="168"/>
      <c r="Q168" s="205"/>
      <c r="R168" s="205"/>
      <c r="S168" s="17"/>
      <c r="T168" s="17"/>
    </row>
    <row r="169">
      <c r="A169" s="341"/>
      <c r="B169" s="168"/>
      <c r="C169" s="341"/>
      <c r="D169" s="181"/>
      <c r="E169" s="341"/>
      <c r="F169" s="168"/>
      <c r="G169" s="341"/>
      <c r="H169" s="168"/>
      <c r="I169" s="348"/>
      <c r="J169" s="181"/>
      <c r="K169" s="348"/>
      <c r="L169" s="181"/>
      <c r="M169" s="348"/>
      <c r="N169" s="181"/>
      <c r="O169" s="341"/>
      <c r="P169" s="168"/>
      <c r="Q169" s="205"/>
      <c r="R169" s="205"/>
      <c r="S169" s="17"/>
      <c r="T169" s="17"/>
    </row>
    <row r="170">
      <c r="A170" s="341"/>
      <c r="B170" s="168"/>
      <c r="C170" s="341"/>
      <c r="D170" s="181"/>
      <c r="E170" s="341"/>
      <c r="F170" s="168"/>
      <c r="G170" s="341"/>
      <c r="H170" s="168"/>
      <c r="I170" s="348"/>
      <c r="J170" s="181"/>
      <c r="K170" s="348"/>
      <c r="L170" s="181"/>
      <c r="M170" s="348"/>
      <c r="N170" s="181"/>
      <c r="O170" s="341"/>
      <c r="P170" s="168"/>
      <c r="Q170" s="205"/>
      <c r="R170" s="205"/>
      <c r="S170" s="17"/>
      <c r="T170" s="17"/>
    </row>
    <row r="171">
      <c r="A171" s="341"/>
      <c r="B171" s="168"/>
      <c r="C171" s="341"/>
      <c r="D171" s="181"/>
      <c r="E171" s="341"/>
      <c r="F171" s="168"/>
      <c r="G171" s="341"/>
      <c r="H171" s="168"/>
      <c r="I171" s="348"/>
      <c r="J171" s="181"/>
      <c r="K171" s="348"/>
      <c r="L171" s="181"/>
      <c r="M171" s="348"/>
      <c r="N171" s="181"/>
      <c r="O171" s="341"/>
      <c r="P171" s="168"/>
      <c r="Q171" s="205"/>
      <c r="R171" s="205"/>
      <c r="S171" s="17"/>
      <c r="T171" s="17"/>
    </row>
    <row r="172">
      <c r="A172" s="341"/>
      <c r="B172" s="168"/>
      <c r="C172" s="341"/>
      <c r="D172" s="181"/>
      <c r="E172" s="341"/>
      <c r="F172" s="168"/>
      <c r="G172" s="341"/>
      <c r="H172" s="168"/>
      <c r="I172" s="348"/>
      <c r="J172" s="181"/>
      <c r="K172" s="348"/>
      <c r="L172" s="181"/>
      <c r="M172" s="348"/>
      <c r="N172" s="181"/>
      <c r="O172" s="341"/>
      <c r="P172" s="168"/>
      <c r="Q172" s="205"/>
      <c r="R172" s="205"/>
      <c r="S172" s="17"/>
      <c r="T172" s="17"/>
    </row>
    <row r="173">
      <c r="A173" s="341"/>
      <c r="B173" s="168"/>
      <c r="C173" s="341"/>
      <c r="D173" s="181"/>
      <c r="E173" s="341"/>
      <c r="F173" s="168"/>
      <c r="G173" s="341"/>
      <c r="H173" s="168"/>
      <c r="I173" s="348"/>
      <c r="J173" s="181"/>
      <c r="K173" s="348"/>
      <c r="L173" s="181"/>
      <c r="M173" s="348"/>
      <c r="N173" s="181"/>
      <c r="O173" s="341"/>
      <c r="P173" s="168"/>
      <c r="Q173" s="205"/>
      <c r="R173" s="205"/>
      <c r="S173" s="17"/>
      <c r="T173" s="17"/>
    </row>
    <row r="174">
      <c r="A174" s="341"/>
      <c r="B174" s="168"/>
      <c r="C174" s="341"/>
      <c r="D174" s="181"/>
      <c r="E174" s="341"/>
      <c r="F174" s="168"/>
      <c r="G174" s="341"/>
      <c r="H174" s="168"/>
      <c r="I174" s="348"/>
      <c r="J174" s="181"/>
      <c r="K174" s="348"/>
      <c r="L174" s="181"/>
      <c r="M174" s="348"/>
      <c r="N174" s="181"/>
      <c r="O174" s="341"/>
      <c r="P174" s="168"/>
      <c r="Q174" s="205"/>
      <c r="R174" s="205"/>
      <c r="S174" s="17"/>
      <c r="T174" s="17"/>
    </row>
    <row r="175">
      <c r="A175" s="341"/>
      <c r="B175" s="168"/>
      <c r="C175" s="341"/>
      <c r="D175" s="181"/>
      <c r="E175" s="341"/>
      <c r="F175" s="168"/>
      <c r="G175" s="341"/>
      <c r="H175" s="168"/>
      <c r="I175" s="348"/>
      <c r="J175" s="181"/>
      <c r="K175" s="348"/>
      <c r="L175" s="181"/>
      <c r="M175" s="348"/>
      <c r="N175" s="181"/>
      <c r="O175" s="341"/>
      <c r="P175" s="168"/>
      <c r="Q175" s="205"/>
      <c r="R175" s="205"/>
      <c r="S175" s="17"/>
      <c r="T175" s="17"/>
    </row>
    <row r="176">
      <c r="A176" s="341"/>
      <c r="B176" s="168"/>
      <c r="C176" s="341"/>
      <c r="D176" s="181"/>
      <c r="E176" s="341"/>
      <c r="F176" s="168"/>
      <c r="G176" s="341"/>
      <c r="H176" s="168"/>
      <c r="I176" s="348"/>
      <c r="J176" s="181"/>
      <c r="K176" s="348"/>
      <c r="L176" s="181"/>
      <c r="M176" s="348"/>
      <c r="N176" s="181"/>
      <c r="O176" s="341"/>
      <c r="P176" s="168"/>
      <c r="Q176" s="205"/>
      <c r="R176" s="205"/>
      <c r="S176" s="17"/>
      <c r="T176" s="17"/>
    </row>
    <row r="177">
      <c r="A177" s="341"/>
      <c r="B177" s="168"/>
      <c r="C177" s="341"/>
      <c r="D177" s="181"/>
      <c r="E177" s="341"/>
      <c r="F177" s="168"/>
      <c r="G177" s="341"/>
      <c r="H177" s="168"/>
      <c r="I177" s="348"/>
      <c r="J177" s="181"/>
      <c r="K177" s="348"/>
      <c r="L177" s="181"/>
      <c r="M177" s="348"/>
      <c r="N177" s="181"/>
      <c r="O177" s="341"/>
      <c r="P177" s="168"/>
      <c r="Q177" s="205"/>
      <c r="R177" s="205"/>
      <c r="S177" s="17"/>
      <c r="T177" s="17"/>
    </row>
    <row r="178">
      <c r="A178" s="341"/>
      <c r="B178" s="168"/>
      <c r="C178" s="341"/>
      <c r="D178" s="181"/>
      <c r="E178" s="341"/>
      <c r="F178" s="168"/>
      <c r="G178" s="341"/>
      <c r="H178" s="168"/>
      <c r="I178" s="348"/>
      <c r="J178" s="181"/>
      <c r="K178" s="348"/>
      <c r="L178" s="181"/>
      <c r="M178" s="348"/>
      <c r="N178" s="181"/>
      <c r="O178" s="341"/>
      <c r="P178" s="168"/>
      <c r="Q178" s="205"/>
      <c r="R178" s="205"/>
      <c r="S178" s="17"/>
      <c r="T178" s="17"/>
    </row>
    <row r="179">
      <c r="A179" s="341"/>
      <c r="B179" s="168"/>
      <c r="C179" s="341"/>
      <c r="D179" s="181"/>
      <c r="E179" s="341"/>
      <c r="F179" s="168"/>
      <c r="G179" s="341"/>
      <c r="H179" s="168"/>
      <c r="I179" s="348"/>
      <c r="J179" s="181"/>
      <c r="K179" s="348"/>
      <c r="L179" s="181"/>
      <c r="M179" s="348"/>
      <c r="N179" s="181"/>
      <c r="O179" s="341"/>
      <c r="P179" s="168"/>
      <c r="Q179" s="205"/>
      <c r="R179" s="205"/>
      <c r="S179" s="17"/>
      <c r="T179" s="17"/>
    </row>
    <row r="180">
      <c r="A180" s="341"/>
      <c r="B180" s="168"/>
      <c r="C180" s="341"/>
      <c r="D180" s="181"/>
      <c r="E180" s="341"/>
      <c r="F180" s="168"/>
      <c r="G180" s="341"/>
      <c r="H180" s="168"/>
      <c r="I180" s="348"/>
      <c r="J180" s="181"/>
      <c r="K180" s="348"/>
      <c r="L180" s="181"/>
      <c r="M180" s="348"/>
      <c r="N180" s="181"/>
      <c r="O180" s="341"/>
      <c r="P180" s="168"/>
      <c r="Q180" s="205"/>
      <c r="R180" s="205"/>
      <c r="S180" s="17"/>
      <c r="T180" s="17"/>
    </row>
    <row r="181">
      <c r="A181" s="341"/>
      <c r="B181" s="168"/>
      <c r="C181" s="341"/>
      <c r="D181" s="181"/>
      <c r="E181" s="341"/>
      <c r="F181" s="168"/>
      <c r="G181" s="341"/>
      <c r="H181" s="168"/>
      <c r="I181" s="348"/>
      <c r="J181" s="181"/>
      <c r="K181" s="348"/>
      <c r="L181" s="181"/>
      <c r="M181" s="348"/>
      <c r="N181" s="181"/>
      <c r="O181" s="341"/>
      <c r="P181" s="168"/>
      <c r="Q181" s="205"/>
      <c r="R181" s="205"/>
      <c r="S181" s="17"/>
      <c r="T181" s="17"/>
    </row>
    <row r="182">
      <c r="A182" s="341"/>
      <c r="B182" s="168"/>
      <c r="C182" s="341"/>
      <c r="D182" s="181"/>
      <c r="E182" s="341"/>
      <c r="F182" s="168"/>
      <c r="G182" s="341"/>
      <c r="H182" s="168"/>
      <c r="I182" s="348"/>
      <c r="J182" s="181"/>
      <c r="K182" s="348"/>
      <c r="L182" s="181"/>
      <c r="M182" s="348"/>
      <c r="N182" s="181"/>
      <c r="O182" s="341"/>
      <c r="P182" s="168"/>
      <c r="Q182" s="205"/>
      <c r="R182" s="205"/>
      <c r="S182" s="17"/>
      <c r="T182" s="17"/>
    </row>
    <row r="183">
      <c r="A183" s="341"/>
      <c r="B183" s="168"/>
      <c r="C183" s="341"/>
      <c r="D183" s="181"/>
      <c r="E183" s="341"/>
      <c r="F183" s="168"/>
      <c r="G183" s="341"/>
      <c r="H183" s="168"/>
      <c r="I183" s="348"/>
      <c r="J183" s="181"/>
      <c r="K183" s="348"/>
      <c r="L183" s="181"/>
      <c r="M183" s="348"/>
      <c r="N183" s="181"/>
      <c r="O183" s="341"/>
      <c r="P183" s="168"/>
      <c r="Q183" s="205"/>
      <c r="R183" s="205"/>
      <c r="S183" s="17"/>
      <c r="T183" s="17"/>
    </row>
    <row r="184">
      <c r="A184" s="341"/>
      <c r="B184" s="168"/>
      <c r="C184" s="341"/>
      <c r="D184" s="181"/>
      <c r="E184" s="341"/>
      <c r="F184" s="168"/>
      <c r="G184" s="341"/>
      <c r="H184" s="168"/>
      <c r="I184" s="348"/>
      <c r="J184" s="181"/>
      <c r="K184" s="348"/>
      <c r="L184" s="181"/>
      <c r="M184" s="348"/>
      <c r="N184" s="181"/>
      <c r="O184" s="341"/>
      <c r="P184" s="168"/>
      <c r="Q184" s="205"/>
      <c r="R184" s="205"/>
      <c r="S184" s="17"/>
      <c r="T184" s="17"/>
    </row>
    <row r="185">
      <c r="A185" s="341"/>
      <c r="B185" s="168"/>
      <c r="C185" s="341"/>
      <c r="D185" s="181"/>
      <c r="E185" s="341"/>
      <c r="F185" s="168"/>
      <c r="G185" s="341"/>
      <c r="H185" s="168"/>
      <c r="I185" s="348"/>
      <c r="J185" s="181"/>
      <c r="K185" s="348"/>
      <c r="L185" s="181"/>
      <c r="M185" s="348"/>
      <c r="N185" s="181"/>
      <c r="O185" s="341"/>
      <c r="P185" s="168"/>
      <c r="Q185" s="205"/>
      <c r="R185" s="205"/>
      <c r="S185" s="17"/>
      <c r="T185" s="17"/>
    </row>
    <row r="186">
      <c r="A186" s="341"/>
      <c r="B186" s="168"/>
      <c r="C186" s="341"/>
      <c r="D186" s="181"/>
      <c r="E186" s="341"/>
      <c r="F186" s="168"/>
      <c r="G186" s="341"/>
      <c r="H186" s="168"/>
      <c r="I186" s="348"/>
      <c r="J186" s="181"/>
      <c r="K186" s="348"/>
      <c r="L186" s="181"/>
      <c r="M186" s="348"/>
      <c r="N186" s="181"/>
      <c r="O186" s="341"/>
      <c r="P186" s="168"/>
      <c r="Q186" s="205"/>
      <c r="R186" s="205"/>
      <c r="S186" s="17"/>
      <c r="T186" s="17"/>
    </row>
    <row r="187">
      <c r="A187" s="341"/>
      <c r="B187" s="168"/>
      <c r="C187" s="341"/>
      <c r="D187" s="181"/>
      <c r="E187" s="341"/>
      <c r="F187" s="168"/>
      <c r="G187" s="341"/>
      <c r="H187" s="168"/>
      <c r="I187" s="348"/>
      <c r="J187" s="181"/>
      <c r="K187" s="348"/>
      <c r="L187" s="181"/>
      <c r="M187" s="348"/>
      <c r="N187" s="181"/>
      <c r="O187" s="341"/>
      <c r="P187" s="168"/>
      <c r="Q187" s="205"/>
      <c r="R187" s="205"/>
      <c r="S187" s="17"/>
      <c r="T187" s="17"/>
    </row>
    <row r="188">
      <c r="A188" s="341"/>
      <c r="B188" s="168"/>
      <c r="C188" s="341"/>
      <c r="D188" s="181"/>
      <c r="E188" s="341"/>
      <c r="F188" s="168"/>
      <c r="G188" s="341"/>
      <c r="H188" s="168"/>
      <c r="I188" s="348"/>
      <c r="J188" s="181"/>
      <c r="K188" s="348"/>
      <c r="L188" s="181"/>
      <c r="M188" s="348"/>
      <c r="N188" s="181"/>
      <c r="O188" s="341"/>
      <c r="P188" s="168"/>
      <c r="Q188" s="205"/>
      <c r="R188" s="205"/>
      <c r="S188" s="17"/>
      <c r="T188" s="17"/>
    </row>
    <row r="189">
      <c r="A189" s="341"/>
      <c r="B189" s="168"/>
      <c r="C189" s="341"/>
      <c r="D189" s="181"/>
      <c r="E189" s="341"/>
      <c r="F189" s="168"/>
      <c r="G189" s="341"/>
      <c r="H189" s="168"/>
      <c r="I189" s="348"/>
      <c r="J189" s="181"/>
      <c r="K189" s="348"/>
      <c r="L189" s="181"/>
      <c r="M189" s="348"/>
      <c r="N189" s="181"/>
      <c r="O189" s="341"/>
      <c r="P189" s="168"/>
      <c r="Q189" s="205"/>
      <c r="R189" s="205"/>
      <c r="S189" s="17"/>
      <c r="T189" s="17"/>
    </row>
    <row r="190">
      <c r="A190" s="341"/>
      <c r="B190" s="168"/>
      <c r="C190" s="341"/>
      <c r="D190" s="181"/>
      <c r="E190" s="341"/>
      <c r="F190" s="168"/>
      <c r="G190" s="341"/>
      <c r="H190" s="168"/>
      <c r="I190" s="348"/>
      <c r="J190" s="181"/>
      <c r="K190" s="348"/>
      <c r="L190" s="181"/>
      <c r="M190" s="348"/>
      <c r="N190" s="181"/>
      <c r="O190" s="341"/>
      <c r="P190" s="168"/>
      <c r="Q190" s="205"/>
      <c r="R190" s="205"/>
      <c r="S190" s="17"/>
      <c r="T190" s="17"/>
    </row>
    <row r="191">
      <c r="A191" s="341"/>
      <c r="B191" s="168"/>
      <c r="C191" s="341"/>
      <c r="D191" s="181"/>
      <c r="E191" s="341"/>
      <c r="F191" s="168"/>
      <c r="G191" s="341"/>
      <c r="H191" s="168"/>
      <c r="I191" s="348"/>
      <c r="J191" s="181"/>
      <c r="K191" s="348"/>
      <c r="L191" s="181"/>
      <c r="M191" s="348"/>
      <c r="N191" s="181"/>
      <c r="O191" s="341"/>
      <c r="P191" s="168"/>
      <c r="Q191" s="205"/>
      <c r="R191" s="205"/>
      <c r="S191" s="17"/>
      <c r="T191" s="17"/>
    </row>
    <row r="192">
      <c r="A192" s="341"/>
      <c r="B192" s="168"/>
      <c r="C192" s="341"/>
      <c r="D192" s="181"/>
      <c r="E192" s="341"/>
      <c r="F192" s="168"/>
      <c r="G192" s="341"/>
      <c r="H192" s="168"/>
      <c r="I192" s="348"/>
      <c r="J192" s="181"/>
      <c r="K192" s="348"/>
      <c r="L192" s="181"/>
      <c r="M192" s="348"/>
      <c r="N192" s="181"/>
      <c r="O192" s="341"/>
      <c r="P192" s="168"/>
      <c r="Q192" s="205"/>
      <c r="R192" s="205"/>
      <c r="S192" s="17"/>
      <c r="T192" s="17"/>
    </row>
    <row r="193">
      <c r="A193" s="341"/>
      <c r="B193" s="168"/>
      <c r="C193" s="341"/>
      <c r="D193" s="181"/>
      <c r="E193" s="341"/>
      <c r="F193" s="168"/>
      <c r="G193" s="341"/>
      <c r="H193" s="168"/>
      <c r="I193" s="348"/>
      <c r="J193" s="181"/>
      <c r="K193" s="348"/>
      <c r="L193" s="181"/>
      <c r="M193" s="348"/>
      <c r="N193" s="181"/>
      <c r="O193" s="341"/>
      <c r="P193" s="168"/>
      <c r="Q193" s="205"/>
      <c r="R193" s="205"/>
      <c r="S193" s="17"/>
      <c r="T193" s="17"/>
    </row>
    <row r="194">
      <c r="A194" s="341"/>
      <c r="B194" s="168"/>
      <c r="C194" s="341"/>
      <c r="D194" s="181"/>
      <c r="E194" s="341"/>
      <c r="F194" s="168"/>
      <c r="G194" s="341"/>
      <c r="H194" s="168"/>
      <c r="I194" s="348"/>
      <c r="J194" s="181"/>
      <c r="K194" s="348"/>
      <c r="L194" s="181"/>
      <c r="M194" s="348"/>
      <c r="N194" s="181"/>
      <c r="O194" s="341"/>
      <c r="P194" s="168"/>
      <c r="Q194" s="205"/>
      <c r="R194" s="205"/>
      <c r="S194" s="17"/>
      <c r="T194" s="17"/>
    </row>
    <row r="195">
      <c r="A195" s="341"/>
      <c r="B195" s="168"/>
      <c r="C195" s="341"/>
      <c r="D195" s="181"/>
      <c r="E195" s="341"/>
      <c r="F195" s="168"/>
      <c r="G195" s="341"/>
      <c r="H195" s="168"/>
      <c r="I195" s="348"/>
      <c r="J195" s="181"/>
      <c r="K195" s="348"/>
      <c r="L195" s="181"/>
      <c r="M195" s="348"/>
      <c r="N195" s="181"/>
      <c r="O195" s="341"/>
      <c r="P195" s="168"/>
      <c r="Q195" s="205"/>
      <c r="R195" s="205"/>
      <c r="S195" s="17"/>
      <c r="T195" s="17"/>
    </row>
    <row r="196">
      <c r="A196" s="341"/>
      <c r="B196" s="168"/>
      <c r="C196" s="341"/>
      <c r="D196" s="181"/>
      <c r="E196" s="341"/>
      <c r="F196" s="168"/>
      <c r="G196" s="341"/>
      <c r="H196" s="168"/>
      <c r="I196" s="348"/>
      <c r="J196" s="181"/>
      <c r="K196" s="348"/>
      <c r="L196" s="181"/>
      <c r="M196" s="348"/>
      <c r="N196" s="181"/>
      <c r="O196" s="341"/>
      <c r="P196" s="168"/>
      <c r="Q196" s="205"/>
      <c r="R196" s="205"/>
      <c r="S196" s="17"/>
      <c r="T196" s="17"/>
    </row>
    <row r="197">
      <c r="A197" s="341"/>
      <c r="B197" s="168"/>
      <c r="C197" s="341"/>
      <c r="D197" s="181"/>
      <c r="E197" s="341"/>
      <c r="F197" s="168"/>
      <c r="G197" s="341"/>
      <c r="H197" s="168"/>
      <c r="I197" s="348"/>
      <c r="J197" s="181"/>
      <c r="K197" s="348"/>
      <c r="L197" s="181"/>
      <c r="M197" s="348"/>
      <c r="N197" s="181"/>
      <c r="O197" s="341"/>
      <c r="P197" s="168"/>
      <c r="Q197" s="205"/>
      <c r="R197" s="205"/>
      <c r="S197" s="17"/>
      <c r="T197" s="17"/>
    </row>
    <row r="198">
      <c r="A198" s="341"/>
      <c r="B198" s="168"/>
      <c r="C198" s="341"/>
      <c r="D198" s="181"/>
      <c r="E198" s="341"/>
      <c r="F198" s="168"/>
      <c r="G198" s="341"/>
      <c r="H198" s="168"/>
      <c r="I198" s="348"/>
      <c r="J198" s="181"/>
      <c r="K198" s="348"/>
      <c r="L198" s="181"/>
      <c r="M198" s="348"/>
      <c r="N198" s="181"/>
      <c r="O198" s="341"/>
      <c r="P198" s="168"/>
      <c r="Q198" s="205"/>
      <c r="R198" s="205"/>
      <c r="S198" s="17"/>
      <c r="T198" s="17"/>
    </row>
    <row r="199">
      <c r="A199" s="341"/>
      <c r="B199" s="168"/>
      <c r="C199" s="341"/>
      <c r="D199" s="181"/>
      <c r="E199" s="341"/>
      <c r="F199" s="168"/>
      <c r="G199" s="341"/>
      <c r="H199" s="168"/>
      <c r="I199" s="348"/>
      <c r="J199" s="181"/>
      <c r="K199" s="348"/>
      <c r="L199" s="181"/>
      <c r="M199" s="348"/>
      <c r="N199" s="181"/>
      <c r="O199" s="341"/>
      <c r="P199" s="168"/>
      <c r="Q199" s="205"/>
      <c r="R199" s="205"/>
      <c r="S199" s="17"/>
      <c r="T199" s="17"/>
    </row>
    <row r="200">
      <c r="A200" s="341"/>
      <c r="B200" s="168"/>
      <c r="C200" s="341"/>
      <c r="D200" s="181"/>
      <c r="E200" s="341"/>
      <c r="F200" s="168"/>
      <c r="G200" s="341"/>
      <c r="H200" s="168"/>
      <c r="I200" s="348"/>
      <c r="J200" s="181"/>
      <c r="K200" s="348"/>
      <c r="L200" s="181"/>
      <c r="M200" s="348"/>
      <c r="N200" s="181"/>
      <c r="O200" s="341"/>
      <c r="P200" s="168"/>
      <c r="Q200" s="205"/>
      <c r="R200" s="205"/>
      <c r="S200" s="17"/>
      <c r="T200" s="17"/>
    </row>
    <row r="201">
      <c r="A201" s="341"/>
      <c r="B201" s="168"/>
      <c r="C201" s="341"/>
      <c r="D201" s="181"/>
      <c r="E201" s="341"/>
      <c r="F201" s="168"/>
      <c r="G201" s="341"/>
      <c r="H201" s="168"/>
      <c r="I201" s="348"/>
      <c r="J201" s="181"/>
      <c r="K201" s="348"/>
      <c r="L201" s="181"/>
      <c r="M201" s="348"/>
      <c r="N201" s="181"/>
      <c r="O201" s="341"/>
      <c r="P201" s="168"/>
      <c r="Q201" s="205"/>
      <c r="R201" s="205"/>
      <c r="S201" s="17"/>
      <c r="T201" s="17"/>
    </row>
    <row r="202">
      <c r="A202" s="341"/>
      <c r="B202" s="168"/>
      <c r="C202" s="341"/>
      <c r="D202" s="181"/>
      <c r="E202" s="341"/>
      <c r="F202" s="168"/>
      <c r="G202" s="341"/>
      <c r="H202" s="168"/>
      <c r="I202" s="348"/>
      <c r="J202" s="181"/>
      <c r="K202" s="348"/>
      <c r="L202" s="181"/>
      <c r="M202" s="348"/>
      <c r="N202" s="181"/>
      <c r="O202" s="341"/>
      <c r="P202" s="168"/>
      <c r="Q202" s="205"/>
      <c r="R202" s="205"/>
      <c r="S202" s="17"/>
      <c r="T202" s="17"/>
    </row>
    <row r="203">
      <c r="A203" s="341"/>
      <c r="B203" s="168"/>
      <c r="C203" s="341"/>
      <c r="D203" s="181"/>
      <c r="E203" s="341"/>
      <c r="F203" s="168"/>
      <c r="G203" s="341"/>
      <c r="H203" s="168"/>
      <c r="I203" s="348"/>
      <c r="J203" s="181"/>
      <c r="K203" s="348"/>
      <c r="L203" s="181"/>
      <c r="M203" s="348"/>
      <c r="N203" s="181"/>
      <c r="O203" s="341"/>
      <c r="P203" s="168"/>
      <c r="Q203" s="205"/>
      <c r="R203" s="205"/>
      <c r="S203" s="17"/>
      <c r="T203" s="17"/>
    </row>
    <row r="204">
      <c r="A204" s="341"/>
      <c r="B204" s="168"/>
      <c r="C204" s="341"/>
      <c r="D204" s="181"/>
      <c r="E204" s="341"/>
      <c r="F204" s="168"/>
      <c r="G204" s="341"/>
      <c r="H204" s="168"/>
      <c r="I204" s="348"/>
      <c r="J204" s="181"/>
      <c r="K204" s="348"/>
      <c r="L204" s="181"/>
      <c r="M204" s="348"/>
      <c r="N204" s="181"/>
      <c r="O204" s="341"/>
      <c r="P204" s="168"/>
      <c r="Q204" s="205"/>
      <c r="R204" s="205"/>
      <c r="S204" s="17"/>
      <c r="T204" s="17"/>
    </row>
    <row r="205">
      <c r="A205" s="341"/>
      <c r="B205" s="168"/>
      <c r="C205" s="341"/>
      <c r="D205" s="181"/>
      <c r="E205" s="341"/>
      <c r="F205" s="168"/>
      <c r="G205" s="341"/>
      <c r="H205" s="168"/>
      <c r="I205" s="348"/>
      <c r="J205" s="181"/>
      <c r="K205" s="348"/>
      <c r="L205" s="181"/>
      <c r="M205" s="348"/>
      <c r="N205" s="181"/>
      <c r="O205" s="341"/>
      <c r="P205" s="168"/>
      <c r="Q205" s="205"/>
      <c r="R205" s="205"/>
      <c r="S205" s="17"/>
      <c r="T205" s="17"/>
    </row>
    <row r="206">
      <c r="A206" s="341"/>
      <c r="B206" s="168"/>
      <c r="C206" s="341"/>
      <c r="D206" s="181"/>
      <c r="E206" s="341"/>
      <c r="F206" s="168"/>
      <c r="G206" s="341"/>
      <c r="H206" s="168"/>
      <c r="I206" s="348"/>
      <c r="J206" s="181"/>
      <c r="K206" s="348"/>
      <c r="L206" s="181"/>
      <c r="M206" s="348"/>
      <c r="N206" s="181"/>
      <c r="O206" s="341"/>
      <c r="P206" s="168"/>
      <c r="Q206" s="205"/>
      <c r="R206" s="205"/>
      <c r="S206" s="17"/>
      <c r="T206" s="17"/>
    </row>
    <row r="207">
      <c r="A207" s="341"/>
      <c r="B207" s="168"/>
      <c r="C207" s="341"/>
      <c r="D207" s="181"/>
      <c r="E207" s="341"/>
      <c r="F207" s="168"/>
      <c r="G207" s="341"/>
      <c r="H207" s="168"/>
      <c r="I207" s="348"/>
      <c r="J207" s="181"/>
      <c r="K207" s="348"/>
      <c r="L207" s="181"/>
      <c r="M207" s="348"/>
      <c r="N207" s="181"/>
      <c r="O207" s="341"/>
      <c r="P207" s="168"/>
      <c r="Q207" s="205"/>
      <c r="R207" s="205"/>
      <c r="S207" s="17"/>
      <c r="T207" s="17"/>
    </row>
    <row r="208">
      <c r="A208" s="341"/>
      <c r="B208" s="168"/>
      <c r="C208" s="341"/>
      <c r="D208" s="181"/>
      <c r="E208" s="341"/>
      <c r="F208" s="168"/>
      <c r="G208" s="341"/>
      <c r="H208" s="168"/>
      <c r="I208" s="348"/>
      <c r="J208" s="181"/>
      <c r="K208" s="348"/>
      <c r="L208" s="181"/>
      <c r="M208" s="348"/>
      <c r="N208" s="181"/>
      <c r="O208" s="341"/>
      <c r="P208" s="168"/>
      <c r="Q208" s="205"/>
      <c r="R208" s="205"/>
      <c r="S208" s="17"/>
      <c r="T208" s="17"/>
    </row>
    <row r="209">
      <c r="A209" s="341"/>
      <c r="B209" s="168"/>
      <c r="C209" s="341"/>
      <c r="D209" s="181"/>
      <c r="E209" s="341"/>
      <c r="F209" s="168"/>
      <c r="G209" s="341"/>
      <c r="H209" s="168"/>
      <c r="I209" s="348"/>
      <c r="J209" s="181"/>
      <c r="K209" s="348"/>
      <c r="L209" s="181"/>
      <c r="M209" s="348"/>
      <c r="N209" s="181"/>
      <c r="O209" s="341"/>
      <c r="P209" s="168"/>
      <c r="Q209" s="205"/>
      <c r="R209" s="205"/>
      <c r="S209" s="17"/>
      <c r="T209" s="17"/>
    </row>
    <row r="210">
      <c r="A210" s="341"/>
      <c r="B210" s="168"/>
      <c r="C210" s="341"/>
      <c r="D210" s="181"/>
      <c r="E210" s="341"/>
      <c r="F210" s="168"/>
      <c r="G210" s="341"/>
      <c r="H210" s="168"/>
      <c r="I210" s="348"/>
      <c r="J210" s="181"/>
      <c r="K210" s="348"/>
      <c r="L210" s="181"/>
      <c r="M210" s="348"/>
      <c r="N210" s="181"/>
      <c r="O210" s="341"/>
      <c r="P210" s="168"/>
      <c r="Q210" s="205"/>
      <c r="R210" s="205"/>
      <c r="S210" s="17"/>
      <c r="T210" s="17"/>
    </row>
    <row r="211">
      <c r="A211" s="341"/>
      <c r="B211" s="168"/>
      <c r="C211" s="341"/>
      <c r="D211" s="181"/>
      <c r="E211" s="341"/>
      <c r="F211" s="168"/>
      <c r="G211" s="341"/>
      <c r="H211" s="168"/>
      <c r="I211" s="348"/>
      <c r="J211" s="181"/>
      <c r="K211" s="348"/>
      <c r="L211" s="181"/>
      <c r="M211" s="348"/>
      <c r="N211" s="181"/>
      <c r="O211" s="341"/>
      <c r="P211" s="168"/>
      <c r="Q211" s="205"/>
      <c r="R211" s="205"/>
      <c r="S211" s="17"/>
      <c r="T211" s="17"/>
    </row>
    <row r="212">
      <c r="A212" s="341"/>
      <c r="B212" s="168"/>
      <c r="C212" s="341"/>
      <c r="D212" s="181"/>
      <c r="E212" s="341"/>
      <c r="F212" s="168"/>
      <c r="G212" s="341"/>
      <c r="H212" s="168"/>
      <c r="I212" s="348"/>
      <c r="J212" s="181"/>
      <c r="K212" s="348"/>
      <c r="L212" s="181"/>
      <c r="M212" s="348"/>
      <c r="N212" s="181"/>
      <c r="O212" s="341"/>
      <c r="P212" s="168"/>
      <c r="Q212" s="205"/>
      <c r="R212" s="205"/>
      <c r="S212" s="17"/>
      <c r="T212" s="17"/>
    </row>
    <row r="213">
      <c r="A213" s="341"/>
      <c r="B213" s="168"/>
      <c r="C213" s="341"/>
      <c r="D213" s="181"/>
      <c r="E213" s="341"/>
      <c r="F213" s="168"/>
      <c r="G213" s="341"/>
      <c r="H213" s="168"/>
      <c r="I213" s="348"/>
      <c r="J213" s="181"/>
      <c r="K213" s="348"/>
      <c r="L213" s="181"/>
      <c r="M213" s="348"/>
      <c r="N213" s="181"/>
      <c r="O213" s="341"/>
      <c r="P213" s="168"/>
      <c r="Q213" s="205"/>
      <c r="R213" s="205"/>
      <c r="S213" s="17"/>
      <c r="T213" s="17"/>
    </row>
    <row r="214">
      <c r="A214" s="341"/>
      <c r="B214" s="168"/>
      <c r="C214" s="341"/>
      <c r="D214" s="181"/>
      <c r="E214" s="341"/>
      <c r="F214" s="168"/>
      <c r="G214" s="341"/>
      <c r="H214" s="168"/>
      <c r="I214" s="348"/>
      <c r="J214" s="181"/>
      <c r="K214" s="348"/>
      <c r="L214" s="181"/>
      <c r="M214" s="348"/>
      <c r="N214" s="181"/>
      <c r="O214" s="341"/>
      <c r="P214" s="168"/>
      <c r="Q214" s="205"/>
      <c r="R214" s="205"/>
      <c r="S214" s="17"/>
      <c r="T214" s="17"/>
    </row>
    <row r="215">
      <c r="A215" s="341"/>
      <c r="B215" s="168"/>
      <c r="C215" s="341"/>
      <c r="D215" s="181"/>
      <c r="E215" s="341"/>
      <c r="F215" s="168"/>
      <c r="G215" s="341"/>
      <c r="H215" s="168"/>
      <c r="I215" s="348"/>
      <c r="J215" s="181"/>
      <c r="K215" s="348"/>
      <c r="L215" s="181"/>
      <c r="M215" s="348"/>
      <c r="N215" s="181"/>
      <c r="O215" s="341"/>
      <c r="P215" s="168"/>
      <c r="Q215" s="205"/>
      <c r="R215" s="205"/>
      <c r="S215" s="17"/>
      <c r="T215" s="17"/>
    </row>
    <row r="216">
      <c r="A216" s="341"/>
      <c r="B216" s="168"/>
      <c r="C216" s="341"/>
      <c r="D216" s="181"/>
      <c r="E216" s="341"/>
      <c r="F216" s="168"/>
      <c r="G216" s="341"/>
      <c r="H216" s="168"/>
      <c r="I216" s="348"/>
      <c r="J216" s="181"/>
      <c r="K216" s="348"/>
      <c r="L216" s="181"/>
      <c r="M216" s="348"/>
      <c r="N216" s="181"/>
      <c r="O216" s="341"/>
      <c r="P216" s="168"/>
      <c r="Q216" s="205"/>
      <c r="R216" s="205"/>
      <c r="S216" s="17"/>
      <c r="T216" s="17"/>
    </row>
    <row r="217">
      <c r="A217" s="341"/>
      <c r="B217" s="168"/>
      <c r="C217" s="341"/>
      <c r="D217" s="181"/>
      <c r="E217" s="341"/>
      <c r="F217" s="168"/>
      <c r="G217" s="341"/>
      <c r="H217" s="168"/>
      <c r="I217" s="348"/>
      <c r="J217" s="181"/>
      <c r="K217" s="348"/>
      <c r="L217" s="181"/>
      <c r="M217" s="348"/>
      <c r="N217" s="181"/>
      <c r="O217" s="341"/>
      <c r="P217" s="168"/>
      <c r="Q217" s="205"/>
      <c r="R217" s="205"/>
      <c r="S217" s="17"/>
      <c r="T217" s="17"/>
    </row>
    <row r="218">
      <c r="A218" s="341"/>
      <c r="B218" s="168"/>
      <c r="C218" s="341"/>
      <c r="D218" s="181"/>
      <c r="E218" s="341"/>
      <c r="F218" s="168"/>
      <c r="G218" s="341"/>
      <c r="H218" s="168"/>
      <c r="I218" s="348"/>
      <c r="J218" s="181"/>
      <c r="K218" s="348"/>
      <c r="L218" s="181"/>
      <c r="M218" s="348"/>
      <c r="N218" s="181"/>
      <c r="O218" s="341"/>
      <c r="P218" s="168"/>
      <c r="Q218" s="205"/>
      <c r="R218" s="205"/>
      <c r="S218" s="17"/>
      <c r="T218" s="17"/>
    </row>
    <row r="219">
      <c r="A219" s="341"/>
      <c r="B219" s="168"/>
      <c r="C219" s="341"/>
      <c r="D219" s="181"/>
      <c r="E219" s="341"/>
      <c r="F219" s="168"/>
      <c r="G219" s="341"/>
      <c r="H219" s="168"/>
      <c r="I219" s="348"/>
      <c r="J219" s="181"/>
      <c r="K219" s="348"/>
      <c r="L219" s="181"/>
      <c r="M219" s="348"/>
      <c r="N219" s="181"/>
      <c r="O219" s="341"/>
      <c r="P219" s="168"/>
      <c r="Q219" s="205"/>
      <c r="R219" s="205"/>
      <c r="S219" s="17"/>
      <c r="T219" s="17"/>
    </row>
    <row r="220">
      <c r="A220" s="341"/>
      <c r="B220" s="168"/>
      <c r="C220" s="341"/>
      <c r="D220" s="181"/>
      <c r="E220" s="341"/>
      <c r="F220" s="168"/>
      <c r="G220" s="341"/>
      <c r="H220" s="168"/>
      <c r="I220" s="348"/>
      <c r="J220" s="181"/>
      <c r="K220" s="348"/>
      <c r="L220" s="181"/>
      <c r="M220" s="348"/>
      <c r="N220" s="181"/>
      <c r="O220" s="341"/>
      <c r="P220" s="168"/>
      <c r="Q220" s="205"/>
      <c r="R220" s="205"/>
      <c r="S220" s="17"/>
      <c r="T220" s="17"/>
    </row>
    <row r="221">
      <c r="A221" s="341"/>
      <c r="B221" s="168"/>
      <c r="C221" s="341"/>
      <c r="D221" s="181"/>
      <c r="E221" s="341"/>
      <c r="F221" s="168"/>
      <c r="G221" s="341"/>
      <c r="H221" s="168"/>
      <c r="I221" s="348"/>
      <c r="J221" s="181"/>
      <c r="K221" s="348"/>
      <c r="L221" s="181"/>
      <c r="M221" s="348"/>
      <c r="N221" s="181"/>
      <c r="O221" s="341"/>
      <c r="P221" s="168"/>
      <c r="Q221" s="205"/>
      <c r="R221" s="205"/>
      <c r="S221" s="17"/>
      <c r="T221" s="17"/>
    </row>
    <row r="222">
      <c r="A222" s="341"/>
      <c r="B222" s="168"/>
      <c r="C222" s="341"/>
      <c r="D222" s="181"/>
      <c r="E222" s="341"/>
      <c r="F222" s="168"/>
      <c r="G222" s="341"/>
      <c r="H222" s="168"/>
      <c r="I222" s="348"/>
      <c r="J222" s="181"/>
      <c r="K222" s="348"/>
      <c r="L222" s="181"/>
      <c r="M222" s="348"/>
      <c r="N222" s="181"/>
      <c r="O222" s="341"/>
      <c r="P222" s="168"/>
      <c r="Q222" s="205"/>
      <c r="R222" s="205"/>
      <c r="S222" s="17"/>
      <c r="T222" s="17"/>
    </row>
    <row r="223">
      <c r="A223" s="341"/>
      <c r="B223" s="168"/>
      <c r="C223" s="341"/>
      <c r="D223" s="181"/>
      <c r="E223" s="341"/>
      <c r="F223" s="168"/>
      <c r="G223" s="341"/>
      <c r="H223" s="168"/>
      <c r="I223" s="348"/>
      <c r="J223" s="181"/>
      <c r="K223" s="348"/>
      <c r="L223" s="181"/>
      <c r="M223" s="348"/>
      <c r="N223" s="181"/>
      <c r="O223" s="341"/>
      <c r="P223" s="168"/>
      <c r="Q223" s="205"/>
      <c r="R223" s="205"/>
      <c r="S223" s="17"/>
      <c r="T223" s="17"/>
    </row>
    <row r="224">
      <c r="A224" s="341"/>
      <c r="B224" s="168"/>
      <c r="C224" s="341"/>
      <c r="D224" s="181"/>
      <c r="E224" s="341"/>
      <c r="F224" s="168"/>
      <c r="G224" s="341"/>
      <c r="H224" s="168"/>
      <c r="I224" s="348"/>
      <c r="J224" s="181"/>
      <c r="K224" s="348"/>
      <c r="L224" s="181"/>
      <c r="M224" s="348"/>
      <c r="N224" s="181"/>
      <c r="O224" s="341"/>
      <c r="P224" s="168"/>
      <c r="Q224" s="205"/>
      <c r="R224" s="205"/>
      <c r="S224" s="17"/>
      <c r="T224" s="17"/>
    </row>
    <row r="225">
      <c r="A225" s="341"/>
      <c r="B225" s="168"/>
      <c r="C225" s="341"/>
      <c r="D225" s="181"/>
      <c r="E225" s="341"/>
      <c r="F225" s="168"/>
      <c r="G225" s="341"/>
      <c r="H225" s="168"/>
      <c r="I225" s="348"/>
      <c r="J225" s="181"/>
      <c r="K225" s="348"/>
      <c r="L225" s="181"/>
      <c r="M225" s="348"/>
      <c r="N225" s="181"/>
      <c r="O225" s="341"/>
      <c r="P225" s="168"/>
      <c r="Q225" s="205"/>
      <c r="R225" s="205"/>
      <c r="S225" s="17"/>
      <c r="T225" s="17"/>
    </row>
    <row r="226">
      <c r="A226" s="341"/>
      <c r="B226" s="168"/>
      <c r="C226" s="341"/>
      <c r="D226" s="181"/>
      <c r="E226" s="341"/>
      <c r="F226" s="168"/>
      <c r="G226" s="341"/>
      <c r="H226" s="168"/>
      <c r="I226" s="348"/>
      <c r="J226" s="181"/>
      <c r="K226" s="348"/>
      <c r="L226" s="181"/>
      <c r="M226" s="348"/>
      <c r="N226" s="181"/>
      <c r="O226" s="341"/>
      <c r="P226" s="168"/>
      <c r="Q226" s="205"/>
      <c r="R226" s="205"/>
      <c r="S226" s="17"/>
      <c r="T226" s="17"/>
    </row>
    <row r="227">
      <c r="A227" s="341"/>
      <c r="B227" s="168"/>
      <c r="C227" s="341"/>
      <c r="D227" s="181"/>
      <c r="E227" s="341"/>
      <c r="F227" s="168"/>
      <c r="G227" s="341"/>
      <c r="H227" s="168"/>
      <c r="I227" s="348"/>
      <c r="J227" s="181"/>
      <c r="K227" s="348"/>
      <c r="L227" s="181"/>
      <c r="M227" s="348"/>
      <c r="N227" s="181"/>
      <c r="O227" s="341"/>
      <c r="P227" s="168"/>
      <c r="Q227" s="205"/>
      <c r="R227" s="205"/>
      <c r="S227" s="17"/>
      <c r="T227" s="17"/>
    </row>
    <row r="228">
      <c r="A228" s="341"/>
      <c r="B228" s="168"/>
      <c r="C228" s="341"/>
      <c r="D228" s="181"/>
      <c r="E228" s="341"/>
      <c r="F228" s="168"/>
      <c r="G228" s="341"/>
      <c r="H228" s="168"/>
      <c r="I228" s="348"/>
      <c r="J228" s="181"/>
      <c r="K228" s="348"/>
      <c r="L228" s="181"/>
      <c r="M228" s="348"/>
      <c r="N228" s="181"/>
      <c r="O228" s="341"/>
      <c r="P228" s="168"/>
      <c r="Q228" s="205"/>
      <c r="R228" s="205"/>
      <c r="S228" s="17"/>
      <c r="T228" s="17"/>
    </row>
    <row r="229">
      <c r="A229" s="341"/>
      <c r="B229" s="168"/>
      <c r="C229" s="341"/>
      <c r="D229" s="181"/>
      <c r="E229" s="341"/>
      <c r="F229" s="168"/>
      <c r="G229" s="341"/>
      <c r="H229" s="168"/>
      <c r="I229" s="348"/>
      <c r="J229" s="181"/>
      <c r="K229" s="348"/>
      <c r="L229" s="181"/>
      <c r="M229" s="348"/>
      <c r="N229" s="181"/>
      <c r="O229" s="341"/>
      <c r="P229" s="168"/>
      <c r="Q229" s="205"/>
      <c r="R229" s="205"/>
      <c r="S229" s="17"/>
      <c r="T229" s="17"/>
    </row>
    <row r="230">
      <c r="A230" s="341"/>
      <c r="B230" s="168"/>
      <c r="C230" s="341"/>
      <c r="D230" s="181"/>
      <c r="E230" s="341"/>
      <c r="F230" s="168"/>
      <c r="G230" s="341"/>
      <c r="H230" s="168"/>
      <c r="I230" s="348"/>
      <c r="J230" s="181"/>
      <c r="K230" s="348"/>
      <c r="L230" s="181"/>
      <c r="M230" s="348"/>
      <c r="N230" s="181"/>
      <c r="O230" s="341"/>
      <c r="P230" s="168"/>
      <c r="Q230" s="205"/>
      <c r="R230" s="205"/>
      <c r="S230" s="17"/>
      <c r="T230" s="17"/>
    </row>
    <row r="231">
      <c r="A231" s="341"/>
      <c r="B231" s="168"/>
      <c r="C231" s="341"/>
      <c r="D231" s="181"/>
      <c r="E231" s="341"/>
      <c r="F231" s="168"/>
      <c r="G231" s="341"/>
      <c r="H231" s="168"/>
      <c r="I231" s="348"/>
      <c r="J231" s="181"/>
      <c r="K231" s="348"/>
      <c r="L231" s="181"/>
      <c r="M231" s="348"/>
      <c r="N231" s="181"/>
      <c r="O231" s="341"/>
      <c r="P231" s="168"/>
      <c r="Q231" s="205"/>
      <c r="R231" s="205"/>
      <c r="S231" s="17"/>
      <c r="T231" s="17"/>
    </row>
    <row r="232">
      <c r="A232" s="341"/>
      <c r="B232" s="168"/>
      <c r="C232" s="341"/>
      <c r="D232" s="181"/>
      <c r="E232" s="341"/>
      <c r="F232" s="168"/>
      <c r="G232" s="341"/>
      <c r="H232" s="168"/>
      <c r="I232" s="348"/>
      <c r="J232" s="181"/>
      <c r="K232" s="348"/>
      <c r="L232" s="181"/>
      <c r="M232" s="348"/>
      <c r="N232" s="181"/>
      <c r="O232" s="341"/>
      <c r="P232" s="168"/>
      <c r="Q232" s="205"/>
      <c r="R232" s="205"/>
      <c r="S232" s="17"/>
      <c r="T232" s="17"/>
    </row>
    <row r="233">
      <c r="A233" s="341"/>
      <c r="B233" s="168"/>
      <c r="C233" s="341"/>
      <c r="D233" s="181"/>
      <c r="E233" s="341"/>
      <c r="F233" s="168"/>
      <c r="G233" s="341"/>
      <c r="H233" s="168"/>
      <c r="I233" s="348"/>
      <c r="J233" s="181"/>
      <c r="K233" s="348"/>
      <c r="L233" s="181"/>
      <c r="M233" s="348"/>
      <c r="N233" s="181"/>
      <c r="O233" s="341"/>
      <c r="P233" s="168"/>
      <c r="Q233" s="205"/>
      <c r="R233" s="205"/>
      <c r="S233" s="17"/>
      <c r="T233" s="17"/>
    </row>
    <row r="234">
      <c r="A234" s="341"/>
      <c r="B234" s="168"/>
      <c r="C234" s="341"/>
      <c r="D234" s="181"/>
      <c r="E234" s="341"/>
      <c r="F234" s="168"/>
      <c r="G234" s="341"/>
      <c r="H234" s="168"/>
      <c r="I234" s="348"/>
      <c r="J234" s="181"/>
      <c r="K234" s="348"/>
      <c r="L234" s="181"/>
      <c r="M234" s="348"/>
      <c r="N234" s="181"/>
      <c r="O234" s="341"/>
      <c r="P234" s="168"/>
      <c r="Q234" s="205"/>
      <c r="R234" s="205"/>
      <c r="S234" s="17"/>
      <c r="T234" s="17"/>
    </row>
    <row r="235">
      <c r="A235" s="341"/>
      <c r="B235" s="168"/>
      <c r="C235" s="341"/>
      <c r="D235" s="181"/>
      <c r="E235" s="341"/>
      <c r="F235" s="168"/>
      <c r="G235" s="341"/>
      <c r="H235" s="168"/>
      <c r="I235" s="348"/>
      <c r="J235" s="181"/>
      <c r="K235" s="348"/>
      <c r="L235" s="181"/>
      <c r="M235" s="348"/>
      <c r="N235" s="181"/>
      <c r="O235" s="341"/>
      <c r="P235" s="168"/>
      <c r="Q235" s="205"/>
      <c r="R235" s="205"/>
      <c r="S235" s="17"/>
      <c r="T235" s="17"/>
    </row>
    <row r="236">
      <c r="A236" s="341"/>
      <c r="B236" s="168"/>
      <c r="C236" s="341"/>
      <c r="D236" s="181"/>
      <c r="E236" s="341"/>
      <c r="F236" s="168"/>
      <c r="G236" s="341"/>
      <c r="H236" s="168"/>
      <c r="I236" s="348"/>
      <c r="J236" s="181"/>
      <c r="K236" s="348"/>
      <c r="L236" s="181"/>
      <c r="M236" s="348"/>
      <c r="N236" s="181"/>
      <c r="O236" s="341"/>
      <c r="P236" s="168"/>
      <c r="Q236" s="205"/>
      <c r="R236" s="205"/>
      <c r="S236" s="17"/>
      <c r="T236" s="17"/>
    </row>
    <row r="237">
      <c r="A237" s="341"/>
      <c r="B237" s="168"/>
      <c r="C237" s="341"/>
      <c r="D237" s="181"/>
      <c r="E237" s="341"/>
      <c r="F237" s="168"/>
      <c r="G237" s="341"/>
      <c r="H237" s="168"/>
      <c r="I237" s="348"/>
      <c r="J237" s="181"/>
      <c r="K237" s="348"/>
      <c r="L237" s="181"/>
      <c r="M237" s="348"/>
      <c r="N237" s="181"/>
      <c r="O237" s="341"/>
      <c r="P237" s="168"/>
      <c r="Q237" s="205"/>
      <c r="R237" s="205"/>
      <c r="S237" s="17"/>
      <c r="T237" s="17"/>
    </row>
    <row r="238">
      <c r="A238" s="341"/>
      <c r="B238" s="168"/>
      <c r="C238" s="341"/>
      <c r="D238" s="181"/>
      <c r="E238" s="341"/>
      <c r="F238" s="168"/>
      <c r="G238" s="341"/>
      <c r="H238" s="168"/>
      <c r="I238" s="348"/>
      <c r="J238" s="181"/>
      <c r="K238" s="348"/>
      <c r="L238" s="181"/>
      <c r="M238" s="348"/>
      <c r="N238" s="181"/>
      <c r="O238" s="341"/>
      <c r="P238" s="168"/>
      <c r="Q238" s="205"/>
      <c r="R238" s="205"/>
      <c r="S238" s="17"/>
      <c r="T238" s="17"/>
    </row>
    <row r="239">
      <c r="A239" s="341"/>
      <c r="B239" s="168"/>
      <c r="C239" s="341"/>
      <c r="D239" s="181"/>
      <c r="E239" s="341"/>
      <c r="F239" s="168"/>
      <c r="G239" s="341"/>
      <c r="H239" s="168"/>
      <c r="I239" s="348"/>
      <c r="J239" s="181"/>
      <c r="K239" s="348"/>
      <c r="L239" s="181"/>
      <c r="M239" s="348"/>
      <c r="N239" s="181"/>
      <c r="O239" s="341"/>
      <c r="P239" s="168"/>
      <c r="Q239" s="205"/>
      <c r="R239" s="205"/>
      <c r="S239" s="17"/>
      <c r="T239" s="17"/>
    </row>
    <row r="240">
      <c r="A240" s="341"/>
      <c r="B240" s="168"/>
      <c r="C240" s="341"/>
      <c r="D240" s="181"/>
      <c r="E240" s="341"/>
      <c r="F240" s="168"/>
      <c r="G240" s="341"/>
      <c r="H240" s="168"/>
      <c r="I240" s="348"/>
      <c r="J240" s="181"/>
      <c r="K240" s="348"/>
      <c r="L240" s="181"/>
      <c r="M240" s="348"/>
      <c r="N240" s="181"/>
      <c r="O240" s="341"/>
      <c r="P240" s="168"/>
      <c r="Q240" s="205"/>
      <c r="R240" s="205"/>
      <c r="S240" s="17"/>
      <c r="T240" s="17"/>
    </row>
    <row r="241">
      <c r="A241" s="341"/>
      <c r="B241" s="168"/>
      <c r="C241" s="341"/>
      <c r="D241" s="181"/>
      <c r="E241" s="341"/>
      <c r="F241" s="168"/>
      <c r="G241" s="341"/>
      <c r="H241" s="168"/>
      <c r="I241" s="348"/>
      <c r="J241" s="181"/>
      <c r="K241" s="348"/>
      <c r="L241" s="181"/>
      <c r="M241" s="348"/>
      <c r="N241" s="181"/>
      <c r="O241" s="341"/>
      <c r="P241" s="168"/>
      <c r="Q241" s="205"/>
      <c r="R241" s="205"/>
      <c r="S241" s="17"/>
      <c r="T241" s="17"/>
    </row>
    <row r="242">
      <c r="A242" s="341"/>
      <c r="B242" s="168"/>
      <c r="C242" s="341"/>
      <c r="D242" s="181"/>
      <c r="E242" s="341"/>
      <c r="F242" s="168"/>
      <c r="G242" s="341"/>
      <c r="H242" s="168"/>
      <c r="I242" s="348"/>
      <c r="J242" s="181"/>
      <c r="K242" s="348"/>
      <c r="L242" s="181"/>
      <c r="M242" s="348"/>
      <c r="N242" s="181"/>
      <c r="O242" s="341"/>
      <c r="P242" s="168"/>
      <c r="Q242" s="205"/>
      <c r="R242" s="205"/>
      <c r="S242" s="17"/>
      <c r="T242" s="17"/>
    </row>
    <row r="243">
      <c r="A243" s="341"/>
      <c r="B243" s="168"/>
      <c r="C243" s="341"/>
      <c r="D243" s="181"/>
      <c r="E243" s="341"/>
      <c r="F243" s="168"/>
      <c r="G243" s="341"/>
      <c r="H243" s="168"/>
      <c r="I243" s="348"/>
      <c r="J243" s="181"/>
      <c r="K243" s="348"/>
      <c r="L243" s="181"/>
      <c r="M243" s="348"/>
      <c r="N243" s="181"/>
      <c r="O243" s="341"/>
      <c r="P243" s="168"/>
      <c r="Q243" s="205"/>
      <c r="R243" s="205"/>
      <c r="S243" s="17"/>
      <c r="T243" s="17"/>
    </row>
    <row r="244">
      <c r="A244" s="341"/>
      <c r="B244" s="168"/>
      <c r="C244" s="341"/>
      <c r="D244" s="181"/>
      <c r="E244" s="341"/>
      <c r="F244" s="168"/>
      <c r="G244" s="341"/>
      <c r="H244" s="168"/>
      <c r="I244" s="348"/>
      <c r="J244" s="181"/>
      <c r="K244" s="348"/>
      <c r="L244" s="181"/>
      <c r="M244" s="348"/>
      <c r="N244" s="181"/>
      <c r="O244" s="341"/>
      <c r="P244" s="168"/>
      <c r="Q244" s="205"/>
      <c r="R244" s="205"/>
      <c r="S244" s="17"/>
      <c r="T244" s="17"/>
    </row>
    <row r="245">
      <c r="A245" s="341"/>
      <c r="B245" s="168"/>
      <c r="C245" s="341"/>
      <c r="D245" s="181"/>
      <c r="E245" s="341"/>
      <c r="F245" s="168"/>
      <c r="G245" s="341"/>
      <c r="H245" s="168"/>
      <c r="I245" s="348"/>
      <c r="J245" s="181"/>
      <c r="K245" s="348"/>
      <c r="L245" s="181"/>
      <c r="M245" s="348"/>
      <c r="N245" s="181"/>
      <c r="O245" s="341"/>
      <c r="P245" s="168"/>
      <c r="Q245" s="205"/>
      <c r="R245" s="205"/>
      <c r="S245" s="17"/>
      <c r="T245" s="17"/>
    </row>
    <row r="246">
      <c r="A246" s="341"/>
      <c r="B246" s="168"/>
      <c r="C246" s="341"/>
      <c r="D246" s="181"/>
      <c r="E246" s="341"/>
      <c r="F246" s="168"/>
      <c r="G246" s="341"/>
      <c r="H246" s="168"/>
      <c r="I246" s="348"/>
      <c r="J246" s="181"/>
      <c r="K246" s="348"/>
      <c r="L246" s="181"/>
      <c r="M246" s="348"/>
      <c r="N246" s="181"/>
      <c r="O246" s="341"/>
      <c r="P246" s="168"/>
      <c r="Q246" s="205"/>
      <c r="R246" s="205"/>
      <c r="S246" s="17"/>
      <c r="T246" s="17"/>
    </row>
    <row r="247">
      <c r="A247" s="341"/>
      <c r="B247" s="168"/>
      <c r="C247" s="341"/>
      <c r="D247" s="181"/>
      <c r="E247" s="341"/>
      <c r="F247" s="168"/>
      <c r="G247" s="341"/>
      <c r="H247" s="168"/>
      <c r="I247" s="348"/>
      <c r="J247" s="181"/>
      <c r="K247" s="348"/>
      <c r="L247" s="181"/>
      <c r="M247" s="348"/>
      <c r="N247" s="181"/>
      <c r="O247" s="341"/>
      <c r="P247" s="168"/>
      <c r="Q247" s="205"/>
      <c r="R247" s="205"/>
      <c r="S247" s="17"/>
      <c r="T247" s="17"/>
    </row>
    <row r="248">
      <c r="A248" s="341"/>
      <c r="B248" s="168"/>
      <c r="C248" s="341"/>
      <c r="D248" s="181"/>
      <c r="E248" s="341"/>
      <c r="F248" s="168"/>
      <c r="G248" s="341"/>
      <c r="H248" s="168"/>
      <c r="I248" s="348"/>
      <c r="J248" s="181"/>
      <c r="K248" s="348"/>
      <c r="L248" s="181"/>
      <c r="M248" s="348"/>
      <c r="N248" s="181"/>
      <c r="O248" s="341"/>
      <c r="P248" s="168"/>
      <c r="Q248" s="205"/>
      <c r="R248" s="205"/>
      <c r="S248" s="17"/>
      <c r="T248" s="17"/>
    </row>
    <row r="249">
      <c r="A249" s="341"/>
      <c r="B249" s="168"/>
      <c r="C249" s="341"/>
      <c r="D249" s="181"/>
      <c r="E249" s="341"/>
      <c r="F249" s="168"/>
      <c r="G249" s="341"/>
      <c r="H249" s="168"/>
      <c r="I249" s="348"/>
      <c r="J249" s="181"/>
      <c r="K249" s="348"/>
      <c r="L249" s="181"/>
      <c r="M249" s="348"/>
      <c r="N249" s="181"/>
      <c r="O249" s="341"/>
      <c r="P249" s="168"/>
      <c r="Q249" s="205"/>
      <c r="R249" s="205"/>
      <c r="S249" s="17"/>
      <c r="T249" s="17"/>
    </row>
    <row r="250">
      <c r="A250" s="341"/>
      <c r="B250" s="168"/>
      <c r="C250" s="341"/>
      <c r="D250" s="181"/>
      <c r="E250" s="341"/>
      <c r="F250" s="168"/>
      <c r="G250" s="341"/>
      <c r="H250" s="168"/>
      <c r="I250" s="348"/>
      <c r="J250" s="181"/>
      <c r="K250" s="348"/>
      <c r="L250" s="181"/>
      <c r="M250" s="348"/>
      <c r="N250" s="181"/>
      <c r="O250" s="341"/>
      <c r="P250" s="168"/>
      <c r="Q250" s="205"/>
      <c r="R250" s="205"/>
      <c r="S250" s="17"/>
      <c r="T250" s="17"/>
    </row>
    <row r="251">
      <c r="A251" s="341"/>
      <c r="B251" s="168"/>
      <c r="C251" s="341"/>
      <c r="D251" s="181"/>
      <c r="E251" s="341"/>
      <c r="F251" s="168"/>
      <c r="G251" s="341"/>
      <c r="H251" s="168"/>
      <c r="I251" s="348"/>
      <c r="J251" s="181"/>
      <c r="K251" s="348"/>
      <c r="L251" s="181"/>
      <c r="M251" s="348"/>
      <c r="N251" s="181"/>
      <c r="O251" s="341"/>
      <c r="P251" s="168"/>
      <c r="Q251" s="205"/>
      <c r="R251" s="205"/>
      <c r="S251" s="17"/>
      <c r="T251" s="17"/>
    </row>
    <row r="252">
      <c r="A252" s="341"/>
      <c r="B252" s="168"/>
      <c r="C252" s="341"/>
      <c r="D252" s="181"/>
      <c r="E252" s="341"/>
      <c r="F252" s="168"/>
      <c r="G252" s="341"/>
      <c r="H252" s="168"/>
      <c r="I252" s="348"/>
      <c r="J252" s="181"/>
      <c r="K252" s="348"/>
      <c r="L252" s="181"/>
      <c r="M252" s="348"/>
      <c r="N252" s="181"/>
      <c r="O252" s="341"/>
      <c r="P252" s="168"/>
      <c r="Q252" s="205"/>
      <c r="R252" s="205"/>
      <c r="S252" s="17"/>
      <c r="T252" s="17"/>
    </row>
    <row r="253">
      <c r="A253" s="341"/>
      <c r="B253" s="168"/>
      <c r="C253" s="341"/>
      <c r="D253" s="181"/>
      <c r="E253" s="341"/>
      <c r="F253" s="168"/>
      <c r="G253" s="341"/>
      <c r="H253" s="168"/>
      <c r="I253" s="348"/>
      <c r="J253" s="181"/>
      <c r="K253" s="348"/>
      <c r="L253" s="181"/>
      <c r="M253" s="348"/>
      <c r="N253" s="181"/>
      <c r="O253" s="341"/>
      <c r="P253" s="168"/>
      <c r="Q253" s="205"/>
      <c r="R253" s="205"/>
      <c r="S253" s="17"/>
      <c r="T253" s="17"/>
    </row>
    <row r="254">
      <c r="A254" s="341"/>
      <c r="B254" s="168"/>
      <c r="C254" s="341"/>
      <c r="D254" s="181"/>
      <c r="E254" s="341"/>
      <c r="F254" s="168"/>
      <c r="G254" s="341"/>
      <c r="H254" s="168"/>
      <c r="I254" s="348"/>
      <c r="J254" s="181"/>
      <c r="K254" s="348"/>
      <c r="L254" s="181"/>
      <c r="M254" s="348"/>
      <c r="N254" s="181"/>
      <c r="O254" s="341"/>
      <c r="P254" s="168"/>
      <c r="Q254" s="205"/>
      <c r="R254" s="205"/>
      <c r="S254" s="17"/>
      <c r="T254" s="17"/>
    </row>
    <row r="255">
      <c r="A255" s="341"/>
      <c r="B255" s="168"/>
      <c r="C255" s="341"/>
      <c r="D255" s="181"/>
      <c r="E255" s="341"/>
      <c r="F255" s="168"/>
      <c r="G255" s="341"/>
      <c r="H255" s="168"/>
      <c r="I255" s="348"/>
      <c r="J255" s="181"/>
      <c r="K255" s="348"/>
      <c r="L255" s="181"/>
      <c r="M255" s="348"/>
      <c r="N255" s="181"/>
      <c r="O255" s="341"/>
      <c r="P255" s="168"/>
      <c r="Q255" s="205"/>
      <c r="R255" s="205"/>
      <c r="S255" s="17"/>
      <c r="T255" s="17"/>
    </row>
    <row r="256">
      <c r="A256" s="341"/>
      <c r="B256" s="168"/>
      <c r="C256" s="341"/>
      <c r="D256" s="181"/>
      <c r="E256" s="341"/>
      <c r="F256" s="168"/>
      <c r="G256" s="341"/>
      <c r="H256" s="168"/>
      <c r="I256" s="348"/>
      <c r="J256" s="181"/>
      <c r="K256" s="348"/>
      <c r="L256" s="181"/>
      <c r="M256" s="348"/>
      <c r="N256" s="181"/>
      <c r="O256" s="341"/>
      <c r="P256" s="168"/>
      <c r="Q256" s="205"/>
      <c r="R256" s="205"/>
      <c r="S256" s="17"/>
      <c r="T256" s="17"/>
    </row>
    <row r="257">
      <c r="A257" s="341"/>
      <c r="B257" s="168"/>
      <c r="C257" s="341"/>
      <c r="D257" s="181"/>
      <c r="E257" s="341"/>
      <c r="F257" s="168"/>
      <c r="G257" s="341"/>
      <c r="H257" s="168"/>
      <c r="I257" s="348"/>
      <c r="J257" s="181"/>
      <c r="K257" s="348"/>
      <c r="L257" s="181"/>
      <c r="M257" s="348"/>
      <c r="N257" s="181"/>
      <c r="O257" s="341"/>
      <c r="P257" s="168"/>
      <c r="Q257" s="205"/>
      <c r="R257" s="205"/>
      <c r="S257" s="17"/>
      <c r="T257" s="17"/>
    </row>
    <row r="258">
      <c r="A258" s="341"/>
      <c r="B258" s="168"/>
      <c r="C258" s="341"/>
      <c r="D258" s="181"/>
      <c r="E258" s="341"/>
      <c r="F258" s="168"/>
      <c r="G258" s="341"/>
      <c r="H258" s="168"/>
      <c r="I258" s="348"/>
      <c r="J258" s="181"/>
      <c r="K258" s="348"/>
      <c r="L258" s="181"/>
      <c r="M258" s="348"/>
      <c r="N258" s="181"/>
      <c r="O258" s="341"/>
      <c r="P258" s="168"/>
      <c r="Q258" s="205"/>
      <c r="R258" s="205"/>
      <c r="S258" s="17"/>
      <c r="T258" s="17"/>
    </row>
    <row r="259">
      <c r="A259" s="341"/>
      <c r="B259" s="168"/>
      <c r="C259" s="341"/>
      <c r="D259" s="181"/>
      <c r="E259" s="341"/>
      <c r="F259" s="168"/>
      <c r="G259" s="341"/>
      <c r="H259" s="168"/>
      <c r="I259" s="348"/>
      <c r="J259" s="181"/>
      <c r="K259" s="348"/>
      <c r="L259" s="181"/>
      <c r="M259" s="348"/>
      <c r="N259" s="181"/>
      <c r="O259" s="341"/>
      <c r="P259" s="168"/>
      <c r="Q259" s="205"/>
      <c r="R259" s="205"/>
      <c r="S259" s="17"/>
      <c r="T259" s="17"/>
    </row>
    <row r="260">
      <c r="A260" s="341"/>
      <c r="B260" s="168"/>
      <c r="C260" s="341"/>
      <c r="D260" s="181"/>
      <c r="E260" s="341"/>
      <c r="F260" s="168"/>
      <c r="G260" s="341"/>
      <c r="H260" s="168"/>
      <c r="I260" s="348"/>
      <c r="J260" s="181"/>
      <c r="K260" s="348"/>
      <c r="L260" s="181"/>
      <c r="M260" s="348"/>
      <c r="N260" s="181"/>
      <c r="O260" s="341"/>
      <c r="P260" s="168"/>
      <c r="Q260" s="205"/>
      <c r="R260" s="205"/>
      <c r="S260" s="17"/>
      <c r="T260" s="17"/>
    </row>
    <row r="261">
      <c r="A261" s="341"/>
      <c r="B261" s="168"/>
      <c r="C261" s="341"/>
      <c r="D261" s="181"/>
      <c r="E261" s="341"/>
      <c r="F261" s="168"/>
      <c r="G261" s="341"/>
      <c r="H261" s="168"/>
      <c r="I261" s="348"/>
      <c r="J261" s="181"/>
      <c r="K261" s="348"/>
      <c r="L261" s="181"/>
      <c r="M261" s="348"/>
      <c r="N261" s="181"/>
      <c r="O261" s="341"/>
      <c r="P261" s="168"/>
      <c r="Q261" s="205"/>
      <c r="R261" s="205"/>
      <c r="S261" s="17"/>
      <c r="T261" s="17"/>
    </row>
    <row r="262">
      <c r="A262" s="341"/>
      <c r="B262" s="168"/>
      <c r="C262" s="341"/>
      <c r="D262" s="181"/>
      <c r="E262" s="341"/>
      <c r="F262" s="168"/>
      <c r="G262" s="341"/>
      <c r="H262" s="168"/>
      <c r="I262" s="348"/>
      <c r="J262" s="181"/>
      <c r="K262" s="348"/>
      <c r="L262" s="181"/>
      <c r="M262" s="348"/>
      <c r="N262" s="181"/>
      <c r="O262" s="341"/>
      <c r="P262" s="168"/>
      <c r="Q262" s="205"/>
      <c r="R262" s="205"/>
      <c r="S262" s="17"/>
      <c r="T262" s="17"/>
    </row>
    <row r="263">
      <c r="A263" s="341"/>
      <c r="B263" s="168"/>
      <c r="C263" s="341"/>
      <c r="D263" s="181"/>
      <c r="E263" s="341"/>
      <c r="F263" s="168"/>
      <c r="G263" s="341"/>
      <c r="H263" s="168"/>
      <c r="I263" s="348"/>
      <c r="J263" s="181"/>
      <c r="K263" s="348"/>
      <c r="L263" s="181"/>
      <c r="M263" s="348"/>
      <c r="N263" s="181"/>
      <c r="O263" s="341"/>
      <c r="P263" s="168"/>
      <c r="Q263" s="205"/>
      <c r="R263" s="205"/>
      <c r="S263" s="17"/>
      <c r="T263" s="17"/>
    </row>
    <row r="264">
      <c r="A264" s="341"/>
      <c r="B264" s="168"/>
      <c r="C264" s="341"/>
      <c r="D264" s="181"/>
      <c r="E264" s="341"/>
      <c r="F264" s="168"/>
      <c r="G264" s="341"/>
      <c r="H264" s="168"/>
      <c r="I264" s="348"/>
      <c r="J264" s="181"/>
      <c r="K264" s="348"/>
      <c r="L264" s="181"/>
      <c r="M264" s="348"/>
      <c r="N264" s="181"/>
      <c r="O264" s="341"/>
      <c r="P264" s="168"/>
      <c r="Q264" s="205"/>
      <c r="R264" s="205"/>
      <c r="S264" s="17"/>
      <c r="T264" s="17"/>
    </row>
    <row r="265">
      <c r="A265" s="341"/>
      <c r="B265" s="168"/>
      <c r="C265" s="341"/>
      <c r="D265" s="181"/>
      <c r="E265" s="341"/>
      <c r="F265" s="168"/>
      <c r="G265" s="341"/>
      <c r="H265" s="168"/>
      <c r="I265" s="348"/>
      <c r="J265" s="181"/>
      <c r="K265" s="348"/>
      <c r="L265" s="181"/>
      <c r="M265" s="348"/>
      <c r="N265" s="181"/>
      <c r="O265" s="341"/>
      <c r="P265" s="168"/>
      <c r="Q265" s="205"/>
      <c r="R265" s="205"/>
      <c r="S265" s="17"/>
      <c r="T265" s="17"/>
    </row>
    <row r="266">
      <c r="A266" s="341"/>
      <c r="B266" s="168"/>
      <c r="C266" s="341"/>
      <c r="D266" s="181"/>
      <c r="E266" s="341"/>
      <c r="F266" s="168"/>
      <c r="G266" s="341"/>
      <c r="H266" s="168"/>
      <c r="I266" s="348"/>
      <c r="J266" s="181"/>
      <c r="K266" s="348"/>
      <c r="L266" s="181"/>
      <c r="M266" s="348"/>
      <c r="N266" s="181"/>
      <c r="O266" s="341"/>
      <c r="P266" s="168"/>
      <c r="Q266" s="205"/>
      <c r="R266" s="205"/>
      <c r="S266" s="17"/>
      <c r="T266" s="17"/>
    </row>
    <row r="267">
      <c r="A267" s="341"/>
      <c r="B267" s="168"/>
      <c r="C267" s="341"/>
      <c r="D267" s="181"/>
      <c r="E267" s="341"/>
      <c r="F267" s="168"/>
      <c r="G267" s="341"/>
      <c r="H267" s="168"/>
      <c r="I267" s="348"/>
      <c r="J267" s="181"/>
      <c r="K267" s="348"/>
      <c r="L267" s="181"/>
      <c r="M267" s="348"/>
      <c r="N267" s="181"/>
      <c r="O267" s="341"/>
      <c r="P267" s="168"/>
      <c r="Q267" s="205"/>
      <c r="R267" s="205"/>
      <c r="S267" s="17"/>
      <c r="T267" s="17"/>
    </row>
    <row r="268">
      <c r="A268" s="341"/>
      <c r="B268" s="168"/>
      <c r="C268" s="341"/>
      <c r="D268" s="181"/>
      <c r="E268" s="341"/>
      <c r="F268" s="168"/>
      <c r="G268" s="341"/>
      <c r="H268" s="168"/>
      <c r="I268" s="348"/>
      <c r="J268" s="181"/>
      <c r="K268" s="348"/>
      <c r="L268" s="181"/>
      <c r="M268" s="348"/>
      <c r="N268" s="181"/>
      <c r="O268" s="341"/>
      <c r="P268" s="168"/>
      <c r="Q268" s="205"/>
      <c r="R268" s="205"/>
      <c r="S268" s="17"/>
      <c r="T268" s="17"/>
    </row>
    <row r="269">
      <c r="A269" s="341"/>
      <c r="B269" s="168"/>
      <c r="C269" s="341"/>
      <c r="D269" s="181"/>
      <c r="E269" s="341"/>
      <c r="F269" s="168"/>
      <c r="G269" s="341"/>
      <c r="H269" s="168"/>
      <c r="I269" s="348"/>
      <c r="J269" s="181"/>
      <c r="K269" s="348"/>
      <c r="L269" s="181"/>
      <c r="M269" s="348"/>
      <c r="N269" s="181"/>
      <c r="O269" s="341"/>
      <c r="P269" s="168"/>
      <c r="Q269" s="205"/>
      <c r="R269" s="205"/>
      <c r="S269" s="17"/>
      <c r="T269" s="17"/>
    </row>
    <row r="270">
      <c r="A270" s="341"/>
      <c r="B270" s="168"/>
      <c r="C270" s="341"/>
      <c r="D270" s="181"/>
      <c r="E270" s="341"/>
      <c r="F270" s="168"/>
      <c r="G270" s="341"/>
      <c r="H270" s="168"/>
      <c r="I270" s="348"/>
      <c r="J270" s="181"/>
      <c r="K270" s="348"/>
      <c r="L270" s="181"/>
      <c r="M270" s="348"/>
      <c r="N270" s="181"/>
      <c r="O270" s="341"/>
      <c r="P270" s="168"/>
      <c r="Q270" s="205"/>
      <c r="R270" s="205"/>
      <c r="S270" s="17"/>
      <c r="T270" s="17"/>
    </row>
    <row r="271">
      <c r="A271" s="341"/>
      <c r="B271" s="168"/>
      <c r="C271" s="341"/>
      <c r="D271" s="181"/>
      <c r="E271" s="341"/>
      <c r="F271" s="168"/>
      <c r="G271" s="341"/>
      <c r="H271" s="168"/>
      <c r="I271" s="348"/>
      <c r="J271" s="181"/>
      <c r="K271" s="348"/>
      <c r="L271" s="181"/>
      <c r="M271" s="348"/>
      <c r="N271" s="181"/>
      <c r="O271" s="341"/>
      <c r="P271" s="168"/>
      <c r="Q271" s="205"/>
      <c r="R271" s="205"/>
      <c r="S271" s="17"/>
      <c r="T271" s="17"/>
    </row>
    <row r="272">
      <c r="A272" s="341"/>
      <c r="B272" s="168"/>
      <c r="C272" s="341"/>
      <c r="D272" s="181"/>
      <c r="E272" s="341"/>
      <c r="F272" s="168"/>
      <c r="G272" s="341"/>
      <c r="H272" s="168"/>
      <c r="I272" s="348"/>
      <c r="J272" s="181"/>
      <c r="K272" s="348"/>
      <c r="L272" s="181"/>
      <c r="M272" s="348"/>
      <c r="N272" s="181"/>
      <c r="O272" s="341"/>
      <c r="P272" s="168"/>
      <c r="Q272" s="205"/>
      <c r="R272" s="205"/>
      <c r="S272" s="17"/>
      <c r="T272" s="17"/>
    </row>
    <row r="273">
      <c r="A273" s="341"/>
      <c r="B273" s="168"/>
      <c r="C273" s="341"/>
      <c r="D273" s="181"/>
      <c r="E273" s="341"/>
      <c r="F273" s="168"/>
      <c r="G273" s="341"/>
      <c r="H273" s="168"/>
      <c r="I273" s="348"/>
      <c r="J273" s="181"/>
      <c r="K273" s="348"/>
      <c r="L273" s="181"/>
      <c r="M273" s="348"/>
      <c r="N273" s="181"/>
      <c r="O273" s="341"/>
      <c r="P273" s="168"/>
      <c r="Q273" s="205"/>
      <c r="R273" s="205"/>
      <c r="S273" s="17"/>
      <c r="T273" s="17"/>
    </row>
    <row r="274">
      <c r="A274" s="341"/>
      <c r="B274" s="168"/>
      <c r="C274" s="341"/>
      <c r="D274" s="181"/>
      <c r="E274" s="341"/>
      <c r="F274" s="168"/>
      <c r="G274" s="341"/>
      <c r="H274" s="168"/>
      <c r="I274" s="348"/>
      <c r="J274" s="181"/>
      <c r="K274" s="348"/>
      <c r="L274" s="181"/>
      <c r="M274" s="348"/>
      <c r="N274" s="181"/>
      <c r="O274" s="341"/>
      <c r="P274" s="168"/>
      <c r="Q274" s="205"/>
      <c r="R274" s="205"/>
      <c r="S274" s="17"/>
      <c r="T274" s="17"/>
    </row>
    <row r="275">
      <c r="A275" s="341"/>
      <c r="B275" s="168"/>
      <c r="C275" s="341"/>
      <c r="D275" s="181"/>
      <c r="E275" s="341"/>
      <c r="F275" s="168"/>
      <c r="G275" s="341"/>
      <c r="H275" s="168"/>
      <c r="I275" s="348"/>
      <c r="J275" s="181"/>
      <c r="K275" s="348"/>
      <c r="L275" s="181"/>
      <c r="M275" s="348"/>
      <c r="N275" s="181"/>
      <c r="O275" s="341"/>
      <c r="P275" s="168"/>
      <c r="Q275" s="205"/>
      <c r="R275" s="205"/>
      <c r="S275" s="17"/>
      <c r="T275" s="17"/>
    </row>
    <row r="276">
      <c r="A276" s="341"/>
      <c r="B276" s="168"/>
      <c r="C276" s="341"/>
      <c r="D276" s="181"/>
      <c r="E276" s="341"/>
      <c r="F276" s="168"/>
      <c r="G276" s="341"/>
      <c r="H276" s="168"/>
      <c r="I276" s="348"/>
      <c r="J276" s="181"/>
      <c r="K276" s="348"/>
      <c r="L276" s="181"/>
      <c r="M276" s="348"/>
      <c r="N276" s="181"/>
      <c r="O276" s="341"/>
      <c r="P276" s="168"/>
      <c r="Q276" s="205"/>
      <c r="R276" s="205"/>
      <c r="S276" s="17"/>
      <c r="T276" s="17"/>
    </row>
    <row r="277">
      <c r="A277" s="341"/>
      <c r="B277" s="168"/>
      <c r="C277" s="341"/>
      <c r="D277" s="181"/>
      <c r="E277" s="341"/>
      <c r="F277" s="168"/>
      <c r="G277" s="341"/>
      <c r="H277" s="168"/>
      <c r="I277" s="348"/>
      <c r="J277" s="181"/>
      <c r="K277" s="348"/>
      <c r="L277" s="181"/>
      <c r="M277" s="348"/>
      <c r="N277" s="181"/>
      <c r="O277" s="341"/>
      <c r="P277" s="168"/>
      <c r="Q277" s="205"/>
      <c r="R277" s="205"/>
      <c r="S277" s="17"/>
      <c r="T277" s="17"/>
    </row>
    <row r="278">
      <c r="A278" s="341"/>
      <c r="B278" s="168"/>
      <c r="C278" s="341"/>
      <c r="D278" s="181"/>
      <c r="E278" s="341"/>
      <c r="F278" s="168"/>
      <c r="G278" s="341"/>
      <c r="H278" s="168"/>
      <c r="I278" s="348"/>
      <c r="J278" s="181"/>
      <c r="K278" s="348"/>
      <c r="L278" s="181"/>
      <c r="M278" s="348"/>
      <c r="N278" s="181"/>
      <c r="O278" s="341"/>
      <c r="P278" s="168"/>
      <c r="Q278" s="205"/>
      <c r="R278" s="205"/>
      <c r="S278" s="17"/>
      <c r="T278" s="17"/>
    </row>
    <row r="279">
      <c r="A279" s="341"/>
      <c r="B279" s="168"/>
      <c r="C279" s="341"/>
      <c r="D279" s="181"/>
      <c r="E279" s="341"/>
      <c r="F279" s="168"/>
      <c r="G279" s="341"/>
      <c r="H279" s="168"/>
      <c r="I279" s="348"/>
      <c r="J279" s="181"/>
      <c r="K279" s="348"/>
      <c r="L279" s="181"/>
      <c r="M279" s="348"/>
      <c r="N279" s="181"/>
      <c r="O279" s="341"/>
      <c r="P279" s="168"/>
      <c r="Q279" s="205"/>
      <c r="R279" s="205"/>
      <c r="S279" s="17"/>
      <c r="T279" s="17"/>
    </row>
    <row r="280">
      <c r="A280" s="341"/>
      <c r="B280" s="168"/>
      <c r="C280" s="341"/>
      <c r="D280" s="181"/>
      <c r="E280" s="341"/>
      <c r="F280" s="168"/>
      <c r="G280" s="341"/>
      <c r="H280" s="168"/>
      <c r="I280" s="348"/>
      <c r="J280" s="181"/>
      <c r="K280" s="348"/>
      <c r="L280" s="181"/>
      <c r="M280" s="348"/>
      <c r="N280" s="181"/>
      <c r="O280" s="341"/>
      <c r="P280" s="168"/>
      <c r="Q280" s="205"/>
      <c r="R280" s="205"/>
      <c r="S280" s="17"/>
      <c r="T280" s="17"/>
    </row>
    <row r="281">
      <c r="A281" s="341"/>
      <c r="B281" s="168"/>
      <c r="C281" s="341"/>
      <c r="D281" s="181"/>
      <c r="E281" s="341"/>
      <c r="F281" s="168"/>
      <c r="G281" s="341"/>
      <c r="H281" s="168"/>
      <c r="I281" s="348"/>
      <c r="J281" s="181"/>
      <c r="K281" s="348"/>
      <c r="L281" s="181"/>
      <c r="M281" s="348"/>
      <c r="N281" s="181"/>
      <c r="O281" s="341"/>
      <c r="P281" s="168"/>
      <c r="Q281" s="205"/>
      <c r="R281" s="205"/>
      <c r="S281" s="17"/>
      <c r="T281" s="17"/>
    </row>
    <row r="282">
      <c r="A282" s="341"/>
      <c r="B282" s="168"/>
      <c r="C282" s="341"/>
      <c r="D282" s="181"/>
      <c r="E282" s="341"/>
      <c r="F282" s="168"/>
      <c r="G282" s="341"/>
      <c r="H282" s="168"/>
      <c r="I282" s="348"/>
      <c r="J282" s="181"/>
      <c r="K282" s="348"/>
      <c r="L282" s="181"/>
      <c r="M282" s="348"/>
      <c r="N282" s="181"/>
      <c r="O282" s="341"/>
      <c r="P282" s="168"/>
      <c r="Q282" s="205"/>
      <c r="R282" s="205"/>
      <c r="S282" s="17"/>
      <c r="T282" s="17"/>
    </row>
    <row r="283">
      <c r="A283" s="341"/>
      <c r="B283" s="168"/>
      <c r="C283" s="341"/>
      <c r="D283" s="181"/>
      <c r="E283" s="341"/>
      <c r="F283" s="168"/>
      <c r="G283" s="341"/>
      <c r="H283" s="168"/>
      <c r="I283" s="348"/>
      <c r="J283" s="181"/>
      <c r="K283" s="348"/>
      <c r="L283" s="181"/>
      <c r="M283" s="348"/>
      <c r="N283" s="181"/>
      <c r="O283" s="341"/>
      <c r="P283" s="168"/>
      <c r="Q283" s="205"/>
      <c r="R283" s="205"/>
      <c r="S283" s="17"/>
      <c r="T283" s="17"/>
    </row>
    <row r="284">
      <c r="A284" s="341"/>
      <c r="B284" s="168"/>
      <c r="C284" s="341"/>
      <c r="D284" s="181"/>
      <c r="E284" s="341"/>
      <c r="F284" s="168"/>
      <c r="G284" s="341"/>
      <c r="H284" s="168"/>
      <c r="I284" s="348"/>
      <c r="J284" s="181"/>
      <c r="K284" s="348"/>
      <c r="L284" s="181"/>
      <c r="M284" s="348"/>
      <c r="N284" s="181"/>
      <c r="O284" s="341"/>
      <c r="P284" s="168"/>
      <c r="Q284" s="205"/>
      <c r="R284" s="205"/>
      <c r="S284" s="17"/>
      <c r="T284" s="17"/>
    </row>
    <row r="285">
      <c r="A285" s="341"/>
      <c r="B285" s="168"/>
      <c r="C285" s="341"/>
      <c r="D285" s="181"/>
      <c r="E285" s="341"/>
      <c r="F285" s="168"/>
      <c r="G285" s="341"/>
      <c r="H285" s="168"/>
      <c r="I285" s="348"/>
      <c r="J285" s="181"/>
      <c r="K285" s="348"/>
      <c r="L285" s="181"/>
      <c r="M285" s="348"/>
      <c r="N285" s="181"/>
      <c r="O285" s="341"/>
      <c r="P285" s="168"/>
      <c r="Q285" s="205"/>
      <c r="R285" s="205"/>
      <c r="S285" s="17"/>
      <c r="T285" s="17"/>
    </row>
    <row r="286">
      <c r="A286" s="341"/>
      <c r="B286" s="168"/>
      <c r="C286" s="341"/>
      <c r="D286" s="181"/>
      <c r="E286" s="341"/>
      <c r="F286" s="168"/>
      <c r="G286" s="341"/>
      <c r="H286" s="168"/>
      <c r="I286" s="348"/>
      <c r="J286" s="181"/>
      <c r="K286" s="348"/>
      <c r="L286" s="181"/>
      <c r="M286" s="348"/>
      <c r="N286" s="181"/>
      <c r="O286" s="341"/>
      <c r="P286" s="168"/>
      <c r="Q286" s="205"/>
      <c r="R286" s="205"/>
      <c r="S286" s="17"/>
      <c r="T286" s="17"/>
    </row>
    <row r="287">
      <c r="A287" s="341"/>
      <c r="B287" s="168"/>
      <c r="C287" s="341"/>
      <c r="D287" s="181"/>
      <c r="E287" s="341"/>
      <c r="F287" s="168"/>
      <c r="G287" s="341"/>
      <c r="H287" s="168"/>
      <c r="I287" s="348"/>
      <c r="J287" s="181"/>
      <c r="K287" s="348"/>
      <c r="L287" s="181"/>
      <c r="M287" s="348"/>
      <c r="N287" s="181"/>
      <c r="O287" s="341"/>
      <c r="P287" s="168"/>
      <c r="Q287" s="205"/>
      <c r="R287" s="205"/>
      <c r="S287" s="17"/>
      <c r="T287" s="17"/>
    </row>
    <row r="288">
      <c r="A288" s="341"/>
      <c r="B288" s="168"/>
      <c r="C288" s="341"/>
      <c r="D288" s="181"/>
      <c r="E288" s="341"/>
      <c r="F288" s="168"/>
      <c r="G288" s="341"/>
      <c r="H288" s="168"/>
      <c r="I288" s="348"/>
      <c r="J288" s="181"/>
      <c r="K288" s="348"/>
      <c r="L288" s="181"/>
      <c r="M288" s="348"/>
      <c r="N288" s="181"/>
      <c r="O288" s="341"/>
      <c r="P288" s="168"/>
      <c r="Q288" s="205"/>
      <c r="R288" s="205"/>
      <c r="S288" s="17"/>
      <c r="T288" s="17"/>
    </row>
    <row r="289">
      <c r="A289" s="341"/>
      <c r="B289" s="168"/>
      <c r="C289" s="341"/>
      <c r="D289" s="181"/>
      <c r="E289" s="341"/>
      <c r="F289" s="168"/>
      <c r="G289" s="341"/>
      <c r="H289" s="168"/>
      <c r="I289" s="348"/>
      <c r="J289" s="181"/>
      <c r="K289" s="348"/>
      <c r="L289" s="181"/>
      <c r="M289" s="348"/>
      <c r="N289" s="181"/>
      <c r="O289" s="341"/>
      <c r="P289" s="168"/>
      <c r="Q289" s="205"/>
      <c r="R289" s="205"/>
      <c r="S289" s="17"/>
      <c r="T289" s="17"/>
    </row>
    <row r="290">
      <c r="A290" s="341"/>
      <c r="B290" s="168"/>
      <c r="C290" s="341"/>
      <c r="D290" s="181"/>
      <c r="E290" s="341"/>
      <c r="F290" s="168"/>
      <c r="G290" s="341"/>
      <c r="H290" s="168"/>
      <c r="I290" s="348"/>
      <c r="J290" s="181"/>
      <c r="K290" s="348"/>
      <c r="L290" s="181"/>
      <c r="M290" s="348"/>
      <c r="N290" s="181"/>
      <c r="O290" s="341"/>
      <c r="P290" s="168"/>
      <c r="Q290" s="205"/>
      <c r="R290" s="205"/>
      <c r="S290" s="17"/>
      <c r="T290" s="17"/>
    </row>
    <row r="291">
      <c r="A291" s="341"/>
      <c r="B291" s="168"/>
      <c r="C291" s="341"/>
      <c r="D291" s="181"/>
      <c r="E291" s="341"/>
      <c r="F291" s="168"/>
      <c r="G291" s="341"/>
      <c r="H291" s="168"/>
      <c r="I291" s="348"/>
      <c r="J291" s="181"/>
      <c r="K291" s="348"/>
      <c r="L291" s="181"/>
      <c r="M291" s="348"/>
      <c r="N291" s="181"/>
      <c r="O291" s="341"/>
      <c r="P291" s="168"/>
      <c r="Q291" s="205"/>
      <c r="R291" s="205"/>
      <c r="S291" s="17"/>
      <c r="T291" s="17"/>
    </row>
    <row r="292">
      <c r="A292" s="341"/>
      <c r="B292" s="168"/>
      <c r="C292" s="341"/>
      <c r="D292" s="181"/>
      <c r="E292" s="341"/>
      <c r="F292" s="168"/>
      <c r="G292" s="341"/>
      <c r="H292" s="168"/>
      <c r="I292" s="348"/>
      <c r="J292" s="181"/>
      <c r="K292" s="348"/>
      <c r="L292" s="181"/>
      <c r="M292" s="348"/>
      <c r="N292" s="181"/>
      <c r="O292" s="341"/>
      <c r="P292" s="168"/>
      <c r="Q292" s="205"/>
      <c r="R292" s="205"/>
      <c r="S292" s="17"/>
      <c r="T292" s="17"/>
    </row>
    <row r="293">
      <c r="A293" s="341"/>
      <c r="B293" s="168"/>
      <c r="C293" s="341"/>
      <c r="D293" s="181"/>
      <c r="E293" s="341"/>
      <c r="F293" s="168"/>
      <c r="G293" s="341"/>
      <c r="H293" s="168"/>
      <c r="I293" s="348"/>
      <c r="J293" s="181"/>
      <c r="K293" s="348"/>
      <c r="L293" s="181"/>
      <c r="M293" s="348"/>
      <c r="N293" s="181"/>
      <c r="O293" s="341"/>
      <c r="P293" s="168"/>
      <c r="Q293" s="205"/>
      <c r="R293" s="205"/>
      <c r="S293" s="17"/>
      <c r="T293" s="17"/>
    </row>
    <row r="294">
      <c r="A294" s="341"/>
      <c r="B294" s="168"/>
      <c r="C294" s="341"/>
      <c r="D294" s="181"/>
      <c r="E294" s="341"/>
      <c r="F294" s="168"/>
      <c r="G294" s="341"/>
      <c r="H294" s="168"/>
      <c r="I294" s="348"/>
      <c r="J294" s="181"/>
      <c r="K294" s="348"/>
      <c r="L294" s="181"/>
      <c r="M294" s="348"/>
      <c r="N294" s="181"/>
      <c r="O294" s="341"/>
      <c r="P294" s="168"/>
      <c r="Q294" s="205"/>
      <c r="R294" s="205"/>
      <c r="S294" s="17"/>
      <c r="T294" s="17"/>
    </row>
    <row r="295">
      <c r="A295" s="341"/>
      <c r="B295" s="168"/>
      <c r="C295" s="341"/>
      <c r="D295" s="181"/>
      <c r="E295" s="341"/>
      <c r="F295" s="168"/>
      <c r="G295" s="341"/>
      <c r="H295" s="168"/>
      <c r="I295" s="348"/>
      <c r="J295" s="181"/>
      <c r="K295" s="348"/>
      <c r="L295" s="181"/>
      <c r="M295" s="348"/>
      <c r="N295" s="181"/>
      <c r="O295" s="341"/>
      <c r="P295" s="168"/>
      <c r="Q295" s="205"/>
      <c r="R295" s="205"/>
      <c r="S295" s="17"/>
      <c r="T295" s="17"/>
    </row>
    <row r="296">
      <c r="A296" s="341"/>
      <c r="B296" s="168"/>
      <c r="C296" s="341"/>
      <c r="D296" s="181"/>
      <c r="E296" s="341"/>
      <c r="F296" s="168"/>
      <c r="G296" s="341"/>
      <c r="H296" s="168"/>
      <c r="I296" s="348"/>
      <c r="J296" s="181"/>
      <c r="K296" s="348"/>
      <c r="L296" s="181"/>
      <c r="M296" s="348"/>
      <c r="N296" s="181"/>
      <c r="O296" s="341"/>
      <c r="P296" s="168"/>
      <c r="Q296" s="205"/>
      <c r="R296" s="205"/>
      <c r="S296" s="17"/>
      <c r="T296" s="17"/>
    </row>
    <row r="297">
      <c r="A297" s="341"/>
      <c r="B297" s="168"/>
      <c r="C297" s="341"/>
      <c r="D297" s="181"/>
      <c r="E297" s="341"/>
      <c r="F297" s="168"/>
      <c r="G297" s="341"/>
      <c r="H297" s="168"/>
      <c r="I297" s="348"/>
      <c r="J297" s="181"/>
      <c r="K297" s="348"/>
      <c r="L297" s="181"/>
      <c r="M297" s="348"/>
      <c r="N297" s="181"/>
      <c r="O297" s="341"/>
      <c r="P297" s="168"/>
      <c r="Q297" s="205"/>
      <c r="R297" s="205"/>
      <c r="S297" s="17"/>
      <c r="T297" s="17"/>
    </row>
    <row r="298">
      <c r="A298" s="341"/>
      <c r="B298" s="168"/>
      <c r="C298" s="341"/>
      <c r="D298" s="181"/>
      <c r="E298" s="341"/>
      <c r="F298" s="168"/>
      <c r="G298" s="341"/>
      <c r="H298" s="168"/>
      <c r="I298" s="348"/>
      <c r="J298" s="181"/>
      <c r="K298" s="348"/>
      <c r="L298" s="181"/>
      <c r="M298" s="348"/>
      <c r="N298" s="181"/>
      <c r="O298" s="341"/>
      <c r="P298" s="168"/>
      <c r="Q298" s="205"/>
      <c r="R298" s="205"/>
      <c r="S298" s="17"/>
      <c r="T298" s="17"/>
    </row>
    <row r="299">
      <c r="A299" s="341"/>
      <c r="B299" s="168"/>
      <c r="C299" s="341"/>
      <c r="D299" s="181"/>
      <c r="E299" s="341"/>
      <c r="F299" s="168"/>
      <c r="G299" s="341"/>
      <c r="H299" s="168"/>
      <c r="I299" s="348"/>
      <c r="J299" s="181"/>
      <c r="K299" s="348"/>
      <c r="L299" s="181"/>
      <c r="M299" s="348"/>
      <c r="N299" s="181"/>
      <c r="O299" s="341"/>
      <c r="P299" s="168"/>
      <c r="Q299" s="205"/>
      <c r="R299" s="205"/>
      <c r="S299" s="17"/>
      <c r="T299" s="17"/>
    </row>
    <row r="300">
      <c r="A300" s="341"/>
      <c r="B300" s="168"/>
      <c r="C300" s="341"/>
      <c r="D300" s="181"/>
      <c r="E300" s="341"/>
      <c r="F300" s="168"/>
      <c r="G300" s="341"/>
      <c r="H300" s="168"/>
      <c r="I300" s="348"/>
      <c r="J300" s="181"/>
      <c r="K300" s="348"/>
      <c r="L300" s="181"/>
      <c r="M300" s="348"/>
      <c r="N300" s="181"/>
      <c r="O300" s="341"/>
      <c r="P300" s="168"/>
      <c r="Q300" s="205"/>
      <c r="R300" s="205"/>
      <c r="S300" s="17"/>
      <c r="T300" s="17"/>
    </row>
    <row r="301">
      <c r="A301" s="341"/>
      <c r="B301" s="168"/>
      <c r="C301" s="341"/>
      <c r="D301" s="181"/>
      <c r="E301" s="341"/>
      <c r="F301" s="168"/>
      <c r="G301" s="341"/>
      <c r="H301" s="168"/>
      <c r="I301" s="348"/>
      <c r="J301" s="181"/>
      <c r="K301" s="348"/>
      <c r="L301" s="181"/>
      <c r="M301" s="348"/>
      <c r="N301" s="181"/>
      <c r="O301" s="341"/>
      <c r="P301" s="168"/>
      <c r="Q301" s="205"/>
      <c r="R301" s="205"/>
      <c r="S301" s="17"/>
      <c r="T301" s="17"/>
    </row>
    <row r="302">
      <c r="A302" s="341"/>
      <c r="B302" s="168"/>
      <c r="C302" s="341"/>
      <c r="D302" s="181"/>
      <c r="E302" s="341"/>
      <c r="F302" s="168"/>
      <c r="G302" s="341"/>
      <c r="H302" s="168"/>
      <c r="I302" s="348"/>
      <c r="J302" s="181"/>
      <c r="K302" s="348"/>
      <c r="L302" s="181"/>
      <c r="M302" s="348"/>
      <c r="N302" s="181"/>
      <c r="O302" s="341"/>
      <c r="P302" s="168"/>
      <c r="Q302" s="205"/>
      <c r="R302" s="205"/>
      <c r="S302" s="17"/>
      <c r="T302" s="17"/>
    </row>
    <row r="303">
      <c r="A303" s="341"/>
      <c r="B303" s="168"/>
      <c r="C303" s="341"/>
      <c r="D303" s="181"/>
      <c r="E303" s="341"/>
      <c r="F303" s="168"/>
      <c r="G303" s="341"/>
      <c r="H303" s="168"/>
      <c r="I303" s="348"/>
      <c r="J303" s="181"/>
      <c r="K303" s="348"/>
      <c r="L303" s="181"/>
      <c r="M303" s="348"/>
      <c r="N303" s="181"/>
      <c r="O303" s="341"/>
      <c r="P303" s="168"/>
      <c r="Q303" s="205"/>
      <c r="R303" s="205"/>
      <c r="S303" s="17"/>
      <c r="T303" s="17"/>
    </row>
    <row r="304">
      <c r="A304" s="341"/>
      <c r="B304" s="168"/>
      <c r="C304" s="341"/>
      <c r="D304" s="181"/>
      <c r="E304" s="341"/>
      <c r="F304" s="168"/>
      <c r="G304" s="341"/>
      <c r="H304" s="168"/>
      <c r="I304" s="348"/>
      <c r="J304" s="181"/>
      <c r="K304" s="348"/>
      <c r="L304" s="181"/>
      <c r="M304" s="348"/>
      <c r="N304" s="181"/>
      <c r="O304" s="341"/>
      <c r="P304" s="168"/>
      <c r="Q304" s="205"/>
      <c r="R304" s="205"/>
      <c r="S304" s="17"/>
      <c r="T304" s="17"/>
    </row>
    <row r="305">
      <c r="A305" s="341"/>
      <c r="B305" s="168"/>
      <c r="C305" s="341"/>
      <c r="D305" s="181"/>
      <c r="E305" s="341"/>
      <c r="F305" s="168"/>
      <c r="G305" s="341"/>
      <c r="H305" s="168"/>
      <c r="I305" s="348"/>
      <c r="J305" s="181"/>
      <c r="K305" s="348"/>
      <c r="L305" s="181"/>
      <c r="M305" s="348"/>
      <c r="N305" s="181"/>
      <c r="O305" s="341"/>
      <c r="P305" s="168"/>
      <c r="Q305" s="205"/>
      <c r="R305" s="205"/>
      <c r="S305" s="17"/>
      <c r="T305" s="17"/>
    </row>
    <row r="306">
      <c r="A306" s="341"/>
      <c r="B306" s="168"/>
      <c r="C306" s="341"/>
      <c r="D306" s="181"/>
      <c r="E306" s="341"/>
      <c r="F306" s="168"/>
      <c r="G306" s="341"/>
      <c r="H306" s="168"/>
      <c r="I306" s="348"/>
      <c r="J306" s="181"/>
      <c r="K306" s="348"/>
      <c r="L306" s="181"/>
      <c r="M306" s="348"/>
      <c r="N306" s="181"/>
      <c r="O306" s="341"/>
      <c r="P306" s="168"/>
      <c r="Q306" s="205"/>
      <c r="R306" s="205"/>
      <c r="S306" s="17"/>
      <c r="T306" s="17"/>
    </row>
    <row r="307">
      <c r="A307" s="341"/>
      <c r="B307" s="168"/>
      <c r="C307" s="341"/>
      <c r="D307" s="181"/>
      <c r="E307" s="341"/>
      <c r="F307" s="168"/>
      <c r="G307" s="341"/>
      <c r="H307" s="168"/>
      <c r="I307" s="348"/>
      <c r="J307" s="181"/>
      <c r="K307" s="348"/>
      <c r="L307" s="181"/>
      <c r="M307" s="348"/>
      <c r="N307" s="181"/>
      <c r="O307" s="341"/>
      <c r="P307" s="168"/>
      <c r="Q307" s="205"/>
      <c r="R307" s="205"/>
      <c r="S307" s="17"/>
      <c r="T307" s="17"/>
    </row>
    <row r="308">
      <c r="A308" s="341"/>
      <c r="B308" s="168"/>
      <c r="C308" s="341"/>
      <c r="D308" s="181"/>
      <c r="E308" s="341"/>
      <c r="F308" s="168"/>
      <c r="G308" s="341"/>
      <c r="H308" s="168"/>
      <c r="I308" s="348"/>
      <c r="J308" s="181"/>
      <c r="K308" s="348"/>
      <c r="L308" s="181"/>
      <c r="M308" s="348"/>
      <c r="N308" s="181"/>
      <c r="O308" s="341"/>
      <c r="P308" s="168"/>
      <c r="Q308" s="205"/>
      <c r="R308" s="205"/>
      <c r="S308" s="17"/>
      <c r="T308" s="17"/>
    </row>
    <row r="309">
      <c r="A309" s="341"/>
      <c r="B309" s="168"/>
      <c r="C309" s="341"/>
      <c r="D309" s="181"/>
      <c r="E309" s="341"/>
      <c r="F309" s="168"/>
      <c r="G309" s="341"/>
      <c r="H309" s="168"/>
      <c r="I309" s="348"/>
      <c r="J309" s="181"/>
      <c r="K309" s="348"/>
      <c r="L309" s="181"/>
      <c r="M309" s="348"/>
      <c r="N309" s="181"/>
      <c r="O309" s="341"/>
      <c r="P309" s="168"/>
      <c r="Q309" s="205"/>
      <c r="R309" s="205"/>
      <c r="S309" s="17"/>
      <c r="T309" s="17"/>
    </row>
    <row r="310">
      <c r="A310" s="341"/>
      <c r="B310" s="168"/>
      <c r="C310" s="341"/>
      <c r="D310" s="181"/>
      <c r="E310" s="341"/>
      <c r="F310" s="168"/>
      <c r="G310" s="341"/>
      <c r="H310" s="168"/>
      <c r="I310" s="348"/>
      <c r="J310" s="181"/>
      <c r="K310" s="348"/>
      <c r="L310" s="181"/>
      <c r="M310" s="348"/>
      <c r="N310" s="181"/>
      <c r="O310" s="341"/>
      <c r="P310" s="168"/>
      <c r="Q310" s="205"/>
      <c r="R310" s="205"/>
      <c r="S310" s="17"/>
      <c r="T310" s="17"/>
    </row>
    <row r="311">
      <c r="A311" s="341"/>
      <c r="B311" s="168"/>
      <c r="C311" s="341"/>
      <c r="D311" s="181"/>
      <c r="E311" s="341"/>
      <c r="F311" s="168"/>
      <c r="G311" s="341"/>
      <c r="H311" s="168"/>
      <c r="I311" s="348"/>
      <c r="J311" s="181"/>
      <c r="K311" s="348"/>
      <c r="L311" s="181"/>
      <c r="M311" s="348"/>
      <c r="N311" s="181"/>
      <c r="O311" s="341"/>
      <c r="P311" s="168"/>
      <c r="Q311" s="205"/>
      <c r="R311" s="205"/>
      <c r="S311" s="17"/>
      <c r="T311" s="17"/>
    </row>
    <row r="312">
      <c r="A312" s="341"/>
      <c r="B312" s="168"/>
      <c r="C312" s="341"/>
      <c r="D312" s="181"/>
      <c r="E312" s="341"/>
      <c r="F312" s="168"/>
      <c r="G312" s="341"/>
      <c r="H312" s="168"/>
      <c r="I312" s="348"/>
      <c r="J312" s="181"/>
      <c r="K312" s="348"/>
      <c r="L312" s="181"/>
      <c r="M312" s="348"/>
      <c r="N312" s="181"/>
      <c r="O312" s="341"/>
      <c r="P312" s="168"/>
      <c r="Q312" s="205"/>
      <c r="R312" s="205"/>
      <c r="S312" s="17"/>
      <c r="T312" s="17"/>
    </row>
    <row r="313">
      <c r="A313" s="341"/>
      <c r="B313" s="168"/>
      <c r="C313" s="341"/>
      <c r="D313" s="181"/>
      <c r="E313" s="341"/>
      <c r="F313" s="168"/>
      <c r="G313" s="341"/>
      <c r="H313" s="168"/>
      <c r="I313" s="348"/>
      <c r="J313" s="181"/>
      <c r="K313" s="348"/>
      <c r="L313" s="181"/>
      <c r="M313" s="348"/>
      <c r="N313" s="181"/>
      <c r="O313" s="341"/>
      <c r="P313" s="168"/>
      <c r="Q313" s="205"/>
      <c r="R313" s="205"/>
      <c r="S313" s="17"/>
      <c r="T313" s="17"/>
    </row>
    <row r="314">
      <c r="A314" s="341"/>
      <c r="B314" s="168"/>
      <c r="C314" s="341"/>
      <c r="D314" s="181"/>
      <c r="E314" s="341"/>
      <c r="F314" s="168"/>
      <c r="G314" s="341"/>
      <c r="H314" s="168"/>
      <c r="I314" s="348"/>
      <c r="J314" s="181"/>
      <c r="K314" s="348"/>
      <c r="L314" s="181"/>
      <c r="M314" s="348"/>
      <c r="N314" s="181"/>
      <c r="O314" s="341"/>
      <c r="P314" s="168"/>
      <c r="Q314" s="205"/>
      <c r="R314" s="205"/>
      <c r="S314" s="17"/>
      <c r="T314" s="17"/>
    </row>
    <row r="315">
      <c r="A315" s="341"/>
      <c r="B315" s="168"/>
      <c r="C315" s="341"/>
      <c r="D315" s="181"/>
      <c r="E315" s="341"/>
      <c r="F315" s="168"/>
      <c r="G315" s="341"/>
      <c r="H315" s="168"/>
      <c r="I315" s="348"/>
      <c r="J315" s="181"/>
      <c r="K315" s="348"/>
      <c r="L315" s="181"/>
      <c r="M315" s="348"/>
      <c r="N315" s="181"/>
      <c r="O315" s="341"/>
      <c r="P315" s="168"/>
      <c r="Q315" s="205"/>
      <c r="R315" s="205"/>
      <c r="S315" s="17"/>
      <c r="T315" s="17"/>
    </row>
    <row r="316">
      <c r="A316" s="341"/>
      <c r="B316" s="168"/>
      <c r="C316" s="341"/>
      <c r="D316" s="181"/>
      <c r="E316" s="341"/>
      <c r="F316" s="168"/>
      <c r="G316" s="341"/>
      <c r="H316" s="168"/>
      <c r="I316" s="348"/>
      <c r="J316" s="181"/>
      <c r="K316" s="348"/>
      <c r="L316" s="181"/>
      <c r="M316" s="348"/>
      <c r="N316" s="181"/>
      <c r="O316" s="341"/>
      <c r="P316" s="168"/>
      <c r="Q316" s="205"/>
      <c r="R316" s="205"/>
      <c r="S316" s="17"/>
      <c r="T316" s="17"/>
    </row>
    <row r="317">
      <c r="A317" s="341"/>
      <c r="B317" s="168"/>
      <c r="C317" s="341"/>
      <c r="D317" s="181"/>
      <c r="E317" s="341"/>
      <c r="F317" s="168"/>
      <c r="G317" s="341"/>
      <c r="H317" s="168"/>
      <c r="I317" s="348"/>
      <c r="J317" s="181"/>
      <c r="K317" s="348"/>
      <c r="L317" s="181"/>
      <c r="M317" s="348"/>
      <c r="N317" s="181"/>
      <c r="O317" s="341"/>
      <c r="P317" s="168"/>
      <c r="Q317" s="205"/>
      <c r="R317" s="205"/>
      <c r="S317" s="17"/>
      <c r="T317" s="17"/>
    </row>
    <row r="318">
      <c r="A318" s="341"/>
      <c r="B318" s="168"/>
      <c r="C318" s="341"/>
      <c r="D318" s="181"/>
      <c r="E318" s="341"/>
      <c r="F318" s="168"/>
      <c r="G318" s="341"/>
      <c r="H318" s="168"/>
      <c r="I318" s="348"/>
      <c r="J318" s="181"/>
      <c r="K318" s="348"/>
      <c r="L318" s="181"/>
      <c r="M318" s="348"/>
      <c r="N318" s="181"/>
      <c r="O318" s="341"/>
      <c r="P318" s="168"/>
      <c r="Q318" s="205"/>
      <c r="R318" s="205"/>
      <c r="S318" s="17"/>
      <c r="T318" s="17"/>
    </row>
    <row r="319">
      <c r="A319" s="341"/>
      <c r="B319" s="168"/>
      <c r="C319" s="341"/>
      <c r="D319" s="181"/>
      <c r="E319" s="341"/>
      <c r="F319" s="168"/>
      <c r="G319" s="341"/>
      <c r="H319" s="168"/>
      <c r="I319" s="348"/>
      <c r="J319" s="181"/>
      <c r="K319" s="348"/>
      <c r="L319" s="181"/>
      <c r="M319" s="348"/>
      <c r="N319" s="181"/>
      <c r="O319" s="341"/>
      <c r="P319" s="168"/>
      <c r="Q319" s="205"/>
      <c r="R319" s="205"/>
      <c r="S319" s="17"/>
      <c r="T319" s="17"/>
    </row>
    <row r="320">
      <c r="A320" s="341"/>
      <c r="B320" s="168"/>
      <c r="C320" s="341"/>
      <c r="D320" s="181"/>
      <c r="E320" s="341"/>
      <c r="F320" s="168"/>
      <c r="G320" s="341"/>
      <c r="H320" s="168"/>
      <c r="I320" s="348"/>
      <c r="J320" s="181"/>
      <c r="K320" s="348"/>
      <c r="L320" s="181"/>
      <c r="M320" s="348"/>
      <c r="N320" s="181"/>
      <c r="O320" s="341"/>
      <c r="P320" s="168"/>
      <c r="Q320" s="205"/>
      <c r="R320" s="205"/>
      <c r="S320" s="17"/>
      <c r="T320" s="17"/>
    </row>
    <row r="321">
      <c r="A321" s="341"/>
      <c r="B321" s="168"/>
      <c r="C321" s="341"/>
      <c r="D321" s="181"/>
      <c r="E321" s="341"/>
      <c r="F321" s="168"/>
      <c r="G321" s="341"/>
      <c r="H321" s="168"/>
      <c r="I321" s="348"/>
      <c r="J321" s="181"/>
      <c r="K321" s="348"/>
      <c r="L321" s="181"/>
      <c r="M321" s="348"/>
      <c r="N321" s="181"/>
      <c r="O321" s="341"/>
      <c r="P321" s="168"/>
      <c r="Q321" s="205"/>
      <c r="R321" s="205"/>
      <c r="S321" s="17"/>
      <c r="T321" s="17"/>
    </row>
    <row r="322">
      <c r="A322" s="341"/>
      <c r="B322" s="168"/>
      <c r="C322" s="341"/>
      <c r="D322" s="181"/>
      <c r="E322" s="341"/>
      <c r="F322" s="168"/>
      <c r="G322" s="341"/>
      <c r="H322" s="168"/>
      <c r="I322" s="348"/>
      <c r="J322" s="181"/>
      <c r="K322" s="348"/>
      <c r="L322" s="181"/>
      <c r="M322" s="348"/>
      <c r="N322" s="181"/>
      <c r="O322" s="341"/>
      <c r="P322" s="168"/>
      <c r="Q322" s="205"/>
      <c r="R322" s="205"/>
      <c r="S322" s="17"/>
      <c r="T322" s="17"/>
    </row>
    <row r="323">
      <c r="A323" s="341"/>
      <c r="B323" s="168"/>
      <c r="C323" s="341"/>
      <c r="D323" s="181"/>
      <c r="E323" s="341"/>
      <c r="F323" s="168"/>
      <c r="G323" s="341"/>
      <c r="H323" s="168"/>
      <c r="I323" s="348"/>
      <c r="J323" s="181"/>
      <c r="K323" s="348"/>
      <c r="L323" s="181"/>
      <c r="M323" s="348"/>
      <c r="N323" s="181"/>
      <c r="O323" s="341"/>
      <c r="P323" s="168"/>
      <c r="Q323" s="205"/>
      <c r="R323" s="205"/>
      <c r="S323" s="17"/>
      <c r="T323" s="17"/>
    </row>
    <row r="324">
      <c r="A324" s="341"/>
      <c r="B324" s="168"/>
      <c r="C324" s="341"/>
      <c r="D324" s="181"/>
      <c r="E324" s="341"/>
      <c r="F324" s="168"/>
      <c r="G324" s="341"/>
      <c r="H324" s="168"/>
      <c r="I324" s="348"/>
      <c r="J324" s="181"/>
      <c r="K324" s="348"/>
      <c r="L324" s="181"/>
      <c r="M324" s="348"/>
      <c r="N324" s="181"/>
      <c r="O324" s="341"/>
      <c r="P324" s="168"/>
      <c r="Q324" s="205"/>
      <c r="R324" s="205"/>
      <c r="S324" s="17"/>
      <c r="T324" s="17"/>
    </row>
    <row r="325">
      <c r="A325" s="341"/>
      <c r="B325" s="168"/>
      <c r="C325" s="341"/>
      <c r="D325" s="181"/>
      <c r="E325" s="341"/>
      <c r="F325" s="168"/>
      <c r="G325" s="341"/>
      <c r="H325" s="168"/>
      <c r="I325" s="348"/>
      <c r="J325" s="181"/>
      <c r="K325" s="348"/>
      <c r="L325" s="181"/>
      <c r="M325" s="348"/>
      <c r="N325" s="181"/>
      <c r="O325" s="341"/>
      <c r="P325" s="168"/>
      <c r="Q325" s="205"/>
      <c r="R325" s="205"/>
      <c r="S325" s="17"/>
      <c r="T325" s="17"/>
    </row>
    <row r="326">
      <c r="A326" s="341"/>
      <c r="B326" s="168"/>
      <c r="C326" s="341"/>
      <c r="D326" s="181"/>
      <c r="E326" s="341"/>
      <c r="F326" s="168"/>
      <c r="G326" s="341"/>
      <c r="H326" s="168"/>
      <c r="I326" s="348"/>
      <c r="J326" s="181"/>
      <c r="K326" s="348"/>
      <c r="L326" s="181"/>
      <c r="M326" s="348"/>
      <c r="N326" s="181"/>
      <c r="O326" s="341"/>
      <c r="P326" s="168"/>
      <c r="Q326" s="205"/>
      <c r="R326" s="205"/>
      <c r="S326" s="17"/>
      <c r="T326" s="17"/>
    </row>
    <row r="327">
      <c r="A327" s="341"/>
      <c r="B327" s="168"/>
      <c r="C327" s="341"/>
      <c r="D327" s="181"/>
      <c r="E327" s="341"/>
      <c r="F327" s="168"/>
      <c r="G327" s="341"/>
      <c r="H327" s="168"/>
      <c r="I327" s="348"/>
      <c r="J327" s="181"/>
      <c r="K327" s="348"/>
      <c r="L327" s="181"/>
      <c r="M327" s="348"/>
      <c r="N327" s="181"/>
      <c r="O327" s="341"/>
      <c r="P327" s="168"/>
      <c r="Q327" s="205"/>
      <c r="R327" s="205"/>
      <c r="S327" s="17"/>
      <c r="T327" s="17"/>
    </row>
    <row r="328">
      <c r="A328" s="341"/>
      <c r="B328" s="168"/>
      <c r="C328" s="341"/>
      <c r="D328" s="181"/>
      <c r="E328" s="341"/>
      <c r="F328" s="168"/>
      <c r="G328" s="341"/>
      <c r="H328" s="168"/>
      <c r="I328" s="348"/>
      <c r="J328" s="181"/>
      <c r="K328" s="348"/>
      <c r="L328" s="181"/>
      <c r="M328" s="348"/>
      <c r="N328" s="181"/>
      <c r="O328" s="341"/>
      <c r="P328" s="168"/>
      <c r="Q328" s="205"/>
      <c r="R328" s="205"/>
      <c r="S328" s="17"/>
      <c r="T328" s="17"/>
    </row>
    <row r="329">
      <c r="A329" s="341"/>
      <c r="B329" s="168"/>
      <c r="C329" s="341"/>
      <c r="D329" s="181"/>
      <c r="E329" s="341"/>
      <c r="F329" s="168"/>
      <c r="G329" s="341"/>
      <c r="H329" s="168"/>
      <c r="I329" s="348"/>
      <c r="J329" s="181"/>
      <c r="K329" s="348"/>
      <c r="L329" s="181"/>
      <c r="M329" s="348"/>
      <c r="N329" s="181"/>
      <c r="O329" s="341"/>
      <c r="P329" s="168"/>
      <c r="Q329" s="205"/>
      <c r="R329" s="205"/>
      <c r="S329" s="17"/>
      <c r="T329" s="17"/>
    </row>
    <row r="330">
      <c r="A330" s="341"/>
      <c r="B330" s="168"/>
      <c r="C330" s="341"/>
      <c r="D330" s="181"/>
      <c r="E330" s="341"/>
      <c r="F330" s="168"/>
      <c r="G330" s="341"/>
      <c r="H330" s="168"/>
      <c r="I330" s="348"/>
      <c r="J330" s="181"/>
      <c r="K330" s="348"/>
      <c r="L330" s="181"/>
      <c r="M330" s="348"/>
      <c r="N330" s="181"/>
      <c r="O330" s="341"/>
      <c r="P330" s="168"/>
      <c r="Q330" s="205"/>
      <c r="R330" s="205"/>
      <c r="S330" s="17"/>
      <c r="T330" s="17"/>
    </row>
    <row r="331">
      <c r="A331" s="341"/>
      <c r="B331" s="168"/>
      <c r="C331" s="341"/>
      <c r="D331" s="181"/>
      <c r="E331" s="341"/>
      <c r="F331" s="168"/>
      <c r="G331" s="341"/>
      <c r="H331" s="168"/>
      <c r="I331" s="348"/>
      <c r="J331" s="181"/>
      <c r="K331" s="348"/>
      <c r="L331" s="181"/>
      <c r="M331" s="348"/>
      <c r="N331" s="181"/>
      <c r="O331" s="341"/>
      <c r="P331" s="168"/>
      <c r="Q331" s="205"/>
      <c r="R331" s="205"/>
      <c r="S331" s="17"/>
      <c r="T331" s="17"/>
    </row>
    <row r="332">
      <c r="A332" s="341"/>
      <c r="B332" s="168"/>
      <c r="C332" s="341"/>
      <c r="D332" s="181"/>
      <c r="E332" s="341"/>
      <c r="F332" s="168"/>
      <c r="G332" s="341"/>
      <c r="H332" s="168"/>
      <c r="I332" s="348"/>
      <c r="J332" s="181"/>
      <c r="K332" s="348"/>
      <c r="L332" s="181"/>
      <c r="M332" s="348"/>
      <c r="N332" s="181"/>
      <c r="O332" s="341"/>
      <c r="P332" s="168"/>
      <c r="Q332" s="205"/>
      <c r="R332" s="205"/>
      <c r="S332" s="17"/>
      <c r="T332" s="17"/>
    </row>
    <row r="333">
      <c r="A333" s="341"/>
      <c r="B333" s="168"/>
      <c r="C333" s="341"/>
      <c r="D333" s="181"/>
      <c r="E333" s="341"/>
      <c r="F333" s="168"/>
      <c r="G333" s="341"/>
      <c r="H333" s="168"/>
      <c r="I333" s="348"/>
      <c r="J333" s="181"/>
      <c r="K333" s="348"/>
      <c r="L333" s="181"/>
      <c r="M333" s="348"/>
      <c r="N333" s="181"/>
      <c r="O333" s="341"/>
      <c r="P333" s="168"/>
      <c r="Q333" s="205"/>
      <c r="R333" s="205"/>
      <c r="S333" s="17"/>
      <c r="T333" s="17"/>
    </row>
    <row r="334">
      <c r="A334" s="341"/>
      <c r="B334" s="168"/>
      <c r="C334" s="341"/>
      <c r="D334" s="181"/>
      <c r="E334" s="341"/>
      <c r="F334" s="168"/>
      <c r="G334" s="341"/>
      <c r="H334" s="168"/>
      <c r="I334" s="348"/>
      <c r="J334" s="181"/>
      <c r="K334" s="348"/>
      <c r="L334" s="181"/>
      <c r="M334" s="348"/>
      <c r="N334" s="181"/>
      <c r="O334" s="341"/>
      <c r="P334" s="168"/>
      <c r="Q334" s="205"/>
      <c r="R334" s="205"/>
      <c r="S334" s="17"/>
      <c r="T334" s="17"/>
    </row>
    <row r="335">
      <c r="A335" s="341"/>
      <c r="B335" s="168"/>
      <c r="C335" s="341"/>
      <c r="D335" s="181"/>
      <c r="E335" s="341"/>
      <c r="F335" s="168"/>
      <c r="G335" s="341"/>
      <c r="H335" s="168"/>
      <c r="I335" s="348"/>
      <c r="J335" s="181"/>
      <c r="K335" s="348"/>
      <c r="L335" s="181"/>
      <c r="M335" s="348"/>
      <c r="N335" s="181"/>
      <c r="O335" s="341"/>
      <c r="P335" s="168"/>
      <c r="Q335" s="205"/>
      <c r="R335" s="205"/>
      <c r="S335" s="17"/>
      <c r="T335" s="17"/>
    </row>
    <row r="336">
      <c r="A336" s="341"/>
      <c r="B336" s="168"/>
      <c r="C336" s="341"/>
      <c r="D336" s="181"/>
      <c r="E336" s="341"/>
      <c r="F336" s="168"/>
      <c r="G336" s="341"/>
      <c r="H336" s="168"/>
      <c r="I336" s="348"/>
      <c r="J336" s="181"/>
      <c r="K336" s="348"/>
      <c r="L336" s="181"/>
      <c r="M336" s="348"/>
      <c r="N336" s="181"/>
      <c r="O336" s="341"/>
      <c r="P336" s="168"/>
      <c r="Q336" s="205"/>
      <c r="R336" s="205"/>
      <c r="S336" s="17"/>
      <c r="T336" s="17"/>
    </row>
    <row r="337">
      <c r="A337" s="341"/>
      <c r="B337" s="168"/>
      <c r="C337" s="341"/>
      <c r="D337" s="181"/>
      <c r="E337" s="341"/>
      <c r="F337" s="168"/>
      <c r="G337" s="341"/>
      <c r="H337" s="168"/>
      <c r="I337" s="348"/>
      <c r="J337" s="181"/>
      <c r="K337" s="348"/>
      <c r="L337" s="181"/>
      <c r="M337" s="348"/>
      <c r="N337" s="181"/>
      <c r="O337" s="341"/>
      <c r="P337" s="168"/>
      <c r="Q337" s="205"/>
      <c r="R337" s="205"/>
      <c r="S337" s="17"/>
      <c r="T337" s="17"/>
    </row>
    <row r="338">
      <c r="A338" s="341"/>
      <c r="B338" s="168"/>
      <c r="C338" s="341"/>
      <c r="D338" s="181"/>
      <c r="E338" s="341"/>
      <c r="F338" s="168"/>
      <c r="G338" s="341"/>
      <c r="H338" s="168"/>
      <c r="I338" s="348"/>
      <c r="J338" s="181"/>
      <c r="K338" s="348"/>
      <c r="L338" s="181"/>
      <c r="M338" s="348"/>
      <c r="N338" s="181"/>
      <c r="O338" s="341"/>
      <c r="P338" s="168"/>
      <c r="Q338" s="205"/>
      <c r="R338" s="205"/>
      <c r="S338" s="17"/>
      <c r="T338" s="17"/>
    </row>
    <row r="339">
      <c r="A339" s="341"/>
      <c r="B339" s="168"/>
      <c r="C339" s="341"/>
      <c r="D339" s="181"/>
      <c r="E339" s="341"/>
      <c r="F339" s="168"/>
      <c r="G339" s="341"/>
      <c r="H339" s="168"/>
      <c r="I339" s="348"/>
      <c r="J339" s="181"/>
      <c r="K339" s="348"/>
      <c r="L339" s="181"/>
      <c r="M339" s="348"/>
      <c r="N339" s="181"/>
      <c r="O339" s="341"/>
      <c r="P339" s="168"/>
      <c r="Q339" s="205"/>
      <c r="R339" s="205"/>
      <c r="S339" s="17"/>
      <c r="T339" s="17"/>
    </row>
    <row r="340">
      <c r="A340" s="341"/>
      <c r="B340" s="168"/>
      <c r="C340" s="341"/>
      <c r="D340" s="181"/>
      <c r="E340" s="341"/>
      <c r="F340" s="168"/>
      <c r="G340" s="341"/>
      <c r="H340" s="168"/>
      <c r="I340" s="348"/>
      <c r="J340" s="181"/>
      <c r="K340" s="348"/>
      <c r="L340" s="181"/>
      <c r="M340" s="348"/>
      <c r="N340" s="181"/>
      <c r="O340" s="341"/>
      <c r="P340" s="168"/>
      <c r="Q340" s="205"/>
      <c r="R340" s="205"/>
      <c r="S340" s="17"/>
      <c r="T340" s="17"/>
    </row>
    <row r="341">
      <c r="A341" s="341"/>
      <c r="B341" s="168"/>
      <c r="C341" s="341"/>
      <c r="D341" s="181"/>
      <c r="E341" s="341"/>
      <c r="F341" s="168"/>
      <c r="G341" s="341"/>
      <c r="H341" s="168"/>
      <c r="I341" s="348"/>
      <c r="J341" s="181"/>
      <c r="K341" s="348"/>
      <c r="L341" s="181"/>
      <c r="M341" s="348"/>
      <c r="N341" s="181"/>
      <c r="O341" s="341"/>
      <c r="P341" s="168"/>
      <c r="Q341" s="205"/>
      <c r="R341" s="205"/>
      <c r="S341" s="17"/>
      <c r="T341" s="17"/>
    </row>
    <row r="342">
      <c r="A342" s="341"/>
      <c r="B342" s="168"/>
      <c r="C342" s="341"/>
      <c r="D342" s="181"/>
      <c r="E342" s="341"/>
      <c r="F342" s="168"/>
      <c r="G342" s="341"/>
      <c r="H342" s="168"/>
      <c r="I342" s="348"/>
      <c r="J342" s="181"/>
      <c r="K342" s="348"/>
      <c r="L342" s="181"/>
      <c r="M342" s="348"/>
      <c r="N342" s="181"/>
      <c r="O342" s="341"/>
      <c r="P342" s="168"/>
      <c r="Q342" s="205"/>
      <c r="R342" s="205"/>
      <c r="S342" s="17"/>
      <c r="T342" s="17"/>
    </row>
    <row r="343">
      <c r="A343" s="341"/>
      <c r="B343" s="168"/>
      <c r="C343" s="341"/>
      <c r="D343" s="181"/>
      <c r="E343" s="341"/>
      <c r="F343" s="168"/>
      <c r="G343" s="341"/>
      <c r="H343" s="168"/>
      <c r="I343" s="348"/>
      <c r="J343" s="181"/>
      <c r="K343" s="348"/>
      <c r="L343" s="181"/>
      <c r="M343" s="348"/>
      <c r="N343" s="181"/>
      <c r="O343" s="341"/>
      <c r="P343" s="168"/>
      <c r="Q343" s="205"/>
      <c r="R343" s="205"/>
      <c r="S343" s="17"/>
      <c r="T343" s="17"/>
    </row>
    <row r="344">
      <c r="A344" s="341"/>
      <c r="B344" s="168"/>
      <c r="C344" s="341"/>
      <c r="D344" s="181"/>
      <c r="E344" s="341"/>
      <c r="F344" s="168"/>
      <c r="G344" s="341"/>
      <c r="H344" s="168"/>
      <c r="I344" s="348"/>
      <c r="J344" s="181"/>
      <c r="K344" s="348"/>
      <c r="L344" s="181"/>
      <c r="M344" s="348"/>
      <c r="N344" s="181"/>
      <c r="O344" s="341"/>
      <c r="P344" s="168"/>
      <c r="Q344" s="205"/>
      <c r="R344" s="205"/>
      <c r="S344" s="17"/>
      <c r="T344" s="17"/>
    </row>
    <row r="345">
      <c r="A345" s="341"/>
      <c r="B345" s="168"/>
      <c r="C345" s="341"/>
      <c r="D345" s="181"/>
      <c r="E345" s="341"/>
      <c r="F345" s="168"/>
      <c r="G345" s="341"/>
      <c r="H345" s="168"/>
      <c r="I345" s="348"/>
      <c r="J345" s="181"/>
      <c r="K345" s="348"/>
      <c r="L345" s="181"/>
      <c r="M345" s="348"/>
      <c r="N345" s="181"/>
      <c r="O345" s="341"/>
      <c r="P345" s="168"/>
      <c r="Q345" s="205"/>
      <c r="R345" s="205"/>
      <c r="S345" s="17"/>
      <c r="T345" s="17"/>
    </row>
    <row r="346">
      <c r="A346" s="341"/>
      <c r="B346" s="168"/>
      <c r="C346" s="341"/>
      <c r="D346" s="181"/>
      <c r="E346" s="341"/>
      <c r="F346" s="168"/>
      <c r="G346" s="341"/>
      <c r="H346" s="168"/>
      <c r="I346" s="348"/>
      <c r="J346" s="181"/>
      <c r="K346" s="348"/>
      <c r="L346" s="181"/>
      <c r="M346" s="348"/>
      <c r="N346" s="181"/>
      <c r="O346" s="341"/>
      <c r="P346" s="168"/>
      <c r="Q346" s="205"/>
      <c r="R346" s="205"/>
      <c r="S346" s="17"/>
      <c r="T346" s="17"/>
    </row>
    <row r="347">
      <c r="A347" s="341"/>
      <c r="B347" s="168"/>
      <c r="C347" s="341"/>
      <c r="D347" s="181"/>
      <c r="E347" s="341"/>
      <c r="F347" s="168"/>
      <c r="G347" s="341"/>
      <c r="H347" s="168"/>
      <c r="I347" s="348"/>
      <c r="J347" s="181"/>
      <c r="K347" s="348"/>
      <c r="L347" s="181"/>
      <c r="M347" s="348"/>
      <c r="N347" s="181"/>
      <c r="O347" s="341"/>
      <c r="P347" s="168"/>
      <c r="Q347" s="205"/>
      <c r="R347" s="205"/>
      <c r="S347" s="17"/>
      <c r="T347" s="17"/>
    </row>
    <row r="348">
      <c r="A348" s="341"/>
      <c r="B348" s="168"/>
      <c r="C348" s="341"/>
      <c r="D348" s="181"/>
      <c r="E348" s="341"/>
      <c r="F348" s="168"/>
      <c r="G348" s="341"/>
      <c r="H348" s="168"/>
      <c r="I348" s="348"/>
      <c r="J348" s="181"/>
      <c r="K348" s="348"/>
      <c r="L348" s="181"/>
      <c r="M348" s="348"/>
      <c r="N348" s="181"/>
      <c r="O348" s="341"/>
      <c r="P348" s="168"/>
      <c r="Q348" s="205"/>
      <c r="R348" s="205"/>
      <c r="S348" s="17"/>
      <c r="T348" s="17"/>
    </row>
    <row r="349">
      <c r="A349" s="341"/>
      <c r="B349" s="168"/>
      <c r="C349" s="341"/>
      <c r="D349" s="181"/>
      <c r="E349" s="341"/>
      <c r="F349" s="168"/>
      <c r="G349" s="341"/>
      <c r="H349" s="168"/>
      <c r="I349" s="348"/>
      <c r="J349" s="181"/>
      <c r="K349" s="348"/>
      <c r="L349" s="181"/>
      <c r="M349" s="348"/>
      <c r="N349" s="181"/>
      <c r="O349" s="341"/>
      <c r="P349" s="168"/>
      <c r="Q349" s="205"/>
      <c r="R349" s="205"/>
      <c r="S349" s="17"/>
      <c r="T349" s="17"/>
    </row>
    <row r="350">
      <c r="A350" s="341"/>
      <c r="B350" s="168"/>
      <c r="C350" s="341"/>
      <c r="D350" s="181"/>
      <c r="E350" s="341"/>
      <c r="F350" s="168"/>
      <c r="G350" s="341"/>
      <c r="H350" s="168"/>
      <c r="I350" s="348"/>
      <c r="J350" s="181"/>
      <c r="K350" s="348"/>
      <c r="L350" s="181"/>
      <c r="M350" s="348"/>
      <c r="N350" s="181"/>
      <c r="O350" s="341"/>
      <c r="P350" s="168"/>
      <c r="Q350" s="205"/>
      <c r="R350" s="205"/>
      <c r="S350" s="17"/>
      <c r="T350" s="17"/>
    </row>
    <row r="351">
      <c r="A351" s="341"/>
      <c r="B351" s="168"/>
      <c r="C351" s="341"/>
      <c r="D351" s="181"/>
      <c r="E351" s="341"/>
      <c r="F351" s="168"/>
      <c r="G351" s="341"/>
      <c r="H351" s="168"/>
      <c r="I351" s="348"/>
      <c r="J351" s="181"/>
      <c r="K351" s="348"/>
      <c r="L351" s="181"/>
      <c r="M351" s="348"/>
      <c r="N351" s="181"/>
      <c r="O351" s="341"/>
      <c r="P351" s="168"/>
      <c r="Q351" s="205"/>
      <c r="R351" s="205"/>
      <c r="S351" s="17"/>
      <c r="T351" s="17"/>
    </row>
    <row r="352">
      <c r="A352" s="341"/>
      <c r="B352" s="168"/>
      <c r="C352" s="341"/>
      <c r="D352" s="181"/>
      <c r="E352" s="341"/>
      <c r="F352" s="168"/>
      <c r="G352" s="341"/>
      <c r="H352" s="168"/>
      <c r="I352" s="348"/>
      <c r="J352" s="181"/>
      <c r="K352" s="348"/>
      <c r="L352" s="181"/>
      <c r="M352" s="348"/>
      <c r="N352" s="181"/>
      <c r="O352" s="341"/>
      <c r="P352" s="168"/>
      <c r="Q352" s="205"/>
      <c r="R352" s="205"/>
      <c r="S352" s="17"/>
      <c r="T352" s="17"/>
    </row>
    <row r="353">
      <c r="A353" s="341"/>
      <c r="B353" s="168"/>
      <c r="C353" s="341"/>
      <c r="D353" s="181"/>
      <c r="E353" s="341"/>
      <c r="F353" s="168"/>
      <c r="G353" s="341"/>
      <c r="H353" s="168"/>
      <c r="I353" s="348"/>
      <c r="J353" s="181"/>
      <c r="K353" s="348"/>
      <c r="L353" s="181"/>
      <c r="M353" s="348"/>
      <c r="N353" s="181"/>
      <c r="O353" s="341"/>
      <c r="P353" s="168"/>
      <c r="Q353" s="205"/>
      <c r="R353" s="205"/>
      <c r="S353" s="17"/>
      <c r="T353" s="17"/>
    </row>
    <row r="354">
      <c r="A354" s="341"/>
      <c r="B354" s="168"/>
      <c r="C354" s="341"/>
      <c r="D354" s="181"/>
      <c r="E354" s="341"/>
      <c r="F354" s="168"/>
      <c r="G354" s="341"/>
      <c r="H354" s="168"/>
      <c r="I354" s="348"/>
      <c r="J354" s="181"/>
      <c r="K354" s="348"/>
      <c r="L354" s="181"/>
      <c r="M354" s="348"/>
      <c r="N354" s="181"/>
      <c r="O354" s="341"/>
      <c r="P354" s="168"/>
      <c r="Q354" s="205"/>
      <c r="R354" s="205"/>
      <c r="S354" s="17"/>
      <c r="T354" s="17"/>
    </row>
    <row r="355">
      <c r="A355" s="341"/>
      <c r="B355" s="168"/>
      <c r="C355" s="341"/>
      <c r="D355" s="181"/>
      <c r="E355" s="341"/>
      <c r="F355" s="168"/>
      <c r="G355" s="341"/>
      <c r="H355" s="168"/>
      <c r="I355" s="348"/>
      <c r="J355" s="181"/>
      <c r="K355" s="348"/>
      <c r="L355" s="181"/>
      <c r="M355" s="348"/>
      <c r="N355" s="181"/>
      <c r="O355" s="341"/>
      <c r="P355" s="168"/>
      <c r="Q355" s="205"/>
      <c r="R355" s="205"/>
      <c r="S355" s="17"/>
      <c r="T355" s="17"/>
    </row>
    <row r="356">
      <c r="A356" s="341"/>
      <c r="B356" s="168"/>
      <c r="C356" s="341"/>
      <c r="D356" s="181"/>
      <c r="E356" s="341"/>
      <c r="F356" s="168"/>
      <c r="G356" s="341"/>
      <c r="H356" s="168"/>
      <c r="I356" s="348"/>
      <c r="J356" s="181"/>
      <c r="K356" s="348"/>
      <c r="L356" s="181"/>
      <c r="M356" s="348"/>
      <c r="N356" s="181"/>
      <c r="O356" s="341"/>
      <c r="P356" s="168"/>
      <c r="Q356" s="205"/>
      <c r="R356" s="205"/>
      <c r="S356" s="17"/>
      <c r="T356" s="17"/>
    </row>
    <row r="357">
      <c r="A357" s="341"/>
      <c r="B357" s="168"/>
      <c r="C357" s="341"/>
      <c r="D357" s="181"/>
      <c r="E357" s="341"/>
      <c r="F357" s="168"/>
      <c r="G357" s="341"/>
      <c r="H357" s="168"/>
      <c r="I357" s="348"/>
      <c r="J357" s="181"/>
      <c r="K357" s="348"/>
      <c r="L357" s="181"/>
      <c r="M357" s="348"/>
      <c r="N357" s="181"/>
      <c r="O357" s="341"/>
      <c r="P357" s="168"/>
      <c r="Q357" s="205"/>
      <c r="R357" s="205"/>
      <c r="S357" s="17"/>
      <c r="T357" s="17"/>
    </row>
    <row r="358">
      <c r="A358" s="341"/>
      <c r="B358" s="168"/>
      <c r="C358" s="341"/>
      <c r="D358" s="181"/>
      <c r="E358" s="341"/>
      <c r="F358" s="168"/>
      <c r="G358" s="341"/>
      <c r="H358" s="168"/>
      <c r="I358" s="348"/>
      <c r="J358" s="181"/>
      <c r="K358" s="348"/>
      <c r="L358" s="181"/>
      <c r="M358" s="348"/>
      <c r="N358" s="181"/>
      <c r="O358" s="341"/>
      <c r="P358" s="168"/>
      <c r="Q358" s="205"/>
      <c r="R358" s="205"/>
      <c r="S358" s="17"/>
      <c r="T358" s="17"/>
    </row>
    <row r="359">
      <c r="A359" s="341"/>
      <c r="B359" s="168"/>
      <c r="C359" s="341"/>
      <c r="D359" s="181"/>
      <c r="E359" s="341"/>
      <c r="F359" s="168"/>
      <c r="G359" s="341"/>
      <c r="H359" s="168"/>
      <c r="I359" s="348"/>
      <c r="J359" s="181"/>
      <c r="K359" s="348"/>
      <c r="L359" s="181"/>
      <c r="M359" s="348"/>
      <c r="N359" s="181"/>
      <c r="O359" s="341"/>
      <c r="P359" s="168"/>
      <c r="Q359" s="205"/>
      <c r="R359" s="205"/>
      <c r="S359" s="17"/>
      <c r="T359" s="17"/>
    </row>
    <row r="360">
      <c r="A360" s="341"/>
      <c r="B360" s="168"/>
      <c r="C360" s="341"/>
      <c r="D360" s="181"/>
      <c r="E360" s="341"/>
      <c r="F360" s="168"/>
      <c r="G360" s="341"/>
      <c r="H360" s="168"/>
      <c r="I360" s="348"/>
      <c r="J360" s="181"/>
      <c r="K360" s="348"/>
      <c r="L360" s="181"/>
      <c r="M360" s="348"/>
      <c r="N360" s="181"/>
      <c r="O360" s="341"/>
      <c r="P360" s="168"/>
      <c r="Q360" s="205"/>
      <c r="R360" s="205"/>
      <c r="S360" s="17"/>
      <c r="T360" s="17"/>
    </row>
    <row r="361">
      <c r="A361" s="341"/>
      <c r="B361" s="168"/>
      <c r="C361" s="341"/>
      <c r="D361" s="181"/>
      <c r="E361" s="341"/>
      <c r="F361" s="168"/>
      <c r="G361" s="341"/>
      <c r="H361" s="168"/>
      <c r="I361" s="348"/>
      <c r="J361" s="181"/>
      <c r="K361" s="348"/>
      <c r="L361" s="181"/>
      <c r="M361" s="348"/>
      <c r="N361" s="181"/>
      <c r="O361" s="341"/>
      <c r="P361" s="168"/>
      <c r="Q361" s="205"/>
      <c r="R361" s="205"/>
      <c r="S361" s="17"/>
      <c r="T361" s="17"/>
    </row>
    <row r="362">
      <c r="A362" s="341"/>
      <c r="B362" s="168"/>
      <c r="C362" s="341"/>
      <c r="D362" s="181"/>
      <c r="E362" s="341"/>
      <c r="F362" s="168"/>
      <c r="G362" s="341"/>
      <c r="H362" s="168"/>
      <c r="I362" s="348"/>
      <c r="J362" s="181"/>
      <c r="K362" s="348"/>
      <c r="L362" s="181"/>
      <c r="M362" s="348"/>
      <c r="N362" s="181"/>
      <c r="O362" s="341"/>
      <c r="P362" s="168"/>
      <c r="Q362" s="205"/>
      <c r="R362" s="205"/>
      <c r="S362" s="17"/>
      <c r="T362" s="17"/>
    </row>
    <row r="363">
      <c r="A363" s="341"/>
      <c r="B363" s="168"/>
      <c r="C363" s="341"/>
      <c r="D363" s="181"/>
      <c r="E363" s="341"/>
      <c r="F363" s="168"/>
      <c r="G363" s="341"/>
      <c r="H363" s="168"/>
      <c r="I363" s="348"/>
      <c r="J363" s="181"/>
      <c r="K363" s="348"/>
      <c r="L363" s="181"/>
      <c r="M363" s="348"/>
      <c r="N363" s="181"/>
      <c r="O363" s="341"/>
      <c r="P363" s="168"/>
      <c r="Q363" s="205"/>
      <c r="R363" s="205"/>
      <c r="S363" s="17"/>
      <c r="T363" s="17"/>
    </row>
    <row r="364">
      <c r="A364" s="341"/>
      <c r="B364" s="168"/>
      <c r="C364" s="341"/>
      <c r="D364" s="181"/>
      <c r="E364" s="341"/>
      <c r="F364" s="168"/>
      <c r="G364" s="341"/>
      <c r="H364" s="168"/>
      <c r="I364" s="348"/>
      <c r="J364" s="181"/>
      <c r="K364" s="348"/>
      <c r="L364" s="181"/>
      <c r="M364" s="348"/>
      <c r="N364" s="181"/>
      <c r="O364" s="341"/>
      <c r="P364" s="168"/>
      <c r="Q364" s="205"/>
      <c r="R364" s="205"/>
      <c r="S364" s="17"/>
      <c r="T364" s="17"/>
    </row>
    <row r="365">
      <c r="A365" s="341"/>
      <c r="B365" s="168"/>
      <c r="C365" s="341"/>
      <c r="D365" s="181"/>
      <c r="E365" s="341"/>
      <c r="F365" s="168"/>
      <c r="G365" s="341"/>
      <c r="H365" s="168"/>
      <c r="I365" s="348"/>
      <c r="J365" s="181"/>
      <c r="K365" s="348"/>
      <c r="L365" s="181"/>
      <c r="M365" s="348"/>
      <c r="N365" s="181"/>
      <c r="O365" s="341"/>
      <c r="P365" s="168"/>
      <c r="Q365" s="205"/>
      <c r="R365" s="205"/>
      <c r="S365" s="17"/>
      <c r="T365" s="17"/>
    </row>
    <row r="366">
      <c r="A366" s="341"/>
      <c r="B366" s="168"/>
      <c r="C366" s="341"/>
      <c r="D366" s="181"/>
      <c r="E366" s="341"/>
      <c r="F366" s="168"/>
      <c r="G366" s="341"/>
      <c r="H366" s="168"/>
      <c r="I366" s="348"/>
      <c r="J366" s="181"/>
      <c r="K366" s="348"/>
      <c r="L366" s="181"/>
      <c r="M366" s="348"/>
      <c r="N366" s="181"/>
      <c r="O366" s="341"/>
      <c r="P366" s="168"/>
      <c r="Q366" s="205"/>
      <c r="R366" s="205"/>
      <c r="S366" s="17"/>
      <c r="T366" s="17"/>
    </row>
    <row r="367">
      <c r="A367" s="341"/>
      <c r="B367" s="168"/>
      <c r="C367" s="341"/>
      <c r="D367" s="181"/>
      <c r="E367" s="341"/>
      <c r="F367" s="168"/>
      <c r="G367" s="341"/>
      <c r="H367" s="168"/>
      <c r="I367" s="348"/>
      <c r="J367" s="181"/>
      <c r="K367" s="348"/>
      <c r="L367" s="181"/>
      <c r="M367" s="348"/>
      <c r="N367" s="181"/>
      <c r="O367" s="341"/>
      <c r="P367" s="168"/>
      <c r="Q367" s="205"/>
      <c r="R367" s="205"/>
      <c r="S367" s="17"/>
      <c r="T367" s="17"/>
    </row>
    <row r="368">
      <c r="A368" s="341"/>
      <c r="B368" s="168"/>
      <c r="C368" s="341"/>
      <c r="D368" s="181"/>
      <c r="E368" s="341"/>
      <c r="F368" s="168"/>
      <c r="G368" s="341"/>
      <c r="H368" s="168"/>
      <c r="I368" s="348"/>
      <c r="J368" s="181"/>
      <c r="K368" s="348"/>
      <c r="L368" s="181"/>
      <c r="M368" s="348"/>
      <c r="N368" s="181"/>
      <c r="O368" s="341"/>
      <c r="P368" s="168"/>
      <c r="Q368" s="205"/>
      <c r="R368" s="205"/>
      <c r="S368" s="17"/>
      <c r="T368" s="17"/>
    </row>
    <row r="369">
      <c r="A369" s="341"/>
      <c r="B369" s="168"/>
      <c r="C369" s="341"/>
      <c r="D369" s="181"/>
      <c r="E369" s="341"/>
      <c r="F369" s="168"/>
      <c r="G369" s="341"/>
      <c r="H369" s="168"/>
      <c r="I369" s="348"/>
      <c r="J369" s="181"/>
      <c r="K369" s="348"/>
      <c r="L369" s="181"/>
      <c r="M369" s="348"/>
      <c r="N369" s="181"/>
      <c r="O369" s="341"/>
      <c r="P369" s="168"/>
      <c r="Q369" s="205"/>
      <c r="R369" s="205"/>
      <c r="S369" s="17"/>
      <c r="T369" s="17"/>
    </row>
    <row r="370">
      <c r="A370" s="341"/>
      <c r="B370" s="168"/>
      <c r="C370" s="341"/>
      <c r="D370" s="181"/>
      <c r="E370" s="341"/>
      <c r="F370" s="168"/>
      <c r="G370" s="341"/>
      <c r="H370" s="168"/>
      <c r="I370" s="348"/>
      <c r="J370" s="181"/>
      <c r="K370" s="348"/>
      <c r="L370" s="181"/>
      <c r="M370" s="348"/>
      <c r="N370" s="181"/>
      <c r="O370" s="341"/>
      <c r="P370" s="168"/>
      <c r="Q370" s="205"/>
      <c r="R370" s="205"/>
      <c r="S370" s="17"/>
      <c r="T370" s="17"/>
    </row>
    <row r="371">
      <c r="A371" s="341"/>
      <c r="B371" s="168"/>
      <c r="C371" s="341"/>
      <c r="D371" s="181"/>
      <c r="E371" s="341"/>
      <c r="F371" s="168"/>
      <c r="G371" s="341"/>
      <c r="H371" s="168"/>
      <c r="I371" s="348"/>
      <c r="J371" s="181"/>
      <c r="K371" s="348"/>
      <c r="L371" s="181"/>
      <c r="M371" s="348"/>
      <c r="N371" s="181"/>
      <c r="O371" s="341"/>
      <c r="P371" s="168"/>
      <c r="Q371" s="205"/>
      <c r="R371" s="205"/>
      <c r="S371" s="17"/>
      <c r="T371" s="17"/>
    </row>
    <row r="372">
      <c r="A372" s="341"/>
      <c r="B372" s="168"/>
      <c r="C372" s="341"/>
      <c r="D372" s="181"/>
      <c r="E372" s="341"/>
      <c r="F372" s="168"/>
      <c r="G372" s="341"/>
      <c r="H372" s="168"/>
      <c r="I372" s="348"/>
      <c r="J372" s="181"/>
      <c r="K372" s="348"/>
      <c r="L372" s="181"/>
      <c r="M372" s="348"/>
      <c r="N372" s="181"/>
      <c r="O372" s="341"/>
      <c r="P372" s="168"/>
      <c r="Q372" s="205"/>
      <c r="R372" s="205"/>
      <c r="S372" s="17"/>
      <c r="T372" s="17"/>
    </row>
    <row r="373">
      <c r="A373" s="341"/>
      <c r="B373" s="168"/>
      <c r="C373" s="341"/>
      <c r="D373" s="181"/>
      <c r="E373" s="341"/>
      <c r="F373" s="168"/>
      <c r="G373" s="341"/>
      <c r="H373" s="168"/>
      <c r="I373" s="348"/>
      <c r="J373" s="181"/>
      <c r="K373" s="348"/>
      <c r="L373" s="181"/>
      <c r="M373" s="348"/>
      <c r="N373" s="181"/>
      <c r="O373" s="341"/>
      <c r="P373" s="168"/>
      <c r="Q373" s="205"/>
      <c r="R373" s="205"/>
      <c r="S373" s="17"/>
      <c r="T373" s="17"/>
    </row>
    <row r="374">
      <c r="A374" s="341"/>
      <c r="B374" s="168"/>
      <c r="C374" s="341"/>
      <c r="D374" s="181"/>
      <c r="E374" s="341"/>
      <c r="F374" s="168"/>
      <c r="G374" s="341"/>
      <c r="H374" s="168"/>
      <c r="I374" s="348"/>
      <c r="J374" s="181"/>
      <c r="K374" s="348"/>
      <c r="L374" s="181"/>
      <c r="M374" s="348"/>
      <c r="N374" s="181"/>
      <c r="O374" s="341"/>
      <c r="P374" s="168"/>
      <c r="Q374" s="205"/>
      <c r="R374" s="205"/>
      <c r="S374" s="17"/>
      <c r="T374" s="17"/>
    </row>
    <row r="375">
      <c r="A375" s="341"/>
      <c r="B375" s="168"/>
      <c r="C375" s="341"/>
      <c r="D375" s="181"/>
      <c r="E375" s="341"/>
      <c r="F375" s="168"/>
      <c r="G375" s="341"/>
      <c r="H375" s="168"/>
      <c r="I375" s="348"/>
      <c r="J375" s="181"/>
      <c r="K375" s="348"/>
      <c r="L375" s="181"/>
      <c r="M375" s="348"/>
      <c r="N375" s="181"/>
      <c r="O375" s="341"/>
      <c r="P375" s="168"/>
      <c r="Q375" s="205"/>
      <c r="R375" s="205"/>
      <c r="S375" s="17"/>
      <c r="T375" s="17"/>
    </row>
    <row r="376">
      <c r="A376" s="341"/>
      <c r="B376" s="168"/>
      <c r="C376" s="341"/>
      <c r="D376" s="181"/>
      <c r="E376" s="341"/>
      <c r="F376" s="168"/>
      <c r="G376" s="341"/>
      <c r="H376" s="168"/>
      <c r="I376" s="348"/>
      <c r="J376" s="181"/>
      <c r="K376" s="348"/>
      <c r="L376" s="181"/>
      <c r="M376" s="348"/>
      <c r="N376" s="181"/>
      <c r="O376" s="341"/>
      <c r="P376" s="168"/>
      <c r="Q376" s="205"/>
      <c r="R376" s="205"/>
      <c r="S376" s="17"/>
      <c r="T376" s="17"/>
    </row>
    <row r="377">
      <c r="A377" s="341"/>
      <c r="B377" s="168"/>
      <c r="C377" s="341"/>
      <c r="D377" s="181"/>
      <c r="E377" s="341"/>
      <c r="F377" s="168"/>
      <c r="G377" s="341"/>
      <c r="H377" s="168"/>
      <c r="I377" s="348"/>
      <c r="J377" s="181"/>
      <c r="K377" s="348"/>
      <c r="L377" s="181"/>
      <c r="M377" s="348"/>
      <c r="N377" s="181"/>
      <c r="O377" s="341"/>
      <c r="P377" s="168"/>
      <c r="Q377" s="205"/>
      <c r="R377" s="205"/>
      <c r="S377" s="17"/>
      <c r="T377" s="17"/>
    </row>
    <row r="378">
      <c r="A378" s="341"/>
      <c r="B378" s="168"/>
      <c r="C378" s="341"/>
      <c r="D378" s="181"/>
      <c r="E378" s="341"/>
      <c r="F378" s="168"/>
      <c r="G378" s="341"/>
      <c r="H378" s="168"/>
      <c r="I378" s="348"/>
      <c r="J378" s="181"/>
      <c r="K378" s="348"/>
      <c r="L378" s="181"/>
      <c r="M378" s="348"/>
      <c r="N378" s="181"/>
      <c r="O378" s="341"/>
      <c r="P378" s="168"/>
      <c r="Q378" s="205"/>
      <c r="R378" s="205"/>
      <c r="S378" s="17"/>
      <c r="T378" s="17"/>
    </row>
    <row r="379">
      <c r="A379" s="341"/>
      <c r="B379" s="168"/>
      <c r="C379" s="341"/>
      <c r="D379" s="181"/>
      <c r="E379" s="341"/>
      <c r="F379" s="168"/>
      <c r="G379" s="341"/>
      <c r="H379" s="168"/>
      <c r="I379" s="348"/>
      <c r="J379" s="181"/>
      <c r="K379" s="348"/>
      <c r="L379" s="181"/>
      <c r="M379" s="348"/>
      <c r="N379" s="181"/>
      <c r="O379" s="341"/>
      <c r="P379" s="168"/>
      <c r="Q379" s="205"/>
      <c r="R379" s="205"/>
      <c r="S379" s="17"/>
      <c r="T379" s="17"/>
    </row>
    <row r="380">
      <c r="A380" s="341"/>
      <c r="B380" s="168"/>
      <c r="C380" s="341"/>
      <c r="D380" s="181"/>
      <c r="E380" s="341"/>
      <c r="F380" s="168"/>
      <c r="G380" s="341"/>
      <c r="H380" s="168"/>
      <c r="I380" s="348"/>
      <c r="J380" s="181"/>
      <c r="K380" s="348"/>
      <c r="L380" s="181"/>
      <c r="M380" s="348"/>
      <c r="N380" s="181"/>
      <c r="O380" s="341"/>
      <c r="P380" s="168"/>
      <c r="Q380" s="205"/>
      <c r="R380" s="205"/>
      <c r="S380" s="17"/>
      <c r="T380" s="17"/>
    </row>
    <row r="381">
      <c r="A381" s="341"/>
      <c r="B381" s="168"/>
      <c r="C381" s="341"/>
      <c r="D381" s="181"/>
      <c r="E381" s="341"/>
      <c r="F381" s="168"/>
      <c r="G381" s="341"/>
      <c r="H381" s="168"/>
      <c r="I381" s="348"/>
      <c r="J381" s="181"/>
      <c r="K381" s="348"/>
      <c r="L381" s="181"/>
      <c r="M381" s="348"/>
      <c r="N381" s="181"/>
      <c r="O381" s="341"/>
      <c r="P381" s="168"/>
      <c r="Q381" s="205"/>
      <c r="R381" s="205"/>
      <c r="S381" s="17"/>
      <c r="T381" s="17"/>
    </row>
    <row r="382">
      <c r="A382" s="341"/>
      <c r="B382" s="168"/>
      <c r="C382" s="341"/>
      <c r="D382" s="181"/>
      <c r="E382" s="341"/>
      <c r="F382" s="168"/>
      <c r="G382" s="341"/>
      <c r="H382" s="168"/>
      <c r="I382" s="348"/>
      <c r="J382" s="181"/>
      <c r="K382" s="348"/>
      <c r="L382" s="181"/>
      <c r="M382" s="348"/>
      <c r="N382" s="181"/>
      <c r="O382" s="341"/>
      <c r="P382" s="168"/>
      <c r="Q382" s="205"/>
      <c r="R382" s="205"/>
      <c r="S382" s="17"/>
      <c r="T382" s="17"/>
    </row>
    <row r="383">
      <c r="A383" s="341"/>
      <c r="B383" s="168"/>
      <c r="C383" s="341"/>
      <c r="D383" s="181"/>
      <c r="E383" s="341"/>
      <c r="F383" s="168"/>
      <c r="G383" s="341"/>
      <c r="H383" s="168"/>
      <c r="I383" s="348"/>
      <c r="J383" s="181"/>
      <c r="K383" s="348"/>
      <c r="L383" s="181"/>
      <c r="M383" s="348"/>
      <c r="N383" s="181"/>
      <c r="O383" s="341"/>
      <c r="P383" s="168"/>
      <c r="Q383" s="205"/>
      <c r="R383" s="205"/>
      <c r="S383" s="17"/>
      <c r="T383" s="17"/>
    </row>
    <row r="384">
      <c r="A384" s="341"/>
      <c r="B384" s="168"/>
      <c r="C384" s="341"/>
      <c r="D384" s="181"/>
      <c r="E384" s="341"/>
      <c r="F384" s="168"/>
      <c r="G384" s="341"/>
      <c r="H384" s="168"/>
      <c r="I384" s="348"/>
      <c r="J384" s="181"/>
      <c r="K384" s="348"/>
      <c r="L384" s="181"/>
      <c r="M384" s="348"/>
      <c r="N384" s="181"/>
      <c r="O384" s="341"/>
      <c r="P384" s="168"/>
      <c r="Q384" s="205"/>
      <c r="R384" s="205"/>
      <c r="S384" s="17"/>
      <c r="T384" s="17"/>
    </row>
    <row r="385">
      <c r="A385" s="341"/>
      <c r="B385" s="168"/>
      <c r="C385" s="341"/>
      <c r="D385" s="181"/>
      <c r="E385" s="341"/>
      <c r="F385" s="168"/>
      <c r="G385" s="341"/>
      <c r="H385" s="168"/>
      <c r="I385" s="348"/>
      <c r="J385" s="181"/>
      <c r="K385" s="348"/>
      <c r="L385" s="181"/>
      <c r="M385" s="348"/>
      <c r="N385" s="181"/>
      <c r="O385" s="341"/>
      <c r="P385" s="168"/>
      <c r="Q385" s="205"/>
      <c r="R385" s="205"/>
      <c r="S385" s="17"/>
      <c r="T385" s="17"/>
    </row>
    <row r="386">
      <c r="A386" s="341"/>
      <c r="B386" s="168"/>
      <c r="C386" s="341"/>
      <c r="D386" s="181"/>
      <c r="E386" s="341"/>
      <c r="F386" s="168"/>
      <c r="G386" s="341"/>
      <c r="H386" s="168"/>
      <c r="I386" s="348"/>
      <c r="J386" s="181"/>
      <c r="K386" s="348"/>
      <c r="L386" s="181"/>
      <c r="M386" s="348"/>
      <c r="N386" s="181"/>
      <c r="O386" s="341"/>
      <c r="P386" s="168"/>
      <c r="Q386" s="205"/>
      <c r="R386" s="205"/>
      <c r="S386" s="17"/>
      <c r="T386" s="17"/>
    </row>
    <row r="387">
      <c r="A387" s="341"/>
      <c r="B387" s="168"/>
      <c r="C387" s="341"/>
      <c r="D387" s="181"/>
      <c r="E387" s="341"/>
      <c r="F387" s="168"/>
      <c r="G387" s="341"/>
      <c r="H387" s="168"/>
      <c r="I387" s="348"/>
      <c r="J387" s="181"/>
      <c r="K387" s="348"/>
      <c r="L387" s="181"/>
      <c r="M387" s="348"/>
      <c r="N387" s="181"/>
      <c r="O387" s="341"/>
      <c r="P387" s="168"/>
      <c r="Q387" s="205"/>
      <c r="R387" s="205"/>
      <c r="S387" s="17"/>
      <c r="T387" s="17"/>
    </row>
    <row r="388">
      <c r="A388" s="341"/>
      <c r="B388" s="168"/>
      <c r="C388" s="341"/>
      <c r="D388" s="181"/>
      <c r="E388" s="341"/>
      <c r="F388" s="168"/>
      <c r="G388" s="341"/>
      <c r="H388" s="168"/>
      <c r="I388" s="348"/>
      <c r="J388" s="181"/>
      <c r="K388" s="348"/>
      <c r="L388" s="181"/>
      <c r="M388" s="348"/>
      <c r="N388" s="181"/>
      <c r="O388" s="341"/>
      <c r="P388" s="168"/>
      <c r="Q388" s="205"/>
      <c r="R388" s="205"/>
      <c r="S388" s="17"/>
      <c r="T388" s="17"/>
    </row>
    <row r="389">
      <c r="A389" s="341"/>
      <c r="B389" s="168"/>
      <c r="C389" s="341"/>
      <c r="D389" s="181"/>
      <c r="E389" s="341"/>
      <c r="F389" s="168"/>
      <c r="G389" s="341"/>
      <c r="H389" s="168"/>
      <c r="I389" s="348"/>
      <c r="J389" s="181"/>
      <c r="K389" s="348"/>
      <c r="L389" s="181"/>
      <c r="M389" s="348"/>
      <c r="N389" s="181"/>
      <c r="O389" s="341"/>
      <c r="P389" s="168"/>
      <c r="Q389" s="205"/>
      <c r="R389" s="205"/>
      <c r="S389" s="17"/>
      <c r="T389" s="17"/>
    </row>
    <row r="390">
      <c r="A390" s="341"/>
      <c r="B390" s="168"/>
      <c r="C390" s="341"/>
      <c r="D390" s="181"/>
      <c r="E390" s="341"/>
      <c r="F390" s="168"/>
      <c r="G390" s="341"/>
      <c r="H390" s="168"/>
      <c r="I390" s="348"/>
      <c r="J390" s="181"/>
      <c r="K390" s="348"/>
      <c r="L390" s="181"/>
      <c r="M390" s="348"/>
      <c r="N390" s="181"/>
      <c r="O390" s="341"/>
      <c r="P390" s="168"/>
      <c r="Q390" s="205"/>
      <c r="R390" s="205"/>
      <c r="S390" s="17"/>
      <c r="T390" s="17"/>
    </row>
    <row r="391">
      <c r="A391" s="341"/>
      <c r="B391" s="168"/>
      <c r="C391" s="341"/>
      <c r="D391" s="181"/>
      <c r="E391" s="341"/>
      <c r="F391" s="168"/>
      <c r="G391" s="341"/>
      <c r="H391" s="168"/>
      <c r="I391" s="348"/>
      <c r="J391" s="181"/>
      <c r="K391" s="348"/>
      <c r="L391" s="181"/>
      <c r="M391" s="348"/>
      <c r="N391" s="181"/>
      <c r="O391" s="341"/>
      <c r="P391" s="168"/>
      <c r="Q391" s="205"/>
      <c r="R391" s="205"/>
      <c r="S391" s="17"/>
      <c r="T391" s="17"/>
    </row>
    <row r="392">
      <c r="A392" s="341"/>
      <c r="B392" s="168"/>
      <c r="C392" s="341"/>
      <c r="D392" s="181"/>
      <c r="E392" s="341"/>
      <c r="F392" s="168"/>
      <c r="G392" s="341"/>
      <c r="H392" s="168"/>
      <c r="I392" s="348"/>
      <c r="J392" s="181"/>
      <c r="K392" s="348"/>
      <c r="L392" s="181"/>
      <c r="M392" s="348"/>
      <c r="N392" s="181"/>
      <c r="O392" s="341"/>
      <c r="P392" s="168"/>
      <c r="Q392" s="205"/>
      <c r="R392" s="205"/>
      <c r="S392" s="17"/>
      <c r="T392" s="17"/>
    </row>
    <row r="393">
      <c r="A393" s="341"/>
      <c r="B393" s="168"/>
      <c r="C393" s="341"/>
      <c r="D393" s="181"/>
      <c r="E393" s="341"/>
      <c r="F393" s="168"/>
      <c r="G393" s="341"/>
      <c r="H393" s="168"/>
      <c r="I393" s="348"/>
      <c r="J393" s="181"/>
      <c r="K393" s="348"/>
      <c r="L393" s="181"/>
      <c r="M393" s="348"/>
      <c r="N393" s="181"/>
      <c r="O393" s="341"/>
      <c r="P393" s="168"/>
      <c r="Q393" s="205"/>
      <c r="R393" s="205"/>
      <c r="S393" s="17"/>
      <c r="T393" s="17"/>
    </row>
    <row r="394">
      <c r="A394" s="341"/>
      <c r="B394" s="168"/>
      <c r="C394" s="341"/>
      <c r="D394" s="181"/>
      <c r="E394" s="341"/>
      <c r="F394" s="168"/>
      <c r="G394" s="341"/>
      <c r="H394" s="168"/>
      <c r="I394" s="348"/>
      <c r="J394" s="181"/>
      <c r="K394" s="348"/>
      <c r="L394" s="181"/>
      <c r="M394" s="348"/>
      <c r="N394" s="181"/>
      <c r="O394" s="341"/>
      <c r="P394" s="168"/>
      <c r="Q394" s="205"/>
      <c r="R394" s="205"/>
      <c r="S394" s="17"/>
      <c r="T394" s="17"/>
    </row>
    <row r="395">
      <c r="A395" s="341"/>
      <c r="B395" s="168"/>
      <c r="C395" s="341"/>
      <c r="D395" s="181"/>
      <c r="E395" s="341"/>
      <c r="F395" s="168"/>
      <c r="G395" s="341"/>
      <c r="H395" s="168"/>
      <c r="I395" s="348"/>
      <c r="J395" s="181"/>
      <c r="K395" s="348"/>
      <c r="L395" s="181"/>
      <c r="M395" s="348"/>
      <c r="N395" s="181"/>
      <c r="O395" s="341"/>
      <c r="P395" s="168"/>
      <c r="Q395" s="205"/>
      <c r="R395" s="205"/>
      <c r="S395" s="17"/>
      <c r="T395" s="17"/>
    </row>
    <row r="396">
      <c r="A396" s="341"/>
      <c r="B396" s="168"/>
      <c r="C396" s="341"/>
      <c r="D396" s="181"/>
      <c r="E396" s="341"/>
      <c r="F396" s="168"/>
      <c r="G396" s="341"/>
      <c r="H396" s="168"/>
      <c r="I396" s="348"/>
      <c r="J396" s="181"/>
      <c r="K396" s="348"/>
      <c r="L396" s="181"/>
      <c r="M396" s="348"/>
      <c r="N396" s="181"/>
      <c r="O396" s="341"/>
      <c r="P396" s="168"/>
      <c r="Q396" s="205"/>
      <c r="R396" s="205"/>
      <c r="S396" s="17"/>
      <c r="T396" s="17"/>
    </row>
    <row r="397">
      <c r="A397" s="341"/>
      <c r="B397" s="168"/>
      <c r="C397" s="341"/>
      <c r="D397" s="181"/>
      <c r="E397" s="341"/>
      <c r="F397" s="168"/>
      <c r="G397" s="341"/>
      <c r="H397" s="168"/>
      <c r="I397" s="348"/>
      <c r="J397" s="181"/>
      <c r="K397" s="348"/>
      <c r="L397" s="181"/>
      <c r="M397" s="348"/>
      <c r="N397" s="181"/>
      <c r="O397" s="341"/>
      <c r="P397" s="168"/>
      <c r="Q397" s="205"/>
      <c r="R397" s="205"/>
      <c r="S397" s="17"/>
      <c r="T397" s="17"/>
    </row>
    <row r="398">
      <c r="A398" s="341"/>
      <c r="B398" s="168"/>
      <c r="C398" s="341"/>
      <c r="D398" s="181"/>
      <c r="E398" s="341"/>
      <c r="F398" s="168"/>
      <c r="G398" s="341"/>
      <c r="H398" s="168"/>
      <c r="I398" s="348"/>
      <c r="J398" s="181"/>
      <c r="K398" s="348"/>
      <c r="L398" s="181"/>
      <c r="M398" s="348"/>
      <c r="N398" s="181"/>
      <c r="O398" s="341"/>
      <c r="P398" s="168"/>
      <c r="Q398" s="205"/>
      <c r="R398" s="205"/>
      <c r="S398" s="17"/>
      <c r="T398" s="17"/>
    </row>
    <row r="399">
      <c r="A399" s="341"/>
      <c r="B399" s="168"/>
      <c r="C399" s="341"/>
      <c r="D399" s="181"/>
      <c r="E399" s="341"/>
      <c r="F399" s="168"/>
      <c r="G399" s="341"/>
      <c r="H399" s="168"/>
      <c r="I399" s="348"/>
      <c r="J399" s="181"/>
      <c r="K399" s="348"/>
      <c r="L399" s="181"/>
      <c r="M399" s="348"/>
      <c r="N399" s="181"/>
      <c r="O399" s="341"/>
      <c r="P399" s="168"/>
      <c r="Q399" s="205"/>
      <c r="R399" s="205"/>
      <c r="S399" s="17"/>
      <c r="T399" s="17"/>
    </row>
    <row r="400">
      <c r="A400" s="341"/>
      <c r="B400" s="168"/>
      <c r="C400" s="341"/>
      <c r="D400" s="181"/>
      <c r="E400" s="341"/>
      <c r="F400" s="168"/>
      <c r="G400" s="341"/>
      <c r="H400" s="168"/>
      <c r="I400" s="348"/>
      <c r="J400" s="181"/>
      <c r="K400" s="348"/>
      <c r="L400" s="181"/>
      <c r="M400" s="348"/>
      <c r="N400" s="181"/>
      <c r="O400" s="341"/>
      <c r="P400" s="168"/>
      <c r="Q400" s="205"/>
      <c r="R400" s="205"/>
      <c r="S400" s="17"/>
      <c r="T400" s="17"/>
    </row>
    <row r="401">
      <c r="A401" s="341"/>
      <c r="B401" s="168"/>
      <c r="C401" s="341"/>
      <c r="D401" s="181"/>
      <c r="E401" s="341"/>
      <c r="F401" s="168"/>
      <c r="G401" s="341"/>
      <c r="H401" s="168"/>
      <c r="I401" s="348"/>
      <c r="J401" s="181"/>
      <c r="K401" s="348"/>
      <c r="L401" s="181"/>
      <c r="M401" s="348"/>
      <c r="N401" s="181"/>
      <c r="O401" s="341"/>
      <c r="P401" s="168"/>
      <c r="Q401" s="205"/>
      <c r="R401" s="205"/>
      <c r="S401" s="17"/>
      <c r="T401" s="17"/>
    </row>
    <row r="402">
      <c r="A402" s="341"/>
      <c r="B402" s="168"/>
      <c r="C402" s="341"/>
      <c r="D402" s="181"/>
      <c r="E402" s="341"/>
      <c r="F402" s="168"/>
      <c r="G402" s="341"/>
      <c r="H402" s="168"/>
      <c r="I402" s="348"/>
      <c r="J402" s="181"/>
      <c r="K402" s="348"/>
      <c r="L402" s="181"/>
      <c r="M402" s="348"/>
      <c r="N402" s="181"/>
      <c r="O402" s="341"/>
      <c r="P402" s="168"/>
      <c r="Q402" s="205"/>
      <c r="R402" s="205"/>
      <c r="S402" s="17"/>
      <c r="T402" s="17"/>
    </row>
    <row r="403">
      <c r="A403" s="341"/>
      <c r="B403" s="168"/>
      <c r="C403" s="341"/>
      <c r="D403" s="181"/>
      <c r="E403" s="341"/>
      <c r="F403" s="168"/>
      <c r="G403" s="341"/>
      <c r="H403" s="168"/>
      <c r="I403" s="348"/>
      <c r="J403" s="181"/>
      <c r="K403" s="348"/>
      <c r="L403" s="181"/>
      <c r="M403" s="348"/>
      <c r="N403" s="181"/>
      <c r="O403" s="341"/>
      <c r="P403" s="168"/>
      <c r="Q403" s="205"/>
      <c r="R403" s="205"/>
      <c r="S403" s="17"/>
      <c r="T403" s="17"/>
    </row>
    <row r="404">
      <c r="A404" s="341"/>
      <c r="B404" s="168"/>
      <c r="C404" s="341"/>
      <c r="D404" s="181"/>
      <c r="E404" s="341"/>
      <c r="F404" s="168"/>
      <c r="G404" s="341"/>
      <c r="H404" s="168"/>
      <c r="I404" s="348"/>
      <c r="J404" s="181"/>
      <c r="K404" s="348"/>
      <c r="L404" s="181"/>
      <c r="M404" s="348"/>
      <c r="N404" s="181"/>
      <c r="O404" s="341"/>
      <c r="P404" s="168"/>
      <c r="Q404" s="205"/>
      <c r="R404" s="205"/>
      <c r="S404" s="17"/>
      <c r="T404" s="17"/>
    </row>
    <row r="405">
      <c r="A405" s="341"/>
      <c r="B405" s="168"/>
      <c r="C405" s="341"/>
      <c r="D405" s="181"/>
      <c r="E405" s="341"/>
      <c r="F405" s="168"/>
      <c r="G405" s="341"/>
      <c r="H405" s="168"/>
      <c r="I405" s="348"/>
      <c r="J405" s="181"/>
      <c r="K405" s="348"/>
      <c r="L405" s="181"/>
      <c r="M405" s="348"/>
      <c r="N405" s="181"/>
      <c r="O405" s="341"/>
      <c r="P405" s="168"/>
      <c r="Q405" s="205"/>
      <c r="R405" s="205"/>
      <c r="S405" s="17"/>
      <c r="T405" s="17"/>
    </row>
    <row r="406">
      <c r="A406" s="341"/>
      <c r="B406" s="168"/>
      <c r="C406" s="341"/>
      <c r="D406" s="181"/>
      <c r="E406" s="341"/>
      <c r="F406" s="168"/>
      <c r="G406" s="341"/>
      <c r="H406" s="168"/>
      <c r="I406" s="348"/>
      <c r="J406" s="181"/>
      <c r="K406" s="348"/>
      <c r="L406" s="181"/>
      <c r="M406" s="348"/>
      <c r="N406" s="181"/>
      <c r="O406" s="341"/>
      <c r="P406" s="168"/>
      <c r="Q406" s="205"/>
      <c r="R406" s="205"/>
      <c r="S406" s="17"/>
      <c r="T406" s="17"/>
    </row>
    <row r="407">
      <c r="A407" s="341"/>
      <c r="B407" s="168"/>
      <c r="C407" s="341"/>
      <c r="D407" s="181"/>
      <c r="E407" s="341"/>
      <c r="F407" s="168"/>
      <c r="G407" s="341"/>
      <c r="H407" s="168"/>
      <c r="I407" s="348"/>
      <c r="J407" s="181"/>
      <c r="K407" s="348"/>
      <c r="L407" s="181"/>
      <c r="M407" s="348"/>
      <c r="N407" s="181"/>
      <c r="O407" s="341"/>
      <c r="P407" s="168"/>
      <c r="Q407" s="205"/>
      <c r="R407" s="205"/>
      <c r="S407" s="17"/>
      <c r="T407" s="17"/>
    </row>
    <row r="408">
      <c r="A408" s="341"/>
      <c r="B408" s="168"/>
      <c r="C408" s="341"/>
      <c r="D408" s="181"/>
      <c r="E408" s="341"/>
      <c r="F408" s="168"/>
      <c r="G408" s="341"/>
      <c r="H408" s="168"/>
      <c r="I408" s="348"/>
      <c r="J408" s="181"/>
      <c r="K408" s="348"/>
      <c r="L408" s="181"/>
      <c r="M408" s="348"/>
      <c r="N408" s="181"/>
      <c r="O408" s="341"/>
      <c r="P408" s="168"/>
      <c r="Q408" s="205"/>
      <c r="R408" s="205"/>
      <c r="S408" s="17"/>
      <c r="T408" s="17"/>
    </row>
    <row r="409">
      <c r="A409" s="341"/>
      <c r="B409" s="168"/>
      <c r="C409" s="341"/>
      <c r="D409" s="181"/>
      <c r="E409" s="341"/>
      <c r="F409" s="168"/>
      <c r="G409" s="341"/>
      <c r="H409" s="168"/>
      <c r="I409" s="348"/>
      <c r="J409" s="181"/>
      <c r="K409" s="348"/>
      <c r="L409" s="181"/>
      <c r="M409" s="348"/>
      <c r="N409" s="181"/>
      <c r="O409" s="341"/>
      <c r="P409" s="168"/>
      <c r="Q409" s="205"/>
      <c r="R409" s="205"/>
      <c r="S409" s="17"/>
      <c r="T409" s="17"/>
    </row>
    <row r="410">
      <c r="A410" s="341"/>
      <c r="B410" s="168"/>
      <c r="C410" s="341"/>
      <c r="D410" s="181"/>
      <c r="E410" s="341"/>
      <c r="F410" s="168"/>
      <c r="G410" s="341"/>
      <c r="H410" s="168"/>
      <c r="I410" s="348"/>
      <c r="J410" s="181"/>
      <c r="K410" s="348"/>
      <c r="L410" s="181"/>
      <c r="M410" s="348"/>
      <c r="N410" s="181"/>
      <c r="O410" s="341"/>
      <c r="P410" s="168"/>
      <c r="Q410" s="205"/>
      <c r="R410" s="205"/>
      <c r="S410" s="17"/>
      <c r="T410" s="17"/>
    </row>
    <row r="411">
      <c r="A411" s="341"/>
      <c r="B411" s="168"/>
      <c r="C411" s="341"/>
      <c r="D411" s="181"/>
      <c r="E411" s="341"/>
      <c r="F411" s="168"/>
      <c r="G411" s="341"/>
      <c r="H411" s="168"/>
      <c r="I411" s="348"/>
      <c r="J411" s="181"/>
      <c r="K411" s="348"/>
      <c r="L411" s="181"/>
      <c r="M411" s="348"/>
      <c r="N411" s="181"/>
      <c r="O411" s="341"/>
      <c r="P411" s="168"/>
      <c r="Q411" s="205"/>
      <c r="R411" s="205"/>
      <c r="S411" s="17"/>
      <c r="T411" s="17"/>
    </row>
    <row r="412">
      <c r="A412" s="341"/>
      <c r="B412" s="168"/>
      <c r="C412" s="341"/>
      <c r="D412" s="181"/>
      <c r="E412" s="341"/>
      <c r="F412" s="168"/>
      <c r="G412" s="341"/>
      <c r="H412" s="168"/>
      <c r="I412" s="348"/>
      <c r="J412" s="181"/>
      <c r="K412" s="348"/>
      <c r="L412" s="181"/>
      <c r="M412" s="348"/>
      <c r="N412" s="181"/>
      <c r="O412" s="341"/>
      <c r="P412" s="168"/>
      <c r="Q412" s="205"/>
      <c r="R412" s="205"/>
      <c r="S412" s="17"/>
      <c r="T412" s="17"/>
    </row>
    <row r="413">
      <c r="A413" s="341"/>
      <c r="B413" s="168"/>
      <c r="C413" s="341"/>
      <c r="D413" s="181"/>
      <c r="E413" s="341"/>
      <c r="F413" s="168"/>
      <c r="G413" s="341"/>
      <c r="H413" s="168"/>
      <c r="I413" s="348"/>
      <c r="J413" s="181"/>
      <c r="K413" s="348"/>
      <c r="L413" s="181"/>
      <c r="M413" s="348"/>
      <c r="N413" s="181"/>
      <c r="O413" s="341"/>
      <c r="P413" s="168"/>
      <c r="Q413" s="205"/>
      <c r="R413" s="205"/>
      <c r="S413" s="17"/>
      <c r="T413" s="17"/>
    </row>
    <row r="414">
      <c r="A414" s="341"/>
      <c r="B414" s="168"/>
      <c r="C414" s="341"/>
      <c r="D414" s="181"/>
      <c r="E414" s="341"/>
      <c r="F414" s="168"/>
      <c r="G414" s="341"/>
      <c r="H414" s="168"/>
      <c r="I414" s="348"/>
      <c r="J414" s="181"/>
      <c r="K414" s="348"/>
      <c r="L414" s="181"/>
      <c r="M414" s="348"/>
      <c r="N414" s="181"/>
      <c r="O414" s="341"/>
      <c r="P414" s="168"/>
      <c r="Q414" s="205"/>
      <c r="R414" s="205"/>
      <c r="S414" s="17"/>
      <c r="T414" s="17"/>
    </row>
    <row r="415">
      <c r="A415" s="341"/>
      <c r="B415" s="168"/>
      <c r="C415" s="341"/>
      <c r="D415" s="181"/>
      <c r="E415" s="341"/>
      <c r="F415" s="168"/>
      <c r="G415" s="341"/>
      <c r="H415" s="168"/>
      <c r="I415" s="348"/>
      <c r="J415" s="181"/>
      <c r="K415" s="348"/>
      <c r="L415" s="181"/>
      <c r="M415" s="348"/>
      <c r="N415" s="181"/>
      <c r="O415" s="341"/>
      <c r="P415" s="168"/>
      <c r="Q415" s="205"/>
      <c r="R415" s="205"/>
      <c r="S415" s="17"/>
      <c r="T415" s="17"/>
    </row>
    <row r="416">
      <c r="A416" s="341"/>
      <c r="B416" s="168"/>
      <c r="C416" s="341"/>
      <c r="D416" s="181"/>
      <c r="E416" s="341"/>
      <c r="F416" s="168"/>
      <c r="G416" s="341"/>
      <c r="H416" s="168"/>
      <c r="I416" s="348"/>
      <c r="J416" s="181"/>
      <c r="K416" s="348"/>
      <c r="L416" s="181"/>
      <c r="M416" s="348"/>
      <c r="N416" s="181"/>
      <c r="O416" s="341"/>
      <c r="P416" s="168"/>
      <c r="Q416" s="205"/>
      <c r="R416" s="205"/>
      <c r="S416" s="17"/>
      <c r="T416" s="17"/>
    </row>
    <row r="417">
      <c r="A417" s="341"/>
      <c r="B417" s="168"/>
      <c r="C417" s="341"/>
      <c r="D417" s="181"/>
      <c r="E417" s="341"/>
      <c r="F417" s="168"/>
      <c r="G417" s="341"/>
      <c r="H417" s="168"/>
      <c r="I417" s="348"/>
      <c r="J417" s="181"/>
      <c r="K417" s="348"/>
      <c r="L417" s="181"/>
      <c r="M417" s="348"/>
      <c r="N417" s="181"/>
      <c r="O417" s="341"/>
      <c r="P417" s="168"/>
      <c r="Q417" s="205"/>
      <c r="R417" s="205"/>
      <c r="S417" s="17"/>
      <c r="T417" s="17"/>
    </row>
    <row r="418">
      <c r="A418" s="341"/>
      <c r="B418" s="168"/>
      <c r="C418" s="341"/>
      <c r="D418" s="181"/>
      <c r="E418" s="341"/>
      <c r="F418" s="168"/>
      <c r="G418" s="341"/>
      <c r="H418" s="168"/>
      <c r="I418" s="348"/>
      <c r="J418" s="181"/>
      <c r="K418" s="348"/>
      <c r="L418" s="181"/>
      <c r="M418" s="348"/>
      <c r="N418" s="181"/>
      <c r="O418" s="341"/>
      <c r="P418" s="168"/>
      <c r="Q418" s="205"/>
      <c r="R418" s="205"/>
      <c r="S418" s="17"/>
      <c r="T418" s="17"/>
    </row>
    <row r="419">
      <c r="A419" s="341"/>
      <c r="B419" s="168"/>
      <c r="C419" s="341"/>
      <c r="D419" s="181"/>
      <c r="E419" s="341"/>
      <c r="F419" s="168"/>
      <c r="G419" s="341"/>
      <c r="H419" s="168"/>
      <c r="I419" s="348"/>
      <c r="J419" s="181"/>
      <c r="K419" s="348"/>
      <c r="L419" s="181"/>
      <c r="M419" s="348"/>
      <c r="N419" s="181"/>
      <c r="O419" s="341"/>
      <c r="P419" s="168"/>
      <c r="Q419" s="205"/>
      <c r="R419" s="205"/>
      <c r="S419" s="17"/>
      <c r="T419" s="17"/>
    </row>
    <row r="420">
      <c r="A420" s="341"/>
      <c r="B420" s="168"/>
      <c r="C420" s="341"/>
      <c r="D420" s="181"/>
      <c r="E420" s="341"/>
      <c r="F420" s="168"/>
      <c r="G420" s="341"/>
      <c r="H420" s="168"/>
      <c r="I420" s="348"/>
      <c r="J420" s="181"/>
      <c r="K420" s="348"/>
      <c r="L420" s="181"/>
      <c r="M420" s="348"/>
      <c r="N420" s="181"/>
      <c r="O420" s="341"/>
      <c r="P420" s="168"/>
      <c r="Q420" s="205"/>
      <c r="R420" s="205"/>
      <c r="S420" s="17"/>
      <c r="T420" s="17"/>
    </row>
    <row r="421">
      <c r="A421" s="341"/>
      <c r="B421" s="168"/>
      <c r="C421" s="341"/>
      <c r="D421" s="181"/>
      <c r="E421" s="341"/>
      <c r="F421" s="168"/>
      <c r="G421" s="341"/>
      <c r="H421" s="168"/>
      <c r="I421" s="348"/>
      <c r="J421" s="181"/>
      <c r="K421" s="348"/>
      <c r="L421" s="181"/>
      <c r="M421" s="348"/>
      <c r="N421" s="181"/>
      <c r="O421" s="341"/>
      <c r="P421" s="168"/>
      <c r="Q421" s="205"/>
      <c r="R421" s="205"/>
      <c r="S421" s="17"/>
      <c r="T421" s="17"/>
    </row>
    <row r="422">
      <c r="A422" s="341"/>
      <c r="B422" s="168"/>
      <c r="C422" s="341"/>
      <c r="D422" s="181"/>
      <c r="E422" s="341"/>
      <c r="F422" s="168"/>
      <c r="G422" s="341"/>
      <c r="H422" s="168"/>
      <c r="I422" s="348"/>
      <c r="J422" s="181"/>
      <c r="K422" s="348"/>
      <c r="L422" s="181"/>
      <c r="M422" s="348"/>
      <c r="N422" s="181"/>
      <c r="O422" s="341"/>
      <c r="P422" s="168"/>
      <c r="Q422" s="205"/>
      <c r="R422" s="205"/>
      <c r="S422" s="17"/>
      <c r="T422" s="17"/>
    </row>
    <row r="423">
      <c r="A423" s="341"/>
      <c r="B423" s="168"/>
      <c r="C423" s="341"/>
      <c r="D423" s="181"/>
      <c r="E423" s="341"/>
      <c r="F423" s="168"/>
      <c r="G423" s="341"/>
      <c r="H423" s="168"/>
      <c r="I423" s="348"/>
      <c r="J423" s="181"/>
      <c r="K423" s="348"/>
      <c r="L423" s="181"/>
      <c r="M423" s="348"/>
      <c r="N423" s="181"/>
      <c r="O423" s="341"/>
      <c r="P423" s="168"/>
      <c r="Q423" s="205"/>
      <c r="R423" s="205"/>
      <c r="S423" s="17"/>
      <c r="T423" s="17"/>
    </row>
    <row r="424">
      <c r="A424" s="341"/>
      <c r="B424" s="168"/>
      <c r="C424" s="341"/>
      <c r="D424" s="181"/>
      <c r="E424" s="341"/>
      <c r="F424" s="168"/>
      <c r="G424" s="341"/>
      <c r="H424" s="168"/>
      <c r="I424" s="348"/>
      <c r="J424" s="181"/>
      <c r="K424" s="348"/>
      <c r="L424" s="181"/>
      <c r="M424" s="348"/>
      <c r="N424" s="181"/>
      <c r="O424" s="341"/>
      <c r="P424" s="168"/>
      <c r="Q424" s="205"/>
      <c r="R424" s="205"/>
      <c r="S424" s="17"/>
      <c r="T424" s="17"/>
    </row>
    <row r="425">
      <c r="A425" s="341"/>
      <c r="B425" s="168"/>
      <c r="C425" s="341"/>
      <c r="D425" s="181"/>
      <c r="E425" s="341"/>
      <c r="F425" s="168"/>
      <c r="G425" s="341"/>
      <c r="H425" s="168"/>
      <c r="I425" s="348"/>
      <c r="J425" s="181"/>
      <c r="K425" s="348"/>
      <c r="L425" s="181"/>
      <c r="M425" s="348"/>
      <c r="N425" s="181"/>
      <c r="O425" s="341"/>
      <c r="P425" s="168"/>
      <c r="Q425" s="205"/>
      <c r="R425" s="205"/>
      <c r="S425" s="17"/>
      <c r="T425" s="17"/>
    </row>
    <row r="426">
      <c r="A426" s="341"/>
      <c r="B426" s="168"/>
      <c r="C426" s="341"/>
      <c r="D426" s="181"/>
      <c r="E426" s="341"/>
      <c r="F426" s="168"/>
      <c r="G426" s="341"/>
      <c r="H426" s="168"/>
      <c r="I426" s="348"/>
      <c r="J426" s="181"/>
      <c r="K426" s="348"/>
      <c r="L426" s="181"/>
      <c r="M426" s="348"/>
      <c r="N426" s="181"/>
      <c r="O426" s="341"/>
      <c r="P426" s="168"/>
      <c r="Q426" s="205"/>
      <c r="R426" s="205"/>
      <c r="S426" s="17"/>
      <c r="T426" s="17"/>
    </row>
    <row r="427">
      <c r="A427" s="341"/>
      <c r="B427" s="168"/>
      <c r="C427" s="341"/>
      <c r="D427" s="181"/>
      <c r="E427" s="341"/>
      <c r="F427" s="168"/>
      <c r="G427" s="341"/>
      <c r="H427" s="168"/>
      <c r="I427" s="348"/>
      <c r="J427" s="181"/>
      <c r="K427" s="348"/>
      <c r="L427" s="181"/>
      <c r="M427" s="348"/>
      <c r="N427" s="181"/>
      <c r="O427" s="341"/>
      <c r="P427" s="168"/>
      <c r="Q427" s="205"/>
      <c r="R427" s="205"/>
      <c r="S427" s="17"/>
      <c r="T427" s="17"/>
    </row>
    <row r="428">
      <c r="A428" s="341"/>
      <c r="B428" s="168"/>
      <c r="C428" s="341"/>
      <c r="D428" s="181"/>
      <c r="E428" s="341"/>
      <c r="F428" s="168"/>
      <c r="G428" s="341"/>
      <c r="H428" s="168"/>
      <c r="I428" s="348"/>
      <c r="J428" s="181"/>
      <c r="K428" s="348"/>
      <c r="L428" s="181"/>
      <c r="M428" s="348"/>
      <c r="N428" s="181"/>
      <c r="O428" s="341"/>
      <c r="P428" s="168"/>
      <c r="Q428" s="205"/>
      <c r="R428" s="205"/>
      <c r="S428" s="17"/>
      <c r="T428" s="17"/>
    </row>
    <row r="429">
      <c r="A429" s="341"/>
      <c r="B429" s="168"/>
      <c r="C429" s="341"/>
      <c r="D429" s="181"/>
      <c r="E429" s="341"/>
      <c r="F429" s="168"/>
      <c r="G429" s="341"/>
      <c r="H429" s="168"/>
      <c r="I429" s="348"/>
      <c r="J429" s="181"/>
      <c r="K429" s="348"/>
      <c r="L429" s="181"/>
      <c r="M429" s="348"/>
      <c r="N429" s="181"/>
      <c r="O429" s="341"/>
      <c r="P429" s="168"/>
      <c r="Q429" s="205"/>
      <c r="R429" s="205"/>
      <c r="S429" s="17"/>
      <c r="T429" s="17"/>
    </row>
    <row r="430">
      <c r="A430" s="341"/>
      <c r="B430" s="168"/>
      <c r="C430" s="341"/>
      <c r="D430" s="181"/>
      <c r="E430" s="341"/>
      <c r="F430" s="168"/>
      <c r="G430" s="341"/>
      <c r="H430" s="168"/>
      <c r="I430" s="348"/>
      <c r="J430" s="181"/>
      <c r="K430" s="348"/>
      <c r="L430" s="181"/>
      <c r="M430" s="348"/>
      <c r="N430" s="181"/>
      <c r="O430" s="341"/>
      <c r="P430" s="168"/>
      <c r="Q430" s="205"/>
      <c r="R430" s="205"/>
      <c r="S430" s="17"/>
      <c r="T430" s="17"/>
    </row>
    <row r="431">
      <c r="A431" s="341"/>
      <c r="B431" s="168"/>
      <c r="C431" s="341"/>
      <c r="D431" s="181"/>
      <c r="E431" s="341"/>
      <c r="F431" s="168"/>
      <c r="G431" s="341"/>
      <c r="H431" s="168"/>
      <c r="I431" s="348"/>
      <c r="J431" s="181"/>
      <c r="K431" s="348"/>
      <c r="L431" s="181"/>
      <c r="M431" s="348"/>
      <c r="N431" s="181"/>
      <c r="O431" s="341"/>
      <c r="P431" s="168"/>
      <c r="Q431" s="205"/>
      <c r="R431" s="205"/>
      <c r="S431" s="17"/>
      <c r="T431" s="17"/>
    </row>
    <row r="432">
      <c r="A432" s="341"/>
      <c r="B432" s="168"/>
      <c r="C432" s="341"/>
      <c r="D432" s="181"/>
      <c r="E432" s="341"/>
      <c r="F432" s="168"/>
      <c r="G432" s="341"/>
      <c r="H432" s="168"/>
      <c r="I432" s="348"/>
      <c r="J432" s="181"/>
      <c r="K432" s="348"/>
      <c r="L432" s="181"/>
      <c r="M432" s="348"/>
      <c r="N432" s="181"/>
      <c r="O432" s="341"/>
      <c r="P432" s="168"/>
      <c r="Q432" s="205"/>
      <c r="R432" s="205"/>
      <c r="S432" s="17"/>
      <c r="T432" s="17"/>
    </row>
    <row r="433">
      <c r="A433" s="341"/>
      <c r="B433" s="168"/>
      <c r="C433" s="341"/>
      <c r="D433" s="181"/>
      <c r="E433" s="341"/>
      <c r="F433" s="168"/>
      <c r="G433" s="341"/>
      <c r="H433" s="168"/>
      <c r="I433" s="348"/>
      <c r="J433" s="181"/>
      <c r="K433" s="348"/>
      <c r="L433" s="181"/>
      <c r="M433" s="348"/>
      <c r="N433" s="181"/>
      <c r="O433" s="341"/>
      <c r="P433" s="168"/>
      <c r="Q433" s="205"/>
      <c r="R433" s="205"/>
      <c r="S433" s="17"/>
      <c r="T433" s="17"/>
    </row>
    <row r="434">
      <c r="A434" s="341"/>
      <c r="B434" s="168"/>
      <c r="C434" s="341"/>
      <c r="D434" s="181"/>
      <c r="E434" s="341"/>
      <c r="F434" s="168"/>
      <c r="G434" s="341"/>
      <c r="H434" s="168"/>
      <c r="I434" s="348"/>
      <c r="J434" s="181"/>
      <c r="K434" s="348"/>
      <c r="L434" s="181"/>
      <c r="M434" s="348"/>
      <c r="N434" s="181"/>
      <c r="O434" s="341"/>
      <c r="P434" s="168"/>
      <c r="Q434" s="205"/>
      <c r="R434" s="205"/>
      <c r="S434" s="17"/>
      <c r="T434" s="17"/>
    </row>
    <row r="435">
      <c r="A435" s="341"/>
      <c r="B435" s="168"/>
      <c r="C435" s="341"/>
      <c r="D435" s="181"/>
      <c r="E435" s="341"/>
      <c r="F435" s="168"/>
      <c r="G435" s="341"/>
      <c r="H435" s="168"/>
      <c r="I435" s="348"/>
      <c r="J435" s="181"/>
      <c r="K435" s="348"/>
      <c r="L435" s="181"/>
      <c r="M435" s="348"/>
      <c r="N435" s="181"/>
      <c r="O435" s="341"/>
      <c r="P435" s="168"/>
      <c r="Q435" s="205"/>
      <c r="R435" s="205"/>
      <c r="S435" s="17"/>
      <c r="T435" s="17"/>
    </row>
    <row r="436">
      <c r="A436" s="341"/>
      <c r="B436" s="168"/>
      <c r="C436" s="341"/>
      <c r="D436" s="181"/>
      <c r="E436" s="341"/>
      <c r="F436" s="168"/>
      <c r="G436" s="341"/>
      <c r="H436" s="168"/>
      <c r="I436" s="348"/>
      <c r="J436" s="181"/>
      <c r="K436" s="348"/>
      <c r="L436" s="181"/>
      <c r="M436" s="348"/>
      <c r="N436" s="181"/>
      <c r="O436" s="341"/>
      <c r="P436" s="168"/>
      <c r="Q436" s="205"/>
      <c r="R436" s="205"/>
      <c r="S436" s="17"/>
      <c r="T436" s="17"/>
    </row>
    <row r="437">
      <c r="A437" s="341"/>
      <c r="B437" s="168"/>
      <c r="C437" s="341"/>
      <c r="D437" s="181"/>
      <c r="E437" s="341"/>
      <c r="F437" s="168"/>
      <c r="G437" s="341"/>
      <c r="H437" s="168"/>
      <c r="I437" s="348"/>
      <c r="J437" s="181"/>
      <c r="K437" s="348"/>
      <c r="L437" s="181"/>
      <c r="M437" s="348"/>
      <c r="N437" s="181"/>
      <c r="O437" s="341"/>
      <c r="P437" s="168"/>
      <c r="Q437" s="205"/>
      <c r="R437" s="205"/>
      <c r="S437" s="17"/>
      <c r="T437" s="17"/>
    </row>
    <row r="438">
      <c r="A438" s="341"/>
      <c r="B438" s="168"/>
      <c r="C438" s="341"/>
      <c r="D438" s="181"/>
      <c r="E438" s="341"/>
      <c r="F438" s="168"/>
      <c r="G438" s="341"/>
      <c r="H438" s="168"/>
      <c r="I438" s="348"/>
      <c r="J438" s="181"/>
      <c r="K438" s="348"/>
      <c r="L438" s="181"/>
      <c r="M438" s="348"/>
      <c r="N438" s="181"/>
      <c r="O438" s="341"/>
      <c r="P438" s="168"/>
      <c r="Q438" s="205"/>
      <c r="R438" s="205"/>
      <c r="S438" s="17"/>
      <c r="T438" s="17"/>
    </row>
    <row r="439">
      <c r="A439" s="341"/>
      <c r="B439" s="168"/>
      <c r="C439" s="341"/>
      <c r="D439" s="181"/>
      <c r="E439" s="341"/>
      <c r="F439" s="168"/>
      <c r="G439" s="341"/>
      <c r="H439" s="168"/>
      <c r="I439" s="348"/>
      <c r="J439" s="181"/>
      <c r="K439" s="348"/>
      <c r="L439" s="181"/>
      <c r="M439" s="348"/>
      <c r="N439" s="181"/>
      <c r="O439" s="341"/>
      <c r="P439" s="168"/>
      <c r="Q439" s="205"/>
      <c r="R439" s="205"/>
      <c r="S439" s="17"/>
      <c r="T439" s="17"/>
    </row>
    <row r="440">
      <c r="A440" s="341"/>
      <c r="B440" s="168"/>
      <c r="C440" s="341"/>
      <c r="D440" s="181"/>
      <c r="E440" s="341"/>
      <c r="F440" s="168"/>
      <c r="G440" s="341"/>
      <c r="H440" s="168"/>
      <c r="I440" s="348"/>
      <c r="J440" s="181"/>
      <c r="K440" s="348"/>
      <c r="L440" s="181"/>
      <c r="M440" s="348"/>
      <c r="N440" s="181"/>
      <c r="O440" s="341"/>
      <c r="P440" s="168"/>
      <c r="Q440" s="205"/>
      <c r="R440" s="205"/>
      <c r="S440" s="17"/>
      <c r="T440" s="17"/>
    </row>
    <row r="441">
      <c r="A441" s="341"/>
      <c r="B441" s="168"/>
      <c r="C441" s="341"/>
      <c r="D441" s="181"/>
      <c r="E441" s="341"/>
      <c r="F441" s="168"/>
      <c r="G441" s="341"/>
      <c r="H441" s="168"/>
      <c r="I441" s="348"/>
      <c r="J441" s="181"/>
      <c r="K441" s="348"/>
      <c r="L441" s="181"/>
      <c r="M441" s="348"/>
      <c r="N441" s="181"/>
      <c r="O441" s="341"/>
      <c r="P441" s="168"/>
      <c r="Q441" s="205"/>
      <c r="R441" s="205"/>
      <c r="S441" s="17"/>
      <c r="T441" s="17"/>
    </row>
    <row r="442">
      <c r="A442" s="341"/>
      <c r="B442" s="168"/>
      <c r="C442" s="341"/>
      <c r="D442" s="181"/>
      <c r="E442" s="341"/>
      <c r="F442" s="168"/>
      <c r="G442" s="341"/>
      <c r="H442" s="168"/>
      <c r="I442" s="348"/>
      <c r="J442" s="181"/>
      <c r="K442" s="348"/>
      <c r="L442" s="181"/>
      <c r="M442" s="348"/>
      <c r="N442" s="181"/>
      <c r="O442" s="341"/>
      <c r="P442" s="168"/>
      <c r="Q442" s="205"/>
      <c r="R442" s="205"/>
      <c r="S442" s="17"/>
      <c r="T442" s="17"/>
    </row>
    <row r="443">
      <c r="A443" s="341"/>
      <c r="B443" s="168"/>
      <c r="C443" s="341"/>
      <c r="D443" s="181"/>
      <c r="E443" s="341"/>
      <c r="F443" s="168"/>
      <c r="G443" s="341"/>
      <c r="H443" s="168"/>
      <c r="I443" s="348"/>
      <c r="J443" s="181"/>
      <c r="K443" s="348"/>
      <c r="L443" s="181"/>
      <c r="M443" s="348"/>
      <c r="N443" s="181"/>
      <c r="O443" s="341"/>
      <c r="P443" s="168"/>
      <c r="Q443" s="205"/>
      <c r="R443" s="205"/>
      <c r="S443" s="17"/>
      <c r="T443" s="17"/>
    </row>
    <row r="444">
      <c r="A444" s="341"/>
      <c r="B444" s="168"/>
      <c r="C444" s="341"/>
      <c r="D444" s="181"/>
      <c r="E444" s="341"/>
      <c r="F444" s="168"/>
      <c r="G444" s="341"/>
      <c r="H444" s="168"/>
      <c r="I444" s="348"/>
      <c r="J444" s="181"/>
      <c r="K444" s="348"/>
      <c r="L444" s="181"/>
      <c r="M444" s="348"/>
      <c r="N444" s="181"/>
      <c r="O444" s="341"/>
      <c r="P444" s="168"/>
      <c r="Q444" s="205"/>
      <c r="R444" s="205"/>
      <c r="S444" s="17"/>
      <c r="T444" s="17"/>
    </row>
    <row r="445">
      <c r="A445" s="341"/>
      <c r="B445" s="168"/>
      <c r="C445" s="341"/>
      <c r="D445" s="181"/>
      <c r="E445" s="341"/>
      <c r="F445" s="168"/>
      <c r="G445" s="341"/>
      <c r="H445" s="168"/>
      <c r="I445" s="348"/>
      <c r="J445" s="181"/>
      <c r="K445" s="348"/>
      <c r="L445" s="181"/>
      <c r="M445" s="348"/>
      <c r="N445" s="181"/>
      <c r="O445" s="341"/>
      <c r="P445" s="168"/>
      <c r="Q445" s="205"/>
      <c r="R445" s="205"/>
      <c r="S445" s="17"/>
      <c r="T445" s="17"/>
    </row>
    <row r="446">
      <c r="A446" s="341"/>
      <c r="B446" s="168"/>
      <c r="C446" s="341"/>
      <c r="D446" s="181"/>
      <c r="E446" s="341"/>
      <c r="F446" s="168"/>
      <c r="G446" s="341"/>
      <c r="H446" s="168"/>
      <c r="I446" s="348"/>
      <c r="J446" s="181"/>
      <c r="K446" s="348"/>
      <c r="L446" s="181"/>
      <c r="M446" s="348"/>
      <c r="N446" s="181"/>
      <c r="O446" s="341"/>
      <c r="P446" s="168"/>
      <c r="Q446" s="205"/>
      <c r="R446" s="205"/>
      <c r="S446" s="17"/>
      <c r="T446" s="17"/>
    </row>
    <row r="447">
      <c r="A447" s="341"/>
      <c r="B447" s="168"/>
      <c r="C447" s="341"/>
      <c r="D447" s="181"/>
      <c r="E447" s="341"/>
      <c r="F447" s="168"/>
      <c r="G447" s="341"/>
      <c r="H447" s="168"/>
      <c r="I447" s="348"/>
      <c r="J447" s="181"/>
      <c r="K447" s="348"/>
      <c r="L447" s="181"/>
      <c r="M447" s="348"/>
      <c r="N447" s="181"/>
      <c r="O447" s="341"/>
      <c r="P447" s="168"/>
      <c r="Q447" s="205"/>
      <c r="R447" s="205"/>
      <c r="S447" s="17"/>
      <c r="T447" s="17"/>
    </row>
    <row r="448">
      <c r="A448" s="341"/>
      <c r="B448" s="168"/>
      <c r="C448" s="341"/>
      <c r="D448" s="181"/>
      <c r="E448" s="341"/>
      <c r="F448" s="168"/>
      <c r="G448" s="341"/>
      <c r="H448" s="168"/>
      <c r="I448" s="348"/>
      <c r="J448" s="181"/>
      <c r="K448" s="348"/>
      <c r="L448" s="181"/>
      <c r="M448" s="348"/>
      <c r="N448" s="181"/>
      <c r="O448" s="341"/>
      <c r="P448" s="168"/>
      <c r="Q448" s="205"/>
      <c r="R448" s="205"/>
      <c r="S448" s="17"/>
      <c r="T448" s="17"/>
    </row>
    <row r="449">
      <c r="A449" s="341"/>
      <c r="B449" s="168"/>
      <c r="C449" s="341"/>
      <c r="D449" s="181"/>
      <c r="E449" s="341"/>
      <c r="F449" s="168"/>
      <c r="G449" s="341"/>
      <c r="H449" s="168"/>
      <c r="I449" s="348"/>
      <c r="J449" s="181"/>
      <c r="K449" s="348"/>
      <c r="L449" s="181"/>
      <c r="M449" s="348"/>
      <c r="N449" s="181"/>
      <c r="O449" s="341"/>
      <c r="P449" s="168"/>
      <c r="Q449" s="205"/>
      <c r="R449" s="205"/>
      <c r="S449" s="17"/>
      <c r="T449" s="17"/>
    </row>
    <row r="450">
      <c r="A450" s="341"/>
      <c r="B450" s="168"/>
      <c r="C450" s="341"/>
      <c r="D450" s="181"/>
      <c r="E450" s="341"/>
      <c r="F450" s="168"/>
      <c r="G450" s="341"/>
      <c r="H450" s="168"/>
      <c r="I450" s="348"/>
      <c r="J450" s="181"/>
      <c r="K450" s="348"/>
      <c r="L450" s="181"/>
      <c r="M450" s="348"/>
      <c r="N450" s="181"/>
      <c r="O450" s="341"/>
      <c r="P450" s="168"/>
      <c r="Q450" s="205"/>
      <c r="R450" s="205"/>
      <c r="S450" s="17"/>
      <c r="T450" s="17"/>
    </row>
    <row r="451">
      <c r="A451" s="341"/>
      <c r="B451" s="168"/>
      <c r="C451" s="341"/>
      <c r="D451" s="181"/>
      <c r="E451" s="341"/>
      <c r="F451" s="168"/>
      <c r="G451" s="341"/>
      <c r="H451" s="168"/>
      <c r="I451" s="348"/>
      <c r="J451" s="181"/>
      <c r="K451" s="348"/>
      <c r="L451" s="181"/>
      <c r="M451" s="348"/>
      <c r="N451" s="181"/>
      <c r="O451" s="341"/>
      <c r="P451" s="168"/>
      <c r="Q451" s="205"/>
      <c r="R451" s="205"/>
      <c r="S451" s="17"/>
      <c r="T451" s="17"/>
    </row>
    <row r="452">
      <c r="A452" s="341"/>
      <c r="B452" s="168"/>
      <c r="C452" s="341"/>
      <c r="D452" s="181"/>
      <c r="E452" s="341"/>
      <c r="F452" s="168"/>
      <c r="G452" s="341"/>
      <c r="H452" s="168"/>
      <c r="I452" s="348"/>
      <c r="J452" s="181"/>
      <c r="K452" s="348"/>
      <c r="L452" s="181"/>
      <c r="M452" s="348"/>
      <c r="N452" s="181"/>
      <c r="O452" s="341"/>
      <c r="P452" s="168"/>
      <c r="Q452" s="205"/>
      <c r="R452" s="205"/>
      <c r="S452" s="17"/>
      <c r="T452" s="17"/>
    </row>
    <row r="453">
      <c r="A453" s="341"/>
      <c r="B453" s="168"/>
      <c r="C453" s="341"/>
      <c r="D453" s="181"/>
      <c r="E453" s="341"/>
      <c r="F453" s="168"/>
      <c r="G453" s="341"/>
      <c r="H453" s="168"/>
      <c r="I453" s="348"/>
      <c r="J453" s="181"/>
      <c r="K453" s="348"/>
      <c r="L453" s="181"/>
      <c r="M453" s="348"/>
      <c r="N453" s="181"/>
      <c r="O453" s="341"/>
      <c r="P453" s="168"/>
      <c r="Q453" s="205"/>
      <c r="R453" s="205"/>
      <c r="S453" s="17"/>
      <c r="T453" s="17"/>
    </row>
    <row r="454">
      <c r="A454" s="341"/>
      <c r="B454" s="168"/>
      <c r="C454" s="341"/>
      <c r="D454" s="181"/>
      <c r="E454" s="341"/>
      <c r="F454" s="168"/>
      <c r="G454" s="341"/>
      <c r="H454" s="168"/>
      <c r="I454" s="348"/>
      <c r="J454" s="181"/>
      <c r="K454" s="348"/>
      <c r="L454" s="181"/>
      <c r="M454" s="348"/>
      <c r="N454" s="181"/>
      <c r="O454" s="341"/>
      <c r="P454" s="168"/>
      <c r="Q454" s="205"/>
      <c r="R454" s="205"/>
      <c r="S454" s="17"/>
      <c r="T454" s="17"/>
    </row>
    <row r="455">
      <c r="A455" s="341"/>
      <c r="B455" s="168"/>
      <c r="C455" s="341"/>
      <c r="D455" s="181"/>
      <c r="E455" s="341"/>
      <c r="F455" s="168"/>
      <c r="G455" s="341"/>
      <c r="H455" s="168"/>
      <c r="I455" s="348"/>
      <c r="J455" s="181"/>
      <c r="K455" s="348"/>
      <c r="L455" s="181"/>
      <c r="M455" s="348"/>
      <c r="N455" s="181"/>
      <c r="O455" s="341"/>
      <c r="P455" s="168"/>
      <c r="Q455" s="205"/>
      <c r="R455" s="205"/>
      <c r="S455" s="17"/>
      <c r="T455" s="17"/>
    </row>
    <row r="456">
      <c r="A456" s="341"/>
      <c r="B456" s="168"/>
      <c r="C456" s="341"/>
      <c r="D456" s="181"/>
      <c r="E456" s="341"/>
      <c r="F456" s="168"/>
      <c r="G456" s="341"/>
      <c r="H456" s="168"/>
      <c r="I456" s="348"/>
      <c r="J456" s="181"/>
      <c r="K456" s="348"/>
      <c r="L456" s="181"/>
      <c r="M456" s="348"/>
      <c r="N456" s="181"/>
      <c r="O456" s="341"/>
      <c r="P456" s="168"/>
      <c r="Q456" s="205"/>
      <c r="R456" s="205"/>
      <c r="S456" s="17"/>
      <c r="T456" s="17"/>
    </row>
    <row r="457">
      <c r="A457" s="341"/>
      <c r="B457" s="168"/>
      <c r="C457" s="341"/>
      <c r="D457" s="181"/>
      <c r="E457" s="341"/>
      <c r="F457" s="168"/>
      <c r="G457" s="341"/>
      <c r="H457" s="168"/>
      <c r="I457" s="348"/>
      <c r="J457" s="181"/>
      <c r="K457" s="348"/>
      <c r="L457" s="181"/>
      <c r="M457" s="348"/>
      <c r="N457" s="181"/>
      <c r="O457" s="341"/>
      <c r="P457" s="168"/>
      <c r="Q457" s="205"/>
      <c r="R457" s="205"/>
      <c r="S457" s="17"/>
      <c r="T457" s="17"/>
    </row>
    <row r="458">
      <c r="A458" s="341"/>
      <c r="B458" s="168"/>
      <c r="C458" s="341"/>
      <c r="D458" s="181"/>
      <c r="E458" s="341"/>
      <c r="F458" s="168"/>
      <c r="G458" s="341"/>
      <c r="H458" s="168"/>
      <c r="I458" s="348"/>
      <c r="J458" s="181"/>
      <c r="K458" s="348"/>
      <c r="L458" s="181"/>
      <c r="M458" s="348"/>
      <c r="N458" s="181"/>
      <c r="O458" s="341"/>
      <c r="P458" s="168"/>
      <c r="Q458" s="205"/>
      <c r="R458" s="205"/>
      <c r="S458" s="17"/>
      <c r="T458" s="17"/>
    </row>
    <row r="459">
      <c r="A459" s="341"/>
      <c r="B459" s="168"/>
      <c r="C459" s="341"/>
      <c r="D459" s="181"/>
      <c r="E459" s="341"/>
      <c r="F459" s="168"/>
      <c r="G459" s="341"/>
      <c r="H459" s="168"/>
      <c r="I459" s="348"/>
      <c r="J459" s="181"/>
      <c r="K459" s="348"/>
      <c r="L459" s="181"/>
      <c r="M459" s="348"/>
      <c r="N459" s="181"/>
      <c r="O459" s="341"/>
      <c r="P459" s="168"/>
      <c r="Q459" s="205"/>
      <c r="R459" s="205"/>
      <c r="S459" s="17"/>
      <c r="T459" s="17"/>
    </row>
    <row r="460">
      <c r="A460" s="341"/>
      <c r="B460" s="168"/>
      <c r="C460" s="341"/>
      <c r="D460" s="181"/>
      <c r="E460" s="341"/>
      <c r="F460" s="168"/>
      <c r="G460" s="341"/>
      <c r="H460" s="168"/>
      <c r="I460" s="348"/>
      <c r="J460" s="181"/>
      <c r="K460" s="348"/>
      <c r="L460" s="181"/>
      <c r="M460" s="348"/>
      <c r="N460" s="181"/>
      <c r="O460" s="341"/>
      <c r="P460" s="168"/>
      <c r="Q460" s="205"/>
      <c r="R460" s="205"/>
      <c r="S460" s="17"/>
      <c r="T460" s="17"/>
    </row>
    <row r="461">
      <c r="A461" s="341"/>
      <c r="B461" s="168"/>
      <c r="C461" s="341"/>
      <c r="D461" s="181"/>
      <c r="E461" s="341"/>
      <c r="F461" s="168"/>
      <c r="G461" s="341"/>
      <c r="H461" s="168"/>
      <c r="I461" s="348"/>
      <c r="J461" s="181"/>
      <c r="K461" s="348"/>
      <c r="L461" s="181"/>
      <c r="M461" s="348"/>
      <c r="N461" s="181"/>
      <c r="O461" s="341"/>
      <c r="P461" s="168"/>
      <c r="Q461" s="205"/>
      <c r="R461" s="205"/>
      <c r="S461" s="17"/>
      <c r="T461" s="17"/>
    </row>
    <row r="462">
      <c r="A462" s="341"/>
      <c r="B462" s="168"/>
      <c r="C462" s="341"/>
      <c r="D462" s="181"/>
      <c r="E462" s="341"/>
      <c r="F462" s="168"/>
      <c r="G462" s="341"/>
      <c r="H462" s="168"/>
      <c r="I462" s="348"/>
      <c r="J462" s="181"/>
      <c r="K462" s="348"/>
      <c r="L462" s="181"/>
      <c r="M462" s="348"/>
      <c r="N462" s="181"/>
      <c r="O462" s="341"/>
      <c r="P462" s="168"/>
      <c r="Q462" s="205"/>
      <c r="R462" s="205"/>
      <c r="S462" s="17"/>
      <c r="T462" s="17"/>
    </row>
    <row r="463">
      <c r="A463" s="341"/>
      <c r="B463" s="168"/>
      <c r="C463" s="341"/>
      <c r="D463" s="181"/>
      <c r="E463" s="341"/>
      <c r="F463" s="168"/>
      <c r="G463" s="341"/>
      <c r="H463" s="168"/>
      <c r="I463" s="348"/>
      <c r="J463" s="181"/>
      <c r="K463" s="348"/>
      <c r="L463" s="181"/>
      <c r="M463" s="348"/>
      <c r="N463" s="181"/>
      <c r="O463" s="341"/>
      <c r="P463" s="168"/>
      <c r="Q463" s="205"/>
      <c r="R463" s="205"/>
      <c r="S463" s="17"/>
      <c r="T463" s="17"/>
    </row>
    <row r="464">
      <c r="A464" s="341"/>
      <c r="B464" s="168"/>
      <c r="C464" s="341"/>
      <c r="D464" s="181"/>
      <c r="E464" s="341"/>
      <c r="F464" s="168"/>
      <c r="G464" s="341"/>
      <c r="H464" s="168"/>
      <c r="I464" s="348"/>
      <c r="J464" s="181"/>
      <c r="K464" s="348"/>
      <c r="L464" s="181"/>
      <c r="M464" s="348"/>
      <c r="N464" s="181"/>
      <c r="O464" s="341"/>
      <c r="P464" s="168"/>
      <c r="Q464" s="205"/>
      <c r="R464" s="205"/>
      <c r="S464" s="17"/>
      <c r="T464" s="17"/>
    </row>
    <row r="465">
      <c r="A465" s="341"/>
      <c r="B465" s="168"/>
      <c r="C465" s="341"/>
      <c r="D465" s="181"/>
      <c r="E465" s="341"/>
      <c r="F465" s="168"/>
      <c r="G465" s="341"/>
      <c r="H465" s="168"/>
      <c r="I465" s="348"/>
      <c r="J465" s="181"/>
      <c r="K465" s="348"/>
      <c r="L465" s="181"/>
      <c r="M465" s="348"/>
      <c r="N465" s="181"/>
      <c r="O465" s="341"/>
      <c r="P465" s="168"/>
      <c r="Q465" s="205"/>
      <c r="R465" s="205"/>
      <c r="S465" s="17"/>
      <c r="T465" s="17"/>
    </row>
    <row r="466">
      <c r="A466" s="341"/>
      <c r="B466" s="168"/>
      <c r="C466" s="341"/>
      <c r="D466" s="181"/>
      <c r="E466" s="341"/>
      <c r="F466" s="168"/>
      <c r="G466" s="341"/>
      <c r="H466" s="168"/>
      <c r="I466" s="348"/>
      <c r="J466" s="181"/>
      <c r="K466" s="348"/>
      <c r="L466" s="181"/>
      <c r="M466" s="348"/>
      <c r="N466" s="181"/>
      <c r="O466" s="341"/>
      <c r="P466" s="168"/>
      <c r="Q466" s="205"/>
      <c r="R466" s="205"/>
      <c r="S466" s="17"/>
      <c r="T466" s="17"/>
    </row>
    <row r="467">
      <c r="A467" s="341"/>
      <c r="B467" s="168"/>
      <c r="C467" s="341"/>
      <c r="D467" s="181"/>
      <c r="E467" s="341"/>
      <c r="F467" s="168"/>
      <c r="G467" s="341"/>
      <c r="H467" s="168"/>
      <c r="I467" s="348"/>
      <c r="J467" s="181"/>
      <c r="K467" s="348"/>
      <c r="L467" s="181"/>
      <c r="M467" s="348"/>
      <c r="N467" s="181"/>
      <c r="O467" s="341"/>
      <c r="P467" s="168"/>
      <c r="Q467" s="205"/>
      <c r="R467" s="205"/>
      <c r="S467" s="17"/>
      <c r="T467" s="17"/>
    </row>
    <row r="468">
      <c r="A468" s="341"/>
      <c r="B468" s="168"/>
      <c r="C468" s="341"/>
      <c r="D468" s="181"/>
      <c r="E468" s="341"/>
      <c r="F468" s="168"/>
      <c r="G468" s="341"/>
      <c r="H468" s="168"/>
      <c r="I468" s="348"/>
      <c r="J468" s="181"/>
      <c r="K468" s="348"/>
      <c r="L468" s="181"/>
      <c r="M468" s="348"/>
      <c r="N468" s="181"/>
      <c r="O468" s="341"/>
      <c r="P468" s="168"/>
      <c r="Q468" s="205"/>
      <c r="R468" s="205"/>
      <c r="S468" s="17"/>
      <c r="T468" s="17"/>
    </row>
    <row r="469">
      <c r="A469" s="341"/>
      <c r="B469" s="168"/>
      <c r="C469" s="341"/>
      <c r="D469" s="181"/>
      <c r="E469" s="341"/>
      <c r="F469" s="168"/>
      <c r="G469" s="341"/>
      <c r="H469" s="168"/>
      <c r="I469" s="348"/>
      <c r="J469" s="181"/>
      <c r="K469" s="348"/>
      <c r="L469" s="181"/>
      <c r="M469" s="348"/>
      <c r="N469" s="181"/>
      <c r="O469" s="341"/>
      <c r="P469" s="168"/>
      <c r="Q469" s="205"/>
      <c r="R469" s="205"/>
      <c r="S469" s="17"/>
      <c r="T469" s="17"/>
    </row>
    <row r="470">
      <c r="A470" s="341"/>
      <c r="B470" s="168"/>
      <c r="C470" s="341"/>
      <c r="D470" s="181"/>
      <c r="E470" s="341"/>
      <c r="F470" s="168"/>
      <c r="G470" s="341"/>
      <c r="H470" s="168"/>
      <c r="I470" s="348"/>
      <c r="J470" s="181"/>
      <c r="K470" s="348"/>
      <c r="L470" s="181"/>
      <c r="M470" s="348"/>
      <c r="N470" s="181"/>
      <c r="O470" s="341"/>
      <c r="P470" s="168"/>
      <c r="Q470" s="205"/>
      <c r="R470" s="205"/>
      <c r="S470" s="17"/>
      <c r="T470" s="17"/>
    </row>
    <row r="471">
      <c r="A471" s="341"/>
      <c r="B471" s="168"/>
      <c r="C471" s="341"/>
      <c r="D471" s="181"/>
      <c r="E471" s="341"/>
      <c r="F471" s="168"/>
      <c r="G471" s="341"/>
      <c r="H471" s="168"/>
      <c r="I471" s="348"/>
      <c r="J471" s="181"/>
      <c r="K471" s="348"/>
      <c r="L471" s="181"/>
      <c r="M471" s="348"/>
      <c r="N471" s="181"/>
      <c r="O471" s="341"/>
      <c r="P471" s="168"/>
      <c r="Q471" s="205"/>
      <c r="R471" s="205"/>
      <c r="S471" s="17"/>
      <c r="T471" s="17"/>
    </row>
    <row r="472">
      <c r="A472" s="341"/>
      <c r="B472" s="168"/>
      <c r="C472" s="341"/>
      <c r="D472" s="181"/>
      <c r="E472" s="341"/>
      <c r="F472" s="168"/>
      <c r="G472" s="341"/>
      <c r="H472" s="168"/>
      <c r="I472" s="348"/>
      <c r="J472" s="181"/>
      <c r="K472" s="348"/>
      <c r="L472" s="181"/>
      <c r="M472" s="348"/>
      <c r="N472" s="181"/>
      <c r="O472" s="341"/>
      <c r="P472" s="168"/>
      <c r="Q472" s="205"/>
      <c r="R472" s="205"/>
      <c r="S472" s="17"/>
      <c r="T472" s="17"/>
    </row>
    <row r="473">
      <c r="A473" s="341"/>
      <c r="B473" s="168"/>
      <c r="C473" s="341"/>
      <c r="D473" s="181"/>
      <c r="E473" s="341"/>
      <c r="F473" s="168"/>
      <c r="G473" s="341"/>
      <c r="H473" s="168"/>
      <c r="I473" s="348"/>
      <c r="J473" s="181"/>
      <c r="K473" s="348"/>
      <c r="L473" s="181"/>
      <c r="M473" s="348"/>
      <c r="N473" s="181"/>
      <c r="O473" s="341"/>
      <c r="P473" s="168"/>
      <c r="Q473" s="205"/>
      <c r="R473" s="205"/>
      <c r="S473" s="17"/>
      <c r="T473" s="17"/>
    </row>
    <row r="474">
      <c r="A474" s="341"/>
      <c r="B474" s="168"/>
      <c r="C474" s="341"/>
      <c r="D474" s="181"/>
      <c r="E474" s="341"/>
      <c r="F474" s="168"/>
      <c r="G474" s="341"/>
      <c r="H474" s="168"/>
      <c r="I474" s="348"/>
      <c r="J474" s="181"/>
      <c r="K474" s="348"/>
      <c r="L474" s="181"/>
      <c r="M474" s="348"/>
      <c r="N474" s="181"/>
      <c r="O474" s="341"/>
      <c r="P474" s="168"/>
      <c r="Q474" s="205"/>
      <c r="R474" s="205"/>
      <c r="S474" s="17"/>
      <c r="T474" s="17"/>
    </row>
    <row r="475">
      <c r="A475" s="341"/>
      <c r="B475" s="168"/>
      <c r="C475" s="341"/>
      <c r="D475" s="181"/>
      <c r="E475" s="341"/>
      <c r="F475" s="168"/>
      <c r="G475" s="341"/>
      <c r="H475" s="168"/>
      <c r="I475" s="348"/>
      <c r="J475" s="181"/>
      <c r="K475" s="348"/>
      <c r="L475" s="181"/>
      <c r="M475" s="348"/>
      <c r="N475" s="181"/>
      <c r="O475" s="341"/>
      <c r="P475" s="168"/>
      <c r="Q475" s="205"/>
      <c r="R475" s="205"/>
      <c r="S475" s="17"/>
      <c r="T475" s="17"/>
    </row>
    <row r="476">
      <c r="A476" s="341"/>
      <c r="B476" s="168"/>
      <c r="C476" s="341"/>
      <c r="D476" s="181"/>
      <c r="E476" s="341"/>
      <c r="F476" s="168"/>
      <c r="G476" s="341"/>
      <c r="H476" s="168"/>
      <c r="I476" s="348"/>
      <c r="J476" s="181"/>
      <c r="K476" s="348"/>
      <c r="L476" s="181"/>
      <c r="M476" s="348"/>
      <c r="N476" s="181"/>
      <c r="O476" s="341"/>
      <c r="P476" s="168"/>
      <c r="Q476" s="205"/>
      <c r="R476" s="205"/>
      <c r="S476" s="17"/>
      <c r="T476" s="17"/>
    </row>
    <row r="477">
      <c r="A477" s="341"/>
      <c r="B477" s="168"/>
      <c r="C477" s="341"/>
      <c r="D477" s="181"/>
      <c r="E477" s="341"/>
      <c r="F477" s="168"/>
      <c r="G477" s="341"/>
      <c r="H477" s="168"/>
      <c r="I477" s="348"/>
      <c r="J477" s="181"/>
      <c r="K477" s="348"/>
      <c r="L477" s="181"/>
      <c r="M477" s="348"/>
      <c r="N477" s="181"/>
      <c r="O477" s="341"/>
      <c r="P477" s="168"/>
      <c r="Q477" s="205"/>
      <c r="R477" s="205"/>
      <c r="S477" s="17"/>
      <c r="T477" s="17"/>
    </row>
    <row r="478">
      <c r="A478" s="341"/>
      <c r="B478" s="168"/>
      <c r="C478" s="341"/>
      <c r="D478" s="181"/>
      <c r="E478" s="341"/>
      <c r="F478" s="168"/>
      <c r="G478" s="341"/>
      <c r="H478" s="168"/>
      <c r="I478" s="348"/>
      <c r="J478" s="181"/>
      <c r="K478" s="348"/>
      <c r="L478" s="181"/>
      <c r="M478" s="348"/>
      <c r="N478" s="181"/>
      <c r="O478" s="341"/>
      <c r="P478" s="168"/>
      <c r="Q478" s="205"/>
      <c r="R478" s="205"/>
      <c r="S478" s="17"/>
      <c r="T478" s="17"/>
    </row>
    <row r="479">
      <c r="A479" s="341"/>
      <c r="B479" s="168"/>
      <c r="C479" s="341"/>
      <c r="D479" s="181"/>
      <c r="E479" s="341"/>
      <c r="F479" s="168"/>
      <c r="G479" s="341"/>
      <c r="H479" s="168"/>
      <c r="I479" s="348"/>
      <c r="J479" s="181"/>
      <c r="K479" s="348"/>
      <c r="L479" s="181"/>
      <c r="M479" s="348"/>
      <c r="N479" s="181"/>
      <c r="O479" s="341"/>
      <c r="P479" s="168"/>
      <c r="Q479" s="205"/>
      <c r="R479" s="205"/>
      <c r="S479" s="17"/>
      <c r="T479" s="17"/>
    </row>
    <row r="480">
      <c r="A480" s="341"/>
      <c r="B480" s="168"/>
      <c r="C480" s="341"/>
      <c r="D480" s="181"/>
      <c r="E480" s="341"/>
      <c r="F480" s="168"/>
      <c r="G480" s="341"/>
      <c r="H480" s="168"/>
      <c r="I480" s="348"/>
      <c r="J480" s="181"/>
      <c r="K480" s="348"/>
      <c r="L480" s="181"/>
      <c r="M480" s="348"/>
      <c r="N480" s="181"/>
      <c r="O480" s="341"/>
      <c r="P480" s="168"/>
      <c r="Q480" s="205"/>
      <c r="R480" s="205"/>
      <c r="S480" s="17"/>
      <c r="T480" s="17"/>
    </row>
    <row r="481">
      <c r="A481" s="341"/>
      <c r="B481" s="168"/>
      <c r="C481" s="341"/>
      <c r="D481" s="181"/>
      <c r="E481" s="341"/>
      <c r="F481" s="168"/>
      <c r="G481" s="341"/>
      <c r="H481" s="168"/>
      <c r="I481" s="348"/>
      <c r="J481" s="181"/>
      <c r="K481" s="348"/>
      <c r="L481" s="181"/>
      <c r="M481" s="348"/>
      <c r="N481" s="181"/>
      <c r="O481" s="341"/>
      <c r="P481" s="168"/>
      <c r="Q481" s="205"/>
      <c r="R481" s="205"/>
      <c r="S481" s="17"/>
      <c r="T481" s="17"/>
    </row>
    <row r="482">
      <c r="A482" s="341"/>
      <c r="B482" s="168"/>
      <c r="C482" s="341"/>
      <c r="D482" s="181"/>
      <c r="E482" s="341"/>
      <c r="F482" s="168"/>
      <c r="G482" s="341"/>
      <c r="H482" s="168"/>
      <c r="I482" s="348"/>
      <c r="J482" s="181"/>
      <c r="K482" s="348"/>
      <c r="L482" s="181"/>
      <c r="M482" s="348"/>
      <c r="N482" s="181"/>
      <c r="O482" s="341"/>
      <c r="P482" s="168"/>
      <c r="Q482" s="205"/>
      <c r="R482" s="205"/>
      <c r="S482" s="17"/>
      <c r="T482" s="17"/>
    </row>
    <row r="483">
      <c r="A483" s="341"/>
      <c r="B483" s="168"/>
      <c r="C483" s="341"/>
      <c r="D483" s="181"/>
      <c r="E483" s="341"/>
      <c r="F483" s="168"/>
      <c r="G483" s="341"/>
      <c r="H483" s="168"/>
      <c r="I483" s="348"/>
      <c r="J483" s="181"/>
      <c r="K483" s="348"/>
      <c r="L483" s="181"/>
      <c r="M483" s="348"/>
      <c r="N483" s="181"/>
      <c r="O483" s="341"/>
      <c r="P483" s="168"/>
      <c r="Q483" s="205"/>
      <c r="R483" s="205"/>
      <c r="S483" s="17"/>
      <c r="T483" s="17"/>
    </row>
    <row r="484">
      <c r="A484" s="341"/>
      <c r="B484" s="168"/>
      <c r="C484" s="341"/>
      <c r="D484" s="181"/>
      <c r="E484" s="341"/>
      <c r="F484" s="168"/>
      <c r="G484" s="341"/>
      <c r="H484" s="168"/>
      <c r="I484" s="348"/>
      <c r="J484" s="181"/>
      <c r="K484" s="348"/>
      <c r="L484" s="181"/>
      <c r="M484" s="348"/>
      <c r="N484" s="181"/>
      <c r="O484" s="341"/>
      <c r="P484" s="168"/>
      <c r="Q484" s="205"/>
      <c r="R484" s="205"/>
      <c r="S484" s="17"/>
      <c r="T484" s="17"/>
    </row>
    <row r="485">
      <c r="A485" s="341"/>
      <c r="B485" s="168"/>
      <c r="C485" s="341"/>
      <c r="D485" s="181"/>
      <c r="E485" s="341"/>
      <c r="F485" s="168"/>
      <c r="G485" s="341"/>
      <c r="H485" s="168"/>
      <c r="I485" s="348"/>
      <c r="J485" s="181"/>
      <c r="K485" s="348"/>
      <c r="L485" s="181"/>
      <c r="M485" s="348"/>
      <c r="N485" s="181"/>
      <c r="O485" s="341"/>
      <c r="P485" s="168"/>
      <c r="Q485" s="205"/>
      <c r="R485" s="205"/>
      <c r="S485" s="17"/>
      <c r="T485" s="17"/>
    </row>
    <row r="486">
      <c r="A486" s="341"/>
      <c r="B486" s="168"/>
      <c r="C486" s="341"/>
      <c r="D486" s="181"/>
      <c r="E486" s="341"/>
      <c r="F486" s="168"/>
      <c r="G486" s="341"/>
      <c r="H486" s="168"/>
      <c r="I486" s="348"/>
      <c r="J486" s="181"/>
      <c r="K486" s="348"/>
      <c r="L486" s="181"/>
      <c r="M486" s="348"/>
      <c r="N486" s="181"/>
      <c r="O486" s="341"/>
      <c r="P486" s="168"/>
      <c r="Q486" s="205"/>
      <c r="R486" s="205"/>
      <c r="S486" s="17"/>
      <c r="T486" s="17"/>
    </row>
    <row r="487">
      <c r="A487" s="341"/>
      <c r="B487" s="168"/>
      <c r="C487" s="341"/>
      <c r="D487" s="181"/>
      <c r="E487" s="341"/>
      <c r="F487" s="168"/>
      <c r="G487" s="341"/>
      <c r="H487" s="168"/>
      <c r="I487" s="348"/>
      <c r="J487" s="181"/>
      <c r="K487" s="348"/>
      <c r="L487" s="181"/>
      <c r="M487" s="348"/>
      <c r="N487" s="181"/>
      <c r="O487" s="341"/>
      <c r="P487" s="168"/>
      <c r="Q487" s="205"/>
      <c r="R487" s="205"/>
      <c r="S487" s="17"/>
      <c r="T487" s="17"/>
    </row>
    <row r="488">
      <c r="A488" s="341"/>
      <c r="B488" s="168"/>
      <c r="C488" s="341"/>
      <c r="D488" s="181"/>
      <c r="E488" s="341"/>
      <c r="F488" s="168"/>
      <c r="G488" s="341"/>
      <c r="H488" s="168"/>
      <c r="I488" s="348"/>
      <c r="J488" s="181"/>
      <c r="K488" s="348"/>
      <c r="L488" s="181"/>
      <c r="M488" s="348"/>
      <c r="N488" s="181"/>
      <c r="O488" s="341"/>
      <c r="P488" s="168"/>
      <c r="Q488" s="205"/>
      <c r="R488" s="205"/>
      <c r="S488" s="17"/>
      <c r="T488" s="17"/>
    </row>
    <row r="489">
      <c r="A489" s="341"/>
      <c r="B489" s="168"/>
      <c r="C489" s="341"/>
      <c r="D489" s="181"/>
      <c r="E489" s="341"/>
      <c r="F489" s="168"/>
      <c r="G489" s="341"/>
      <c r="H489" s="168"/>
      <c r="I489" s="348"/>
      <c r="J489" s="181"/>
      <c r="K489" s="348"/>
      <c r="L489" s="181"/>
      <c r="M489" s="348"/>
      <c r="N489" s="181"/>
      <c r="O489" s="341"/>
      <c r="P489" s="168"/>
      <c r="Q489" s="205"/>
      <c r="R489" s="205"/>
      <c r="S489" s="17"/>
      <c r="T489" s="17"/>
    </row>
    <row r="490">
      <c r="A490" s="341"/>
      <c r="B490" s="168"/>
      <c r="C490" s="341"/>
      <c r="D490" s="181"/>
      <c r="E490" s="341"/>
      <c r="F490" s="168"/>
      <c r="G490" s="341"/>
      <c r="H490" s="168"/>
      <c r="I490" s="348"/>
      <c r="J490" s="181"/>
      <c r="K490" s="348"/>
      <c r="L490" s="181"/>
      <c r="M490" s="348"/>
      <c r="N490" s="181"/>
      <c r="O490" s="341"/>
      <c r="P490" s="168"/>
      <c r="Q490" s="205"/>
      <c r="R490" s="205"/>
      <c r="S490" s="17"/>
      <c r="T490" s="17"/>
    </row>
    <row r="491">
      <c r="A491" s="341"/>
      <c r="B491" s="168"/>
      <c r="C491" s="341"/>
      <c r="D491" s="181"/>
      <c r="E491" s="341"/>
      <c r="F491" s="168"/>
      <c r="G491" s="341"/>
      <c r="H491" s="168"/>
      <c r="I491" s="348"/>
      <c r="J491" s="181"/>
      <c r="K491" s="348"/>
      <c r="L491" s="181"/>
      <c r="M491" s="348"/>
      <c r="N491" s="181"/>
      <c r="O491" s="341"/>
      <c r="P491" s="168"/>
      <c r="Q491" s="205"/>
      <c r="R491" s="205"/>
      <c r="S491" s="17"/>
      <c r="T491" s="17"/>
    </row>
    <row r="492">
      <c r="A492" s="341"/>
      <c r="B492" s="168"/>
      <c r="C492" s="341"/>
      <c r="D492" s="181"/>
      <c r="E492" s="341"/>
      <c r="F492" s="168"/>
      <c r="G492" s="341"/>
      <c r="H492" s="168"/>
      <c r="I492" s="348"/>
      <c r="J492" s="181"/>
      <c r="K492" s="348"/>
      <c r="L492" s="181"/>
      <c r="M492" s="348"/>
      <c r="N492" s="181"/>
      <c r="O492" s="341"/>
      <c r="P492" s="168"/>
      <c r="Q492" s="205"/>
      <c r="R492" s="205"/>
      <c r="S492" s="17"/>
      <c r="T492" s="17"/>
    </row>
    <row r="493">
      <c r="A493" s="341"/>
      <c r="B493" s="168"/>
      <c r="C493" s="341"/>
      <c r="D493" s="181"/>
      <c r="E493" s="341"/>
      <c r="F493" s="168"/>
      <c r="G493" s="341"/>
      <c r="H493" s="168"/>
      <c r="I493" s="348"/>
      <c r="J493" s="181"/>
      <c r="K493" s="348"/>
      <c r="L493" s="181"/>
      <c r="M493" s="348"/>
      <c r="N493" s="181"/>
      <c r="O493" s="341"/>
      <c r="P493" s="168"/>
      <c r="Q493" s="205"/>
      <c r="R493" s="205"/>
      <c r="S493" s="17"/>
      <c r="T493" s="17"/>
    </row>
    <row r="494">
      <c r="A494" s="341"/>
      <c r="B494" s="168"/>
      <c r="C494" s="341"/>
      <c r="D494" s="181"/>
      <c r="E494" s="341"/>
      <c r="F494" s="168"/>
      <c r="G494" s="341"/>
      <c r="H494" s="168"/>
      <c r="I494" s="348"/>
      <c r="J494" s="181"/>
      <c r="K494" s="348"/>
      <c r="L494" s="181"/>
      <c r="M494" s="348"/>
      <c r="N494" s="181"/>
      <c r="O494" s="341"/>
      <c r="P494" s="168"/>
      <c r="Q494" s="205"/>
      <c r="R494" s="205"/>
      <c r="S494" s="17"/>
      <c r="T494" s="17"/>
    </row>
    <row r="495">
      <c r="A495" s="341"/>
      <c r="B495" s="168"/>
      <c r="C495" s="341"/>
      <c r="D495" s="181"/>
      <c r="E495" s="341"/>
      <c r="F495" s="168"/>
      <c r="G495" s="341"/>
      <c r="H495" s="168"/>
      <c r="I495" s="348"/>
      <c r="J495" s="181"/>
      <c r="K495" s="348"/>
      <c r="L495" s="181"/>
      <c r="M495" s="348"/>
      <c r="N495" s="181"/>
      <c r="O495" s="341"/>
      <c r="P495" s="168"/>
      <c r="Q495" s="205"/>
      <c r="R495" s="205"/>
      <c r="S495" s="17"/>
      <c r="T495" s="17"/>
    </row>
    <row r="496">
      <c r="A496" s="341"/>
      <c r="B496" s="168"/>
      <c r="C496" s="341"/>
      <c r="D496" s="181"/>
      <c r="E496" s="341"/>
      <c r="F496" s="168"/>
      <c r="G496" s="341"/>
      <c r="H496" s="168"/>
      <c r="I496" s="348"/>
      <c r="J496" s="181"/>
      <c r="K496" s="348"/>
      <c r="L496" s="181"/>
      <c r="M496" s="348"/>
      <c r="N496" s="181"/>
      <c r="O496" s="341"/>
      <c r="P496" s="168"/>
      <c r="Q496" s="205"/>
      <c r="R496" s="205"/>
      <c r="S496" s="17"/>
      <c r="T496" s="17"/>
    </row>
    <row r="497">
      <c r="A497" s="341"/>
      <c r="B497" s="168"/>
      <c r="C497" s="341"/>
      <c r="D497" s="181"/>
      <c r="E497" s="341"/>
      <c r="F497" s="168"/>
      <c r="G497" s="341"/>
      <c r="H497" s="168"/>
      <c r="I497" s="348"/>
      <c r="J497" s="181"/>
      <c r="K497" s="348"/>
      <c r="L497" s="181"/>
      <c r="M497" s="348"/>
      <c r="N497" s="181"/>
      <c r="O497" s="341"/>
      <c r="P497" s="168"/>
      <c r="Q497" s="205"/>
      <c r="R497" s="205"/>
      <c r="S497" s="17"/>
      <c r="T497" s="17"/>
    </row>
    <row r="498">
      <c r="A498" s="341"/>
      <c r="B498" s="168"/>
      <c r="C498" s="341"/>
      <c r="D498" s="181"/>
      <c r="E498" s="341"/>
      <c r="F498" s="168"/>
      <c r="G498" s="341"/>
      <c r="H498" s="168"/>
      <c r="I498" s="348"/>
      <c r="J498" s="181"/>
      <c r="K498" s="348"/>
      <c r="L498" s="181"/>
      <c r="M498" s="348"/>
      <c r="N498" s="181"/>
      <c r="O498" s="341"/>
      <c r="P498" s="168"/>
      <c r="Q498" s="205"/>
      <c r="R498" s="205"/>
      <c r="S498" s="17"/>
      <c r="T498" s="17"/>
    </row>
    <row r="499">
      <c r="A499" s="341"/>
      <c r="B499" s="168"/>
      <c r="C499" s="341"/>
      <c r="D499" s="181"/>
      <c r="E499" s="341"/>
      <c r="F499" s="168"/>
      <c r="G499" s="341"/>
      <c r="H499" s="168"/>
      <c r="I499" s="348"/>
      <c r="J499" s="181"/>
      <c r="K499" s="348"/>
      <c r="L499" s="181"/>
      <c r="M499" s="348"/>
      <c r="N499" s="181"/>
      <c r="O499" s="341"/>
      <c r="P499" s="168"/>
      <c r="Q499" s="205"/>
      <c r="R499" s="205"/>
      <c r="S499" s="17"/>
      <c r="T499" s="17"/>
    </row>
    <row r="500">
      <c r="A500" s="341"/>
      <c r="B500" s="168"/>
      <c r="C500" s="341"/>
      <c r="D500" s="181"/>
      <c r="E500" s="341"/>
      <c r="F500" s="168"/>
      <c r="G500" s="341"/>
      <c r="H500" s="168"/>
      <c r="I500" s="348"/>
      <c r="J500" s="181"/>
      <c r="K500" s="348"/>
      <c r="L500" s="181"/>
      <c r="M500" s="348"/>
      <c r="N500" s="181"/>
      <c r="O500" s="341"/>
      <c r="P500" s="168"/>
      <c r="Q500" s="205"/>
      <c r="R500" s="205"/>
      <c r="S500" s="17"/>
      <c r="T500" s="17"/>
    </row>
    <row r="501">
      <c r="A501" s="341"/>
      <c r="B501" s="168"/>
      <c r="C501" s="341"/>
      <c r="D501" s="181"/>
      <c r="E501" s="341"/>
      <c r="F501" s="168"/>
      <c r="G501" s="341"/>
      <c r="H501" s="168"/>
      <c r="I501" s="348"/>
      <c r="J501" s="181"/>
      <c r="K501" s="348"/>
      <c r="L501" s="181"/>
      <c r="M501" s="348"/>
      <c r="N501" s="181"/>
      <c r="O501" s="341"/>
      <c r="P501" s="168"/>
      <c r="Q501" s="205"/>
      <c r="R501" s="205"/>
      <c r="S501" s="17"/>
      <c r="T501" s="17"/>
    </row>
    <row r="502">
      <c r="A502" s="341"/>
      <c r="B502" s="168"/>
      <c r="C502" s="341"/>
      <c r="D502" s="181"/>
      <c r="E502" s="341"/>
      <c r="F502" s="168"/>
      <c r="G502" s="341"/>
      <c r="H502" s="168"/>
      <c r="I502" s="348"/>
      <c r="J502" s="181"/>
      <c r="K502" s="348"/>
      <c r="L502" s="181"/>
      <c r="M502" s="348"/>
      <c r="N502" s="181"/>
      <c r="O502" s="341"/>
      <c r="P502" s="168"/>
      <c r="Q502" s="205"/>
      <c r="R502" s="205"/>
      <c r="S502" s="17"/>
      <c r="T502" s="17"/>
    </row>
    <row r="503">
      <c r="A503" s="341"/>
      <c r="B503" s="168"/>
      <c r="C503" s="341"/>
      <c r="D503" s="181"/>
      <c r="E503" s="341"/>
      <c r="F503" s="168"/>
      <c r="G503" s="341"/>
      <c r="H503" s="168"/>
      <c r="I503" s="348"/>
      <c r="J503" s="181"/>
      <c r="K503" s="348"/>
      <c r="L503" s="181"/>
      <c r="M503" s="348"/>
      <c r="N503" s="181"/>
      <c r="O503" s="341"/>
      <c r="P503" s="168"/>
      <c r="Q503" s="205"/>
      <c r="R503" s="205"/>
      <c r="S503" s="17"/>
      <c r="T503" s="17"/>
    </row>
    <row r="504">
      <c r="A504" s="341"/>
      <c r="B504" s="168"/>
      <c r="C504" s="341"/>
      <c r="D504" s="181"/>
      <c r="E504" s="341"/>
      <c r="F504" s="168"/>
      <c r="G504" s="341"/>
      <c r="H504" s="168"/>
      <c r="I504" s="348"/>
      <c r="J504" s="181"/>
      <c r="K504" s="348"/>
      <c r="L504" s="181"/>
      <c r="M504" s="348"/>
      <c r="N504" s="181"/>
      <c r="O504" s="341"/>
      <c r="P504" s="168"/>
      <c r="Q504" s="205"/>
      <c r="R504" s="205"/>
      <c r="S504" s="17"/>
      <c r="T504" s="17"/>
    </row>
    <row r="505">
      <c r="A505" s="341"/>
      <c r="B505" s="168"/>
      <c r="C505" s="341"/>
      <c r="D505" s="181"/>
      <c r="E505" s="341"/>
      <c r="F505" s="168"/>
      <c r="G505" s="341"/>
      <c r="H505" s="168"/>
      <c r="I505" s="348"/>
      <c r="J505" s="181"/>
      <c r="K505" s="348"/>
      <c r="L505" s="181"/>
      <c r="M505" s="348"/>
      <c r="N505" s="181"/>
      <c r="O505" s="341"/>
      <c r="P505" s="168"/>
      <c r="Q505" s="205"/>
      <c r="R505" s="205"/>
      <c r="S505" s="17"/>
      <c r="T505" s="17"/>
    </row>
    <row r="506">
      <c r="A506" s="341"/>
      <c r="B506" s="168"/>
      <c r="C506" s="341"/>
      <c r="D506" s="181"/>
      <c r="E506" s="341"/>
      <c r="F506" s="168"/>
      <c r="G506" s="341"/>
      <c r="H506" s="168"/>
      <c r="I506" s="348"/>
      <c r="J506" s="181"/>
      <c r="K506" s="348"/>
      <c r="L506" s="181"/>
      <c r="M506" s="348"/>
      <c r="N506" s="181"/>
      <c r="O506" s="341"/>
      <c r="P506" s="168"/>
      <c r="Q506" s="205"/>
      <c r="R506" s="205"/>
      <c r="S506" s="17"/>
      <c r="T506" s="17"/>
    </row>
    <row r="507">
      <c r="A507" s="341"/>
      <c r="B507" s="168"/>
      <c r="C507" s="341"/>
      <c r="D507" s="181"/>
      <c r="E507" s="341"/>
      <c r="F507" s="168"/>
      <c r="G507" s="341"/>
      <c r="H507" s="168"/>
      <c r="I507" s="348"/>
      <c r="J507" s="181"/>
      <c r="K507" s="348"/>
      <c r="L507" s="181"/>
      <c r="M507" s="348"/>
      <c r="N507" s="181"/>
      <c r="O507" s="341"/>
      <c r="P507" s="168"/>
      <c r="Q507" s="205"/>
      <c r="R507" s="205"/>
      <c r="S507" s="17"/>
      <c r="T507" s="17"/>
    </row>
    <row r="508">
      <c r="A508" s="341"/>
      <c r="B508" s="168"/>
      <c r="C508" s="341"/>
      <c r="D508" s="181"/>
      <c r="E508" s="341"/>
      <c r="F508" s="168"/>
      <c r="G508" s="341"/>
      <c r="H508" s="168"/>
      <c r="I508" s="348"/>
      <c r="J508" s="181"/>
      <c r="K508" s="348"/>
      <c r="L508" s="181"/>
      <c r="M508" s="348"/>
      <c r="N508" s="181"/>
      <c r="O508" s="341"/>
      <c r="P508" s="168"/>
      <c r="Q508" s="205"/>
      <c r="R508" s="205"/>
      <c r="S508" s="17"/>
      <c r="T508" s="17"/>
    </row>
    <row r="509">
      <c r="A509" s="341"/>
      <c r="B509" s="168"/>
      <c r="C509" s="341"/>
      <c r="D509" s="181"/>
      <c r="E509" s="341"/>
      <c r="F509" s="168"/>
      <c r="G509" s="341"/>
      <c r="H509" s="168"/>
      <c r="I509" s="348"/>
      <c r="J509" s="181"/>
      <c r="K509" s="348"/>
      <c r="L509" s="181"/>
      <c r="M509" s="348"/>
      <c r="N509" s="181"/>
      <c r="O509" s="341"/>
      <c r="P509" s="168"/>
      <c r="Q509" s="205"/>
      <c r="R509" s="205"/>
      <c r="S509" s="17"/>
      <c r="T509" s="17"/>
    </row>
    <row r="510">
      <c r="A510" s="341"/>
      <c r="B510" s="168"/>
      <c r="C510" s="341"/>
      <c r="D510" s="181"/>
      <c r="E510" s="341"/>
      <c r="F510" s="168"/>
      <c r="G510" s="341"/>
      <c r="H510" s="168"/>
      <c r="I510" s="348"/>
      <c r="J510" s="181"/>
      <c r="K510" s="348"/>
      <c r="L510" s="181"/>
      <c r="M510" s="348"/>
      <c r="N510" s="181"/>
      <c r="O510" s="341"/>
      <c r="P510" s="168"/>
      <c r="Q510" s="205"/>
      <c r="R510" s="205"/>
      <c r="S510" s="17"/>
      <c r="T510" s="17"/>
    </row>
    <row r="511">
      <c r="A511" s="341"/>
      <c r="B511" s="168"/>
      <c r="C511" s="341"/>
      <c r="D511" s="181"/>
      <c r="E511" s="341"/>
      <c r="F511" s="168"/>
      <c r="G511" s="341"/>
      <c r="H511" s="168"/>
      <c r="I511" s="348"/>
      <c r="J511" s="181"/>
      <c r="K511" s="348"/>
      <c r="L511" s="181"/>
      <c r="M511" s="348"/>
      <c r="N511" s="181"/>
      <c r="O511" s="341"/>
      <c r="P511" s="168"/>
      <c r="Q511" s="205"/>
      <c r="R511" s="205"/>
      <c r="S511" s="17"/>
      <c r="T511" s="17"/>
    </row>
    <row r="512">
      <c r="A512" s="341"/>
      <c r="B512" s="168"/>
      <c r="C512" s="341"/>
      <c r="D512" s="181"/>
      <c r="E512" s="341"/>
      <c r="F512" s="168"/>
      <c r="G512" s="341"/>
      <c r="H512" s="168"/>
      <c r="I512" s="348"/>
      <c r="J512" s="181"/>
      <c r="K512" s="348"/>
      <c r="L512" s="181"/>
      <c r="M512" s="348"/>
      <c r="N512" s="181"/>
      <c r="O512" s="341"/>
      <c r="P512" s="168"/>
      <c r="Q512" s="205"/>
      <c r="R512" s="205"/>
      <c r="S512" s="17"/>
      <c r="T512" s="17"/>
    </row>
    <row r="513">
      <c r="A513" s="341"/>
      <c r="B513" s="168"/>
      <c r="C513" s="341"/>
      <c r="D513" s="181"/>
      <c r="E513" s="341"/>
      <c r="F513" s="168"/>
      <c r="G513" s="341"/>
      <c r="H513" s="168"/>
      <c r="I513" s="348"/>
      <c r="J513" s="181"/>
      <c r="K513" s="348"/>
      <c r="L513" s="181"/>
      <c r="M513" s="348"/>
      <c r="N513" s="181"/>
      <c r="O513" s="341"/>
      <c r="P513" s="168"/>
      <c r="Q513" s="205"/>
      <c r="R513" s="205"/>
      <c r="S513" s="17"/>
      <c r="T513" s="17"/>
    </row>
    <row r="514">
      <c r="A514" s="341"/>
      <c r="B514" s="168"/>
      <c r="C514" s="341"/>
      <c r="D514" s="181"/>
      <c r="E514" s="341"/>
      <c r="F514" s="168"/>
      <c r="G514" s="341"/>
      <c r="H514" s="168"/>
      <c r="I514" s="348"/>
      <c r="J514" s="181"/>
      <c r="K514" s="348"/>
      <c r="L514" s="181"/>
      <c r="M514" s="348"/>
      <c r="N514" s="181"/>
      <c r="O514" s="341"/>
      <c r="P514" s="168"/>
      <c r="Q514" s="205"/>
      <c r="R514" s="205"/>
      <c r="S514" s="17"/>
      <c r="T514" s="17"/>
    </row>
    <row r="515">
      <c r="A515" s="341"/>
      <c r="B515" s="168"/>
      <c r="C515" s="341"/>
      <c r="D515" s="181"/>
      <c r="E515" s="341"/>
      <c r="F515" s="168"/>
      <c r="G515" s="341"/>
      <c r="H515" s="168"/>
      <c r="I515" s="348"/>
      <c r="J515" s="181"/>
      <c r="K515" s="348"/>
      <c r="L515" s="181"/>
      <c r="M515" s="348"/>
      <c r="N515" s="181"/>
      <c r="O515" s="341"/>
      <c r="P515" s="168"/>
      <c r="Q515" s="205"/>
      <c r="R515" s="205"/>
      <c r="S515" s="17"/>
      <c r="T515" s="17"/>
    </row>
    <row r="516">
      <c r="A516" s="341"/>
      <c r="B516" s="168"/>
      <c r="C516" s="341"/>
      <c r="D516" s="181"/>
      <c r="E516" s="341"/>
      <c r="F516" s="168"/>
      <c r="G516" s="341"/>
      <c r="H516" s="168"/>
      <c r="I516" s="348"/>
      <c r="J516" s="181"/>
      <c r="K516" s="348"/>
      <c r="L516" s="181"/>
      <c r="M516" s="348"/>
      <c r="N516" s="181"/>
      <c r="O516" s="341"/>
      <c r="P516" s="168"/>
      <c r="Q516" s="205"/>
      <c r="R516" s="205"/>
      <c r="S516" s="17"/>
      <c r="T516" s="17"/>
    </row>
    <row r="517">
      <c r="A517" s="341"/>
      <c r="B517" s="168"/>
      <c r="C517" s="341"/>
      <c r="D517" s="181"/>
      <c r="E517" s="341"/>
      <c r="F517" s="168"/>
      <c r="G517" s="341"/>
      <c r="H517" s="168"/>
      <c r="I517" s="348"/>
      <c r="J517" s="181"/>
      <c r="K517" s="348"/>
      <c r="L517" s="181"/>
      <c r="M517" s="348"/>
      <c r="N517" s="181"/>
      <c r="O517" s="341"/>
      <c r="P517" s="168"/>
      <c r="Q517" s="205"/>
      <c r="R517" s="205"/>
      <c r="S517" s="17"/>
      <c r="T517" s="17"/>
    </row>
    <row r="518">
      <c r="A518" s="341"/>
      <c r="B518" s="168"/>
      <c r="C518" s="341"/>
      <c r="D518" s="181"/>
      <c r="E518" s="341"/>
      <c r="F518" s="168"/>
      <c r="G518" s="341"/>
      <c r="H518" s="168"/>
      <c r="I518" s="348"/>
      <c r="J518" s="181"/>
      <c r="K518" s="348"/>
      <c r="L518" s="181"/>
      <c r="M518" s="348"/>
      <c r="N518" s="181"/>
      <c r="O518" s="341"/>
      <c r="P518" s="168"/>
      <c r="Q518" s="205"/>
      <c r="R518" s="205"/>
      <c r="S518" s="17"/>
      <c r="T518" s="17"/>
    </row>
    <row r="519">
      <c r="A519" s="341"/>
      <c r="B519" s="168"/>
      <c r="C519" s="341"/>
      <c r="D519" s="181"/>
      <c r="E519" s="341"/>
      <c r="F519" s="168"/>
      <c r="G519" s="341"/>
      <c r="H519" s="168"/>
      <c r="I519" s="348"/>
      <c r="J519" s="181"/>
      <c r="K519" s="348"/>
      <c r="L519" s="181"/>
      <c r="M519" s="348"/>
      <c r="N519" s="181"/>
      <c r="O519" s="341"/>
      <c r="P519" s="168"/>
      <c r="Q519" s="205"/>
      <c r="R519" s="205"/>
      <c r="S519" s="17"/>
      <c r="T519" s="17"/>
    </row>
    <row r="520">
      <c r="A520" s="341"/>
      <c r="B520" s="168"/>
      <c r="C520" s="341"/>
      <c r="D520" s="181"/>
      <c r="E520" s="341"/>
      <c r="F520" s="168"/>
      <c r="G520" s="341"/>
      <c r="H520" s="168"/>
      <c r="I520" s="348"/>
      <c r="J520" s="181"/>
      <c r="K520" s="348"/>
      <c r="L520" s="181"/>
      <c r="M520" s="348"/>
      <c r="N520" s="181"/>
      <c r="O520" s="341"/>
      <c r="P520" s="168"/>
      <c r="Q520" s="205"/>
      <c r="R520" s="205"/>
      <c r="S520" s="17"/>
      <c r="T520" s="17"/>
    </row>
    <row r="521">
      <c r="A521" s="341"/>
      <c r="B521" s="168"/>
      <c r="C521" s="341"/>
      <c r="D521" s="181"/>
      <c r="E521" s="341"/>
      <c r="F521" s="168"/>
      <c r="G521" s="341"/>
      <c r="H521" s="168"/>
      <c r="I521" s="348"/>
      <c r="J521" s="181"/>
      <c r="K521" s="348"/>
      <c r="L521" s="181"/>
      <c r="M521" s="348"/>
      <c r="N521" s="181"/>
      <c r="O521" s="341"/>
      <c r="P521" s="168"/>
      <c r="Q521" s="205"/>
      <c r="R521" s="205"/>
      <c r="S521" s="17"/>
      <c r="T521" s="17"/>
    </row>
    <row r="522">
      <c r="A522" s="341"/>
      <c r="B522" s="168"/>
      <c r="C522" s="341"/>
      <c r="D522" s="181"/>
      <c r="E522" s="341"/>
      <c r="F522" s="168"/>
      <c r="G522" s="341"/>
      <c r="H522" s="168"/>
      <c r="I522" s="348"/>
      <c r="J522" s="181"/>
      <c r="K522" s="348"/>
      <c r="L522" s="181"/>
      <c r="M522" s="348"/>
      <c r="N522" s="181"/>
      <c r="O522" s="341"/>
      <c r="P522" s="168"/>
      <c r="Q522" s="205"/>
      <c r="R522" s="205"/>
      <c r="S522" s="17"/>
      <c r="T522" s="17"/>
    </row>
    <row r="523">
      <c r="A523" s="341"/>
      <c r="B523" s="168"/>
      <c r="C523" s="341"/>
      <c r="D523" s="181"/>
      <c r="E523" s="341"/>
      <c r="F523" s="168"/>
      <c r="G523" s="341"/>
      <c r="H523" s="168"/>
      <c r="I523" s="348"/>
      <c r="J523" s="181"/>
      <c r="K523" s="348"/>
      <c r="L523" s="181"/>
      <c r="M523" s="348"/>
      <c r="N523" s="181"/>
      <c r="O523" s="341"/>
      <c r="P523" s="168"/>
      <c r="Q523" s="205"/>
      <c r="R523" s="205"/>
      <c r="S523" s="17"/>
      <c r="T523" s="17"/>
    </row>
    <row r="524">
      <c r="A524" s="341"/>
      <c r="B524" s="168"/>
      <c r="C524" s="341"/>
      <c r="D524" s="181"/>
      <c r="E524" s="341"/>
      <c r="F524" s="168"/>
      <c r="G524" s="341"/>
      <c r="H524" s="168"/>
      <c r="I524" s="348"/>
      <c r="J524" s="181"/>
      <c r="K524" s="348"/>
      <c r="L524" s="181"/>
      <c r="M524" s="348"/>
      <c r="N524" s="181"/>
      <c r="O524" s="341"/>
      <c r="P524" s="168"/>
      <c r="Q524" s="205"/>
      <c r="R524" s="205"/>
      <c r="S524" s="17"/>
      <c r="T524" s="17"/>
    </row>
    <row r="525">
      <c r="A525" s="341"/>
      <c r="B525" s="168"/>
      <c r="C525" s="341"/>
      <c r="D525" s="181"/>
      <c r="E525" s="341"/>
      <c r="F525" s="168"/>
      <c r="G525" s="341"/>
      <c r="H525" s="168"/>
      <c r="I525" s="348"/>
      <c r="J525" s="181"/>
      <c r="K525" s="348"/>
      <c r="L525" s="181"/>
      <c r="M525" s="348"/>
      <c r="N525" s="181"/>
      <c r="O525" s="341"/>
      <c r="P525" s="168"/>
      <c r="Q525" s="205"/>
      <c r="R525" s="205"/>
      <c r="S525" s="17"/>
      <c r="T525" s="17"/>
    </row>
    <row r="526">
      <c r="A526" s="341"/>
      <c r="B526" s="168"/>
      <c r="C526" s="341"/>
      <c r="D526" s="181"/>
      <c r="E526" s="341"/>
      <c r="F526" s="168"/>
      <c r="G526" s="341"/>
      <c r="H526" s="168"/>
      <c r="I526" s="348"/>
      <c r="J526" s="181"/>
      <c r="K526" s="348"/>
      <c r="L526" s="181"/>
      <c r="M526" s="348"/>
      <c r="N526" s="181"/>
      <c r="O526" s="341"/>
      <c r="P526" s="168"/>
      <c r="Q526" s="205"/>
      <c r="R526" s="205"/>
      <c r="S526" s="17"/>
      <c r="T526" s="17"/>
    </row>
    <row r="527">
      <c r="A527" s="341"/>
      <c r="B527" s="168"/>
      <c r="C527" s="341"/>
      <c r="D527" s="181"/>
      <c r="E527" s="341"/>
      <c r="F527" s="168"/>
      <c r="G527" s="341"/>
      <c r="H527" s="168"/>
      <c r="I527" s="348"/>
      <c r="J527" s="181"/>
      <c r="K527" s="348"/>
      <c r="L527" s="181"/>
      <c r="M527" s="348"/>
      <c r="N527" s="181"/>
      <c r="O527" s="341"/>
      <c r="P527" s="168"/>
      <c r="Q527" s="205"/>
      <c r="R527" s="205"/>
      <c r="S527" s="17"/>
      <c r="T527" s="17"/>
    </row>
    <row r="528">
      <c r="A528" s="341"/>
      <c r="B528" s="168"/>
      <c r="C528" s="341"/>
      <c r="D528" s="181"/>
      <c r="E528" s="341"/>
      <c r="F528" s="168"/>
      <c r="G528" s="341"/>
      <c r="H528" s="168"/>
      <c r="I528" s="348"/>
      <c r="J528" s="181"/>
      <c r="K528" s="348"/>
      <c r="L528" s="181"/>
      <c r="M528" s="348"/>
      <c r="N528" s="181"/>
      <c r="O528" s="341"/>
      <c r="P528" s="168"/>
      <c r="Q528" s="205"/>
      <c r="R528" s="205"/>
      <c r="S528" s="17"/>
      <c r="T528" s="17"/>
    </row>
    <row r="529">
      <c r="A529" s="341"/>
      <c r="B529" s="168"/>
      <c r="C529" s="341"/>
      <c r="D529" s="181"/>
      <c r="E529" s="341"/>
      <c r="F529" s="168"/>
      <c r="G529" s="341"/>
      <c r="H529" s="168"/>
      <c r="I529" s="348"/>
      <c r="J529" s="181"/>
      <c r="K529" s="348"/>
      <c r="L529" s="181"/>
      <c r="M529" s="348"/>
      <c r="N529" s="181"/>
      <c r="O529" s="341"/>
      <c r="P529" s="168"/>
      <c r="Q529" s="205"/>
      <c r="R529" s="205"/>
      <c r="S529" s="17"/>
      <c r="T529" s="17"/>
    </row>
    <row r="530">
      <c r="A530" s="341"/>
      <c r="B530" s="168"/>
      <c r="C530" s="341"/>
      <c r="D530" s="181"/>
      <c r="E530" s="341"/>
      <c r="F530" s="168"/>
      <c r="G530" s="341"/>
      <c r="H530" s="168"/>
      <c r="I530" s="348"/>
      <c r="J530" s="181"/>
      <c r="K530" s="348"/>
      <c r="L530" s="181"/>
      <c r="M530" s="348"/>
      <c r="N530" s="181"/>
      <c r="O530" s="341"/>
      <c r="P530" s="168"/>
      <c r="Q530" s="205"/>
      <c r="R530" s="205"/>
      <c r="S530" s="17"/>
      <c r="T530" s="17"/>
    </row>
    <row r="531">
      <c r="A531" s="341"/>
      <c r="B531" s="168"/>
      <c r="C531" s="341"/>
      <c r="D531" s="181"/>
      <c r="E531" s="341"/>
      <c r="F531" s="168"/>
      <c r="G531" s="341"/>
      <c r="H531" s="168"/>
      <c r="I531" s="348"/>
      <c r="J531" s="181"/>
      <c r="K531" s="348"/>
      <c r="L531" s="181"/>
      <c r="M531" s="348"/>
      <c r="N531" s="181"/>
      <c r="O531" s="341"/>
      <c r="P531" s="168"/>
      <c r="Q531" s="205"/>
      <c r="R531" s="205"/>
      <c r="S531" s="17"/>
      <c r="T531" s="17"/>
    </row>
    <row r="532">
      <c r="A532" s="341"/>
      <c r="B532" s="168"/>
      <c r="C532" s="341"/>
      <c r="D532" s="181"/>
      <c r="E532" s="341"/>
      <c r="F532" s="168"/>
      <c r="G532" s="341"/>
      <c r="H532" s="168"/>
      <c r="I532" s="348"/>
      <c r="J532" s="181"/>
      <c r="K532" s="348"/>
      <c r="L532" s="181"/>
      <c r="M532" s="348"/>
      <c r="N532" s="181"/>
      <c r="O532" s="341"/>
      <c r="P532" s="168"/>
      <c r="Q532" s="205"/>
      <c r="R532" s="205"/>
      <c r="S532" s="17"/>
      <c r="T532" s="17"/>
    </row>
    <row r="533">
      <c r="A533" s="341"/>
      <c r="B533" s="168"/>
      <c r="C533" s="341"/>
      <c r="D533" s="181"/>
      <c r="E533" s="341"/>
      <c r="F533" s="168"/>
      <c r="G533" s="341"/>
      <c r="H533" s="168"/>
      <c r="I533" s="348"/>
      <c r="J533" s="181"/>
      <c r="K533" s="348"/>
      <c r="L533" s="181"/>
      <c r="M533" s="348"/>
      <c r="N533" s="181"/>
      <c r="O533" s="341"/>
      <c r="P533" s="168"/>
      <c r="Q533" s="205"/>
      <c r="R533" s="205"/>
      <c r="S533" s="17"/>
      <c r="T533" s="17"/>
    </row>
    <row r="534">
      <c r="A534" s="341"/>
      <c r="B534" s="168"/>
      <c r="C534" s="341"/>
      <c r="D534" s="181"/>
      <c r="E534" s="341"/>
      <c r="F534" s="168"/>
      <c r="G534" s="341"/>
      <c r="H534" s="168"/>
      <c r="I534" s="348"/>
      <c r="J534" s="181"/>
      <c r="K534" s="348"/>
      <c r="L534" s="181"/>
      <c r="M534" s="348"/>
      <c r="N534" s="181"/>
      <c r="O534" s="341"/>
      <c r="P534" s="168"/>
      <c r="Q534" s="205"/>
      <c r="R534" s="205"/>
      <c r="S534" s="17"/>
      <c r="T534" s="17"/>
    </row>
    <row r="535">
      <c r="A535" s="341"/>
      <c r="B535" s="168"/>
      <c r="C535" s="341"/>
      <c r="D535" s="181"/>
      <c r="E535" s="341"/>
      <c r="F535" s="168"/>
      <c r="G535" s="341"/>
      <c r="H535" s="168"/>
      <c r="I535" s="348"/>
      <c r="J535" s="181"/>
      <c r="K535" s="348"/>
      <c r="L535" s="181"/>
      <c r="M535" s="348"/>
      <c r="N535" s="181"/>
      <c r="O535" s="341"/>
      <c r="P535" s="168"/>
      <c r="Q535" s="205"/>
      <c r="R535" s="205"/>
      <c r="S535" s="17"/>
      <c r="T535" s="17"/>
    </row>
    <row r="536">
      <c r="A536" s="341"/>
      <c r="B536" s="168"/>
      <c r="C536" s="341"/>
      <c r="D536" s="181"/>
      <c r="E536" s="341"/>
      <c r="F536" s="168"/>
      <c r="G536" s="341"/>
      <c r="H536" s="168"/>
      <c r="I536" s="348"/>
      <c r="J536" s="181"/>
      <c r="K536" s="348"/>
      <c r="L536" s="181"/>
      <c r="M536" s="348"/>
      <c r="N536" s="181"/>
      <c r="O536" s="341"/>
      <c r="P536" s="168"/>
      <c r="Q536" s="205"/>
      <c r="R536" s="205"/>
      <c r="S536" s="17"/>
      <c r="T536" s="17"/>
    </row>
    <row r="537">
      <c r="A537" s="341"/>
      <c r="B537" s="168"/>
      <c r="C537" s="341"/>
      <c r="D537" s="181"/>
      <c r="E537" s="341"/>
      <c r="F537" s="168"/>
      <c r="G537" s="341"/>
      <c r="H537" s="168"/>
      <c r="I537" s="348"/>
      <c r="J537" s="181"/>
      <c r="K537" s="348"/>
      <c r="L537" s="181"/>
      <c r="M537" s="348"/>
      <c r="N537" s="181"/>
      <c r="O537" s="341"/>
      <c r="P537" s="168"/>
      <c r="Q537" s="205"/>
      <c r="R537" s="205"/>
      <c r="S537" s="17"/>
      <c r="T537" s="17"/>
    </row>
    <row r="538">
      <c r="A538" s="341"/>
      <c r="B538" s="168"/>
      <c r="C538" s="341"/>
      <c r="D538" s="181"/>
      <c r="E538" s="341"/>
      <c r="F538" s="168"/>
      <c r="G538" s="341"/>
      <c r="H538" s="168"/>
      <c r="I538" s="348"/>
      <c r="J538" s="181"/>
      <c r="K538" s="348"/>
      <c r="L538" s="181"/>
      <c r="M538" s="348"/>
      <c r="N538" s="181"/>
      <c r="O538" s="341"/>
      <c r="P538" s="168"/>
      <c r="Q538" s="205"/>
      <c r="R538" s="205"/>
      <c r="S538" s="17"/>
      <c r="T538" s="17"/>
    </row>
    <row r="539">
      <c r="A539" s="341"/>
      <c r="B539" s="168"/>
      <c r="C539" s="341"/>
      <c r="D539" s="181"/>
      <c r="E539" s="341"/>
      <c r="F539" s="168"/>
      <c r="G539" s="341"/>
      <c r="H539" s="168"/>
      <c r="I539" s="348"/>
      <c r="J539" s="181"/>
      <c r="K539" s="348"/>
      <c r="L539" s="181"/>
      <c r="M539" s="348"/>
      <c r="N539" s="181"/>
      <c r="O539" s="341"/>
      <c r="P539" s="168"/>
      <c r="Q539" s="205"/>
      <c r="R539" s="205"/>
      <c r="S539" s="17"/>
      <c r="T539" s="17"/>
    </row>
    <row r="540">
      <c r="A540" s="341"/>
      <c r="B540" s="168"/>
      <c r="C540" s="341"/>
      <c r="D540" s="181"/>
      <c r="E540" s="341"/>
      <c r="F540" s="168"/>
      <c r="G540" s="341"/>
      <c r="H540" s="168"/>
      <c r="I540" s="348"/>
      <c r="J540" s="181"/>
      <c r="K540" s="348"/>
      <c r="L540" s="181"/>
      <c r="M540" s="348"/>
      <c r="N540" s="181"/>
      <c r="O540" s="341"/>
      <c r="P540" s="168"/>
      <c r="Q540" s="205"/>
      <c r="R540" s="205"/>
      <c r="S540" s="17"/>
      <c r="T540" s="17"/>
    </row>
    <row r="541">
      <c r="A541" s="341"/>
      <c r="B541" s="168"/>
      <c r="C541" s="341"/>
      <c r="D541" s="181"/>
      <c r="E541" s="341"/>
      <c r="F541" s="168"/>
      <c r="G541" s="341"/>
      <c r="H541" s="168"/>
      <c r="I541" s="348"/>
      <c r="J541" s="181"/>
      <c r="K541" s="348"/>
      <c r="L541" s="181"/>
      <c r="M541" s="348"/>
      <c r="N541" s="181"/>
      <c r="O541" s="341"/>
      <c r="P541" s="168"/>
      <c r="Q541" s="205"/>
      <c r="R541" s="205"/>
      <c r="S541" s="17"/>
      <c r="T541" s="17"/>
    </row>
    <row r="542">
      <c r="A542" s="341"/>
      <c r="B542" s="168"/>
      <c r="C542" s="341"/>
      <c r="D542" s="181"/>
      <c r="E542" s="341"/>
      <c r="F542" s="168"/>
      <c r="G542" s="341"/>
      <c r="H542" s="168"/>
      <c r="I542" s="348"/>
      <c r="J542" s="181"/>
      <c r="K542" s="348"/>
      <c r="L542" s="181"/>
      <c r="M542" s="348"/>
      <c r="N542" s="181"/>
      <c r="O542" s="341"/>
      <c r="P542" s="168"/>
      <c r="Q542" s="205"/>
      <c r="R542" s="205"/>
      <c r="S542" s="17"/>
      <c r="T542" s="17"/>
    </row>
    <row r="543">
      <c r="A543" s="341"/>
      <c r="B543" s="168"/>
      <c r="C543" s="341"/>
      <c r="D543" s="181"/>
      <c r="E543" s="341"/>
      <c r="F543" s="168"/>
      <c r="G543" s="341"/>
      <c r="H543" s="168"/>
      <c r="I543" s="348"/>
      <c r="J543" s="181"/>
      <c r="K543" s="348"/>
      <c r="L543" s="181"/>
      <c r="M543" s="348"/>
      <c r="N543" s="181"/>
      <c r="O543" s="341"/>
      <c r="P543" s="168"/>
      <c r="Q543" s="205"/>
      <c r="R543" s="205"/>
      <c r="S543" s="17"/>
      <c r="T543" s="17"/>
    </row>
    <row r="544">
      <c r="A544" s="341"/>
      <c r="B544" s="168"/>
      <c r="C544" s="341"/>
      <c r="D544" s="181"/>
      <c r="E544" s="341"/>
      <c r="F544" s="168"/>
      <c r="G544" s="341"/>
      <c r="H544" s="168"/>
      <c r="I544" s="348"/>
      <c r="J544" s="181"/>
      <c r="K544" s="348"/>
      <c r="L544" s="181"/>
      <c r="M544" s="348"/>
      <c r="N544" s="181"/>
      <c r="O544" s="341"/>
      <c r="P544" s="168"/>
      <c r="Q544" s="205"/>
      <c r="R544" s="205"/>
      <c r="S544" s="17"/>
      <c r="T544" s="17"/>
    </row>
    <row r="545">
      <c r="A545" s="341"/>
      <c r="B545" s="168"/>
      <c r="C545" s="341"/>
      <c r="D545" s="181"/>
      <c r="E545" s="341"/>
      <c r="F545" s="168"/>
      <c r="G545" s="341"/>
      <c r="H545" s="168"/>
      <c r="I545" s="348"/>
      <c r="J545" s="181"/>
      <c r="K545" s="348"/>
      <c r="L545" s="181"/>
      <c r="M545" s="348"/>
      <c r="N545" s="181"/>
      <c r="O545" s="341"/>
      <c r="P545" s="168"/>
      <c r="Q545" s="205"/>
      <c r="R545" s="205"/>
      <c r="S545" s="17"/>
      <c r="T545" s="17"/>
    </row>
    <row r="546">
      <c r="A546" s="341"/>
      <c r="B546" s="168"/>
      <c r="C546" s="341"/>
      <c r="D546" s="181"/>
      <c r="E546" s="341"/>
      <c r="F546" s="168"/>
      <c r="G546" s="341"/>
      <c r="H546" s="168"/>
      <c r="I546" s="348"/>
      <c r="J546" s="181"/>
      <c r="K546" s="348"/>
      <c r="L546" s="181"/>
      <c r="M546" s="348"/>
      <c r="N546" s="181"/>
      <c r="O546" s="341"/>
      <c r="P546" s="168"/>
      <c r="Q546" s="205"/>
      <c r="R546" s="205"/>
      <c r="S546" s="17"/>
      <c r="T546" s="17"/>
    </row>
    <row r="547">
      <c r="A547" s="341"/>
      <c r="B547" s="168"/>
      <c r="C547" s="341"/>
      <c r="D547" s="181"/>
      <c r="E547" s="341"/>
      <c r="F547" s="168"/>
      <c r="G547" s="341"/>
      <c r="H547" s="168"/>
      <c r="I547" s="348"/>
      <c r="J547" s="181"/>
      <c r="K547" s="348"/>
      <c r="L547" s="181"/>
      <c r="M547" s="348"/>
      <c r="N547" s="181"/>
      <c r="O547" s="341"/>
      <c r="P547" s="168"/>
      <c r="Q547" s="205"/>
      <c r="R547" s="205"/>
      <c r="S547" s="17"/>
      <c r="T547" s="17"/>
    </row>
    <row r="548">
      <c r="A548" s="341"/>
      <c r="B548" s="168"/>
      <c r="C548" s="341"/>
      <c r="D548" s="181"/>
      <c r="E548" s="341"/>
      <c r="F548" s="168"/>
      <c r="G548" s="341"/>
      <c r="H548" s="168"/>
      <c r="I548" s="348"/>
      <c r="J548" s="181"/>
      <c r="K548" s="348"/>
      <c r="L548" s="181"/>
      <c r="M548" s="348"/>
      <c r="N548" s="181"/>
      <c r="O548" s="341"/>
      <c r="P548" s="168"/>
      <c r="Q548" s="205"/>
      <c r="R548" s="205"/>
      <c r="S548" s="17"/>
      <c r="T548" s="17"/>
    </row>
    <row r="549">
      <c r="A549" s="341"/>
      <c r="B549" s="168"/>
      <c r="C549" s="341"/>
      <c r="D549" s="181"/>
      <c r="E549" s="341"/>
      <c r="F549" s="168"/>
      <c r="G549" s="341"/>
      <c r="H549" s="168"/>
      <c r="I549" s="348"/>
      <c r="J549" s="181"/>
      <c r="K549" s="348"/>
      <c r="L549" s="181"/>
      <c r="M549" s="348"/>
      <c r="N549" s="181"/>
      <c r="O549" s="341"/>
      <c r="P549" s="168"/>
      <c r="Q549" s="205"/>
      <c r="R549" s="205"/>
      <c r="S549" s="17"/>
      <c r="T549" s="17"/>
    </row>
    <row r="550">
      <c r="A550" s="341"/>
      <c r="B550" s="168"/>
      <c r="C550" s="341"/>
      <c r="D550" s="181"/>
      <c r="E550" s="341"/>
      <c r="F550" s="168"/>
      <c r="G550" s="341"/>
      <c r="H550" s="168"/>
      <c r="I550" s="348"/>
      <c r="J550" s="181"/>
      <c r="K550" s="348"/>
      <c r="L550" s="181"/>
      <c r="M550" s="348"/>
      <c r="N550" s="181"/>
      <c r="O550" s="341"/>
      <c r="P550" s="168"/>
      <c r="Q550" s="205"/>
      <c r="R550" s="205"/>
      <c r="S550" s="17"/>
      <c r="T550" s="17"/>
    </row>
    <row r="551">
      <c r="A551" s="341"/>
      <c r="B551" s="168"/>
      <c r="C551" s="341"/>
      <c r="D551" s="181"/>
      <c r="E551" s="341"/>
      <c r="F551" s="168"/>
      <c r="G551" s="341"/>
      <c r="H551" s="168"/>
      <c r="I551" s="348"/>
      <c r="J551" s="181"/>
      <c r="K551" s="348"/>
      <c r="L551" s="181"/>
      <c r="M551" s="348"/>
      <c r="N551" s="181"/>
      <c r="O551" s="341"/>
      <c r="P551" s="168"/>
      <c r="Q551" s="205"/>
      <c r="R551" s="205"/>
      <c r="S551" s="17"/>
      <c r="T551" s="17"/>
    </row>
    <row r="552">
      <c r="A552" s="341"/>
      <c r="B552" s="168"/>
      <c r="C552" s="341"/>
      <c r="D552" s="181"/>
      <c r="E552" s="341"/>
      <c r="F552" s="168"/>
      <c r="G552" s="341"/>
      <c r="H552" s="168"/>
      <c r="I552" s="348"/>
      <c r="J552" s="181"/>
      <c r="K552" s="348"/>
      <c r="L552" s="181"/>
      <c r="M552" s="348"/>
      <c r="N552" s="181"/>
      <c r="O552" s="341"/>
      <c r="P552" s="168"/>
      <c r="Q552" s="205"/>
      <c r="R552" s="205"/>
      <c r="S552" s="17"/>
      <c r="T552" s="17"/>
    </row>
    <row r="553">
      <c r="A553" s="341"/>
      <c r="B553" s="168"/>
      <c r="C553" s="341"/>
      <c r="D553" s="181"/>
      <c r="E553" s="341"/>
      <c r="F553" s="168"/>
      <c r="G553" s="341"/>
      <c r="H553" s="168"/>
      <c r="I553" s="348"/>
      <c r="J553" s="181"/>
      <c r="K553" s="348"/>
      <c r="L553" s="181"/>
      <c r="M553" s="348"/>
      <c r="N553" s="181"/>
      <c r="O553" s="341"/>
      <c r="P553" s="168"/>
      <c r="Q553" s="205"/>
      <c r="R553" s="205"/>
      <c r="S553" s="17"/>
      <c r="T553" s="17"/>
    </row>
    <row r="554">
      <c r="A554" s="341"/>
      <c r="B554" s="168"/>
      <c r="C554" s="341"/>
      <c r="D554" s="181"/>
      <c r="E554" s="341"/>
      <c r="F554" s="168"/>
      <c r="G554" s="341"/>
      <c r="H554" s="168"/>
      <c r="I554" s="348"/>
      <c r="J554" s="181"/>
      <c r="K554" s="348"/>
      <c r="L554" s="181"/>
      <c r="M554" s="348"/>
      <c r="N554" s="181"/>
      <c r="O554" s="341"/>
      <c r="P554" s="168"/>
      <c r="Q554" s="205"/>
      <c r="R554" s="205"/>
      <c r="S554" s="17"/>
      <c r="T554" s="17"/>
    </row>
    <row r="555">
      <c r="A555" s="341"/>
      <c r="B555" s="168"/>
      <c r="C555" s="341"/>
      <c r="D555" s="181"/>
      <c r="E555" s="341"/>
      <c r="F555" s="168"/>
      <c r="G555" s="341"/>
      <c r="H555" s="168"/>
      <c r="I555" s="348"/>
      <c r="J555" s="181"/>
      <c r="K555" s="348"/>
      <c r="L555" s="181"/>
      <c r="M555" s="348"/>
      <c r="N555" s="181"/>
      <c r="O555" s="341"/>
      <c r="P555" s="168"/>
      <c r="Q555" s="205"/>
      <c r="R555" s="205"/>
      <c r="S555" s="17"/>
      <c r="T555" s="17"/>
    </row>
    <row r="556">
      <c r="A556" s="341"/>
      <c r="B556" s="168"/>
      <c r="C556" s="341"/>
      <c r="D556" s="181"/>
      <c r="E556" s="341"/>
      <c r="F556" s="168"/>
      <c r="G556" s="341"/>
      <c r="H556" s="168"/>
      <c r="I556" s="348"/>
      <c r="J556" s="181"/>
      <c r="K556" s="348"/>
      <c r="L556" s="181"/>
      <c r="M556" s="348"/>
      <c r="N556" s="181"/>
      <c r="O556" s="341"/>
      <c r="P556" s="168"/>
      <c r="Q556" s="205"/>
      <c r="R556" s="205"/>
      <c r="S556" s="17"/>
      <c r="T556" s="17"/>
    </row>
    <row r="557">
      <c r="A557" s="341"/>
      <c r="B557" s="168"/>
      <c r="C557" s="341"/>
      <c r="D557" s="181"/>
      <c r="E557" s="341"/>
      <c r="F557" s="168"/>
      <c r="G557" s="341"/>
      <c r="H557" s="168"/>
      <c r="I557" s="348"/>
      <c r="J557" s="181"/>
      <c r="K557" s="348"/>
      <c r="L557" s="181"/>
      <c r="M557" s="348"/>
      <c r="N557" s="181"/>
      <c r="O557" s="341"/>
      <c r="P557" s="168"/>
      <c r="Q557" s="205"/>
      <c r="R557" s="205"/>
      <c r="S557" s="17"/>
      <c r="T557" s="17"/>
    </row>
    <row r="558">
      <c r="A558" s="341"/>
      <c r="B558" s="168"/>
      <c r="C558" s="341"/>
      <c r="D558" s="181"/>
      <c r="E558" s="341"/>
      <c r="F558" s="168"/>
      <c r="G558" s="341"/>
      <c r="H558" s="168"/>
      <c r="I558" s="348"/>
      <c r="J558" s="181"/>
      <c r="K558" s="348"/>
      <c r="L558" s="181"/>
      <c r="M558" s="348"/>
      <c r="N558" s="181"/>
      <c r="O558" s="341"/>
      <c r="P558" s="168"/>
      <c r="Q558" s="205"/>
      <c r="R558" s="205"/>
      <c r="S558" s="17"/>
      <c r="T558" s="17"/>
    </row>
    <row r="559">
      <c r="A559" s="341"/>
      <c r="B559" s="168"/>
      <c r="C559" s="341"/>
      <c r="D559" s="181"/>
      <c r="E559" s="341"/>
      <c r="F559" s="168"/>
      <c r="G559" s="341"/>
      <c r="H559" s="168"/>
      <c r="I559" s="348"/>
      <c r="J559" s="181"/>
      <c r="K559" s="348"/>
      <c r="L559" s="181"/>
      <c r="M559" s="348"/>
      <c r="N559" s="181"/>
      <c r="O559" s="341"/>
      <c r="P559" s="168"/>
      <c r="Q559" s="205"/>
      <c r="R559" s="205"/>
      <c r="S559" s="17"/>
      <c r="T559" s="17"/>
    </row>
    <row r="560">
      <c r="A560" s="341"/>
      <c r="B560" s="168"/>
      <c r="C560" s="341"/>
      <c r="D560" s="181"/>
      <c r="E560" s="341"/>
      <c r="F560" s="168"/>
      <c r="G560" s="341"/>
      <c r="H560" s="168"/>
      <c r="I560" s="348"/>
      <c r="J560" s="181"/>
      <c r="K560" s="348"/>
      <c r="L560" s="181"/>
      <c r="M560" s="348"/>
      <c r="N560" s="181"/>
      <c r="O560" s="341"/>
      <c r="P560" s="168"/>
      <c r="Q560" s="205"/>
      <c r="R560" s="205"/>
      <c r="S560" s="17"/>
      <c r="T560" s="17"/>
    </row>
    <row r="561">
      <c r="A561" s="341"/>
      <c r="B561" s="168"/>
      <c r="C561" s="341"/>
      <c r="D561" s="181"/>
      <c r="E561" s="341"/>
      <c r="F561" s="168"/>
      <c r="G561" s="341"/>
      <c r="H561" s="168"/>
      <c r="I561" s="348"/>
      <c r="J561" s="181"/>
      <c r="K561" s="348"/>
      <c r="L561" s="181"/>
      <c r="M561" s="348"/>
      <c r="N561" s="181"/>
      <c r="O561" s="341"/>
      <c r="P561" s="168"/>
      <c r="Q561" s="205"/>
      <c r="R561" s="205"/>
      <c r="S561" s="17"/>
      <c r="T561" s="17"/>
    </row>
    <row r="562">
      <c r="A562" s="341"/>
      <c r="B562" s="168"/>
      <c r="C562" s="341"/>
      <c r="D562" s="181"/>
      <c r="E562" s="341"/>
      <c r="F562" s="168"/>
      <c r="G562" s="341"/>
      <c r="H562" s="168"/>
      <c r="I562" s="348"/>
      <c r="J562" s="181"/>
      <c r="K562" s="348"/>
      <c r="L562" s="181"/>
      <c r="M562" s="348"/>
      <c r="N562" s="181"/>
      <c r="O562" s="341"/>
      <c r="P562" s="168"/>
      <c r="Q562" s="205"/>
      <c r="R562" s="205"/>
      <c r="S562" s="17"/>
      <c r="T562" s="17"/>
    </row>
    <row r="563">
      <c r="A563" s="341"/>
      <c r="B563" s="168"/>
      <c r="C563" s="341"/>
      <c r="D563" s="181"/>
      <c r="E563" s="341"/>
      <c r="F563" s="168"/>
      <c r="G563" s="341"/>
      <c r="H563" s="168"/>
      <c r="I563" s="348"/>
      <c r="J563" s="181"/>
      <c r="K563" s="348"/>
      <c r="L563" s="181"/>
      <c r="M563" s="348"/>
      <c r="N563" s="181"/>
      <c r="O563" s="341"/>
      <c r="P563" s="168"/>
      <c r="Q563" s="205"/>
      <c r="R563" s="205"/>
      <c r="S563" s="17"/>
      <c r="T563" s="17"/>
    </row>
    <row r="564">
      <c r="A564" s="341"/>
      <c r="B564" s="168"/>
      <c r="C564" s="341"/>
      <c r="D564" s="181"/>
      <c r="E564" s="341"/>
      <c r="F564" s="168"/>
      <c r="G564" s="341"/>
      <c r="H564" s="168"/>
      <c r="I564" s="348"/>
      <c r="J564" s="181"/>
      <c r="K564" s="348"/>
      <c r="L564" s="181"/>
      <c r="M564" s="348"/>
      <c r="N564" s="181"/>
      <c r="O564" s="341"/>
      <c r="P564" s="168"/>
      <c r="Q564" s="205"/>
      <c r="R564" s="205"/>
      <c r="S564" s="17"/>
      <c r="T564" s="17"/>
    </row>
    <row r="565">
      <c r="A565" s="341"/>
      <c r="B565" s="168"/>
      <c r="C565" s="341"/>
      <c r="D565" s="181"/>
      <c r="E565" s="341"/>
      <c r="F565" s="168"/>
      <c r="G565" s="341"/>
      <c r="H565" s="168"/>
      <c r="I565" s="348"/>
      <c r="J565" s="181"/>
      <c r="K565" s="348"/>
      <c r="L565" s="181"/>
      <c r="M565" s="348"/>
      <c r="N565" s="181"/>
      <c r="O565" s="341"/>
      <c r="P565" s="168"/>
      <c r="Q565" s="205"/>
      <c r="R565" s="205"/>
      <c r="S565" s="17"/>
      <c r="T565" s="17"/>
    </row>
    <row r="566">
      <c r="A566" s="341"/>
      <c r="B566" s="168"/>
      <c r="C566" s="341"/>
      <c r="D566" s="181"/>
      <c r="E566" s="341"/>
      <c r="F566" s="168"/>
      <c r="G566" s="341"/>
      <c r="H566" s="168"/>
      <c r="I566" s="348"/>
      <c r="J566" s="181"/>
      <c r="K566" s="348"/>
      <c r="L566" s="181"/>
      <c r="M566" s="348"/>
      <c r="N566" s="181"/>
      <c r="O566" s="341"/>
      <c r="P566" s="168"/>
      <c r="Q566" s="205"/>
      <c r="R566" s="205"/>
      <c r="S566" s="17"/>
      <c r="T566" s="17"/>
    </row>
    <row r="567">
      <c r="A567" s="341"/>
      <c r="B567" s="168"/>
      <c r="C567" s="341"/>
      <c r="D567" s="181"/>
      <c r="E567" s="341"/>
      <c r="F567" s="168"/>
      <c r="G567" s="341"/>
      <c r="H567" s="168"/>
      <c r="I567" s="348"/>
      <c r="J567" s="181"/>
      <c r="K567" s="348"/>
      <c r="L567" s="181"/>
      <c r="M567" s="348"/>
      <c r="N567" s="181"/>
      <c r="O567" s="341"/>
      <c r="P567" s="168"/>
      <c r="Q567" s="205"/>
      <c r="R567" s="205"/>
      <c r="S567" s="17"/>
      <c r="T567" s="17"/>
    </row>
    <row r="568">
      <c r="A568" s="341"/>
      <c r="B568" s="168"/>
      <c r="C568" s="341"/>
      <c r="D568" s="181"/>
      <c r="E568" s="341"/>
      <c r="F568" s="168"/>
      <c r="G568" s="341"/>
      <c r="H568" s="168"/>
      <c r="I568" s="348"/>
      <c r="J568" s="181"/>
      <c r="K568" s="348"/>
      <c r="L568" s="181"/>
      <c r="M568" s="348"/>
      <c r="N568" s="181"/>
      <c r="O568" s="341"/>
      <c r="P568" s="168"/>
      <c r="Q568" s="205"/>
      <c r="R568" s="205"/>
      <c r="S568" s="17"/>
      <c r="T568" s="17"/>
    </row>
    <row r="569">
      <c r="A569" s="341"/>
      <c r="B569" s="168"/>
      <c r="C569" s="341"/>
      <c r="D569" s="181"/>
      <c r="E569" s="341"/>
      <c r="F569" s="168"/>
      <c r="G569" s="341"/>
      <c r="H569" s="168"/>
      <c r="I569" s="348"/>
      <c r="J569" s="181"/>
      <c r="K569" s="348"/>
      <c r="L569" s="181"/>
      <c r="M569" s="348"/>
      <c r="N569" s="181"/>
      <c r="O569" s="341"/>
      <c r="P569" s="168"/>
      <c r="Q569" s="205"/>
      <c r="R569" s="205"/>
      <c r="S569" s="17"/>
      <c r="T569" s="17"/>
    </row>
    <row r="570">
      <c r="A570" s="341"/>
      <c r="B570" s="168"/>
      <c r="C570" s="341"/>
      <c r="D570" s="181"/>
      <c r="E570" s="341"/>
      <c r="F570" s="168"/>
      <c r="G570" s="341"/>
      <c r="H570" s="168"/>
      <c r="I570" s="348"/>
      <c r="J570" s="181"/>
      <c r="K570" s="348"/>
      <c r="L570" s="181"/>
      <c r="M570" s="348"/>
      <c r="N570" s="181"/>
      <c r="O570" s="341"/>
      <c r="P570" s="168"/>
      <c r="Q570" s="205"/>
      <c r="R570" s="205"/>
      <c r="S570" s="17"/>
      <c r="T570" s="17"/>
    </row>
    <row r="571">
      <c r="A571" s="341"/>
      <c r="B571" s="168"/>
      <c r="C571" s="341"/>
      <c r="D571" s="181"/>
      <c r="E571" s="341"/>
      <c r="F571" s="168"/>
      <c r="G571" s="341"/>
      <c r="H571" s="168"/>
      <c r="I571" s="348"/>
      <c r="J571" s="181"/>
      <c r="K571" s="348"/>
      <c r="L571" s="181"/>
      <c r="M571" s="348"/>
      <c r="N571" s="181"/>
      <c r="O571" s="341"/>
      <c r="P571" s="168"/>
      <c r="Q571" s="205"/>
      <c r="R571" s="205"/>
      <c r="S571" s="17"/>
      <c r="T571" s="17"/>
    </row>
    <row r="572">
      <c r="A572" s="341"/>
      <c r="B572" s="168"/>
      <c r="C572" s="341"/>
      <c r="D572" s="181"/>
      <c r="E572" s="341"/>
      <c r="F572" s="168"/>
      <c r="G572" s="341"/>
      <c r="H572" s="168"/>
      <c r="I572" s="348"/>
      <c r="J572" s="181"/>
      <c r="K572" s="348"/>
      <c r="L572" s="181"/>
      <c r="M572" s="348"/>
      <c r="N572" s="181"/>
      <c r="O572" s="341"/>
      <c r="P572" s="168"/>
      <c r="Q572" s="205"/>
      <c r="R572" s="205"/>
      <c r="S572" s="17"/>
      <c r="T572" s="17"/>
    </row>
    <row r="573">
      <c r="A573" s="341"/>
      <c r="B573" s="168"/>
      <c r="C573" s="341"/>
      <c r="D573" s="181"/>
      <c r="E573" s="341"/>
      <c r="F573" s="168"/>
      <c r="G573" s="341"/>
      <c r="H573" s="168"/>
      <c r="I573" s="348"/>
      <c r="J573" s="181"/>
      <c r="K573" s="348"/>
      <c r="L573" s="181"/>
      <c r="M573" s="348"/>
      <c r="N573" s="181"/>
      <c r="O573" s="341"/>
      <c r="P573" s="168"/>
      <c r="Q573" s="205"/>
      <c r="R573" s="205"/>
      <c r="S573" s="17"/>
      <c r="T573" s="17"/>
    </row>
    <row r="574">
      <c r="A574" s="341"/>
      <c r="B574" s="168"/>
      <c r="C574" s="341"/>
      <c r="D574" s="181"/>
      <c r="E574" s="341"/>
      <c r="F574" s="168"/>
      <c r="G574" s="341"/>
      <c r="H574" s="168"/>
      <c r="I574" s="348"/>
      <c r="J574" s="181"/>
      <c r="K574" s="348"/>
      <c r="L574" s="181"/>
      <c r="M574" s="348"/>
      <c r="N574" s="181"/>
      <c r="O574" s="341"/>
      <c r="P574" s="168"/>
      <c r="Q574" s="205"/>
      <c r="R574" s="205"/>
      <c r="S574" s="17"/>
      <c r="T574" s="17"/>
    </row>
    <row r="575">
      <c r="A575" s="341"/>
      <c r="B575" s="168"/>
      <c r="C575" s="341"/>
      <c r="D575" s="181"/>
      <c r="E575" s="341"/>
      <c r="F575" s="168"/>
      <c r="G575" s="341"/>
      <c r="H575" s="168"/>
      <c r="I575" s="348"/>
      <c r="J575" s="181"/>
      <c r="K575" s="348"/>
      <c r="L575" s="181"/>
      <c r="M575" s="348"/>
      <c r="N575" s="181"/>
      <c r="O575" s="341"/>
      <c r="P575" s="168"/>
      <c r="Q575" s="205"/>
      <c r="R575" s="205"/>
      <c r="S575" s="17"/>
      <c r="T575" s="17"/>
    </row>
    <row r="576">
      <c r="A576" s="341"/>
      <c r="B576" s="168"/>
      <c r="C576" s="341"/>
      <c r="D576" s="181"/>
      <c r="E576" s="341"/>
      <c r="F576" s="168"/>
      <c r="G576" s="341"/>
      <c r="H576" s="168"/>
      <c r="I576" s="348"/>
      <c r="J576" s="181"/>
      <c r="K576" s="348"/>
      <c r="L576" s="181"/>
      <c r="M576" s="348"/>
      <c r="N576" s="181"/>
      <c r="O576" s="341"/>
      <c r="P576" s="168"/>
      <c r="Q576" s="205"/>
      <c r="R576" s="205"/>
      <c r="S576" s="17"/>
      <c r="T576" s="17"/>
    </row>
    <row r="577">
      <c r="A577" s="341"/>
      <c r="B577" s="168"/>
      <c r="C577" s="341"/>
      <c r="D577" s="181"/>
      <c r="E577" s="341"/>
      <c r="F577" s="168"/>
      <c r="G577" s="341"/>
      <c r="H577" s="168"/>
      <c r="I577" s="348"/>
      <c r="J577" s="181"/>
      <c r="K577" s="348"/>
      <c r="L577" s="181"/>
      <c r="M577" s="348"/>
      <c r="N577" s="181"/>
      <c r="O577" s="341"/>
      <c r="P577" s="168"/>
      <c r="Q577" s="205"/>
      <c r="R577" s="205"/>
      <c r="S577" s="17"/>
      <c r="T577" s="17"/>
    </row>
    <row r="578">
      <c r="A578" s="341"/>
      <c r="B578" s="168"/>
      <c r="C578" s="341"/>
      <c r="D578" s="181"/>
      <c r="E578" s="341"/>
      <c r="F578" s="168"/>
      <c r="G578" s="341"/>
      <c r="H578" s="168"/>
      <c r="I578" s="348"/>
      <c r="J578" s="181"/>
      <c r="K578" s="348"/>
      <c r="L578" s="181"/>
      <c r="M578" s="348"/>
      <c r="N578" s="181"/>
      <c r="O578" s="341"/>
      <c r="P578" s="168"/>
      <c r="Q578" s="205"/>
      <c r="R578" s="205"/>
      <c r="S578" s="17"/>
      <c r="T578" s="17"/>
    </row>
    <row r="579">
      <c r="A579" s="341"/>
      <c r="B579" s="168"/>
      <c r="C579" s="341"/>
      <c r="D579" s="181"/>
      <c r="E579" s="341"/>
      <c r="F579" s="168"/>
      <c r="G579" s="341"/>
      <c r="H579" s="168"/>
      <c r="I579" s="348"/>
      <c r="J579" s="181"/>
      <c r="K579" s="348"/>
      <c r="L579" s="181"/>
      <c r="M579" s="348"/>
      <c r="N579" s="181"/>
      <c r="O579" s="341"/>
      <c r="P579" s="168"/>
      <c r="Q579" s="205"/>
      <c r="R579" s="205"/>
      <c r="S579" s="17"/>
      <c r="T579" s="17"/>
    </row>
    <row r="580">
      <c r="A580" s="341"/>
      <c r="B580" s="168"/>
      <c r="C580" s="341"/>
      <c r="D580" s="181"/>
      <c r="E580" s="341"/>
      <c r="F580" s="168"/>
      <c r="G580" s="341"/>
      <c r="H580" s="168"/>
      <c r="I580" s="348"/>
      <c r="J580" s="181"/>
      <c r="K580" s="348"/>
      <c r="L580" s="181"/>
      <c r="M580" s="348"/>
      <c r="N580" s="181"/>
      <c r="O580" s="341"/>
      <c r="P580" s="168"/>
      <c r="Q580" s="205"/>
      <c r="R580" s="205"/>
      <c r="S580" s="17"/>
      <c r="T580" s="17"/>
    </row>
    <row r="581">
      <c r="A581" s="341"/>
      <c r="B581" s="168"/>
      <c r="C581" s="341"/>
      <c r="D581" s="181"/>
      <c r="E581" s="341"/>
      <c r="F581" s="168"/>
      <c r="G581" s="341"/>
      <c r="H581" s="168"/>
      <c r="I581" s="348"/>
      <c r="J581" s="181"/>
      <c r="K581" s="348"/>
      <c r="L581" s="181"/>
      <c r="M581" s="348"/>
      <c r="N581" s="181"/>
      <c r="O581" s="341"/>
      <c r="P581" s="168"/>
      <c r="Q581" s="205"/>
      <c r="R581" s="205"/>
      <c r="S581" s="17"/>
      <c r="T581" s="17"/>
    </row>
    <row r="582">
      <c r="A582" s="341"/>
      <c r="B582" s="168"/>
      <c r="C582" s="341"/>
      <c r="D582" s="181"/>
      <c r="E582" s="341"/>
      <c r="F582" s="168"/>
      <c r="G582" s="341"/>
      <c r="H582" s="168"/>
      <c r="I582" s="348"/>
      <c r="J582" s="181"/>
      <c r="K582" s="348"/>
      <c r="L582" s="181"/>
      <c r="M582" s="348"/>
      <c r="N582" s="181"/>
      <c r="O582" s="341"/>
      <c r="P582" s="168"/>
      <c r="Q582" s="205"/>
      <c r="R582" s="205"/>
      <c r="S582" s="17"/>
      <c r="T582" s="17"/>
    </row>
    <row r="583">
      <c r="A583" s="341"/>
      <c r="B583" s="168"/>
      <c r="C583" s="341"/>
      <c r="D583" s="181"/>
      <c r="E583" s="341"/>
      <c r="F583" s="168"/>
      <c r="G583" s="341"/>
      <c r="H583" s="168"/>
      <c r="I583" s="348"/>
      <c r="J583" s="181"/>
      <c r="K583" s="348"/>
      <c r="L583" s="181"/>
      <c r="M583" s="348"/>
      <c r="N583" s="181"/>
      <c r="O583" s="341"/>
      <c r="P583" s="168"/>
      <c r="Q583" s="205"/>
      <c r="R583" s="205"/>
      <c r="S583" s="17"/>
      <c r="T583" s="17"/>
    </row>
    <row r="584">
      <c r="A584" s="341"/>
      <c r="B584" s="168"/>
      <c r="C584" s="341"/>
      <c r="D584" s="181"/>
      <c r="E584" s="341"/>
      <c r="F584" s="168"/>
      <c r="G584" s="341"/>
      <c r="H584" s="168"/>
      <c r="I584" s="348"/>
      <c r="J584" s="181"/>
      <c r="K584" s="348"/>
      <c r="L584" s="181"/>
      <c r="M584" s="348"/>
      <c r="N584" s="181"/>
      <c r="O584" s="341"/>
      <c r="P584" s="168"/>
      <c r="Q584" s="205"/>
      <c r="R584" s="205"/>
      <c r="S584" s="17"/>
      <c r="T584" s="17"/>
    </row>
    <row r="585">
      <c r="A585" s="341"/>
      <c r="B585" s="168"/>
      <c r="C585" s="341"/>
      <c r="D585" s="181"/>
      <c r="E585" s="341"/>
      <c r="F585" s="168"/>
      <c r="G585" s="341"/>
      <c r="H585" s="168"/>
      <c r="I585" s="348"/>
      <c r="J585" s="181"/>
      <c r="K585" s="348"/>
      <c r="L585" s="181"/>
      <c r="M585" s="348"/>
      <c r="N585" s="181"/>
      <c r="O585" s="341"/>
      <c r="P585" s="168"/>
      <c r="Q585" s="205"/>
      <c r="R585" s="205"/>
      <c r="S585" s="17"/>
      <c r="T585" s="17"/>
    </row>
    <row r="586">
      <c r="A586" s="341"/>
      <c r="B586" s="168"/>
      <c r="C586" s="341"/>
      <c r="D586" s="181"/>
      <c r="E586" s="341"/>
      <c r="F586" s="168"/>
      <c r="G586" s="341"/>
      <c r="H586" s="168"/>
      <c r="I586" s="348"/>
      <c r="J586" s="181"/>
      <c r="K586" s="348"/>
      <c r="L586" s="181"/>
      <c r="M586" s="348"/>
      <c r="N586" s="181"/>
      <c r="O586" s="341"/>
      <c r="P586" s="168"/>
      <c r="Q586" s="205"/>
      <c r="R586" s="205"/>
      <c r="S586" s="17"/>
      <c r="T586" s="17"/>
    </row>
    <row r="587">
      <c r="A587" s="341"/>
      <c r="B587" s="168"/>
      <c r="C587" s="341"/>
      <c r="D587" s="181"/>
      <c r="E587" s="341"/>
      <c r="F587" s="168"/>
      <c r="G587" s="341"/>
      <c r="H587" s="168"/>
      <c r="I587" s="348"/>
      <c r="J587" s="181"/>
      <c r="K587" s="348"/>
      <c r="L587" s="181"/>
      <c r="M587" s="348"/>
      <c r="N587" s="181"/>
      <c r="O587" s="341"/>
      <c r="P587" s="168"/>
      <c r="Q587" s="205"/>
      <c r="R587" s="205"/>
      <c r="S587" s="17"/>
      <c r="T587" s="17"/>
    </row>
    <row r="588">
      <c r="A588" s="341"/>
      <c r="B588" s="168"/>
      <c r="C588" s="341"/>
      <c r="D588" s="181"/>
      <c r="E588" s="341"/>
      <c r="F588" s="168"/>
      <c r="G588" s="341"/>
      <c r="H588" s="168"/>
      <c r="I588" s="348"/>
      <c r="J588" s="181"/>
      <c r="K588" s="348"/>
      <c r="L588" s="181"/>
      <c r="M588" s="348"/>
      <c r="N588" s="181"/>
      <c r="O588" s="341"/>
      <c r="P588" s="168"/>
      <c r="Q588" s="205"/>
      <c r="R588" s="205"/>
      <c r="S588" s="17"/>
      <c r="T588" s="17"/>
    </row>
    <row r="589">
      <c r="A589" s="341"/>
      <c r="B589" s="168"/>
      <c r="C589" s="341"/>
      <c r="D589" s="181"/>
      <c r="E589" s="341"/>
      <c r="F589" s="168"/>
      <c r="G589" s="341"/>
      <c r="H589" s="168"/>
      <c r="I589" s="348"/>
      <c r="J589" s="181"/>
      <c r="K589" s="348"/>
      <c r="L589" s="181"/>
      <c r="M589" s="348"/>
      <c r="N589" s="181"/>
      <c r="O589" s="341"/>
      <c r="P589" s="168"/>
      <c r="Q589" s="205"/>
      <c r="R589" s="205"/>
      <c r="S589" s="17"/>
      <c r="T589" s="17"/>
    </row>
    <row r="590">
      <c r="A590" s="341"/>
      <c r="B590" s="168"/>
      <c r="C590" s="341"/>
      <c r="D590" s="181"/>
      <c r="E590" s="341"/>
      <c r="F590" s="168"/>
      <c r="G590" s="341"/>
      <c r="H590" s="168"/>
      <c r="I590" s="348"/>
      <c r="J590" s="181"/>
      <c r="K590" s="348"/>
      <c r="L590" s="181"/>
      <c r="M590" s="348"/>
      <c r="N590" s="181"/>
      <c r="O590" s="341"/>
      <c r="P590" s="168"/>
      <c r="Q590" s="205"/>
      <c r="R590" s="205"/>
      <c r="S590" s="17"/>
      <c r="T590" s="17"/>
    </row>
    <row r="591">
      <c r="A591" s="341"/>
      <c r="B591" s="168"/>
      <c r="C591" s="341"/>
      <c r="D591" s="181"/>
      <c r="E591" s="341"/>
      <c r="F591" s="168"/>
      <c r="G591" s="341"/>
      <c r="H591" s="168"/>
      <c r="I591" s="348"/>
      <c r="J591" s="181"/>
      <c r="K591" s="348"/>
      <c r="L591" s="181"/>
      <c r="M591" s="348"/>
      <c r="N591" s="181"/>
      <c r="O591" s="341"/>
      <c r="P591" s="168"/>
      <c r="Q591" s="205"/>
      <c r="R591" s="205"/>
      <c r="S591" s="17"/>
      <c r="T591" s="17"/>
    </row>
    <row r="592">
      <c r="A592" s="341"/>
      <c r="B592" s="168"/>
      <c r="C592" s="341"/>
      <c r="D592" s="181"/>
      <c r="E592" s="341"/>
      <c r="F592" s="168"/>
      <c r="G592" s="341"/>
      <c r="H592" s="168"/>
      <c r="I592" s="348"/>
      <c r="J592" s="181"/>
      <c r="K592" s="348"/>
      <c r="L592" s="181"/>
      <c r="M592" s="348"/>
      <c r="N592" s="181"/>
      <c r="O592" s="341"/>
      <c r="P592" s="168"/>
      <c r="Q592" s="205"/>
      <c r="R592" s="205"/>
      <c r="S592" s="17"/>
      <c r="T592" s="17"/>
    </row>
    <row r="593">
      <c r="A593" s="341"/>
      <c r="B593" s="168"/>
      <c r="C593" s="341"/>
      <c r="D593" s="181"/>
      <c r="E593" s="341"/>
      <c r="F593" s="168"/>
      <c r="G593" s="341"/>
      <c r="H593" s="168"/>
      <c r="I593" s="348"/>
      <c r="J593" s="181"/>
      <c r="K593" s="348"/>
      <c r="L593" s="181"/>
      <c r="M593" s="348"/>
      <c r="N593" s="181"/>
      <c r="O593" s="341"/>
      <c r="P593" s="168"/>
      <c r="Q593" s="205"/>
      <c r="R593" s="205"/>
      <c r="S593" s="17"/>
      <c r="T593" s="17"/>
    </row>
    <row r="594">
      <c r="A594" s="341"/>
      <c r="B594" s="168"/>
      <c r="C594" s="341"/>
      <c r="D594" s="181"/>
      <c r="E594" s="341"/>
      <c r="F594" s="168"/>
      <c r="G594" s="341"/>
      <c r="H594" s="168"/>
      <c r="I594" s="348"/>
      <c r="J594" s="181"/>
      <c r="K594" s="348"/>
      <c r="L594" s="181"/>
      <c r="M594" s="348"/>
      <c r="N594" s="181"/>
      <c r="O594" s="341"/>
      <c r="P594" s="168"/>
      <c r="Q594" s="205"/>
      <c r="R594" s="205"/>
      <c r="S594" s="17"/>
      <c r="T594" s="17"/>
    </row>
    <row r="595">
      <c r="A595" s="341"/>
      <c r="B595" s="168"/>
      <c r="C595" s="341"/>
      <c r="D595" s="181"/>
      <c r="E595" s="341"/>
      <c r="F595" s="168"/>
      <c r="G595" s="341"/>
      <c r="H595" s="168"/>
      <c r="I595" s="348"/>
      <c r="J595" s="181"/>
      <c r="K595" s="348"/>
      <c r="L595" s="181"/>
      <c r="M595" s="348"/>
      <c r="N595" s="181"/>
      <c r="O595" s="341"/>
      <c r="P595" s="168"/>
      <c r="Q595" s="205"/>
      <c r="R595" s="205"/>
      <c r="S595" s="17"/>
      <c r="T595" s="17"/>
    </row>
    <row r="596">
      <c r="A596" s="341"/>
      <c r="B596" s="168"/>
      <c r="C596" s="341"/>
      <c r="D596" s="181"/>
      <c r="E596" s="341"/>
      <c r="F596" s="168"/>
      <c r="G596" s="341"/>
      <c r="H596" s="168"/>
      <c r="I596" s="348"/>
      <c r="J596" s="181"/>
      <c r="K596" s="348"/>
      <c r="L596" s="181"/>
      <c r="M596" s="348"/>
      <c r="N596" s="181"/>
      <c r="O596" s="341"/>
      <c r="P596" s="168"/>
      <c r="Q596" s="205"/>
      <c r="R596" s="205"/>
      <c r="S596" s="17"/>
      <c r="T596" s="17"/>
    </row>
    <row r="597">
      <c r="A597" s="341"/>
      <c r="B597" s="168"/>
      <c r="C597" s="341"/>
      <c r="D597" s="181"/>
      <c r="E597" s="341"/>
      <c r="F597" s="168"/>
      <c r="G597" s="341"/>
      <c r="H597" s="168"/>
      <c r="I597" s="348"/>
      <c r="J597" s="181"/>
      <c r="K597" s="348"/>
      <c r="L597" s="181"/>
      <c r="M597" s="348"/>
      <c r="N597" s="181"/>
      <c r="O597" s="341"/>
      <c r="P597" s="168"/>
      <c r="Q597" s="205"/>
      <c r="R597" s="205"/>
      <c r="S597" s="17"/>
      <c r="T597" s="17"/>
    </row>
    <row r="598">
      <c r="A598" s="341"/>
      <c r="B598" s="168"/>
      <c r="C598" s="341"/>
      <c r="D598" s="181"/>
      <c r="E598" s="341"/>
      <c r="F598" s="168"/>
      <c r="G598" s="341"/>
      <c r="H598" s="168"/>
      <c r="I598" s="348"/>
      <c r="J598" s="181"/>
      <c r="K598" s="348"/>
      <c r="L598" s="181"/>
      <c r="M598" s="348"/>
      <c r="N598" s="181"/>
      <c r="O598" s="341"/>
      <c r="P598" s="168"/>
      <c r="Q598" s="205"/>
      <c r="R598" s="205"/>
      <c r="S598" s="17"/>
      <c r="T598" s="17"/>
    </row>
    <row r="599">
      <c r="A599" s="341"/>
      <c r="B599" s="168"/>
      <c r="C599" s="341"/>
      <c r="D599" s="181"/>
      <c r="E599" s="341"/>
      <c r="F599" s="168"/>
      <c r="G599" s="341"/>
      <c r="H599" s="168"/>
      <c r="I599" s="348"/>
      <c r="J599" s="181"/>
      <c r="K599" s="348"/>
      <c r="L599" s="181"/>
      <c r="M599" s="348"/>
      <c r="N599" s="181"/>
      <c r="O599" s="341"/>
      <c r="P599" s="168"/>
      <c r="Q599" s="205"/>
      <c r="R599" s="205"/>
      <c r="S599" s="17"/>
      <c r="T599" s="17"/>
    </row>
    <row r="600">
      <c r="A600" s="341"/>
      <c r="B600" s="168"/>
      <c r="C600" s="341"/>
      <c r="D600" s="181"/>
      <c r="E600" s="341"/>
      <c r="F600" s="168"/>
      <c r="G600" s="341"/>
      <c r="H600" s="168"/>
      <c r="I600" s="348"/>
      <c r="J600" s="181"/>
      <c r="K600" s="348"/>
      <c r="L600" s="181"/>
      <c r="M600" s="348"/>
      <c r="N600" s="181"/>
      <c r="O600" s="341"/>
      <c r="P600" s="168"/>
      <c r="Q600" s="205"/>
      <c r="R600" s="205"/>
      <c r="S600" s="17"/>
      <c r="T600" s="17"/>
    </row>
    <row r="601">
      <c r="A601" s="341"/>
      <c r="B601" s="168"/>
      <c r="C601" s="341"/>
      <c r="D601" s="181"/>
      <c r="E601" s="341"/>
      <c r="F601" s="168"/>
      <c r="G601" s="341"/>
      <c r="H601" s="168"/>
      <c r="I601" s="348"/>
      <c r="J601" s="181"/>
      <c r="K601" s="348"/>
      <c r="L601" s="181"/>
      <c r="M601" s="348"/>
      <c r="N601" s="181"/>
      <c r="O601" s="341"/>
      <c r="P601" s="168"/>
      <c r="Q601" s="205"/>
      <c r="R601" s="205"/>
      <c r="S601" s="17"/>
      <c r="T601" s="17"/>
    </row>
    <row r="602">
      <c r="A602" s="341"/>
      <c r="B602" s="168"/>
      <c r="C602" s="341"/>
      <c r="D602" s="181"/>
      <c r="E602" s="341"/>
      <c r="F602" s="168"/>
      <c r="G602" s="341"/>
      <c r="H602" s="168"/>
      <c r="I602" s="348"/>
      <c r="J602" s="181"/>
      <c r="K602" s="348"/>
      <c r="L602" s="181"/>
      <c r="M602" s="348"/>
      <c r="N602" s="181"/>
      <c r="O602" s="341"/>
      <c r="P602" s="168"/>
      <c r="Q602" s="205"/>
      <c r="R602" s="205"/>
      <c r="S602" s="17"/>
      <c r="T602" s="17"/>
    </row>
    <row r="603">
      <c r="A603" s="341"/>
      <c r="B603" s="168"/>
      <c r="C603" s="341"/>
      <c r="D603" s="181"/>
      <c r="E603" s="341"/>
      <c r="F603" s="168"/>
      <c r="G603" s="341"/>
      <c r="H603" s="168"/>
      <c r="I603" s="348"/>
      <c r="J603" s="181"/>
      <c r="K603" s="348"/>
      <c r="L603" s="181"/>
      <c r="M603" s="348"/>
      <c r="N603" s="181"/>
      <c r="O603" s="341"/>
      <c r="P603" s="168"/>
      <c r="Q603" s="205"/>
      <c r="R603" s="205"/>
      <c r="S603" s="17"/>
      <c r="T603" s="17"/>
    </row>
    <row r="604">
      <c r="A604" s="341"/>
      <c r="B604" s="168"/>
      <c r="C604" s="341"/>
      <c r="D604" s="181"/>
      <c r="E604" s="341"/>
      <c r="F604" s="168"/>
      <c r="G604" s="341"/>
      <c r="H604" s="168"/>
      <c r="I604" s="348"/>
      <c r="J604" s="181"/>
      <c r="K604" s="348"/>
      <c r="L604" s="181"/>
      <c r="M604" s="348"/>
      <c r="N604" s="181"/>
      <c r="O604" s="341"/>
      <c r="P604" s="168"/>
      <c r="Q604" s="205"/>
      <c r="R604" s="205"/>
      <c r="S604" s="17"/>
      <c r="T604" s="17"/>
    </row>
    <row r="605">
      <c r="A605" s="341"/>
      <c r="B605" s="168"/>
      <c r="C605" s="341"/>
      <c r="D605" s="181"/>
      <c r="E605" s="341"/>
      <c r="F605" s="168"/>
      <c r="G605" s="341"/>
      <c r="H605" s="168"/>
      <c r="I605" s="348"/>
      <c r="J605" s="181"/>
      <c r="K605" s="348"/>
      <c r="L605" s="181"/>
      <c r="M605" s="348"/>
      <c r="N605" s="181"/>
      <c r="O605" s="341"/>
      <c r="P605" s="168"/>
      <c r="Q605" s="205"/>
      <c r="R605" s="205"/>
      <c r="S605" s="17"/>
      <c r="T605" s="17"/>
    </row>
    <row r="606">
      <c r="A606" s="341"/>
      <c r="B606" s="168"/>
      <c r="C606" s="341"/>
      <c r="D606" s="181"/>
      <c r="E606" s="341"/>
      <c r="F606" s="168"/>
      <c r="G606" s="341"/>
      <c r="H606" s="168"/>
      <c r="I606" s="348"/>
      <c r="J606" s="181"/>
      <c r="K606" s="348"/>
      <c r="L606" s="181"/>
      <c r="M606" s="348"/>
      <c r="N606" s="181"/>
      <c r="O606" s="341"/>
      <c r="P606" s="168"/>
      <c r="Q606" s="205"/>
      <c r="R606" s="205"/>
      <c r="S606" s="17"/>
      <c r="T606" s="17"/>
    </row>
    <row r="607">
      <c r="A607" s="341"/>
      <c r="B607" s="168"/>
      <c r="C607" s="341"/>
      <c r="D607" s="181"/>
      <c r="E607" s="341"/>
      <c r="F607" s="168"/>
      <c r="G607" s="341"/>
      <c r="H607" s="168"/>
      <c r="I607" s="348"/>
      <c r="J607" s="181"/>
      <c r="K607" s="348"/>
      <c r="L607" s="181"/>
      <c r="M607" s="348"/>
      <c r="N607" s="181"/>
      <c r="O607" s="341"/>
      <c r="P607" s="168"/>
      <c r="Q607" s="205"/>
      <c r="R607" s="205"/>
      <c r="S607" s="17"/>
      <c r="T607" s="17"/>
    </row>
    <row r="608">
      <c r="A608" s="341"/>
      <c r="B608" s="168"/>
      <c r="C608" s="341"/>
      <c r="D608" s="181"/>
      <c r="E608" s="341"/>
      <c r="F608" s="168"/>
      <c r="G608" s="341"/>
      <c r="H608" s="168"/>
      <c r="I608" s="348"/>
      <c r="J608" s="181"/>
      <c r="K608" s="348"/>
      <c r="L608" s="181"/>
      <c r="M608" s="348"/>
      <c r="N608" s="181"/>
      <c r="O608" s="341"/>
      <c r="P608" s="168"/>
      <c r="Q608" s="205"/>
      <c r="R608" s="205"/>
      <c r="S608" s="17"/>
      <c r="T608" s="17"/>
    </row>
    <row r="609">
      <c r="A609" s="341"/>
      <c r="B609" s="168"/>
      <c r="C609" s="341"/>
      <c r="D609" s="181"/>
      <c r="E609" s="341"/>
      <c r="F609" s="168"/>
      <c r="G609" s="341"/>
      <c r="H609" s="168"/>
      <c r="I609" s="348"/>
      <c r="J609" s="181"/>
      <c r="K609" s="348"/>
      <c r="L609" s="181"/>
      <c r="M609" s="348"/>
      <c r="N609" s="181"/>
      <c r="O609" s="341"/>
      <c r="P609" s="168"/>
      <c r="Q609" s="205"/>
      <c r="R609" s="205"/>
      <c r="S609" s="17"/>
      <c r="T609" s="17"/>
    </row>
    <row r="610">
      <c r="A610" s="341"/>
      <c r="B610" s="168"/>
      <c r="C610" s="341"/>
      <c r="D610" s="181"/>
      <c r="E610" s="341"/>
      <c r="F610" s="168"/>
      <c r="G610" s="341"/>
      <c r="H610" s="168"/>
      <c r="I610" s="348"/>
      <c r="J610" s="181"/>
      <c r="K610" s="348"/>
      <c r="L610" s="181"/>
      <c r="M610" s="348"/>
      <c r="N610" s="181"/>
      <c r="O610" s="341"/>
      <c r="P610" s="168"/>
      <c r="Q610" s="205"/>
      <c r="R610" s="205"/>
      <c r="S610" s="17"/>
      <c r="T610" s="17"/>
    </row>
    <row r="611">
      <c r="A611" s="341"/>
      <c r="B611" s="168"/>
      <c r="C611" s="341"/>
      <c r="D611" s="181"/>
      <c r="E611" s="341"/>
      <c r="F611" s="168"/>
      <c r="G611" s="341"/>
      <c r="H611" s="168"/>
      <c r="I611" s="348"/>
      <c r="J611" s="181"/>
      <c r="K611" s="348"/>
      <c r="L611" s="181"/>
      <c r="M611" s="348"/>
      <c r="N611" s="181"/>
      <c r="O611" s="341"/>
      <c r="P611" s="168"/>
      <c r="Q611" s="205"/>
      <c r="R611" s="205"/>
      <c r="S611" s="17"/>
      <c r="T611" s="17"/>
    </row>
    <row r="612">
      <c r="A612" s="341"/>
      <c r="B612" s="168"/>
      <c r="C612" s="341"/>
      <c r="D612" s="181"/>
      <c r="E612" s="341"/>
      <c r="F612" s="168"/>
      <c r="G612" s="341"/>
      <c r="H612" s="168"/>
      <c r="I612" s="348"/>
      <c r="J612" s="181"/>
      <c r="K612" s="348"/>
      <c r="L612" s="181"/>
      <c r="M612" s="348"/>
      <c r="N612" s="181"/>
      <c r="O612" s="341"/>
      <c r="P612" s="168"/>
      <c r="Q612" s="205"/>
      <c r="R612" s="205"/>
      <c r="S612" s="17"/>
      <c r="T612" s="17"/>
    </row>
    <row r="613">
      <c r="A613" s="341"/>
      <c r="B613" s="168"/>
      <c r="C613" s="341"/>
      <c r="D613" s="181"/>
      <c r="E613" s="341"/>
      <c r="F613" s="168"/>
      <c r="G613" s="341"/>
      <c r="H613" s="168"/>
      <c r="I613" s="348"/>
      <c r="J613" s="181"/>
      <c r="K613" s="348"/>
      <c r="L613" s="181"/>
      <c r="M613" s="348"/>
      <c r="N613" s="181"/>
      <c r="O613" s="341"/>
      <c r="P613" s="168"/>
      <c r="Q613" s="205"/>
      <c r="R613" s="205"/>
      <c r="S613" s="17"/>
      <c r="T613" s="17"/>
    </row>
    <row r="614">
      <c r="A614" s="341"/>
      <c r="B614" s="168"/>
      <c r="C614" s="341"/>
      <c r="D614" s="181"/>
      <c r="E614" s="341"/>
      <c r="F614" s="168"/>
      <c r="G614" s="341"/>
      <c r="H614" s="168"/>
      <c r="I614" s="348"/>
      <c r="J614" s="181"/>
      <c r="K614" s="348"/>
      <c r="L614" s="181"/>
      <c r="M614" s="348"/>
      <c r="N614" s="181"/>
      <c r="O614" s="341"/>
      <c r="P614" s="168"/>
      <c r="Q614" s="205"/>
      <c r="R614" s="205"/>
      <c r="S614" s="17"/>
      <c r="T614" s="17"/>
    </row>
    <row r="615">
      <c r="A615" s="341"/>
      <c r="B615" s="168"/>
      <c r="C615" s="341"/>
      <c r="D615" s="181"/>
      <c r="E615" s="341"/>
      <c r="F615" s="168"/>
      <c r="G615" s="341"/>
      <c r="H615" s="168"/>
      <c r="I615" s="348"/>
      <c r="J615" s="181"/>
      <c r="K615" s="348"/>
      <c r="L615" s="181"/>
      <c r="M615" s="348"/>
      <c r="N615" s="181"/>
      <c r="O615" s="341"/>
      <c r="P615" s="168"/>
      <c r="Q615" s="205"/>
      <c r="R615" s="205"/>
      <c r="S615" s="17"/>
      <c r="T615" s="17"/>
    </row>
    <row r="616">
      <c r="A616" s="341"/>
      <c r="B616" s="168"/>
      <c r="C616" s="341"/>
      <c r="D616" s="181"/>
      <c r="E616" s="341"/>
      <c r="F616" s="168"/>
      <c r="G616" s="341"/>
      <c r="H616" s="168"/>
      <c r="I616" s="348"/>
      <c r="J616" s="181"/>
      <c r="K616" s="348"/>
      <c r="L616" s="181"/>
      <c r="M616" s="348"/>
      <c r="N616" s="181"/>
      <c r="O616" s="341"/>
      <c r="P616" s="168"/>
      <c r="Q616" s="205"/>
      <c r="R616" s="205"/>
      <c r="S616" s="17"/>
      <c r="T616" s="17"/>
    </row>
    <row r="617">
      <c r="A617" s="341"/>
      <c r="B617" s="168"/>
      <c r="C617" s="341"/>
      <c r="D617" s="181"/>
      <c r="E617" s="341"/>
      <c r="F617" s="168"/>
      <c r="G617" s="341"/>
      <c r="H617" s="168"/>
      <c r="I617" s="348"/>
      <c r="J617" s="181"/>
      <c r="K617" s="348"/>
      <c r="L617" s="181"/>
      <c r="M617" s="348"/>
      <c r="N617" s="181"/>
      <c r="O617" s="341"/>
      <c r="P617" s="168"/>
      <c r="Q617" s="205"/>
      <c r="R617" s="205"/>
      <c r="S617" s="17"/>
      <c r="T617" s="17"/>
    </row>
    <row r="618">
      <c r="A618" s="341"/>
      <c r="B618" s="168"/>
      <c r="C618" s="341"/>
      <c r="D618" s="181"/>
      <c r="E618" s="341"/>
      <c r="F618" s="168"/>
      <c r="G618" s="341"/>
      <c r="H618" s="168"/>
      <c r="I618" s="348"/>
      <c r="J618" s="181"/>
      <c r="K618" s="348"/>
      <c r="L618" s="181"/>
      <c r="M618" s="348"/>
      <c r="N618" s="181"/>
      <c r="O618" s="341"/>
      <c r="P618" s="168"/>
      <c r="Q618" s="205"/>
      <c r="R618" s="205"/>
      <c r="S618" s="17"/>
      <c r="T618" s="17"/>
    </row>
    <row r="619">
      <c r="A619" s="341"/>
      <c r="B619" s="168"/>
      <c r="C619" s="341"/>
      <c r="D619" s="181"/>
      <c r="E619" s="341"/>
      <c r="F619" s="168"/>
      <c r="G619" s="341"/>
      <c r="H619" s="168"/>
      <c r="I619" s="348"/>
      <c r="J619" s="181"/>
      <c r="K619" s="348"/>
      <c r="L619" s="181"/>
      <c r="M619" s="348"/>
      <c r="N619" s="181"/>
      <c r="O619" s="341"/>
      <c r="P619" s="168"/>
      <c r="Q619" s="205"/>
      <c r="R619" s="205"/>
      <c r="S619" s="17"/>
      <c r="T619" s="17"/>
    </row>
    <row r="620">
      <c r="A620" s="341"/>
      <c r="B620" s="168"/>
      <c r="C620" s="341"/>
      <c r="D620" s="181"/>
      <c r="E620" s="341"/>
      <c r="F620" s="168"/>
      <c r="G620" s="341"/>
      <c r="H620" s="168"/>
      <c r="I620" s="348"/>
      <c r="J620" s="181"/>
      <c r="K620" s="348"/>
      <c r="L620" s="181"/>
      <c r="M620" s="348"/>
      <c r="N620" s="181"/>
      <c r="O620" s="341"/>
      <c r="P620" s="168"/>
      <c r="Q620" s="205"/>
      <c r="R620" s="205"/>
      <c r="S620" s="17"/>
      <c r="T620" s="17"/>
    </row>
    <row r="621">
      <c r="A621" s="341"/>
      <c r="B621" s="168"/>
      <c r="C621" s="341"/>
      <c r="D621" s="181"/>
      <c r="E621" s="341"/>
      <c r="F621" s="168"/>
      <c r="G621" s="341"/>
      <c r="H621" s="168"/>
      <c r="I621" s="348"/>
      <c r="J621" s="181"/>
      <c r="K621" s="348"/>
      <c r="L621" s="181"/>
      <c r="M621" s="348"/>
      <c r="N621" s="181"/>
      <c r="O621" s="341"/>
      <c r="P621" s="168"/>
      <c r="Q621" s="205"/>
      <c r="R621" s="205"/>
      <c r="S621" s="17"/>
      <c r="T621" s="17"/>
    </row>
    <row r="622">
      <c r="A622" s="341"/>
      <c r="B622" s="168"/>
      <c r="C622" s="341"/>
      <c r="D622" s="181"/>
      <c r="E622" s="341"/>
      <c r="F622" s="168"/>
      <c r="G622" s="341"/>
      <c r="H622" s="168"/>
      <c r="I622" s="348"/>
      <c r="J622" s="181"/>
      <c r="K622" s="348"/>
      <c r="L622" s="181"/>
      <c r="M622" s="348"/>
      <c r="N622" s="181"/>
      <c r="O622" s="341"/>
      <c r="P622" s="168"/>
      <c r="Q622" s="205"/>
      <c r="R622" s="205"/>
      <c r="S622" s="17"/>
      <c r="T622" s="17"/>
    </row>
    <row r="623">
      <c r="A623" s="341"/>
      <c r="B623" s="168"/>
      <c r="C623" s="341"/>
      <c r="D623" s="181"/>
      <c r="E623" s="341"/>
      <c r="F623" s="168"/>
      <c r="G623" s="341"/>
      <c r="H623" s="168"/>
      <c r="I623" s="348"/>
      <c r="J623" s="181"/>
      <c r="K623" s="348"/>
      <c r="L623" s="181"/>
      <c r="M623" s="348"/>
      <c r="N623" s="181"/>
      <c r="O623" s="341"/>
      <c r="P623" s="168"/>
      <c r="Q623" s="205"/>
      <c r="R623" s="205"/>
      <c r="S623" s="17"/>
      <c r="T623" s="17"/>
    </row>
    <row r="624">
      <c r="A624" s="341"/>
      <c r="B624" s="168"/>
      <c r="C624" s="341"/>
      <c r="D624" s="181"/>
      <c r="E624" s="341"/>
      <c r="F624" s="168"/>
      <c r="G624" s="341"/>
      <c r="H624" s="168"/>
      <c r="I624" s="348"/>
      <c r="J624" s="181"/>
      <c r="K624" s="348"/>
      <c r="L624" s="181"/>
      <c r="M624" s="348"/>
      <c r="N624" s="181"/>
      <c r="O624" s="341"/>
      <c r="P624" s="168"/>
      <c r="Q624" s="205"/>
      <c r="R624" s="205"/>
      <c r="S624" s="17"/>
      <c r="T624" s="17"/>
    </row>
    <row r="625">
      <c r="A625" s="341"/>
      <c r="B625" s="168"/>
      <c r="C625" s="341"/>
      <c r="D625" s="181"/>
      <c r="E625" s="341"/>
      <c r="F625" s="168"/>
      <c r="G625" s="341"/>
      <c r="H625" s="168"/>
      <c r="I625" s="348"/>
      <c r="J625" s="181"/>
      <c r="K625" s="348"/>
      <c r="L625" s="181"/>
      <c r="M625" s="348"/>
      <c r="N625" s="181"/>
      <c r="O625" s="341"/>
      <c r="P625" s="168"/>
      <c r="Q625" s="205"/>
      <c r="R625" s="205"/>
      <c r="S625" s="17"/>
      <c r="T625" s="17"/>
    </row>
    <row r="626">
      <c r="A626" s="341"/>
      <c r="B626" s="168"/>
      <c r="C626" s="341"/>
      <c r="D626" s="181"/>
      <c r="E626" s="341"/>
      <c r="F626" s="168"/>
      <c r="G626" s="341"/>
      <c r="H626" s="168"/>
      <c r="I626" s="348"/>
      <c r="J626" s="181"/>
      <c r="K626" s="348"/>
      <c r="L626" s="181"/>
      <c r="M626" s="348"/>
      <c r="N626" s="181"/>
      <c r="O626" s="341"/>
      <c r="P626" s="168"/>
      <c r="Q626" s="205"/>
      <c r="R626" s="205"/>
      <c r="S626" s="17"/>
      <c r="T626" s="17"/>
    </row>
    <row r="627">
      <c r="A627" s="341"/>
      <c r="B627" s="168"/>
      <c r="C627" s="341"/>
      <c r="D627" s="181"/>
      <c r="E627" s="341"/>
      <c r="F627" s="168"/>
      <c r="G627" s="341"/>
      <c r="H627" s="168"/>
      <c r="I627" s="348"/>
      <c r="J627" s="181"/>
      <c r="K627" s="348"/>
      <c r="L627" s="181"/>
      <c r="M627" s="348"/>
      <c r="N627" s="181"/>
      <c r="O627" s="341"/>
      <c r="P627" s="168"/>
      <c r="Q627" s="205"/>
      <c r="R627" s="205"/>
      <c r="S627" s="17"/>
      <c r="T627" s="17"/>
    </row>
    <row r="628">
      <c r="A628" s="341"/>
      <c r="B628" s="168"/>
      <c r="C628" s="341"/>
      <c r="D628" s="181"/>
      <c r="E628" s="341"/>
      <c r="F628" s="168"/>
      <c r="G628" s="341"/>
      <c r="H628" s="168"/>
      <c r="I628" s="348"/>
      <c r="J628" s="181"/>
      <c r="K628" s="348"/>
      <c r="L628" s="181"/>
      <c r="M628" s="348"/>
      <c r="N628" s="181"/>
      <c r="O628" s="341"/>
      <c r="P628" s="168"/>
      <c r="Q628" s="205"/>
      <c r="R628" s="205"/>
      <c r="S628" s="17"/>
      <c r="T628" s="17"/>
    </row>
    <row r="629">
      <c r="A629" s="341"/>
      <c r="B629" s="168"/>
      <c r="C629" s="341"/>
      <c r="D629" s="181"/>
      <c r="E629" s="341"/>
      <c r="F629" s="168"/>
      <c r="G629" s="341"/>
      <c r="H629" s="168"/>
      <c r="I629" s="348"/>
      <c r="J629" s="181"/>
      <c r="K629" s="348"/>
      <c r="L629" s="181"/>
      <c r="M629" s="348"/>
      <c r="N629" s="181"/>
      <c r="O629" s="341"/>
      <c r="P629" s="168"/>
      <c r="Q629" s="205"/>
      <c r="R629" s="205"/>
      <c r="S629" s="17"/>
      <c r="T629" s="17"/>
    </row>
    <row r="630">
      <c r="A630" s="341"/>
      <c r="B630" s="168"/>
      <c r="C630" s="341"/>
      <c r="D630" s="181"/>
      <c r="E630" s="341"/>
      <c r="F630" s="168"/>
      <c r="G630" s="341"/>
      <c r="H630" s="168"/>
      <c r="I630" s="348"/>
      <c r="J630" s="181"/>
      <c r="K630" s="348"/>
      <c r="L630" s="181"/>
      <c r="M630" s="348"/>
      <c r="N630" s="181"/>
      <c r="O630" s="341"/>
      <c r="P630" s="168"/>
      <c r="Q630" s="205"/>
      <c r="R630" s="205"/>
      <c r="S630" s="17"/>
      <c r="T630" s="17"/>
    </row>
    <row r="631">
      <c r="A631" s="341"/>
      <c r="B631" s="168"/>
      <c r="C631" s="341"/>
      <c r="D631" s="181"/>
      <c r="E631" s="341"/>
      <c r="F631" s="168"/>
      <c r="G631" s="341"/>
      <c r="H631" s="168"/>
      <c r="I631" s="348"/>
      <c r="J631" s="181"/>
      <c r="K631" s="348"/>
      <c r="L631" s="181"/>
      <c r="M631" s="348"/>
      <c r="N631" s="181"/>
      <c r="O631" s="341"/>
      <c r="P631" s="168"/>
      <c r="Q631" s="205"/>
      <c r="R631" s="205"/>
      <c r="S631" s="17"/>
      <c r="T631" s="17"/>
    </row>
    <row r="632">
      <c r="A632" s="341"/>
      <c r="B632" s="168"/>
      <c r="C632" s="341"/>
      <c r="D632" s="181"/>
      <c r="E632" s="341"/>
      <c r="F632" s="168"/>
      <c r="G632" s="341"/>
      <c r="H632" s="168"/>
      <c r="I632" s="348"/>
      <c r="J632" s="181"/>
      <c r="K632" s="348"/>
      <c r="L632" s="181"/>
      <c r="M632" s="348"/>
      <c r="N632" s="181"/>
      <c r="O632" s="341"/>
      <c r="P632" s="168"/>
      <c r="Q632" s="205"/>
      <c r="R632" s="205"/>
      <c r="S632" s="17"/>
      <c r="T632" s="17"/>
    </row>
    <row r="633">
      <c r="A633" s="341"/>
      <c r="B633" s="168"/>
      <c r="C633" s="341"/>
      <c r="D633" s="181"/>
      <c r="E633" s="341"/>
      <c r="F633" s="168"/>
      <c r="G633" s="341"/>
      <c r="H633" s="168"/>
      <c r="I633" s="348"/>
      <c r="J633" s="181"/>
      <c r="K633" s="348"/>
      <c r="L633" s="181"/>
      <c r="M633" s="348"/>
      <c r="N633" s="181"/>
      <c r="O633" s="341"/>
      <c r="P633" s="168"/>
      <c r="Q633" s="205"/>
      <c r="R633" s="205"/>
      <c r="S633" s="17"/>
      <c r="T633" s="17"/>
    </row>
    <row r="634">
      <c r="A634" s="341"/>
      <c r="B634" s="168"/>
      <c r="C634" s="341"/>
      <c r="D634" s="181"/>
      <c r="E634" s="341"/>
      <c r="F634" s="168"/>
      <c r="G634" s="341"/>
      <c r="H634" s="168"/>
      <c r="I634" s="348"/>
      <c r="J634" s="181"/>
      <c r="K634" s="348"/>
      <c r="L634" s="181"/>
      <c r="M634" s="348"/>
      <c r="N634" s="181"/>
      <c r="O634" s="341"/>
      <c r="P634" s="168"/>
      <c r="Q634" s="205"/>
      <c r="R634" s="205"/>
      <c r="S634" s="17"/>
      <c r="T634" s="17"/>
    </row>
    <row r="635">
      <c r="A635" s="341"/>
      <c r="B635" s="168"/>
      <c r="C635" s="341"/>
      <c r="D635" s="181"/>
      <c r="E635" s="341"/>
      <c r="F635" s="168"/>
      <c r="G635" s="341"/>
      <c r="H635" s="168"/>
      <c r="I635" s="348"/>
      <c r="J635" s="181"/>
      <c r="K635" s="348"/>
      <c r="L635" s="181"/>
      <c r="M635" s="348"/>
      <c r="N635" s="181"/>
      <c r="O635" s="341"/>
      <c r="P635" s="168"/>
      <c r="Q635" s="205"/>
      <c r="R635" s="205"/>
      <c r="S635" s="17"/>
      <c r="T635" s="17"/>
    </row>
    <row r="636">
      <c r="A636" s="341"/>
      <c r="B636" s="168"/>
      <c r="C636" s="341"/>
      <c r="D636" s="181"/>
      <c r="E636" s="341"/>
      <c r="F636" s="168"/>
      <c r="G636" s="341"/>
      <c r="H636" s="168"/>
      <c r="I636" s="348"/>
      <c r="J636" s="181"/>
      <c r="K636" s="348"/>
      <c r="L636" s="181"/>
      <c r="M636" s="348"/>
      <c r="N636" s="181"/>
      <c r="O636" s="341"/>
      <c r="P636" s="168"/>
      <c r="Q636" s="205"/>
      <c r="R636" s="205"/>
      <c r="S636" s="17"/>
      <c r="T636" s="17"/>
    </row>
    <row r="637">
      <c r="A637" s="341"/>
      <c r="B637" s="168"/>
      <c r="C637" s="341"/>
      <c r="D637" s="181"/>
      <c r="E637" s="341"/>
      <c r="F637" s="168"/>
      <c r="G637" s="341"/>
      <c r="H637" s="168"/>
      <c r="I637" s="348"/>
      <c r="J637" s="181"/>
      <c r="K637" s="348"/>
      <c r="L637" s="181"/>
      <c r="M637" s="348"/>
      <c r="N637" s="181"/>
      <c r="O637" s="341"/>
      <c r="P637" s="168"/>
      <c r="Q637" s="205"/>
      <c r="R637" s="205"/>
      <c r="S637" s="17"/>
      <c r="T637" s="17"/>
    </row>
    <row r="638">
      <c r="A638" s="341"/>
      <c r="B638" s="168"/>
      <c r="C638" s="341"/>
      <c r="D638" s="181"/>
      <c r="E638" s="341"/>
      <c r="F638" s="168"/>
      <c r="G638" s="341"/>
      <c r="H638" s="168"/>
      <c r="I638" s="348"/>
      <c r="J638" s="181"/>
      <c r="K638" s="348"/>
      <c r="L638" s="181"/>
      <c r="M638" s="348"/>
      <c r="N638" s="181"/>
      <c r="O638" s="341"/>
      <c r="P638" s="168"/>
      <c r="Q638" s="205"/>
      <c r="R638" s="205"/>
      <c r="S638" s="17"/>
      <c r="T638" s="17"/>
    </row>
    <row r="639">
      <c r="A639" s="341"/>
      <c r="B639" s="168"/>
      <c r="C639" s="341"/>
      <c r="D639" s="181"/>
      <c r="E639" s="341"/>
      <c r="F639" s="168"/>
      <c r="G639" s="341"/>
      <c r="H639" s="168"/>
      <c r="I639" s="348"/>
      <c r="J639" s="181"/>
      <c r="K639" s="348"/>
      <c r="L639" s="181"/>
      <c r="M639" s="348"/>
      <c r="N639" s="181"/>
      <c r="O639" s="341"/>
      <c r="P639" s="168"/>
      <c r="Q639" s="205"/>
      <c r="R639" s="205"/>
      <c r="S639" s="17"/>
      <c r="T639" s="17"/>
    </row>
    <row r="640">
      <c r="A640" s="341"/>
      <c r="B640" s="168"/>
      <c r="C640" s="341"/>
      <c r="D640" s="181"/>
      <c r="E640" s="341"/>
      <c r="F640" s="168"/>
      <c r="G640" s="341"/>
      <c r="H640" s="168"/>
      <c r="I640" s="348"/>
      <c r="J640" s="181"/>
      <c r="K640" s="348"/>
      <c r="L640" s="181"/>
      <c r="M640" s="348"/>
      <c r="N640" s="181"/>
      <c r="O640" s="341"/>
      <c r="P640" s="168"/>
      <c r="Q640" s="205"/>
      <c r="R640" s="205"/>
      <c r="S640" s="17"/>
      <c r="T640" s="17"/>
    </row>
    <row r="641">
      <c r="A641" s="341"/>
      <c r="B641" s="168"/>
      <c r="C641" s="341"/>
      <c r="D641" s="181"/>
      <c r="E641" s="341"/>
      <c r="F641" s="168"/>
      <c r="G641" s="341"/>
      <c r="H641" s="168"/>
      <c r="I641" s="348"/>
      <c r="J641" s="181"/>
      <c r="K641" s="348"/>
      <c r="L641" s="181"/>
      <c r="M641" s="348"/>
      <c r="N641" s="181"/>
      <c r="O641" s="341"/>
      <c r="P641" s="168"/>
      <c r="Q641" s="205"/>
      <c r="R641" s="205"/>
      <c r="S641" s="17"/>
      <c r="T641" s="17"/>
    </row>
    <row r="642">
      <c r="A642" s="341"/>
      <c r="B642" s="168"/>
      <c r="C642" s="341"/>
      <c r="D642" s="181"/>
      <c r="E642" s="341"/>
      <c r="F642" s="168"/>
      <c r="G642" s="341"/>
      <c r="H642" s="168"/>
      <c r="I642" s="348"/>
      <c r="J642" s="181"/>
      <c r="K642" s="348"/>
      <c r="L642" s="181"/>
      <c r="M642" s="348"/>
      <c r="N642" s="181"/>
      <c r="O642" s="341"/>
      <c r="P642" s="168"/>
      <c r="Q642" s="205"/>
      <c r="R642" s="205"/>
      <c r="S642" s="17"/>
      <c r="T642" s="17"/>
    </row>
    <row r="643">
      <c r="A643" s="341"/>
      <c r="B643" s="168"/>
      <c r="C643" s="341"/>
      <c r="D643" s="181"/>
      <c r="E643" s="341"/>
      <c r="F643" s="168"/>
      <c r="G643" s="341"/>
      <c r="H643" s="168"/>
      <c r="I643" s="348"/>
      <c r="J643" s="181"/>
      <c r="K643" s="348"/>
      <c r="L643" s="181"/>
      <c r="M643" s="348"/>
      <c r="N643" s="181"/>
      <c r="O643" s="341"/>
      <c r="P643" s="168"/>
      <c r="Q643" s="205"/>
      <c r="R643" s="205"/>
      <c r="S643" s="17"/>
      <c r="T643" s="17"/>
    </row>
    <row r="644">
      <c r="A644" s="341"/>
      <c r="B644" s="168"/>
      <c r="C644" s="341"/>
      <c r="D644" s="181"/>
      <c r="E644" s="341"/>
      <c r="F644" s="168"/>
      <c r="G644" s="341"/>
      <c r="H644" s="168"/>
      <c r="I644" s="348"/>
      <c r="J644" s="181"/>
      <c r="K644" s="348"/>
      <c r="L644" s="181"/>
      <c r="M644" s="348"/>
      <c r="N644" s="181"/>
      <c r="O644" s="341"/>
      <c r="P644" s="168"/>
      <c r="Q644" s="205"/>
      <c r="R644" s="205"/>
      <c r="S644" s="17"/>
      <c r="T644" s="17"/>
    </row>
    <row r="645">
      <c r="A645" s="341"/>
      <c r="B645" s="168"/>
      <c r="C645" s="341"/>
      <c r="D645" s="181"/>
      <c r="E645" s="341"/>
      <c r="F645" s="168"/>
      <c r="G645" s="341"/>
      <c r="H645" s="168"/>
      <c r="I645" s="348"/>
      <c r="J645" s="181"/>
      <c r="K645" s="348"/>
      <c r="L645" s="181"/>
      <c r="M645" s="348"/>
      <c r="N645" s="181"/>
      <c r="O645" s="341"/>
      <c r="P645" s="168"/>
      <c r="Q645" s="205"/>
      <c r="R645" s="205"/>
      <c r="S645" s="17"/>
      <c r="T645" s="17"/>
    </row>
    <row r="646">
      <c r="A646" s="341"/>
      <c r="B646" s="168"/>
      <c r="C646" s="341"/>
      <c r="D646" s="181"/>
      <c r="E646" s="341"/>
      <c r="F646" s="168"/>
      <c r="G646" s="341"/>
      <c r="H646" s="168"/>
      <c r="I646" s="348"/>
      <c r="J646" s="181"/>
      <c r="K646" s="348"/>
      <c r="L646" s="181"/>
      <c r="M646" s="348"/>
      <c r="N646" s="181"/>
      <c r="O646" s="341"/>
      <c r="P646" s="168"/>
      <c r="Q646" s="205"/>
      <c r="R646" s="205"/>
      <c r="S646" s="17"/>
      <c r="T646" s="17"/>
    </row>
    <row r="647">
      <c r="A647" s="341"/>
      <c r="B647" s="168"/>
      <c r="C647" s="341"/>
      <c r="D647" s="181"/>
      <c r="E647" s="341"/>
      <c r="F647" s="168"/>
      <c r="G647" s="341"/>
      <c r="H647" s="168"/>
      <c r="I647" s="348"/>
      <c r="J647" s="181"/>
      <c r="K647" s="348"/>
      <c r="L647" s="181"/>
      <c r="M647" s="348"/>
      <c r="N647" s="181"/>
      <c r="O647" s="341"/>
      <c r="P647" s="168"/>
      <c r="Q647" s="205"/>
      <c r="R647" s="205"/>
      <c r="S647" s="17"/>
      <c r="T647" s="17"/>
    </row>
    <row r="648">
      <c r="A648" s="341"/>
      <c r="B648" s="168"/>
      <c r="C648" s="341"/>
      <c r="D648" s="181"/>
      <c r="E648" s="341"/>
      <c r="F648" s="168"/>
      <c r="G648" s="341"/>
      <c r="H648" s="168"/>
      <c r="I648" s="348"/>
      <c r="J648" s="181"/>
      <c r="K648" s="348"/>
      <c r="L648" s="181"/>
      <c r="M648" s="348"/>
      <c r="N648" s="181"/>
      <c r="O648" s="341"/>
      <c r="P648" s="168"/>
      <c r="Q648" s="205"/>
      <c r="R648" s="205"/>
      <c r="S648" s="17"/>
      <c r="T648" s="17"/>
    </row>
    <row r="649">
      <c r="A649" s="341"/>
      <c r="B649" s="168"/>
      <c r="C649" s="341"/>
      <c r="D649" s="181"/>
      <c r="E649" s="341"/>
      <c r="F649" s="168"/>
      <c r="G649" s="341"/>
      <c r="H649" s="168"/>
      <c r="I649" s="348"/>
      <c r="J649" s="181"/>
      <c r="K649" s="348"/>
      <c r="L649" s="181"/>
      <c r="M649" s="348"/>
      <c r="N649" s="181"/>
      <c r="O649" s="341"/>
      <c r="P649" s="168"/>
      <c r="Q649" s="205"/>
      <c r="R649" s="205"/>
      <c r="S649" s="17"/>
      <c r="T649" s="17"/>
    </row>
    <row r="650">
      <c r="A650" s="341"/>
      <c r="B650" s="168"/>
      <c r="C650" s="341"/>
      <c r="D650" s="181"/>
      <c r="E650" s="341"/>
      <c r="F650" s="168"/>
      <c r="G650" s="341"/>
      <c r="H650" s="168"/>
      <c r="I650" s="348"/>
      <c r="J650" s="181"/>
      <c r="K650" s="348"/>
      <c r="L650" s="181"/>
      <c r="M650" s="348"/>
      <c r="N650" s="181"/>
      <c r="O650" s="341"/>
      <c r="P650" s="168"/>
      <c r="Q650" s="205"/>
      <c r="R650" s="205"/>
      <c r="S650" s="17"/>
      <c r="T650" s="17"/>
    </row>
    <row r="651">
      <c r="A651" s="341"/>
      <c r="B651" s="168"/>
      <c r="C651" s="341"/>
      <c r="D651" s="181"/>
      <c r="E651" s="341"/>
      <c r="F651" s="168"/>
      <c r="G651" s="341"/>
      <c r="H651" s="168"/>
      <c r="I651" s="348"/>
      <c r="J651" s="181"/>
      <c r="K651" s="348"/>
      <c r="L651" s="181"/>
      <c r="M651" s="348"/>
      <c r="N651" s="181"/>
      <c r="O651" s="341"/>
      <c r="P651" s="168"/>
      <c r="Q651" s="205"/>
      <c r="R651" s="205"/>
      <c r="S651" s="17"/>
      <c r="T651" s="17"/>
    </row>
    <row r="652">
      <c r="A652" s="341"/>
      <c r="B652" s="168"/>
      <c r="C652" s="341"/>
      <c r="D652" s="181"/>
      <c r="E652" s="341"/>
      <c r="F652" s="168"/>
      <c r="G652" s="341"/>
      <c r="H652" s="168"/>
      <c r="I652" s="348"/>
      <c r="J652" s="181"/>
      <c r="K652" s="348"/>
      <c r="L652" s="181"/>
      <c r="M652" s="348"/>
      <c r="N652" s="181"/>
      <c r="O652" s="341"/>
      <c r="P652" s="168"/>
      <c r="Q652" s="205"/>
      <c r="R652" s="205"/>
      <c r="S652" s="17"/>
      <c r="T652" s="17"/>
    </row>
    <row r="653">
      <c r="A653" s="341"/>
      <c r="B653" s="168"/>
      <c r="C653" s="341"/>
      <c r="D653" s="181"/>
      <c r="E653" s="341"/>
      <c r="F653" s="168"/>
      <c r="G653" s="341"/>
      <c r="H653" s="168"/>
      <c r="I653" s="348"/>
      <c r="J653" s="181"/>
      <c r="K653" s="348"/>
      <c r="L653" s="181"/>
      <c r="M653" s="348"/>
      <c r="N653" s="181"/>
      <c r="O653" s="341"/>
      <c r="P653" s="168"/>
      <c r="Q653" s="205"/>
      <c r="R653" s="205"/>
      <c r="S653" s="17"/>
      <c r="T653" s="17"/>
    </row>
    <row r="654">
      <c r="A654" s="341"/>
      <c r="B654" s="168"/>
      <c r="C654" s="341"/>
      <c r="D654" s="181"/>
      <c r="E654" s="341"/>
      <c r="F654" s="168"/>
      <c r="G654" s="341"/>
      <c r="H654" s="168"/>
      <c r="I654" s="348"/>
      <c r="J654" s="181"/>
      <c r="K654" s="348"/>
      <c r="L654" s="181"/>
      <c r="M654" s="348"/>
      <c r="N654" s="181"/>
      <c r="O654" s="341"/>
      <c r="P654" s="168"/>
      <c r="Q654" s="205"/>
      <c r="R654" s="205"/>
      <c r="S654" s="17"/>
      <c r="T654" s="17"/>
    </row>
    <row r="655">
      <c r="A655" s="341"/>
      <c r="B655" s="168"/>
      <c r="C655" s="341"/>
      <c r="D655" s="181"/>
      <c r="E655" s="341"/>
      <c r="F655" s="168"/>
      <c r="G655" s="341"/>
      <c r="H655" s="168"/>
      <c r="I655" s="348"/>
      <c r="J655" s="181"/>
      <c r="K655" s="348"/>
      <c r="L655" s="181"/>
      <c r="M655" s="348"/>
      <c r="N655" s="181"/>
      <c r="O655" s="341"/>
      <c r="P655" s="168"/>
      <c r="Q655" s="205"/>
      <c r="R655" s="205"/>
      <c r="S655" s="17"/>
      <c r="T655" s="17"/>
    </row>
    <row r="656">
      <c r="A656" s="341"/>
      <c r="B656" s="168"/>
      <c r="C656" s="341"/>
      <c r="D656" s="181"/>
      <c r="E656" s="341"/>
      <c r="F656" s="168"/>
      <c r="G656" s="341"/>
      <c r="H656" s="168"/>
      <c r="I656" s="348"/>
      <c r="J656" s="181"/>
      <c r="K656" s="348"/>
      <c r="L656" s="181"/>
      <c r="M656" s="348"/>
      <c r="N656" s="181"/>
      <c r="O656" s="341"/>
      <c r="P656" s="168"/>
      <c r="Q656" s="205"/>
      <c r="R656" s="205"/>
      <c r="S656" s="17"/>
      <c r="T656" s="17"/>
    </row>
    <row r="657">
      <c r="A657" s="341"/>
      <c r="B657" s="168"/>
      <c r="C657" s="341"/>
      <c r="D657" s="181"/>
      <c r="E657" s="341"/>
      <c r="F657" s="168"/>
      <c r="G657" s="341"/>
      <c r="H657" s="168"/>
      <c r="I657" s="348"/>
      <c r="J657" s="181"/>
      <c r="K657" s="348"/>
      <c r="L657" s="181"/>
      <c r="M657" s="348"/>
      <c r="N657" s="181"/>
      <c r="O657" s="341"/>
      <c r="P657" s="168"/>
      <c r="Q657" s="205"/>
      <c r="R657" s="205"/>
      <c r="S657" s="17"/>
      <c r="T657" s="17"/>
    </row>
    <row r="658">
      <c r="A658" s="341"/>
      <c r="B658" s="168"/>
      <c r="C658" s="341"/>
      <c r="D658" s="181"/>
      <c r="E658" s="341"/>
      <c r="F658" s="168"/>
      <c r="G658" s="341"/>
      <c r="H658" s="168"/>
      <c r="I658" s="348"/>
      <c r="J658" s="181"/>
      <c r="K658" s="348"/>
      <c r="L658" s="181"/>
      <c r="M658" s="348"/>
      <c r="N658" s="181"/>
      <c r="O658" s="341"/>
      <c r="P658" s="168"/>
      <c r="Q658" s="205"/>
      <c r="R658" s="205"/>
      <c r="S658" s="17"/>
      <c r="T658" s="17"/>
    </row>
    <row r="659">
      <c r="A659" s="341"/>
      <c r="B659" s="168"/>
      <c r="C659" s="341"/>
      <c r="D659" s="181"/>
      <c r="E659" s="341"/>
      <c r="F659" s="168"/>
      <c r="G659" s="341"/>
      <c r="H659" s="168"/>
      <c r="I659" s="348"/>
      <c r="J659" s="181"/>
      <c r="K659" s="348"/>
      <c r="L659" s="181"/>
      <c r="M659" s="348"/>
      <c r="N659" s="181"/>
      <c r="O659" s="341"/>
      <c r="P659" s="168"/>
      <c r="Q659" s="205"/>
      <c r="R659" s="205"/>
      <c r="S659" s="17"/>
      <c r="T659" s="17"/>
    </row>
    <row r="660">
      <c r="A660" s="341"/>
      <c r="B660" s="168"/>
      <c r="C660" s="341"/>
      <c r="D660" s="181"/>
      <c r="E660" s="341"/>
      <c r="F660" s="168"/>
      <c r="G660" s="341"/>
      <c r="H660" s="168"/>
      <c r="I660" s="348"/>
      <c r="J660" s="181"/>
      <c r="K660" s="348"/>
      <c r="L660" s="181"/>
      <c r="M660" s="348"/>
      <c r="N660" s="181"/>
      <c r="O660" s="341"/>
      <c r="P660" s="168"/>
      <c r="Q660" s="205"/>
      <c r="R660" s="205"/>
      <c r="S660" s="17"/>
      <c r="T660" s="17"/>
    </row>
    <row r="661">
      <c r="A661" s="341"/>
      <c r="B661" s="168"/>
      <c r="C661" s="341"/>
      <c r="D661" s="181"/>
      <c r="E661" s="341"/>
      <c r="F661" s="168"/>
      <c r="G661" s="341"/>
      <c r="H661" s="168"/>
      <c r="I661" s="348"/>
      <c r="J661" s="181"/>
      <c r="K661" s="348"/>
      <c r="L661" s="181"/>
      <c r="M661" s="348"/>
      <c r="N661" s="181"/>
      <c r="O661" s="341"/>
      <c r="P661" s="168"/>
      <c r="Q661" s="205"/>
      <c r="R661" s="205"/>
      <c r="S661" s="17"/>
      <c r="T661" s="17"/>
    </row>
    <row r="662">
      <c r="A662" s="341"/>
      <c r="B662" s="168"/>
      <c r="C662" s="341"/>
      <c r="D662" s="181"/>
      <c r="E662" s="341"/>
      <c r="F662" s="168"/>
      <c r="G662" s="341"/>
      <c r="H662" s="168"/>
      <c r="I662" s="348"/>
      <c r="J662" s="181"/>
      <c r="K662" s="348"/>
      <c r="L662" s="181"/>
      <c r="M662" s="348"/>
      <c r="N662" s="181"/>
      <c r="O662" s="341"/>
      <c r="P662" s="168"/>
      <c r="Q662" s="205"/>
      <c r="R662" s="205"/>
      <c r="S662" s="17"/>
      <c r="T662" s="17"/>
    </row>
    <row r="663">
      <c r="A663" s="341"/>
      <c r="B663" s="168"/>
      <c r="C663" s="341"/>
      <c r="D663" s="181"/>
      <c r="E663" s="341"/>
      <c r="F663" s="168"/>
      <c r="G663" s="341"/>
      <c r="H663" s="168"/>
      <c r="I663" s="348"/>
      <c r="J663" s="181"/>
      <c r="K663" s="348"/>
      <c r="L663" s="181"/>
      <c r="M663" s="348"/>
      <c r="N663" s="181"/>
      <c r="O663" s="341"/>
      <c r="P663" s="168"/>
      <c r="Q663" s="205"/>
      <c r="R663" s="205"/>
      <c r="S663" s="17"/>
      <c r="T663" s="17"/>
    </row>
    <row r="664">
      <c r="A664" s="341"/>
      <c r="B664" s="168"/>
      <c r="C664" s="341"/>
      <c r="D664" s="181"/>
      <c r="E664" s="341"/>
      <c r="F664" s="168"/>
      <c r="G664" s="341"/>
      <c r="H664" s="168"/>
      <c r="I664" s="348"/>
      <c r="J664" s="181"/>
      <c r="K664" s="348"/>
      <c r="L664" s="181"/>
      <c r="M664" s="348"/>
      <c r="N664" s="181"/>
      <c r="O664" s="341"/>
      <c r="P664" s="168"/>
      <c r="Q664" s="205"/>
      <c r="R664" s="205"/>
      <c r="S664" s="17"/>
      <c r="T664" s="17"/>
    </row>
    <row r="665">
      <c r="A665" s="341"/>
      <c r="B665" s="168"/>
      <c r="C665" s="341"/>
      <c r="D665" s="181"/>
      <c r="E665" s="341"/>
      <c r="F665" s="168"/>
      <c r="G665" s="341"/>
      <c r="H665" s="168"/>
      <c r="I665" s="348"/>
      <c r="J665" s="181"/>
      <c r="K665" s="348"/>
      <c r="L665" s="181"/>
      <c r="M665" s="348"/>
      <c r="N665" s="181"/>
      <c r="O665" s="341"/>
      <c r="P665" s="168"/>
      <c r="Q665" s="205"/>
      <c r="R665" s="205"/>
      <c r="S665" s="17"/>
      <c r="T665" s="17"/>
    </row>
    <row r="666">
      <c r="A666" s="341"/>
      <c r="B666" s="168"/>
      <c r="C666" s="341"/>
      <c r="D666" s="181"/>
      <c r="E666" s="341"/>
      <c r="F666" s="168"/>
      <c r="G666" s="341"/>
      <c r="H666" s="168"/>
      <c r="I666" s="348"/>
      <c r="J666" s="181"/>
      <c r="K666" s="348"/>
      <c r="L666" s="181"/>
      <c r="M666" s="348"/>
      <c r="N666" s="181"/>
      <c r="O666" s="341"/>
      <c r="P666" s="168"/>
      <c r="Q666" s="205"/>
      <c r="R666" s="205"/>
      <c r="S666" s="17"/>
      <c r="T666" s="17"/>
    </row>
    <row r="667">
      <c r="A667" s="341"/>
      <c r="B667" s="168"/>
      <c r="C667" s="341"/>
      <c r="D667" s="181"/>
      <c r="E667" s="341"/>
      <c r="F667" s="168"/>
      <c r="G667" s="341"/>
      <c r="H667" s="168"/>
      <c r="I667" s="348"/>
      <c r="J667" s="181"/>
      <c r="K667" s="348"/>
      <c r="L667" s="181"/>
      <c r="M667" s="348"/>
      <c r="N667" s="181"/>
      <c r="O667" s="341"/>
      <c r="P667" s="168"/>
      <c r="Q667" s="205"/>
      <c r="R667" s="205"/>
      <c r="S667" s="17"/>
      <c r="T667" s="17"/>
    </row>
    <row r="668">
      <c r="A668" s="341"/>
      <c r="B668" s="168"/>
      <c r="C668" s="341"/>
      <c r="D668" s="181"/>
      <c r="E668" s="341"/>
      <c r="F668" s="168"/>
      <c r="G668" s="341"/>
      <c r="H668" s="168"/>
      <c r="I668" s="348"/>
      <c r="J668" s="181"/>
      <c r="K668" s="348"/>
      <c r="L668" s="181"/>
      <c r="M668" s="348"/>
      <c r="N668" s="181"/>
      <c r="O668" s="341"/>
      <c r="P668" s="168"/>
      <c r="Q668" s="205"/>
      <c r="R668" s="205"/>
      <c r="S668" s="17"/>
      <c r="T668" s="17"/>
    </row>
    <row r="669">
      <c r="A669" s="341"/>
      <c r="B669" s="168"/>
      <c r="C669" s="341"/>
      <c r="D669" s="181"/>
      <c r="E669" s="341"/>
      <c r="F669" s="168"/>
      <c r="G669" s="341"/>
      <c r="H669" s="168"/>
      <c r="I669" s="348"/>
      <c r="J669" s="181"/>
      <c r="K669" s="348"/>
      <c r="L669" s="181"/>
      <c r="M669" s="348"/>
      <c r="N669" s="181"/>
      <c r="O669" s="341"/>
      <c r="P669" s="168"/>
      <c r="Q669" s="205"/>
      <c r="R669" s="205"/>
      <c r="S669" s="17"/>
      <c r="T669" s="17"/>
    </row>
    <row r="670">
      <c r="A670" s="341"/>
      <c r="B670" s="168"/>
      <c r="C670" s="341"/>
      <c r="D670" s="181"/>
      <c r="E670" s="341"/>
      <c r="F670" s="168"/>
      <c r="G670" s="341"/>
      <c r="H670" s="168"/>
      <c r="I670" s="348"/>
      <c r="J670" s="181"/>
      <c r="K670" s="348"/>
      <c r="L670" s="181"/>
      <c r="M670" s="348"/>
      <c r="N670" s="181"/>
      <c r="O670" s="341"/>
      <c r="P670" s="168"/>
      <c r="Q670" s="205"/>
      <c r="R670" s="205"/>
      <c r="S670" s="17"/>
      <c r="T670" s="17"/>
    </row>
    <row r="671">
      <c r="A671" s="341"/>
      <c r="B671" s="168"/>
      <c r="C671" s="341"/>
      <c r="D671" s="181"/>
      <c r="E671" s="341"/>
      <c r="F671" s="168"/>
      <c r="G671" s="341"/>
      <c r="H671" s="168"/>
      <c r="I671" s="348"/>
      <c r="J671" s="181"/>
      <c r="K671" s="348"/>
      <c r="L671" s="181"/>
      <c r="M671" s="348"/>
      <c r="N671" s="181"/>
      <c r="O671" s="341"/>
      <c r="P671" s="168"/>
      <c r="Q671" s="205"/>
      <c r="R671" s="205"/>
      <c r="S671" s="17"/>
      <c r="T671" s="17"/>
    </row>
    <row r="672">
      <c r="A672" s="341"/>
      <c r="B672" s="168"/>
      <c r="C672" s="341"/>
      <c r="D672" s="181"/>
      <c r="E672" s="341"/>
      <c r="F672" s="168"/>
      <c r="G672" s="341"/>
      <c r="H672" s="168"/>
      <c r="I672" s="348"/>
      <c r="J672" s="181"/>
      <c r="K672" s="348"/>
      <c r="L672" s="181"/>
      <c r="M672" s="348"/>
      <c r="N672" s="181"/>
      <c r="O672" s="341"/>
      <c r="P672" s="168"/>
      <c r="Q672" s="205"/>
      <c r="R672" s="205"/>
      <c r="S672" s="17"/>
      <c r="T672" s="17"/>
    </row>
    <row r="673">
      <c r="A673" s="341"/>
      <c r="B673" s="168"/>
      <c r="C673" s="341"/>
      <c r="D673" s="181"/>
      <c r="E673" s="341"/>
      <c r="F673" s="168"/>
      <c r="G673" s="341"/>
      <c r="H673" s="168"/>
      <c r="I673" s="348"/>
      <c r="J673" s="181"/>
      <c r="K673" s="348"/>
      <c r="L673" s="181"/>
      <c r="M673" s="348"/>
      <c r="N673" s="181"/>
      <c r="O673" s="341"/>
      <c r="P673" s="168"/>
      <c r="Q673" s="205"/>
      <c r="R673" s="205"/>
      <c r="S673" s="17"/>
      <c r="T673" s="17"/>
    </row>
    <row r="674">
      <c r="A674" s="341"/>
      <c r="B674" s="168"/>
      <c r="C674" s="341"/>
      <c r="D674" s="181"/>
      <c r="E674" s="341"/>
      <c r="F674" s="168"/>
      <c r="G674" s="341"/>
      <c r="H674" s="168"/>
      <c r="I674" s="348"/>
      <c r="J674" s="181"/>
      <c r="K674" s="348"/>
      <c r="L674" s="181"/>
      <c r="M674" s="348"/>
      <c r="N674" s="181"/>
      <c r="O674" s="341"/>
      <c r="P674" s="168"/>
      <c r="Q674" s="205"/>
      <c r="R674" s="205"/>
      <c r="S674" s="17"/>
      <c r="T674" s="17"/>
    </row>
    <row r="675">
      <c r="A675" s="341"/>
      <c r="B675" s="168"/>
      <c r="C675" s="341"/>
      <c r="D675" s="181"/>
      <c r="E675" s="341"/>
      <c r="F675" s="168"/>
      <c r="G675" s="341"/>
      <c r="H675" s="168"/>
      <c r="I675" s="348"/>
      <c r="J675" s="181"/>
      <c r="K675" s="348"/>
      <c r="L675" s="181"/>
      <c r="M675" s="348"/>
      <c r="N675" s="181"/>
      <c r="O675" s="341"/>
      <c r="P675" s="168"/>
      <c r="Q675" s="205"/>
      <c r="R675" s="205"/>
      <c r="S675" s="17"/>
      <c r="T675" s="17"/>
    </row>
    <row r="676">
      <c r="A676" s="341"/>
      <c r="B676" s="168"/>
      <c r="C676" s="341"/>
      <c r="D676" s="181"/>
      <c r="E676" s="341"/>
      <c r="F676" s="168"/>
      <c r="G676" s="341"/>
      <c r="H676" s="168"/>
      <c r="I676" s="348"/>
      <c r="J676" s="181"/>
      <c r="K676" s="348"/>
      <c r="L676" s="181"/>
      <c r="M676" s="348"/>
      <c r="N676" s="181"/>
      <c r="O676" s="341"/>
      <c r="P676" s="168"/>
      <c r="Q676" s="205"/>
      <c r="R676" s="205"/>
      <c r="S676" s="17"/>
      <c r="T676" s="17"/>
    </row>
    <row r="677">
      <c r="A677" s="341"/>
      <c r="B677" s="168"/>
      <c r="C677" s="341"/>
      <c r="D677" s="181"/>
      <c r="E677" s="341"/>
      <c r="F677" s="168"/>
      <c r="G677" s="341"/>
      <c r="H677" s="168"/>
      <c r="I677" s="348"/>
      <c r="J677" s="181"/>
      <c r="K677" s="348"/>
      <c r="L677" s="181"/>
      <c r="M677" s="348"/>
      <c r="N677" s="181"/>
      <c r="O677" s="341"/>
      <c r="P677" s="168"/>
      <c r="Q677" s="205"/>
      <c r="R677" s="205"/>
      <c r="S677" s="17"/>
      <c r="T677" s="17"/>
    </row>
    <row r="678">
      <c r="A678" s="341"/>
      <c r="B678" s="168"/>
      <c r="C678" s="341"/>
      <c r="D678" s="181"/>
      <c r="E678" s="341"/>
      <c r="F678" s="168"/>
      <c r="G678" s="341"/>
      <c r="H678" s="168"/>
      <c r="I678" s="348"/>
      <c r="J678" s="181"/>
      <c r="K678" s="348"/>
      <c r="L678" s="181"/>
      <c r="M678" s="348"/>
      <c r="N678" s="181"/>
      <c r="O678" s="341"/>
      <c r="P678" s="168"/>
      <c r="Q678" s="205"/>
      <c r="R678" s="205"/>
      <c r="S678" s="17"/>
      <c r="T678" s="17"/>
    </row>
    <row r="679">
      <c r="A679" s="341"/>
      <c r="B679" s="168"/>
      <c r="C679" s="341"/>
      <c r="D679" s="181"/>
      <c r="E679" s="341"/>
      <c r="F679" s="168"/>
      <c r="G679" s="341"/>
      <c r="H679" s="168"/>
      <c r="I679" s="348"/>
      <c r="J679" s="181"/>
      <c r="K679" s="348"/>
      <c r="L679" s="181"/>
      <c r="M679" s="348"/>
      <c r="N679" s="181"/>
      <c r="O679" s="341"/>
      <c r="P679" s="168"/>
      <c r="Q679" s="205"/>
      <c r="R679" s="205"/>
      <c r="S679" s="17"/>
      <c r="T679" s="17"/>
    </row>
    <row r="680">
      <c r="A680" s="341"/>
      <c r="B680" s="168"/>
      <c r="C680" s="341"/>
      <c r="D680" s="181"/>
      <c r="E680" s="341"/>
      <c r="F680" s="168"/>
      <c r="G680" s="341"/>
      <c r="H680" s="168"/>
      <c r="I680" s="348"/>
      <c r="J680" s="181"/>
      <c r="K680" s="348"/>
      <c r="L680" s="181"/>
      <c r="M680" s="348"/>
      <c r="N680" s="181"/>
      <c r="O680" s="341"/>
      <c r="P680" s="168"/>
      <c r="Q680" s="205"/>
      <c r="R680" s="205"/>
      <c r="S680" s="17"/>
      <c r="T680" s="17"/>
    </row>
    <row r="681">
      <c r="A681" s="341"/>
      <c r="B681" s="168"/>
      <c r="C681" s="341"/>
      <c r="D681" s="181"/>
      <c r="E681" s="341"/>
      <c r="F681" s="168"/>
      <c r="G681" s="341"/>
      <c r="H681" s="168"/>
      <c r="I681" s="348"/>
      <c r="J681" s="181"/>
      <c r="K681" s="348"/>
      <c r="L681" s="181"/>
      <c r="M681" s="348"/>
      <c r="N681" s="181"/>
      <c r="O681" s="341"/>
      <c r="P681" s="168"/>
      <c r="Q681" s="205"/>
      <c r="R681" s="205"/>
      <c r="S681" s="17"/>
      <c r="T681" s="17"/>
    </row>
    <row r="682">
      <c r="A682" s="341"/>
      <c r="B682" s="168"/>
      <c r="C682" s="341"/>
      <c r="D682" s="181"/>
      <c r="E682" s="341"/>
      <c r="F682" s="168"/>
      <c r="G682" s="341"/>
      <c r="H682" s="168"/>
      <c r="I682" s="348"/>
      <c r="J682" s="181"/>
      <c r="K682" s="348"/>
      <c r="L682" s="181"/>
      <c r="M682" s="348"/>
      <c r="N682" s="181"/>
      <c r="O682" s="341"/>
      <c r="P682" s="168"/>
      <c r="Q682" s="205"/>
      <c r="R682" s="205"/>
      <c r="S682" s="17"/>
      <c r="T682" s="17"/>
    </row>
    <row r="683">
      <c r="A683" s="341"/>
      <c r="B683" s="168"/>
      <c r="C683" s="341"/>
      <c r="D683" s="181"/>
      <c r="E683" s="341"/>
      <c r="F683" s="168"/>
      <c r="G683" s="341"/>
      <c r="H683" s="168"/>
      <c r="I683" s="348"/>
      <c r="J683" s="181"/>
      <c r="K683" s="348"/>
      <c r="L683" s="181"/>
      <c r="M683" s="348"/>
      <c r="N683" s="181"/>
      <c r="O683" s="341"/>
      <c r="P683" s="168"/>
      <c r="Q683" s="205"/>
      <c r="R683" s="205"/>
      <c r="S683" s="17"/>
      <c r="T683" s="17"/>
    </row>
    <row r="684">
      <c r="A684" s="341"/>
      <c r="B684" s="168"/>
      <c r="C684" s="341"/>
      <c r="D684" s="181"/>
      <c r="E684" s="341"/>
      <c r="F684" s="168"/>
      <c r="G684" s="341"/>
      <c r="H684" s="168"/>
      <c r="I684" s="348"/>
      <c r="J684" s="181"/>
      <c r="K684" s="348"/>
      <c r="L684" s="181"/>
      <c r="M684" s="348"/>
      <c r="N684" s="181"/>
      <c r="O684" s="341"/>
      <c r="P684" s="168"/>
      <c r="Q684" s="205"/>
      <c r="R684" s="205"/>
      <c r="S684" s="17"/>
      <c r="T684" s="17"/>
    </row>
    <row r="685">
      <c r="A685" s="341"/>
      <c r="B685" s="168"/>
      <c r="C685" s="341"/>
      <c r="D685" s="181"/>
      <c r="E685" s="341"/>
      <c r="F685" s="168"/>
      <c r="G685" s="341"/>
      <c r="H685" s="168"/>
      <c r="I685" s="348"/>
      <c r="J685" s="181"/>
      <c r="K685" s="348"/>
      <c r="L685" s="181"/>
      <c r="M685" s="348"/>
      <c r="N685" s="181"/>
      <c r="O685" s="341"/>
      <c r="P685" s="168"/>
      <c r="Q685" s="205"/>
      <c r="R685" s="205"/>
      <c r="S685" s="17"/>
      <c r="T685" s="17"/>
    </row>
    <row r="686">
      <c r="A686" s="341"/>
      <c r="B686" s="168"/>
      <c r="C686" s="341"/>
      <c r="D686" s="181"/>
      <c r="E686" s="341"/>
      <c r="F686" s="168"/>
      <c r="G686" s="341"/>
      <c r="H686" s="168"/>
      <c r="I686" s="348"/>
      <c r="J686" s="181"/>
      <c r="K686" s="348"/>
      <c r="L686" s="181"/>
      <c r="M686" s="348"/>
      <c r="N686" s="181"/>
      <c r="O686" s="341"/>
      <c r="P686" s="168"/>
      <c r="Q686" s="205"/>
      <c r="R686" s="205"/>
      <c r="S686" s="17"/>
      <c r="T686" s="17"/>
    </row>
    <row r="687">
      <c r="A687" s="341"/>
      <c r="B687" s="168"/>
      <c r="C687" s="341"/>
      <c r="D687" s="181"/>
      <c r="E687" s="341"/>
      <c r="F687" s="168"/>
      <c r="G687" s="341"/>
      <c r="H687" s="168"/>
      <c r="I687" s="348"/>
      <c r="J687" s="181"/>
      <c r="K687" s="348"/>
      <c r="L687" s="181"/>
      <c r="M687" s="348"/>
      <c r="N687" s="181"/>
      <c r="O687" s="341"/>
      <c r="P687" s="168"/>
      <c r="Q687" s="205"/>
      <c r="R687" s="205"/>
      <c r="S687" s="17"/>
      <c r="T687" s="17"/>
    </row>
    <row r="688">
      <c r="A688" s="341"/>
      <c r="B688" s="168"/>
      <c r="C688" s="341"/>
      <c r="D688" s="181"/>
      <c r="E688" s="341"/>
      <c r="F688" s="168"/>
      <c r="G688" s="341"/>
      <c r="H688" s="168"/>
      <c r="I688" s="348"/>
      <c r="J688" s="181"/>
      <c r="K688" s="348"/>
      <c r="L688" s="181"/>
      <c r="M688" s="348"/>
      <c r="N688" s="181"/>
      <c r="O688" s="341"/>
      <c r="P688" s="168"/>
      <c r="Q688" s="205"/>
      <c r="R688" s="205"/>
      <c r="S688" s="17"/>
      <c r="T688" s="17"/>
    </row>
    <row r="689">
      <c r="A689" s="341"/>
      <c r="B689" s="168"/>
      <c r="C689" s="341"/>
      <c r="D689" s="181"/>
      <c r="E689" s="341"/>
      <c r="F689" s="168"/>
      <c r="G689" s="341"/>
      <c r="H689" s="168"/>
      <c r="I689" s="348"/>
      <c r="J689" s="181"/>
      <c r="K689" s="348"/>
      <c r="L689" s="181"/>
      <c r="M689" s="348"/>
      <c r="N689" s="181"/>
      <c r="O689" s="341"/>
      <c r="P689" s="168"/>
      <c r="Q689" s="205"/>
      <c r="R689" s="205"/>
      <c r="S689" s="17"/>
      <c r="T689" s="17"/>
    </row>
    <row r="690">
      <c r="A690" s="341"/>
      <c r="B690" s="168"/>
      <c r="C690" s="341"/>
      <c r="D690" s="181"/>
      <c r="E690" s="341"/>
      <c r="F690" s="168"/>
      <c r="G690" s="341"/>
      <c r="H690" s="168"/>
      <c r="I690" s="348"/>
      <c r="J690" s="181"/>
      <c r="K690" s="348"/>
      <c r="L690" s="181"/>
      <c r="M690" s="348"/>
      <c r="N690" s="181"/>
      <c r="O690" s="341"/>
      <c r="P690" s="168"/>
      <c r="Q690" s="205"/>
      <c r="R690" s="205"/>
      <c r="S690" s="17"/>
      <c r="T690" s="17"/>
    </row>
    <row r="691">
      <c r="A691" s="341"/>
      <c r="B691" s="168"/>
      <c r="C691" s="341"/>
      <c r="D691" s="181"/>
      <c r="E691" s="341"/>
      <c r="F691" s="168"/>
      <c r="G691" s="341"/>
      <c r="H691" s="168"/>
      <c r="I691" s="348"/>
      <c r="J691" s="181"/>
      <c r="K691" s="348"/>
      <c r="L691" s="181"/>
      <c r="M691" s="348"/>
      <c r="N691" s="181"/>
      <c r="O691" s="341"/>
      <c r="P691" s="168"/>
      <c r="Q691" s="205"/>
      <c r="R691" s="205"/>
      <c r="S691" s="17"/>
      <c r="T691" s="17"/>
    </row>
    <row r="692">
      <c r="A692" s="341"/>
      <c r="B692" s="168"/>
      <c r="C692" s="341"/>
      <c r="D692" s="181"/>
      <c r="E692" s="341"/>
      <c r="F692" s="168"/>
      <c r="G692" s="341"/>
      <c r="H692" s="168"/>
      <c r="I692" s="348"/>
      <c r="J692" s="181"/>
      <c r="K692" s="348"/>
      <c r="L692" s="181"/>
      <c r="M692" s="348"/>
      <c r="N692" s="181"/>
      <c r="O692" s="341"/>
      <c r="P692" s="168"/>
      <c r="Q692" s="205"/>
      <c r="R692" s="205"/>
      <c r="S692" s="17"/>
      <c r="T692" s="17"/>
    </row>
    <row r="693">
      <c r="A693" s="341"/>
      <c r="B693" s="168"/>
      <c r="C693" s="341"/>
      <c r="D693" s="181"/>
      <c r="E693" s="341"/>
      <c r="F693" s="168"/>
      <c r="G693" s="341"/>
      <c r="H693" s="168"/>
      <c r="I693" s="348"/>
      <c r="J693" s="181"/>
      <c r="K693" s="348"/>
      <c r="L693" s="181"/>
      <c r="M693" s="348"/>
      <c r="N693" s="181"/>
      <c r="O693" s="341"/>
      <c r="P693" s="168"/>
      <c r="Q693" s="205"/>
      <c r="R693" s="205"/>
      <c r="S693" s="17"/>
      <c r="T693" s="17"/>
    </row>
    <row r="694">
      <c r="A694" s="341"/>
      <c r="B694" s="168"/>
      <c r="C694" s="341"/>
      <c r="D694" s="181"/>
      <c r="E694" s="341"/>
      <c r="F694" s="168"/>
      <c r="G694" s="341"/>
      <c r="H694" s="168"/>
      <c r="I694" s="348"/>
      <c r="J694" s="181"/>
      <c r="K694" s="348"/>
      <c r="L694" s="181"/>
      <c r="M694" s="348"/>
      <c r="N694" s="181"/>
      <c r="O694" s="341"/>
      <c r="P694" s="168"/>
      <c r="Q694" s="205"/>
      <c r="R694" s="205"/>
      <c r="S694" s="17"/>
      <c r="T694" s="17"/>
    </row>
    <row r="695">
      <c r="A695" s="341"/>
      <c r="B695" s="168"/>
      <c r="C695" s="341"/>
      <c r="D695" s="181"/>
      <c r="E695" s="341"/>
      <c r="F695" s="168"/>
      <c r="G695" s="341"/>
      <c r="H695" s="168"/>
      <c r="I695" s="348"/>
      <c r="J695" s="181"/>
      <c r="K695" s="348"/>
      <c r="L695" s="181"/>
      <c r="M695" s="348"/>
      <c r="N695" s="181"/>
      <c r="O695" s="341"/>
      <c r="P695" s="168"/>
      <c r="Q695" s="205"/>
      <c r="R695" s="205"/>
      <c r="S695" s="17"/>
      <c r="T695" s="17"/>
    </row>
    <row r="696">
      <c r="A696" s="341"/>
      <c r="B696" s="168"/>
      <c r="C696" s="341"/>
      <c r="D696" s="181"/>
      <c r="E696" s="341"/>
      <c r="F696" s="168"/>
      <c r="G696" s="341"/>
      <c r="H696" s="168"/>
      <c r="I696" s="348"/>
      <c r="J696" s="181"/>
      <c r="K696" s="348"/>
      <c r="L696" s="181"/>
      <c r="M696" s="348"/>
      <c r="N696" s="181"/>
      <c r="O696" s="341"/>
      <c r="P696" s="168"/>
      <c r="Q696" s="205"/>
      <c r="R696" s="205"/>
      <c r="S696" s="17"/>
      <c r="T696" s="17"/>
    </row>
    <row r="697">
      <c r="A697" s="341"/>
      <c r="B697" s="168"/>
      <c r="C697" s="341"/>
      <c r="D697" s="181"/>
      <c r="E697" s="341"/>
      <c r="F697" s="168"/>
      <c r="G697" s="341"/>
      <c r="H697" s="168"/>
      <c r="I697" s="348"/>
      <c r="J697" s="181"/>
      <c r="K697" s="348"/>
      <c r="L697" s="181"/>
      <c r="M697" s="348"/>
      <c r="N697" s="181"/>
      <c r="O697" s="341"/>
      <c r="P697" s="168"/>
      <c r="Q697" s="205"/>
      <c r="R697" s="205"/>
      <c r="S697" s="17"/>
      <c r="T697" s="17"/>
    </row>
    <row r="698">
      <c r="A698" s="341"/>
      <c r="B698" s="168"/>
      <c r="C698" s="341"/>
      <c r="D698" s="181"/>
      <c r="E698" s="341"/>
      <c r="F698" s="168"/>
      <c r="G698" s="341"/>
      <c r="H698" s="168"/>
      <c r="I698" s="348"/>
      <c r="J698" s="181"/>
      <c r="K698" s="348"/>
      <c r="L698" s="181"/>
      <c r="M698" s="348"/>
      <c r="N698" s="181"/>
      <c r="O698" s="341"/>
      <c r="P698" s="168"/>
      <c r="Q698" s="205"/>
      <c r="R698" s="205"/>
      <c r="S698" s="17"/>
      <c r="T698" s="17"/>
    </row>
    <row r="699">
      <c r="A699" s="341"/>
      <c r="B699" s="168"/>
      <c r="C699" s="341"/>
      <c r="D699" s="181"/>
      <c r="E699" s="341"/>
      <c r="F699" s="168"/>
      <c r="G699" s="341"/>
      <c r="H699" s="168"/>
      <c r="I699" s="348"/>
      <c r="J699" s="181"/>
      <c r="K699" s="348"/>
      <c r="L699" s="181"/>
      <c r="M699" s="348"/>
      <c r="N699" s="181"/>
      <c r="O699" s="341"/>
      <c r="P699" s="168"/>
      <c r="Q699" s="205"/>
      <c r="R699" s="205"/>
      <c r="S699" s="17"/>
      <c r="T699" s="17"/>
    </row>
    <row r="700">
      <c r="A700" s="341"/>
      <c r="B700" s="168"/>
      <c r="C700" s="341"/>
      <c r="D700" s="181"/>
      <c r="E700" s="341"/>
      <c r="F700" s="168"/>
      <c r="G700" s="341"/>
      <c r="H700" s="168"/>
      <c r="I700" s="348"/>
      <c r="J700" s="181"/>
      <c r="K700" s="348"/>
      <c r="L700" s="181"/>
      <c r="M700" s="348"/>
      <c r="N700" s="181"/>
      <c r="O700" s="341"/>
      <c r="P700" s="168"/>
      <c r="Q700" s="205"/>
      <c r="R700" s="205"/>
      <c r="S700" s="17"/>
      <c r="T700" s="17"/>
    </row>
    <row r="701">
      <c r="A701" s="341"/>
      <c r="B701" s="168"/>
      <c r="C701" s="341"/>
      <c r="D701" s="181"/>
      <c r="E701" s="341"/>
      <c r="F701" s="168"/>
      <c r="G701" s="341"/>
      <c r="H701" s="168"/>
      <c r="I701" s="348"/>
      <c r="J701" s="181"/>
      <c r="K701" s="348"/>
      <c r="L701" s="181"/>
      <c r="M701" s="348"/>
      <c r="N701" s="181"/>
      <c r="O701" s="341"/>
      <c r="P701" s="168"/>
      <c r="Q701" s="205"/>
      <c r="R701" s="205"/>
      <c r="S701" s="17"/>
      <c r="T701" s="17"/>
    </row>
    <row r="702">
      <c r="A702" s="341"/>
      <c r="B702" s="168"/>
      <c r="C702" s="341"/>
      <c r="D702" s="181"/>
      <c r="E702" s="341"/>
      <c r="F702" s="168"/>
      <c r="G702" s="341"/>
      <c r="H702" s="168"/>
      <c r="I702" s="348"/>
      <c r="J702" s="181"/>
      <c r="K702" s="348"/>
      <c r="L702" s="181"/>
      <c r="M702" s="348"/>
      <c r="N702" s="181"/>
      <c r="O702" s="341"/>
      <c r="P702" s="168"/>
      <c r="Q702" s="205"/>
      <c r="R702" s="205"/>
      <c r="S702" s="17"/>
      <c r="T702" s="17"/>
    </row>
    <row r="703">
      <c r="A703" s="341"/>
      <c r="B703" s="168"/>
      <c r="C703" s="341"/>
      <c r="D703" s="181"/>
      <c r="E703" s="341"/>
      <c r="F703" s="168"/>
      <c r="G703" s="341"/>
      <c r="H703" s="168"/>
      <c r="I703" s="348"/>
      <c r="J703" s="181"/>
      <c r="K703" s="348"/>
      <c r="L703" s="181"/>
      <c r="M703" s="348"/>
      <c r="N703" s="181"/>
      <c r="O703" s="341"/>
      <c r="P703" s="168"/>
      <c r="Q703" s="205"/>
      <c r="R703" s="205"/>
      <c r="S703" s="17"/>
      <c r="T703" s="17"/>
    </row>
    <row r="704">
      <c r="A704" s="341"/>
      <c r="B704" s="168"/>
      <c r="C704" s="341"/>
      <c r="D704" s="181"/>
      <c r="E704" s="341"/>
      <c r="F704" s="168"/>
      <c r="G704" s="341"/>
      <c r="H704" s="168"/>
      <c r="I704" s="348"/>
      <c r="J704" s="181"/>
      <c r="K704" s="348"/>
      <c r="L704" s="181"/>
      <c r="M704" s="348"/>
      <c r="N704" s="181"/>
      <c r="O704" s="341"/>
      <c r="P704" s="168"/>
      <c r="Q704" s="205"/>
      <c r="R704" s="205"/>
      <c r="S704" s="17"/>
      <c r="T704" s="17"/>
    </row>
    <row r="705">
      <c r="A705" s="341"/>
      <c r="B705" s="168"/>
      <c r="C705" s="341"/>
      <c r="D705" s="181"/>
      <c r="E705" s="341"/>
      <c r="F705" s="168"/>
      <c r="G705" s="341"/>
      <c r="H705" s="168"/>
      <c r="I705" s="348"/>
      <c r="J705" s="181"/>
      <c r="K705" s="348"/>
      <c r="L705" s="181"/>
      <c r="M705" s="348"/>
      <c r="N705" s="181"/>
      <c r="O705" s="341"/>
      <c r="P705" s="168"/>
      <c r="Q705" s="205"/>
      <c r="R705" s="205"/>
      <c r="S705" s="17"/>
      <c r="T705" s="17"/>
    </row>
    <row r="706">
      <c r="A706" s="341"/>
      <c r="B706" s="168"/>
      <c r="C706" s="341"/>
      <c r="D706" s="181"/>
      <c r="E706" s="341"/>
      <c r="F706" s="168"/>
      <c r="G706" s="341"/>
      <c r="H706" s="168"/>
      <c r="I706" s="348"/>
      <c r="J706" s="181"/>
      <c r="K706" s="348"/>
      <c r="L706" s="181"/>
      <c r="M706" s="348"/>
      <c r="N706" s="181"/>
      <c r="O706" s="341"/>
      <c r="P706" s="168"/>
      <c r="Q706" s="205"/>
      <c r="R706" s="205"/>
      <c r="S706" s="17"/>
      <c r="T706" s="17"/>
    </row>
    <row r="707">
      <c r="A707" s="341"/>
      <c r="B707" s="168"/>
      <c r="C707" s="341"/>
      <c r="D707" s="181"/>
      <c r="E707" s="341"/>
      <c r="F707" s="168"/>
      <c r="G707" s="341"/>
      <c r="H707" s="168"/>
      <c r="I707" s="348"/>
      <c r="J707" s="181"/>
      <c r="K707" s="348"/>
      <c r="L707" s="181"/>
      <c r="M707" s="348"/>
      <c r="N707" s="181"/>
      <c r="O707" s="341"/>
      <c r="P707" s="168"/>
      <c r="Q707" s="205"/>
      <c r="R707" s="205"/>
      <c r="S707" s="17"/>
      <c r="T707" s="17"/>
    </row>
    <row r="708">
      <c r="A708" s="341"/>
      <c r="B708" s="168"/>
      <c r="C708" s="341"/>
      <c r="D708" s="181"/>
      <c r="E708" s="341"/>
      <c r="F708" s="168"/>
      <c r="G708" s="341"/>
      <c r="H708" s="168"/>
      <c r="I708" s="348"/>
      <c r="J708" s="181"/>
      <c r="K708" s="348"/>
      <c r="L708" s="181"/>
      <c r="M708" s="348"/>
      <c r="N708" s="181"/>
      <c r="O708" s="341"/>
      <c r="P708" s="168"/>
      <c r="Q708" s="205"/>
      <c r="R708" s="205"/>
      <c r="S708" s="17"/>
      <c r="T708" s="17"/>
    </row>
    <row r="709">
      <c r="A709" s="341"/>
      <c r="B709" s="168"/>
      <c r="C709" s="341"/>
      <c r="D709" s="181"/>
      <c r="E709" s="341"/>
      <c r="F709" s="168"/>
      <c r="G709" s="341"/>
      <c r="H709" s="168"/>
      <c r="I709" s="348"/>
      <c r="J709" s="181"/>
      <c r="K709" s="348"/>
      <c r="L709" s="181"/>
      <c r="M709" s="348"/>
      <c r="N709" s="181"/>
      <c r="O709" s="341"/>
      <c r="P709" s="168"/>
      <c r="Q709" s="205"/>
      <c r="R709" s="205"/>
      <c r="S709" s="17"/>
      <c r="T709" s="17"/>
    </row>
    <row r="710">
      <c r="A710" s="341"/>
      <c r="B710" s="168"/>
      <c r="C710" s="341"/>
      <c r="D710" s="181"/>
      <c r="E710" s="341"/>
      <c r="F710" s="168"/>
      <c r="G710" s="341"/>
      <c r="H710" s="168"/>
      <c r="I710" s="348"/>
      <c r="J710" s="181"/>
      <c r="K710" s="348"/>
      <c r="L710" s="181"/>
      <c r="M710" s="348"/>
      <c r="N710" s="181"/>
      <c r="O710" s="341"/>
      <c r="P710" s="168"/>
      <c r="Q710" s="205"/>
      <c r="R710" s="205"/>
      <c r="S710" s="17"/>
      <c r="T710" s="17"/>
    </row>
    <row r="711">
      <c r="A711" s="341"/>
      <c r="B711" s="168"/>
      <c r="C711" s="341"/>
      <c r="D711" s="181"/>
      <c r="E711" s="341"/>
      <c r="F711" s="168"/>
      <c r="G711" s="341"/>
      <c r="H711" s="168"/>
      <c r="I711" s="348"/>
      <c r="J711" s="181"/>
      <c r="K711" s="348"/>
      <c r="L711" s="181"/>
      <c r="M711" s="348"/>
      <c r="N711" s="181"/>
      <c r="O711" s="341"/>
      <c r="P711" s="168"/>
      <c r="Q711" s="205"/>
      <c r="R711" s="205"/>
      <c r="S711" s="17"/>
      <c r="T711" s="17"/>
    </row>
    <row r="712">
      <c r="A712" s="341"/>
      <c r="B712" s="168"/>
      <c r="C712" s="341"/>
      <c r="D712" s="181"/>
      <c r="E712" s="341"/>
      <c r="F712" s="168"/>
      <c r="G712" s="341"/>
      <c r="H712" s="168"/>
      <c r="I712" s="348"/>
      <c r="J712" s="181"/>
      <c r="K712" s="348"/>
      <c r="L712" s="181"/>
      <c r="M712" s="348"/>
      <c r="N712" s="181"/>
      <c r="O712" s="341"/>
      <c r="P712" s="168"/>
      <c r="Q712" s="205"/>
      <c r="R712" s="205"/>
      <c r="S712" s="17"/>
      <c r="T712" s="17"/>
    </row>
    <row r="713">
      <c r="A713" s="341"/>
      <c r="B713" s="168"/>
      <c r="C713" s="341"/>
      <c r="D713" s="181"/>
      <c r="E713" s="341"/>
      <c r="F713" s="168"/>
      <c r="G713" s="341"/>
      <c r="H713" s="168"/>
      <c r="I713" s="348"/>
      <c r="J713" s="181"/>
      <c r="K713" s="348"/>
      <c r="L713" s="181"/>
      <c r="M713" s="348"/>
      <c r="N713" s="181"/>
      <c r="O713" s="341"/>
      <c r="P713" s="168"/>
      <c r="Q713" s="205"/>
      <c r="R713" s="205"/>
      <c r="S713" s="17"/>
      <c r="T713" s="17"/>
    </row>
    <row r="714">
      <c r="A714" s="341"/>
      <c r="B714" s="168"/>
      <c r="C714" s="341"/>
      <c r="D714" s="181"/>
      <c r="E714" s="341"/>
      <c r="F714" s="168"/>
      <c r="G714" s="341"/>
      <c r="H714" s="168"/>
      <c r="I714" s="348"/>
      <c r="J714" s="181"/>
      <c r="K714" s="348"/>
      <c r="L714" s="181"/>
      <c r="M714" s="348"/>
      <c r="N714" s="181"/>
      <c r="O714" s="341"/>
      <c r="P714" s="168"/>
      <c r="Q714" s="205"/>
      <c r="R714" s="205"/>
      <c r="S714" s="17"/>
      <c r="T714" s="17"/>
    </row>
    <row r="715">
      <c r="A715" s="341"/>
      <c r="B715" s="168"/>
      <c r="C715" s="341"/>
      <c r="D715" s="181"/>
      <c r="E715" s="341"/>
      <c r="F715" s="168"/>
      <c r="G715" s="341"/>
      <c r="H715" s="168"/>
      <c r="I715" s="348"/>
      <c r="J715" s="181"/>
      <c r="K715" s="348"/>
      <c r="L715" s="181"/>
      <c r="M715" s="348"/>
      <c r="N715" s="181"/>
      <c r="O715" s="341"/>
      <c r="P715" s="168"/>
      <c r="Q715" s="205"/>
      <c r="R715" s="205"/>
      <c r="S715" s="17"/>
      <c r="T715" s="17"/>
    </row>
    <row r="716">
      <c r="A716" s="341"/>
      <c r="B716" s="168"/>
      <c r="C716" s="341"/>
      <c r="D716" s="181"/>
      <c r="E716" s="341"/>
      <c r="F716" s="168"/>
      <c r="G716" s="341"/>
      <c r="H716" s="168"/>
      <c r="I716" s="348"/>
      <c r="J716" s="181"/>
      <c r="K716" s="348"/>
      <c r="L716" s="181"/>
      <c r="M716" s="348"/>
      <c r="N716" s="181"/>
      <c r="O716" s="341"/>
      <c r="P716" s="168"/>
      <c r="Q716" s="205"/>
      <c r="R716" s="205"/>
      <c r="S716" s="17"/>
      <c r="T716" s="17"/>
    </row>
    <row r="717">
      <c r="A717" s="341"/>
      <c r="B717" s="168"/>
      <c r="C717" s="341"/>
      <c r="D717" s="181"/>
      <c r="E717" s="341"/>
      <c r="F717" s="168"/>
      <c r="G717" s="341"/>
      <c r="H717" s="168"/>
      <c r="I717" s="348"/>
      <c r="J717" s="181"/>
      <c r="K717" s="348"/>
      <c r="L717" s="181"/>
      <c r="M717" s="348"/>
      <c r="N717" s="181"/>
      <c r="O717" s="341"/>
      <c r="P717" s="168"/>
      <c r="Q717" s="205"/>
      <c r="R717" s="205"/>
      <c r="S717" s="17"/>
      <c r="T717" s="17"/>
    </row>
    <row r="718">
      <c r="A718" s="341"/>
      <c r="B718" s="168"/>
      <c r="C718" s="341"/>
      <c r="D718" s="181"/>
      <c r="E718" s="341"/>
      <c r="F718" s="168"/>
      <c r="G718" s="341"/>
      <c r="H718" s="168"/>
      <c r="I718" s="348"/>
      <c r="J718" s="181"/>
      <c r="K718" s="348"/>
      <c r="L718" s="181"/>
      <c r="M718" s="348"/>
      <c r="N718" s="181"/>
      <c r="O718" s="341"/>
      <c r="P718" s="168"/>
      <c r="Q718" s="205"/>
      <c r="R718" s="205"/>
      <c r="S718" s="17"/>
      <c r="T718" s="17"/>
    </row>
    <row r="719">
      <c r="A719" s="341"/>
      <c r="B719" s="168"/>
      <c r="C719" s="341"/>
      <c r="D719" s="181"/>
      <c r="E719" s="341"/>
      <c r="F719" s="168"/>
      <c r="G719" s="341"/>
      <c r="H719" s="168"/>
      <c r="I719" s="348"/>
      <c r="J719" s="181"/>
      <c r="K719" s="348"/>
      <c r="L719" s="181"/>
      <c r="M719" s="348"/>
      <c r="N719" s="181"/>
      <c r="O719" s="341"/>
      <c r="P719" s="168"/>
      <c r="Q719" s="205"/>
      <c r="R719" s="205"/>
      <c r="S719" s="17"/>
      <c r="T719" s="17"/>
    </row>
    <row r="720">
      <c r="A720" s="341"/>
      <c r="B720" s="168"/>
      <c r="C720" s="341"/>
      <c r="D720" s="181"/>
      <c r="E720" s="341"/>
      <c r="F720" s="168"/>
      <c r="G720" s="341"/>
      <c r="H720" s="168"/>
      <c r="I720" s="348"/>
      <c r="J720" s="181"/>
      <c r="K720" s="348"/>
      <c r="L720" s="181"/>
      <c r="M720" s="348"/>
      <c r="N720" s="181"/>
      <c r="O720" s="341"/>
      <c r="P720" s="168"/>
      <c r="Q720" s="205"/>
      <c r="R720" s="205"/>
      <c r="S720" s="17"/>
      <c r="T720" s="17"/>
    </row>
    <row r="721">
      <c r="A721" s="341"/>
      <c r="B721" s="168"/>
      <c r="C721" s="341"/>
      <c r="D721" s="181"/>
      <c r="E721" s="341"/>
      <c r="F721" s="168"/>
      <c r="G721" s="341"/>
      <c r="H721" s="168"/>
      <c r="I721" s="348"/>
      <c r="J721" s="181"/>
      <c r="K721" s="348"/>
      <c r="L721" s="181"/>
      <c r="M721" s="348"/>
      <c r="N721" s="181"/>
      <c r="O721" s="341"/>
      <c r="P721" s="168"/>
      <c r="Q721" s="205"/>
      <c r="R721" s="205"/>
      <c r="S721" s="17"/>
      <c r="T721" s="17"/>
    </row>
    <row r="722">
      <c r="A722" s="341"/>
      <c r="B722" s="168"/>
      <c r="C722" s="341"/>
      <c r="D722" s="181"/>
      <c r="E722" s="341"/>
      <c r="F722" s="168"/>
      <c r="G722" s="341"/>
      <c r="H722" s="168"/>
      <c r="I722" s="348"/>
      <c r="J722" s="181"/>
      <c r="K722" s="348"/>
      <c r="L722" s="181"/>
      <c r="M722" s="348"/>
      <c r="N722" s="181"/>
      <c r="O722" s="341"/>
      <c r="P722" s="168"/>
      <c r="Q722" s="205"/>
      <c r="R722" s="205"/>
      <c r="S722" s="17"/>
      <c r="T722" s="17"/>
    </row>
    <row r="723">
      <c r="A723" s="341"/>
      <c r="B723" s="168"/>
      <c r="C723" s="341"/>
      <c r="D723" s="181"/>
      <c r="E723" s="341"/>
      <c r="F723" s="168"/>
      <c r="G723" s="341"/>
      <c r="H723" s="168"/>
      <c r="I723" s="348"/>
      <c r="J723" s="181"/>
      <c r="K723" s="348"/>
      <c r="L723" s="181"/>
      <c r="M723" s="348"/>
      <c r="N723" s="181"/>
      <c r="O723" s="341"/>
      <c r="P723" s="168"/>
      <c r="Q723" s="205"/>
      <c r="R723" s="205"/>
      <c r="S723" s="17"/>
      <c r="T723" s="17"/>
    </row>
    <row r="724">
      <c r="A724" s="341"/>
      <c r="B724" s="168"/>
      <c r="C724" s="341"/>
      <c r="D724" s="181"/>
      <c r="E724" s="341"/>
      <c r="F724" s="168"/>
      <c r="G724" s="341"/>
      <c r="H724" s="168"/>
      <c r="I724" s="348"/>
      <c r="J724" s="181"/>
      <c r="K724" s="348"/>
      <c r="L724" s="181"/>
      <c r="M724" s="348"/>
      <c r="N724" s="181"/>
      <c r="O724" s="341"/>
      <c r="P724" s="168"/>
      <c r="Q724" s="205"/>
      <c r="R724" s="205"/>
      <c r="S724" s="17"/>
      <c r="T724" s="17"/>
    </row>
    <row r="725">
      <c r="A725" s="341"/>
      <c r="B725" s="168"/>
      <c r="C725" s="341"/>
      <c r="D725" s="181"/>
      <c r="E725" s="341"/>
      <c r="F725" s="168"/>
      <c r="G725" s="341"/>
      <c r="H725" s="168"/>
      <c r="I725" s="348"/>
      <c r="J725" s="181"/>
      <c r="K725" s="348"/>
      <c r="L725" s="181"/>
      <c r="M725" s="348"/>
      <c r="N725" s="181"/>
      <c r="O725" s="341"/>
      <c r="P725" s="168"/>
      <c r="Q725" s="205"/>
      <c r="R725" s="205"/>
      <c r="S725" s="17"/>
      <c r="T725" s="17"/>
    </row>
    <row r="726">
      <c r="A726" s="341"/>
      <c r="B726" s="168"/>
      <c r="C726" s="341"/>
      <c r="D726" s="181"/>
      <c r="E726" s="341"/>
      <c r="F726" s="168"/>
      <c r="G726" s="341"/>
      <c r="H726" s="168"/>
      <c r="I726" s="348"/>
      <c r="J726" s="181"/>
      <c r="K726" s="348"/>
      <c r="L726" s="181"/>
      <c r="M726" s="348"/>
      <c r="N726" s="181"/>
      <c r="O726" s="341"/>
      <c r="P726" s="168"/>
      <c r="Q726" s="205"/>
      <c r="R726" s="205"/>
      <c r="S726" s="17"/>
      <c r="T726" s="17"/>
    </row>
    <row r="727">
      <c r="A727" s="341"/>
      <c r="B727" s="168"/>
      <c r="C727" s="341"/>
      <c r="D727" s="181"/>
      <c r="E727" s="341"/>
      <c r="F727" s="168"/>
      <c r="G727" s="341"/>
      <c r="H727" s="168"/>
      <c r="I727" s="348"/>
      <c r="J727" s="181"/>
      <c r="K727" s="348"/>
      <c r="L727" s="181"/>
      <c r="M727" s="348"/>
      <c r="N727" s="181"/>
      <c r="O727" s="341"/>
      <c r="P727" s="168"/>
      <c r="Q727" s="205"/>
      <c r="R727" s="205"/>
      <c r="S727" s="17"/>
      <c r="T727" s="17"/>
    </row>
    <row r="728">
      <c r="A728" s="341"/>
      <c r="B728" s="168"/>
      <c r="C728" s="341"/>
      <c r="D728" s="181"/>
      <c r="E728" s="341"/>
      <c r="F728" s="168"/>
      <c r="G728" s="341"/>
      <c r="H728" s="168"/>
      <c r="I728" s="348"/>
      <c r="J728" s="181"/>
      <c r="K728" s="348"/>
      <c r="L728" s="181"/>
      <c r="M728" s="348"/>
      <c r="N728" s="181"/>
      <c r="O728" s="341"/>
      <c r="P728" s="168"/>
      <c r="Q728" s="205"/>
      <c r="R728" s="205"/>
      <c r="S728" s="17"/>
      <c r="T728" s="17"/>
    </row>
    <row r="729">
      <c r="A729" s="341"/>
      <c r="B729" s="168"/>
      <c r="C729" s="341"/>
      <c r="D729" s="181"/>
      <c r="E729" s="341"/>
      <c r="F729" s="168"/>
      <c r="G729" s="341"/>
      <c r="H729" s="168"/>
      <c r="I729" s="348"/>
      <c r="J729" s="181"/>
      <c r="K729" s="348"/>
      <c r="L729" s="181"/>
      <c r="M729" s="348"/>
      <c r="N729" s="181"/>
      <c r="O729" s="341"/>
      <c r="P729" s="168"/>
      <c r="Q729" s="205"/>
      <c r="R729" s="205"/>
      <c r="S729" s="17"/>
      <c r="T729" s="17"/>
    </row>
    <row r="730">
      <c r="A730" s="341"/>
      <c r="B730" s="168"/>
      <c r="C730" s="341"/>
      <c r="D730" s="181"/>
      <c r="E730" s="341"/>
      <c r="F730" s="168"/>
      <c r="G730" s="341"/>
      <c r="H730" s="168"/>
      <c r="I730" s="348"/>
      <c r="J730" s="181"/>
      <c r="K730" s="348"/>
      <c r="L730" s="181"/>
      <c r="M730" s="348"/>
      <c r="N730" s="181"/>
      <c r="O730" s="341"/>
      <c r="P730" s="168"/>
      <c r="Q730" s="205"/>
      <c r="R730" s="205"/>
      <c r="S730" s="17"/>
      <c r="T730" s="17"/>
    </row>
    <row r="731">
      <c r="A731" s="341"/>
      <c r="B731" s="168"/>
      <c r="C731" s="341"/>
      <c r="D731" s="181"/>
      <c r="E731" s="341"/>
      <c r="F731" s="168"/>
      <c r="G731" s="341"/>
      <c r="H731" s="168"/>
      <c r="I731" s="348"/>
      <c r="J731" s="181"/>
      <c r="K731" s="348"/>
      <c r="L731" s="181"/>
      <c r="M731" s="348"/>
      <c r="N731" s="181"/>
      <c r="O731" s="341"/>
      <c r="P731" s="168"/>
      <c r="Q731" s="205"/>
      <c r="R731" s="205"/>
      <c r="S731" s="17"/>
      <c r="T731" s="17"/>
    </row>
    <row r="732">
      <c r="A732" s="341"/>
      <c r="B732" s="168"/>
      <c r="C732" s="341"/>
      <c r="D732" s="181"/>
      <c r="E732" s="341"/>
      <c r="F732" s="168"/>
      <c r="G732" s="341"/>
      <c r="H732" s="168"/>
      <c r="I732" s="348"/>
      <c r="J732" s="181"/>
      <c r="K732" s="348"/>
      <c r="L732" s="181"/>
      <c r="M732" s="348"/>
      <c r="N732" s="181"/>
      <c r="O732" s="341"/>
      <c r="P732" s="168"/>
      <c r="Q732" s="205"/>
      <c r="R732" s="205"/>
      <c r="S732" s="17"/>
      <c r="T732" s="17"/>
    </row>
    <row r="733">
      <c r="A733" s="341"/>
      <c r="B733" s="168"/>
      <c r="C733" s="341"/>
      <c r="D733" s="181"/>
      <c r="E733" s="341"/>
      <c r="F733" s="168"/>
      <c r="G733" s="341"/>
      <c r="H733" s="168"/>
      <c r="I733" s="348"/>
      <c r="J733" s="181"/>
      <c r="K733" s="348"/>
      <c r="L733" s="181"/>
      <c r="M733" s="348"/>
      <c r="N733" s="181"/>
      <c r="O733" s="341"/>
      <c r="P733" s="168"/>
      <c r="Q733" s="205"/>
      <c r="R733" s="205"/>
      <c r="S733" s="17"/>
      <c r="T733" s="17"/>
    </row>
    <row r="734">
      <c r="A734" s="341"/>
      <c r="B734" s="168"/>
      <c r="C734" s="341"/>
      <c r="D734" s="181"/>
      <c r="E734" s="341"/>
      <c r="F734" s="168"/>
      <c r="G734" s="341"/>
      <c r="H734" s="168"/>
      <c r="I734" s="348"/>
      <c r="J734" s="181"/>
      <c r="K734" s="348"/>
      <c r="L734" s="181"/>
      <c r="M734" s="348"/>
      <c r="N734" s="181"/>
      <c r="O734" s="341"/>
      <c r="P734" s="168"/>
      <c r="Q734" s="205"/>
      <c r="R734" s="205"/>
      <c r="S734" s="17"/>
      <c r="T734" s="17"/>
    </row>
    <row r="735">
      <c r="A735" s="341"/>
      <c r="B735" s="168"/>
      <c r="C735" s="341"/>
      <c r="D735" s="181"/>
      <c r="E735" s="341"/>
      <c r="F735" s="168"/>
      <c r="G735" s="341"/>
      <c r="H735" s="168"/>
      <c r="I735" s="348"/>
      <c r="J735" s="181"/>
      <c r="K735" s="348"/>
      <c r="L735" s="181"/>
      <c r="M735" s="348"/>
      <c r="N735" s="181"/>
      <c r="O735" s="341"/>
      <c r="P735" s="168"/>
      <c r="Q735" s="205"/>
      <c r="R735" s="205"/>
      <c r="S735" s="17"/>
      <c r="T735" s="17"/>
    </row>
    <row r="736">
      <c r="A736" s="341"/>
      <c r="B736" s="168"/>
      <c r="C736" s="341"/>
      <c r="D736" s="181"/>
      <c r="E736" s="341"/>
      <c r="F736" s="168"/>
      <c r="G736" s="341"/>
      <c r="H736" s="168"/>
      <c r="I736" s="348"/>
      <c r="J736" s="181"/>
      <c r="K736" s="348"/>
      <c r="L736" s="181"/>
      <c r="M736" s="348"/>
      <c r="N736" s="181"/>
      <c r="O736" s="341"/>
      <c r="P736" s="168"/>
      <c r="Q736" s="205"/>
      <c r="R736" s="205"/>
      <c r="S736" s="17"/>
      <c r="T736" s="17"/>
    </row>
    <row r="737">
      <c r="A737" s="341"/>
      <c r="B737" s="168"/>
      <c r="C737" s="341"/>
      <c r="D737" s="181"/>
      <c r="E737" s="341"/>
      <c r="F737" s="168"/>
      <c r="G737" s="341"/>
      <c r="H737" s="168"/>
      <c r="I737" s="348"/>
      <c r="J737" s="181"/>
      <c r="K737" s="348"/>
      <c r="L737" s="181"/>
      <c r="M737" s="348"/>
      <c r="N737" s="181"/>
      <c r="O737" s="341"/>
      <c r="P737" s="168"/>
      <c r="Q737" s="205"/>
      <c r="R737" s="205"/>
      <c r="S737" s="17"/>
      <c r="T737" s="17"/>
    </row>
    <row r="738">
      <c r="A738" s="341"/>
      <c r="B738" s="168"/>
      <c r="C738" s="341"/>
      <c r="D738" s="181"/>
      <c r="E738" s="341"/>
      <c r="F738" s="168"/>
      <c r="G738" s="341"/>
      <c r="H738" s="168"/>
      <c r="I738" s="348"/>
      <c r="J738" s="181"/>
      <c r="K738" s="348"/>
      <c r="L738" s="181"/>
      <c r="M738" s="348"/>
      <c r="N738" s="181"/>
      <c r="O738" s="341"/>
      <c r="P738" s="168"/>
      <c r="Q738" s="205"/>
      <c r="R738" s="205"/>
      <c r="S738" s="17"/>
      <c r="T738" s="17"/>
    </row>
    <row r="739">
      <c r="A739" s="341"/>
      <c r="B739" s="168"/>
      <c r="C739" s="341"/>
      <c r="D739" s="181"/>
      <c r="E739" s="341"/>
      <c r="F739" s="168"/>
      <c r="G739" s="341"/>
      <c r="H739" s="168"/>
      <c r="I739" s="348"/>
      <c r="J739" s="181"/>
      <c r="K739" s="348"/>
      <c r="L739" s="181"/>
      <c r="M739" s="348"/>
      <c r="N739" s="181"/>
      <c r="O739" s="341"/>
      <c r="P739" s="168"/>
      <c r="Q739" s="205"/>
      <c r="R739" s="205"/>
      <c r="S739" s="17"/>
      <c r="T739" s="17"/>
    </row>
    <row r="740">
      <c r="A740" s="341"/>
      <c r="B740" s="168"/>
      <c r="C740" s="341"/>
      <c r="D740" s="181"/>
      <c r="E740" s="341"/>
      <c r="F740" s="168"/>
      <c r="G740" s="341"/>
      <c r="H740" s="168"/>
      <c r="I740" s="348"/>
      <c r="J740" s="181"/>
      <c r="K740" s="348"/>
      <c r="L740" s="181"/>
      <c r="M740" s="348"/>
      <c r="N740" s="181"/>
      <c r="O740" s="341"/>
      <c r="P740" s="168"/>
      <c r="Q740" s="205"/>
      <c r="R740" s="205"/>
      <c r="S740" s="17"/>
      <c r="T740" s="17"/>
    </row>
    <row r="741">
      <c r="A741" s="341"/>
      <c r="B741" s="168"/>
      <c r="C741" s="341"/>
      <c r="D741" s="181"/>
      <c r="E741" s="341"/>
      <c r="F741" s="168"/>
      <c r="G741" s="341"/>
      <c r="H741" s="168"/>
      <c r="I741" s="348"/>
      <c r="J741" s="181"/>
      <c r="K741" s="348"/>
      <c r="L741" s="181"/>
      <c r="M741" s="348"/>
      <c r="N741" s="181"/>
      <c r="O741" s="341"/>
      <c r="P741" s="168"/>
      <c r="Q741" s="205"/>
      <c r="R741" s="205"/>
      <c r="S741" s="17"/>
      <c r="T741" s="17"/>
    </row>
    <row r="742">
      <c r="A742" s="341"/>
      <c r="B742" s="168"/>
      <c r="C742" s="341"/>
      <c r="D742" s="181"/>
      <c r="E742" s="341"/>
      <c r="F742" s="168"/>
      <c r="G742" s="341"/>
      <c r="H742" s="168"/>
      <c r="I742" s="348"/>
      <c r="J742" s="181"/>
      <c r="K742" s="348"/>
      <c r="L742" s="181"/>
      <c r="M742" s="348"/>
      <c r="N742" s="181"/>
      <c r="O742" s="341"/>
      <c r="P742" s="168"/>
      <c r="Q742" s="205"/>
      <c r="R742" s="205"/>
      <c r="S742" s="17"/>
      <c r="T742" s="17"/>
    </row>
    <row r="743">
      <c r="A743" s="341"/>
      <c r="B743" s="168"/>
      <c r="C743" s="341"/>
      <c r="D743" s="181"/>
      <c r="E743" s="341"/>
      <c r="F743" s="168"/>
      <c r="G743" s="341"/>
      <c r="H743" s="168"/>
      <c r="I743" s="348"/>
      <c r="J743" s="181"/>
      <c r="K743" s="348"/>
      <c r="L743" s="181"/>
      <c r="M743" s="348"/>
      <c r="N743" s="181"/>
      <c r="O743" s="341"/>
      <c r="P743" s="168"/>
      <c r="Q743" s="205"/>
      <c r="R743" s="205"/>
      <c r="S743" s="17"/>
      <c r="T743" s="17"/>
    </row>
    <row r="744">
      <c r="A744" s="341"/>
      <c r="B744" s="168"/>
      <c r="C744" s="341"/>
      <c r="D744" s="181"/>
      <c r="E744" s="341"/>
      <c r="F744" s="168"/>
      <c r="G744" s="341"/>
      <c r="H744" s="168"/>
      <c r="I744" s="348"/>
      <c r="J744" s="181"/>
      <c r="K744" s="348"/>
      <c r="L744" s="181"/>
      <c r="M744" s="348"/>
      <c r="N744" s="181"/>
      <c r="O744" s="341"/>
      <c r="P744" s="168"/>
      <c r="Q744" s="205"/>
      <c r="R744" s="205"/>
      <c r="S744" s="17"/>
      <c r="T744" s="17"/>
    </row>
    <row r="745">
      <c r="A745" s="341"/>
      <c r="B745" s="168"/>
      <c r="C745" s="341"/>
      <c r="D745" s="181"/>
      <c r="E745" s="341"/>
      <c r="F745" s="168"/>
      <c r="G745" s="341"/>
      <c r="H745" s="168"/>
      <c r="I745" s="348"/>
      <c r="J745" s="181"/>
      <c r="K745" s="348"/>
      <c r="L745" s="181"/>
      <c r="M745" s="348"/>
      <c r="N745" s="181"/>
      <c r="O745" s="341"/>
      <c r="P745" s="168"/>
      <c r="Q745" s="205"/>
      <c r="R745" s="205"/>
      <c r="S745" s="17"/>
      <c r="T745" s="17"/>
    </row>
    <row r="746">
      <c r="A746" s="341"/>
      <c r="B746" s="168"/>
      <c r="C746" s="341"/>
      <c r="D746" s="181"/>
      <c r="E746" s="341"/>
      <c r="F746" s="168"/>
      <c r="G746" s="341"/>
      <c r="H746" s="168"/>
      <c r="I746" s="348"/>
      <c r="J746" s="181"/>
      <c r="K746" s="348"/>
      <c r="L746" s="181"/>
      <c r="M746" s="348"/>
      <c r="N746" s="181"/>
      <c r="O746" s="341"/>
      <c r="P746" s="168"/>
      <c r="Q746" s="205"/>
      <c r="R746" s="205"/>
      <c r="S746" s="17"/>
      <c r="T746" s="17"/>
    </row>
    <row r="747">
      <c r="A747" s="341"/>
      <c r="B747" s="168"/>
      <c r="C747" s="341"/>
      <c r="D747" s="181"/>
      <c r="E747" s="341"/>
      <c r="F747" s="168"/>
      <c r="G747" s="341"/>
      <c r="H747" s="168"/>
      <c r="I747" s="348"/>
      <c r="J747" s="181"/>
      <c r="K747" s="348"/>
      <c r="L747" s="181"/>
      <c r="M747" s="348"/>
      <c r="N747" s="181"/>
      <c r="O747" s="341"/>
      <c r="P747" s="168"/>
      <c r="Q747" s="205"/>
      <c r="R747" s="205"/>
      <c r="S747" s="17"/>
      <c r="T747" s="17"/>
    </row>
    <row r="748">
      <c r="A748" s="341"/>
      <c r="B748" s="168"/>
      <c r="C748" s="341"/>
      <c r="D748" s="181"/>
      <c r="E748" s="341"/>
      <c r="F748" s="168"/>
      <c r="G748" s="341"/>
      <c r="H748" s="168"/>
      <c r="I748" s="348"/>
      <c r="J748" s="181"/>
      <c r="K748" s="348"/>
      <c r="L748" s="181"/>
      <c r="M748" s="348"/>
      <c r="N748" s="181"/>
      <c r="O748" s="341"/>
      <c r="P748" s="168"/>
      <c r="Q748" s="205"/>
      <c r="R748" s="205"/>
      <c r="S748" s="17"/>
      <c r="T748" s="17"/>
    </row>
    <row r="749">
      <c r="A749" s="341"/>
      <c r="B749" s="168"/>
      <c r="C749" s="341"/>
      <c r="D749" s="181"/>
      <c r="E749" s="341"/>
      <c r="F749" s="168"/>
      <c r="G749" s="341"/>
      <c r="H749" s="168"/>
      <c r="I749" s="348"/>
      <c r="J749" s="181"/>
      <c r="K749" s="348"/>
      <c r="L749" s="181"/>
      <c r="M749" s="348"/>
      <c r="N749" s="181"/>
      <c r="O749" s="341"/>
      <c r="P749" s="168"/>
      <c r="Q749" s="205"/>
      <c r="R749" s="205"/>
      <c r="S749" s="17"/>
      <c r="T749" s="17"/>
    </row>
    <row r="750">
      <c r="A750" s="341"/>
      <c r="B750" s="168"/>
      <c r="C750" s="341"/>
      <c r="D750" s="181"/>
      <c r="E750" s="341"/>
      <c r="F750" s="168"/>
      <c r="G750" s="341"/>
      <c r="H750" s="168"/>
      <c r="I750" s="348"/>
      <c r="J750" s="181"/>
      <c r="K750" s="348"/>
      <c r="L750" s="181"/>
      <c r="M750" s="348"/>
      <c r="N750" s="181"/>
      <c r="O750" s="341"/>
      <c r="P750" s="168"/>
      <c r="Q750" s="205"/>
      <c r="R750" s="205"/>
      <c r="S750" s="17"/>
      <c r="T750" s="17"/>
    </row>
    <row r="751">
      <c r="A751" s="341"/>
      <c r="B751" s="168"/>
      <c r="C751" s="341"/>
      <c r="D751" s="181"/>
      <c r="E751" s="341"/>
      <c r="F751" s="168"/>
      <c r="G751" s="341"/>
      <c r="H751" s="168"/>
      <c r="I751" s="348"/>
      <c r="J751" s="181"/>
      <c r="K751" s="348"/>
      <c r="L751" s="181"/>
      <c r="M751" s="348"/>
      <c r="N751" s="181"/>
      <c r="O751" s="341"/>
      <c r="P751" s="168"/>
      <c r="Q751" s="205"/>
      <c r="R751" s="205"/>
      <c r="S751" s="17"/>
      <c r="T751" s="17"/>
    </row>
    <row r="752">
      <c r="A752" s="341"/>
      <c r="B752" s="168"/>
      <c r="C752" s="341"/>
      <c r="D752" s="181"/>
      <c r="E752" s="341"/>
      <c r="F752" s="168"/>
      <c r="G752" s="341"/>
      <c r="H752" s="168"/>
      <c r="I752" s="348"/>
      <c r="J752" s="181"/>
      <c r="K752" s="348"/>
      <c r="L752" s="181"/>
      <c r="M752" s="348"/>
      <c r="N752" s="181"/>
      <c r="O752" s="341"/>
      <c r="P752" s="168"/>
      <c r="Q752" s="205"/>
      <c r="R752" s="205"/>
      <c r="S752" s="17"/>
      <c r="T752" s="17"/>
    </row>
    <row r="753">
      <c r="A753" s="341"/>
      <c r="B753" s="168"/>
      <c r="C753" s="341"/>
      <c r="D753" s="181"/>
      <c r="E753" s="341"/>
      <c r="F753" s="168"/>
      <c r="G753" s="341"/>
      <c r="H753" s="168"/>
      <c r="I753" s="348"/>
      <c r="J753" s="181"/>
      <c r="K753" s="348"/>
      <c r="L753" s="181"/>
      <c r="M753" s="348"/>
      <c r="N753" s="181"/>
      <c r="O753" s="341"/>
      <c r="P753" s="168"/>
      <c r="Q753" s="205"/>
      <c r="R753" s="205"/>
      <c r="S753" s="17"/>
      <c r="T753" s="17"/>
    </row>
    <row r="754">
      <c r="A754" s="341"/>
      <c r="B754" s="168"/>
      <c r="C754" s="341"/>
      <c r="D754" s="181"/>
      <c r="E754" s="341"/>
      <c r="F754" s="168"/>
      <c r="G754" s="341"/>
      <c r="H754" s="168"/>
      <c r="I754" s="348"/>
      <c r="J754" s="181"/>
      <c r="K754" s="348"/>
      <c r="L754" s="181"/>
      <c r="M754" s="348"/>
      <c r="N754" s="181"/>
      <c r="O754" s="341"/>
      <c r="P754" s="168"/>
      <c r="Q754" s="205"/>
      <c r="R754" s="205"/>
      <c r="S754" s="17"/>
      <c r="T754" s="17"/>
    </row>
    <row r="755">
      <c r="A755" s="341"/>
      <c r="B755" s="168"/>
      <c r="C755" s="341"/>
      <c r="D755" s="181"/>
      <c r="E755" s="341"/>
      <c r="F755" s="168"/>
      <c r="G755" s="341"/>
      <c r="H755" s="168"/>
      <c r="I755" s="348"/>
      <c r="J755" s="181"/>
      <c r="K755" s="348"/>
      <c r="L755" s="181"/>
      <c r="M755" s="348"/>
      <c r="N755" s="181"/>
      <c r="O755" s="341"/>
      <c r="P755" s="168"/>
      <c r="Q755" s="205"/>
      <c r="R755" s="205"/>
      <c r="S755" s="17"/>
      <c r="T755" s="17"/>
    </row>
    <row r="756">
      <c r="A756" s="341"/>
      <c r="B756" s="168"/>
      <c r="C756" s="341"/>
      <c r="D756" s="181"/>
      <c r="E756" s="341"/>
      <c r="F756" s="168"/>
      <c r="G756" s="341"/>
      <c r="H756" s="168"/>
      <c r="I756" s="348"/>
      <c r="J756" s="181"/>
      <c r="K756" s="348"/>
      <c r="L756" s="181"/>
      <c r="M756" s="348"/>
      <c r="N756" s="181"/>
      <c r="O756" s="341"/>
      <c r="P756" s="168"/>
      <c r="Q756" s="205"/>
      <c r="R756" s="205"/>
      <c r="S756" s="17"/>
      <c r="T756" s="17"/>
    </row>
    <row r="757">
      <c r="A757" s="341"/>
      <c r="B757" s="168"/>
      <c r="C757" s="341"/>
      <c r="D757" s="181"/>
      <c r="E757" s="341"/>
      <c r="F757" s="168"/>
      <c r="G757" s="341"/>
      <c r="H757" s="168"/>
      <c r="I757" s="348"/>
      <c r="J757" s="181"/>
      <c r="K757" s="348"/>
      <c r="L757" s="181"/>
      <c r="M757" s="348"/>
      <c r="N757" s="181"/>
      <c r="O757" s="341"/>
      <c r="P757" s="168"/>
      <c r="Q757" s="205"/>
      <c r="R757" s="205"/>
      <c r="S757" s="17"/>
      <c r="T757" s="17"/>
    </row>
    <row r="758">
      <c r="A758" s="341"/>
      <c r="B758" s="168"/>
      <c r="C758" s="341"/>
      <c r="D758" s="181"/>
      <c r="E758" s="341"/>
      <c r="F758" s="168"/>
      <c r="G758" s="341"/>
      <c r="H758" s="168"/>
      <c r="I758" s="348"/>
      <c r="J758" s="181"/>
      <c r="K758" s="348"/>
      <c r="L758" s="181"/>
      <c r="M758" s="348"/>
      <c r="N758" s="181"/>
      <c r="O758" s="341"/>
      <c r="P758" s="168"/>
      <c r="Q758" s="205"/>
      <c r="R758" s="205"/>
      <c r="S758" s="17"/>
      <c r="T758" s="17"/>
    </row>
    <row r="759">
      <c r="A759" s="341"/>
      <c r="B759" s="168"/>
      <c r="C759" s="341"/>
      <c r="D759" s="181"/>
      <c r="E759" s="341"/>
      <c r="F759" s="168"/>
      <c r="G759" s="341"/>
      <c r="H759" s="168"/>
      <c r="I759" s="348"/>
      <c r="J759" s="181"/>
      <c r="K759" s="348"/>
      <c r="L759" s="181"/>
      <c r="M759" s="348"/>
      <c r="N759" s="181"/>
      <c r="O759" s="341"/>
      <c r="P759" s="168"/>
      <c r="Q759" s="205"/>
      <c r="R759" s="205"/>
      <c r="S759" s="17"/>
      <c r="T759" s="17"/>
    </row>
    <row r="760">
      <c r="A760" s="341"/>
      <c r="B760" s="168"/>
      <c r="C760" s="341"/>
      <c r="D760" s="181"/>
      <c r="E760" s="341"/>
      <c r="F760" s="168"/>
      <c r="G760" s="341"/>
      <c r="H760" s="168"/>
      <c r="I760" s="348"/>
      <c r="J760" s="181"/>
      <c r="K760" s="348"/>
      <c r="L760" s="181"/>
      <c r="M760" s="348"/>
      <c r="N760" s="181"/>
      <c r="O760" s="341"/>
      <c r="P760" s="168"/>
      <c r="Q760" s="205"/>
      <c r="R760" s="205"/>
      <c r="S760" s="17"/>
      <c r="T760" s="17"/>
    </row>
    <row r="761">
      <c r="A761" s="341"/>
      <c r="B761" s="168"/>
      <c r="C761" s="341"/>
      <c r="D761" s="181"/>
      <c r="E761" s="341"/>
      <c r="F761" s="168"/>
      <c r="G761" s="341"/>
      <c r="H761" s="168"/>
      <c r="I761" s="348"/>
      <c r="J761" s="181"/>
      <c r="K761" s="348"/>
      <c r="L761" s="181"/>
      <c r="M761" s="348"/>
      <c r="N761" s="181"/>
      <c r="O761" s="341"/>
      <c r="P761" s="168"/>
      <c r="Q761" s="205"/>
      <c r="R761" s="205"/>
      <c r="S761" s="17"/>
      <c r="T761" s="17"/>
    </row>
    <row r="762">
      <c r="A762" s="341"/>
      <c r="B762" s="168"/>
      <c r="C762" s="341"/>
      <c r="D762" s="181"/>
      <c r="E762" s="341"/>
      <c r="F762" s="168"/>
      <c r="G762" s="341"/>
      <c r="H762" s="168"/>
      <c r="I762" s="348"/>
      <c r="J762" s="181"/>
      <c r="K762" s="348"/>
      <c r="L762" s="181"/>
      <c r="M762" s="348"/>
      <c r="N762" s="181"/>
      <c r="O762" s="341"/>
      <c r="P762" s="168"/>
      <c r="Q762" s="205"/>
      <c r="R762" s="205"/>
      <c r="S762" s="17"/>
      <c r="T762" s="17"/>
    </row>
    <row r="763">
      <c r="A763" s="341"/>
      <c r="B763" s="168"/>
      <c r="C763" s="341"/>
      <c r="D763" s="181"/>
      <c r="E763" s="341"/>
      <c r="F763" s="168"/>
      <c r="G763" s="341"/>
      <c r="H763" s="168"/>
      <c r="I763" s="348"/>
      <c r="J763" s="181"/>
      <c r="K763" s="348"/>
      <c r="L763" s="181"/>
      <c r="M763" s="348"/>
      <c r="N763" s="181"/>
      <c r="O763" s="341"/>
      <c r="P763" s="168"/>
      <c r="Q763" s="205"/>
      <c r="R763" s="205"/>
      <c r="S763" s="17"/>
      <c r="T763" s="17"/>
    </row>
    <row r="764">
      <c r="A764" s="341"/>
      <c r="B764" s="168"/>
      <c r="C764" s="341"/>
      <c r="D764" s="181"/>
      <c r="E764" s="341"/>
      <c r="F764" s="168"/>
      <c r="G764" s="341"/>
      <c r="H764" s="168"/>
      <c r="I764" s="348"/>
      <c r="J764" s="181"/>
      <c r="K764" s="348"/>
      <c r="L764" s="181"/>
      <c r="M764" s="348"/>
      <c r="N764" s="181"/>
      <c r="O764" s="341"/>
      <c r="P764" s="168"/>
      <c r="Q764" s="205"/>
      <c r="R764" s="205"/>
      <c r="S764" s="17"/>
      <c r="T764" s="17"/>
    </row>
    <row r="765">
      <c r="A765" s="341"/>
      <c r="B765" s="168"/>
      <c r="C765" s="341"/>
      <c r="D765" s="181"/>
      <c r="E765" s="341"/>
      <c r="F765" s="168"/>
      <c r="G765" s="341"/>
      <c r="H765" s="168"/>
      <c r="I765" s="348"/>
      <c r="J765" s="181"/>
      <c r="K765" s="348"/>
      <c r="L765" s="181"/>
      <c r="M765" s="348"/>
      <c r="N765" s="181"/>
      <c r="O765" s="341"/>
      <c r="P765" s="168"/>
      <c r="Q765" s="205"/>
      <c r="R765" s="205"/>
      <c r="S765" s="17"/>
      <c r="T765" s="17"/>
    </row>
    <row r="766">
      <c r="A766" s="341"/>
      <c r="B766" s="168"/>
      <c r="C766" s="341"/>
      <c r="D766" s="181"/>
      <c r="E766" s="341"/>
      <c r="F766" s="168"/>
      <c r="G766" s="341"/>
      <c r="H766" s="168"/>
      <c r="I766" s="348"/>
      <c r="J766" s="181"/>
      <c r="K766" s="348"/>
      <c r="L766" s="181"/>
      <c r="M766" s="348"/>
      <c r="N766" s="181"/>
      <c r="O766" s="341"/>
      <c r="P766" s="168"/>
      <c r="Q766" s="205"/>
      <c r="R766" s="205"/>
      <c r="S766" s="17"/>
      <c r="T766" s="17"/>
    </row>
    <row r="767">
      <c r="A767" s="341"/>
      <c r="B767" s="168"/>
      <c r="C767" s="341"/>
      <c r="D767" s="181"/>
      <c r="E767" s="341"/>
      <c r="F767" s="168"/>
      <c r="G767" s="341"/>
      <c r="H767" s="168"/>
      <c r="I767" s="348"/>
      <c r="J767" s="181"/>
      <c r="K767" s="348"/>
      <c r="L767" s="181"/>
      <c r="M767" s="348"/>
      <c r="N767" s="181"/>
      <c r="O767" s="341"/>
      <c r="P767" s="168"/>
      <c r="Q767" s="205"/>
      <c r="R767" s="205"/>
      <c r="S767" s="17"/>
      <c r="T767" s="17"/>
    </row>
    <row r="768">
      <c r="A768" s="341"/>
      <c r="B768" s="168"/>
      <c r="C768" s="341"/>
      <c r="D768" s="181"/>
      <c r="E768" s="341"/>
      <c r="F768" s="168"/>
      <c r="G768" s="341"/>
      <c r="H768" s="168"/>
      <c r="I768" s="348"/>
      <c r="J768" s="181"/>
      <c r="K768" s="348"/>
      <c r="L768" s="181"/>
      <c r="M768" s="348"/>
      <c r="N768" s="181"/>
      <c r="O768" s="341"/>
      <c r="P768" s="168"/>
      <c r="Q768" s="205"/>
      <c r="R768" s="205"/>
      <c r="S768" s="17"/>
      <c r="T768" s="17"/>
    </row>
    <row r="769">
      <c r="A769" s="341"/>
      <c r="B769" s="168"/>
      <c r="C769" s="341"/>
      <c r="D769" s="181"/>
      <c r="E769" s="341"/>
      <c r="F769" s="168"/>
      <c r="G769" s="341"/>
      <c r="H769" s="168"/>
      <c r="I769" s="348"/>
      <c r="J769" s="181"/>
      <c r="K769" s="348"/>
      <c r="L769" s="181"/>
      <c r="M769" s="348"/>
      <c r="N769" s="181"/>
      <c r="O769" s="341"/>
      <c r="P769" s="168"/>
      <c r="Q769" s="205"/>
      <c r="R769" s="205"/>
      <c r="S769" s="17"/>
      <c r="T769" s="17"/>
    </row>
    <row r="770">
      <c r="A770" s="341"/>
      <c r="B770" s="168"/>
      <c r="C770" s="341"/>
      <c r="D770" s="181"/>
      <c r="E770" s="341"/>
      <c r="F770" s="168"/>
      <c r="G770" s="341"/>
      <c r="H770" s="168"/>
      <c r="I770" s="348"/>
      <c r="J770" s="181"/>
      <c r="K770" s="348"/>
      <c r="L770" s="181"/>
      <c r="M770" s="348"/>
      <c r="N770" s="181"/>
      <c r="O770" s="341"/>
      <c r="P770" s="168"/>
      <c r="Q770" s="205"/>
      <c r="R770" s="205"/>
      <c r="S770" s="17"/>
      <c r="T770" s="17"/>
    </row>
    <row r="771">
      <c r="A771" s="341"/>
      <c r="B771" s="168"/>
      <c r="C771" s="341"/>
      <c r="D771" s="181"/>
      <c r="E771" s="341"/>
      <c r="F771" s="168"/>
      <c r="G771" s="341"/>
      <c r="H771" s="168"/>
      <c r="I771" s="348"/>
      <c r="J771" s="181"/>
      <c r="K771" s="348"/>
      <c r="L771" s="181"/>
      <c r="M771" s="348"/>
      <c r="N771" s="181"/>
      <c r="O771" s="341"/>
      <c r="P771" s="168"/>
      <c r="Q771" s="205"/>
      <c r="R771" s="205"/>
      <c r="S771" s="17"/>
      <c r="T771" s="17"/>
    </row>
    <row r="772">
      <c r="A772" s="341"/>
      <c r="B772" s="168"/>
      <c r="C772" s="341"/>
      <c r="D772" s="181"/>
      <c r="E772" s="341"/>
      <c r="F772" s="168"/>
      <c r="G772" s="341"/>
      <c r="H772" s="168"/>
      <c r="I772" s="348"/>
      <c r="J772" s="181"/>
      <c r="K772" s="348"/>
      <c r="L772" s="181"/>
      <c r="M772" s="348"/>
      <c r="N772" s="181"/>
      <c r="O772" s="341"/>
      <c r="P772" s="168"/>
      <c r="Q772" s="205"/>
      <c r="R772" s="205"/>
      <c r="S772" s="17"/>
      <c r="T772" s="17"/>
    </row>
    <row r="773">
      <c r="A773" s="341"/>
      <c r="B773" s="168"/>
      <c r="C773" s="341"/>
      <c r="D773" s="181"/>
      <c r="E773" s="341"/>
      <c r="F773" s="168"/>
      <c r="G773" s="341"/>
      <c r="H773" s="168"/>
      <c r="I773" s="348"/>
      <c r="J773" s="181"/>
      <c r="K773" s="348"/>
      <c r="L773" s="181"/>
      <c r="M773" s="348"/>
      <c r="N773" s="181"/>
      <c r="O773" s="341"/>
      <c r="P773" s="168"/>
      <c r="Q773" s="205"/>
      <c r="R773" s="205"/>
      <c r="S773" s="17"/>
      <c r="T773" s="17"/>
    </row>
    <row r="774">
      <c r="A774" s="341"/>
      <c r="B774" s="168"/>
      <c r="C774" s="341"/>
      <c r="D774" s="181"/>
      <c r="E774" s="341"/>
      <c r="F774" s="168"/>
      <c r="G774" s="341"/>
      <c r="H774" s="168"/>
      <c r="I774" s="348"/>
      <c r="J774" s="181"/>
      <c r="K774" s="348"/>
      <c r="L774" s="181"/>
      <c r="M774" s="348"/>
      <c r="N774" s="181"/>
      <c r="O774" s="341"/>
      <c r="P774" s="168"/>
      <c r="Q774" s="205"/>
      <c r="R774" s="205"/>
      <c r="S774" s="17"/>
      <c r="T774" s="17"/>
    </row>
    <row r="775">
      <c r="A775" s="341"/>
      <c r="B775" s="168"/>
      <c r="C775" s="341"/>
      <c r="D775" s="181"/>
      <c r="E775" s="341"/>
      <c r="F775" s="168"/>
      <c r="G775" s="341"/>
      <c r="H775" s="168"/>
      <c r="I775" s="348"/>
      <c r="J775" s="181"/>
      <c r="K775" s="348"/>
      <c r="L775" s="181"/>
      <c r="M775" s="348"/>
      <c r="N775" s="181"/>
      <c r="O775" s="341"/>
      <c r="P775" s="168"/>
      <c r="Q775" s="205"/>
      <c r="R775" s="205"/>
      <c r="S775" s="17"/>
      <c r="T775" s="17"/>
    </row>
    <row r="776">
      <c r="A776" s="341"/>
      <c r="B776" s="168"/>
      <c r="C776" s="341"/>
      <c r="D776" s="181"/>
      <c r="E776" s="341"/>
      <c r="F776" s="168"/>
      <c r="G776" s="341"/>
      <c r="H776" s="168"/>
      <c r="I776" s="348"/>
      <c r="J776" s="181"/>
      <c r="K776" s="348"/>
      <c r="L776" s="181"/>
      <c r="M776" s="348"/>
      <c r="N776" s="181"/>
      <c r="O776" s="341"/>
      <c r="P776" s="168"/>
      <c r="Q776" s="205"/>
      <c r="R776" s="205"/>
      <c r="S776" s="17"/>
      <c r="T776" s="17"/>
    </row>
    <row r="777">
      <c r="A777" s="341"/>
      <c r="B777" s="168"/>
      <c r="C777" s="341"/>
      <c r="D777" s="181"/>
      <c r="E777" s="341"/>
      <c r="F777" s="168"/>
      <c r="G777" s="341"/>
      <c r="H777" s="168"/>
      <c r="I777" s="348"/>
      <c r="J777" s="181"/>
      <c r="K777" s="348"/>
      <c r="L777" s="181"/>
      <c r="M777" s="348"/>
      <c r="N777" s="181"/>
      <c r="O777" s="341"/>
      <c r="P777" s="168"/>
      <c r="Q777" s="205"/>
      <c r="R777" s="205"/>
      <c r="S777" s="17"/>
      <c r="T777" s="17"/>
    </row>
    <row r="778">
      <c r="A778" s="341"/>
      <c r="B778" s="168"/>
      <c r="C778" s="341"/>
      <c r="D778" s="181"/>
      <c r="E778" s="341"/>
      <c r="F778" s="168"/>
      <c r="G778" s="341"/>
      <c r="H778" s="168"/>
      <c r="I778" s="348"/>
      <c r="J778" s="181"/>
      <c r="K778" s="348"/>
      <c r="L778" s="181"/>
      <c r="M778" s="348"/>
      <c r="N778" s="181"/>
      <c r="O778" s="341"/>
      <c r="P778" s="168"/>
      <c r="Q778" s="205"/>
      <c r="R778" s="205"/>
      <c r="S778" s="17"/>
      <c r="T778" s="17"/>
    </row>
    <row r="779">
      <c r="A779" s="341"/>
      <c r="B779" s="168"/>
      <c r="C779" s="341"/>
      <c r="D779" s="181"/>
      <c r="E779" s="341"/>
      <c r="F779" s="168"/>
      <c r="G779" s="341"/>
      <c r="H779" s="168"/>
      <c r="I779" s="348"/>
      <c r="J779" s="181"/>
      <c r="K779" s="348"/>
      <c r="L779" s="181"/>
      <c r="M779" s="348"/>
      <c r="N779" s="181"/>
      <c r="O779" s="341"/>
      <c r="P779" s="168"/>
      <c r="Q779" s="205"/>
      <c r="R779" s="205"/>
      <c r="S779" s="17"/>
      <c r="T779" s="17"/>
    </row>
    <row r="780">
      <c r="A780" s="341"/>
      <c r="B780" s="168"/>
      <c r="C780" s="341"/>
      <c r="D780" s="181"/>
      <c r="E780" s="341"/>
      <c r="F780" s="168"/>
      <c r="G780" s="341"/>
      <c r="H780" s="168"/>
      <c r="I780" s="348"/>
      <c r="J780" s="181"/>
      <c r="K780" s="348"/>
      <c r="L780" s="181"/>
      <c r="M780" s="348"/>
      <c r="N780" s="181"/>
      <c r="O780" s="341"/>
      <c r="P780" s="168"/>
      <c r="Q780" s="205"/>
      <c r="R780" s="205"/>
      <c r="S780" s="17"/>
      <c r="T780" s="17"/>
    </row>
    <row r="781">
      <c r="A781" s="341"/>
      <c r="B781" s="168"/>
      <c r="C781" s="341"/>
      <c r="D781" s="181"/>
      <c r="E781" s="341"/>
      <c r="F781" s="168"/>
      <c r="G781" s="341"/>
      <c r="H781" s="168"/>
      <c r="I781" s="348"/>
      <c r="J781" s="181"/>
      <c r="K781" s="348"/>
      <c r="L781" s="181"/>
      <c r="M781" s="348"/>
      <c r="N781" s="181"/>
      <c r="O781" s="341"/>
      <c r="P781" s="168"/>
      <c r="Q781" s="205"/>
      <c r="R781" s="205"/>
      <c r="S781" s="17"/>
      <c r="T781" s="17"/>
    </row>
    <row r="782">
      <c r="A782" s="341"/>
      <c r="B782" s="168"/>
      <c r="C782" s="341"/>
      <c r="D782" s="181"/>
      <c r="E782" s="341"/>
      <c r="F782" s="168"/>
      <c r="G782" s="341"/>
      <c r="H782" s="168"/>
      <c r="I782" s="348"/>
      <c r="J782" s="181"/>
      <c r="K782" s="348"/>
      <c r="L782" s="181"/>
      <c r="M782" s="348"/>
      <c r="N782" s="181"/>
      <c r="O782" s="341"/>
      <c r="P782" s="168"/>
      <c r="Q782" s="205"/>
      <c r="R782" s="205"/>
      <c r="S782" s="17"/>
      <c r="T782" s="17"/>
    </row>
    <row r="783">
      <c r="A783" s="341"/>
      <c r="B783" s="168"/>
      <c r="C783" s="341"/>
      <c r="D783" s="181"/>
      <c r="E783" s="341"/>
      <c r="F783" s="168"/>
      <c r="G783" s="341"/>
      <c r="H783" s="168"/>
      <c r="I783" s="348"/>
      <c r="J783" s="181"/>
      <c r="K783" s="348"/>
      <c r="L783" s="181"/>
      <c r="M783" s="348"/>
      <c r="N783" s="181"/>
      <c r="O783" s="341"/>
      <c r="P783" s="168"/>
      <c r="Q783" s="205"/>
      <c r="R783" s="205"/>
      <c r="S783" s="17"/>
      <c r="T783" s="17"/>
    </row>
    <row r="784">
      <c r="A784" s="341"/>
      <c r="B784" s="168"/>
      <c r="C784" s="341"/>
      <c r="D784" s="181"/>
      <c r="E784" s="341"/>
      <c r="F784" s="168"/>
      <c r="G784" s="341"/>
      <c r="H784" s="168"/>
      <c r="I784" s="348"/>
      <c r="J784" s="181"/>
      <c r="K784" s="348"/>
      <c r="L784" s="181"/>
      <c r="M784" s="348"/>
      <c r="N784" s="181"/>
      <c r="O784" s="341"/>
      <c r="P784" s="168"/>
      <c r="Q784" s="205"/>
      <c r="R784" s="205"/>
      <c r="S784" s="17"/>
      <c r="T784" s="17"/>
    </row>
    <row r="785">
      <c r="A785" s="341"/>
      <c r="B785" s="168"/>
      <c r="C785" s="341"/>
      <c r="D785" s="181"/>
      <c r="E785" s="341"/>
      <c r="F785" s="168"/>
      <c r="G785" s="341"/>
      <c r="H785" s="168"/>
      <c r="I785" s="348"/>
      <c r="J785" s="181"/>
      <c r="K785" s="348"/>
      <c r="L785" s="181"/>
      <c r="M785" s="348"/>
      <c r="N785" s="181"/>
      <c r="O785" s="341"/>
      <c r="P785" s="168"/>
      <c r="Q785" s="205"/>
      <c r="R785" s="205"/>
      <c r="S785" s="17"/>
      <c r="T785" s="17"/>
    </row>
    <row r="786">
      <c r="A786" s="341"/>
      <c r="B786" s="168"/>
      <c r="C786" s="341"/>
      <c r="D786" s="181"/>
      <c r="E786" s="341"/>
      <c r="F786" s="168"/>
      <c r="G786" s="341"/>
      <c r="H786" s="168"/>
      <c r="I786" s="348"/>
      <c r="J786" s="181"/>
      <c r="K786" s="348"/>
      <c r="L786" s="181"/>
      <c r="M786" s="348"/>
      <c r="N786" s="181"/>
      <c r="O786" s="341"/>
      <c r="P786" s="168"/>
      <c r="Q786" s="205"/>
      <c r="R786" s="205"/>
      <c r="S786" s="17"/>
      <c r="T786" s="17"/>
    </row>
    <row r="787">
      <c r="A787" s="341"/>
      <c r="B787" s="168"/>
      <c r="C787" s="341"/>
      <c r="D787" s="181"/>
      <c r="E787" s="341"/>
      <c r="F787" s="168"/>
      <c r="G787" s="341"/>
      <c r="H787" s="168"/>
      <c r="I787" s="348"/>
      <c r="J787" s="181"/>
      <c r="K787" s="348"/>
      <c r="L787" s="181"/>
      <c r="M787" s="348"/>
      <c r="N787" s="181"/>
      <c r="O787" s="341"/>
      <c r="P787" s="168"/>
      <c r="Q787" s="205"/>
      <c r="R787" s="205"/>
      <c r="S787" s="17"/>
      <c r="T787" s="17"/>
    </row>
    <row r="788">
      <c r="A788" s="341"/>
      <c r="B788" s="168"/>
      <c r="C788" s="341"/>
      <c r="D788" s="181"/>
      <c r="E788" s="341"/>
      <c r="F788" s="168"/>
      <c r="G788" s="341"/>
      <c r="H788" s="168"/>
      <c r="I788" s="348"/>
      <c r="J788" s="181"/>
      <c r="K788" s="348"/>
      <c r="L788" s="181"/>
      <c r="M788" s="348"/>
      <c r="N788" s="181"/>
      <c r="O788" s="341"/>
      <c r="P788" s="168"/>
      <c r="Q788" s="205"/>
      <c r="R788" s="205"/>
      <c r="S788" s="17"/>
      <c r="T788" s="17"/>
    </row>
    <row r="789">
      <c r="A789" s="341"/>
      <c r="B789" s="168"/>
      <c r="C789" s="341"/>
      <c r="D789" s="181"/>
      <c r="E789" s="341"/>
      <c r="F789" s="168"/>
      <c r="G789" s="341"/>
      <c r="H789" s="168"/>
      <c r="I789" s="348"/>
      <c r="J789" s="181"/>
      <c r="K789" s="348"/>
      <c r="L789" s="181"/>
      <c r="M789" s="348"/>
      <c r="N789" s="181"/>
      <c r="O789" s="341"/>
      <c r="P789" s="168"/>
      <c r="Q789" s="205"/>
      <c r="R789" s="205"/>
      <c r="S789" s="17"/>
      <c r="T789" s="17"/>
    </row>
    <row r="790">
      <c r="A790" s="341"/>
      <c r="B790" s="168"/>
      <c r="C790" s="341"/>
      <c r="D790" s="181"/>
      <c r="E790" s="341"/>
      <c r="F790" s="168"/>
      <c r="G790" s="341"/>
      <c r="H790" s="168"/>
      <c r="I790" s="348"/>
      <c r="J790" s="181"/>
      <c r="K790" s="348"/>
      <c r="L790" s="181"/>
      <c r="M790" s="348"/>
      <c r="N790" s="181"/>
      <c r="O790" s="341"/>
      <c r="P790" s="168"/>
      <c r="Q790" s="205"/>
      <c r="R790" s="205"/>
      <c r="S790" s="17"/>
      <c r="T790" s="17"/>
    </row>
    <row r="791">
      <c r="A791" s="341"/>
      <c r="B791" s="168"/>
      <c r="C791" s="341"/>
      <c r="D791" s="181"/>
      <c r="E791" s="341"/>
      <c r="F791" s="168"/>
      <c r="G791" s="341"/>
      <c r="H791" s="168"/>
      <c r="I791" s="348"/>
      <c r="J791" s="181"/>
      <c r="K791" s="348"/>
      <c r="L791" s="181"/>
      <c r="M791" s="348"/>
      <c r="N791" s="181"/>
      <c r="O791" s="341"/>
      <c r="P791" s="168"/>
      <c r="Q791" s="205"/>
      <c r="R791" s="205"/>
      <c r="S791" s="17"/>
      <c r="T791" s="17"/>
    </row>
    <row r="792">
      <c r="A792" s="341"/>
      <c r="B792" s="168"/>
      <c r="C792" s="341"/>
      <c r="D792" s="181"/>
      <c r="E792" s="341"/>
      <c r="F792" s="168"/>
      <c r="G792" s="341"/>
      <c r="H792" s="168"/>
      <c r="I792" s="348"/>
      <c r="J792" s="181"/>
      <c r="K792" s="348"/>
      <c r="L792" s="181"/>
      <c r="M792" s="348"/>
      <c r="N792" s="181"/>
      <c r="O792" s="341"/>
      <c r="P792" s="168"/>
      <c r="Q792" s="205"/>
      <c r="R792" s="205"/>
      <c r="S792" s="17"/>
      <c r="T792" s="17"/>
    </row>
    <row r="793">
      <c r="A793" s="341"/>
      <c r="B793" s="168"/>
      <c r="C793" s="341"/>
      <c r="D793" s="181"/>
      <c r="E793" s="341"/>
      <c r="F793" s="168"/>
      <c r="G793" s="341"/>
      <c r="H793" s="168"/>
      <c r="I793" s="348"/>
      <c r="J793" s="181"/>
      <c r="K793" s="348"/>
      <c r="L793" s="181"/>
      <c r="M793" s="348"/>
      <c r="N793" s="181"/>
      <c r="O793" s="341"/>
      <c r="P793" s="168"/>
      <c r="Q793" s="205"/>
      <c r="R793" s="205"/>
      <c r="S793" s="17"/>
      <c r="T793" s="17"/>
    </row>
    <row r="794">
      <c r="A794" s="341"/>
      <c r="B794" s="168"/>
      <c r="C794" s="341"/>
      <c r="D794" s="181"/>
      <c r="E794" s="341"/>
      <c r="F794" s="168"/>
      <c r="G794" s="341"/>
      <c r="H794" s="168"/>
      <c r="I794" s="348"/>
      <c r="J794" s="181"/>
      <c r="K794" s="348"/>
      <c r="L794" s="181"/>
      <c r="M794" s="348"/>
      <c r="N794" s="181"/>
      <c r="O794" s="341"/>
      <c r="P794" s="168"/>
      <c r="Q794" s="205"/>
      <c r="R794" s="205"/>
      <c r="S794" s="17"/>
      <c r="T794" s="17"/>
    </row>
    <row r="795">
      <c r="A795" s="341"/>
      <c r="B795" s="168"/>
      <c r="C795" s="341"/>
      <c r="D795" s="181"/>
      <c r="E795" s="341"/>
      <c r="F795" s="168"/>
      <c r="G795" s="341"/>
      <c r="H795" s="168"/>
      <c r="I795" s="348"/>
      <c r="J795" s="181"/>
      <c r="K795" s="348"/>
      <c r="L795" s="181"/>
      <c r="M795" s="348"/>
      <c r="N795" s="181"/>
      <c r="O795" s="341"/>
      <c r="P795" s="168"/>
      <c r="Q795" s="205"/>
      <c r="R795" s="205"/>
      <c r="S795" s="17"/>
      <c r="T795" s="17"/>
    </row>
    <row r="796">
      <c r="A796" s="341"/>
      <c r="B796" s="168"/>
      <c r="C796" s="341"/>
      <c r="D796" s="181"/>
      <c r="E796" s="341"/>
      <c r="F796" s="168"/>
      <c r="G796" s="341"/>
      <c r="H796" s="168"/>
      <c r="I796" s="348"/>
      <c r="J796" s="181"/>
      <c r="K796" s="348"/>
      <c r="L796" s="181"/>
      <c r="M796" s="348"/>
      <c r="N796" s="181"/>
      <c r="O796" s="341"/>
      <c r="P796" s="168"/>
      <c r="Q796" s="205"/>
      <c r="R796" s="205"/>
      <c r="S796" s="17"/>
      <c r="T796" s="17"/>
    </row>
    <row r="797">
      <c r="A797" s="341"/>
      <c r="B797" s="168"/>
      <c r="C797" s="341"/>
      <c r="D797" s="181"/>
      <c r="E797" s="341"/>
      <c r="F797" s="168"/>
      <c r="G797" s="341"/>
      <c r="H797" s="168"/>
      <c r="I797" s="348"/>
      <c r="J797" s="181"/>
      <c r="K797" s="348"/>
      <c r="L797" s="181"/>
      <c r="M797" s="348"/>
      <c r="N797" s="181"/>
      <c r="O797" s="341"/>
      <c r="P797" s="168"/>
      <c r="Q797" s="205"/>
      <c r="R797" s="205"/>
      <c r="S797" s="17"/>
      <c r="T797" s="17"/>
    </row>
    <row r="798">
      <c r="A798" s="341"/>
      <c r="B798" s="168"/>
      <c r="C798" s="341"/>
      <c r="D798" s="181"/>
      <c r="E798" s="341"/>
      <c r="F798" s="168"/>
      <c r="G798" s="341"/>
      <c r="H798" s="168"/>
      <c r="I798" s="348"/>
      <c r="J798" s="181"/>
      <c r="K798" s="348"/>
      <c r="L798" s="181"/>
      <c r="M798" s="348"/>
      <c r="N798" s="181"/>
      <c r="O798" s="341"/>
      <c r="P798" s="168"/>
      <c r="Q798" s="205"/>
      <c r="R798" s="205"/>
      <c r="S798" s="17"/>
      <c r="T798" s="17"/>
    </row>
    <row r="799">
      <c r="A799" s="341"/>
      <c r="B799" s="168"/>
      <c r="C799" s="341"/>
      <c r="D799" s="181"/>
      <c r="E799" s="341"/>
      <c r="F799" s="168"/>
      <c r="G799" s="341"/>
      <c r="H799" s="168"/>
      <c r="I799" s="348"/>
      <c r="J799" s="181"/>
      <c r="K799" s="348"/>
      <c r="L799" s="181"/>
      <c r="M799" s="348"/>
      <c r="N799" s="181"/>
      <c r="O799" s="341"/>
      <c r="P799" s="168"/>
      <c r="Q799" s="205"/>
      <c r="R799" s="205"/>
      <c r="S799" s="17"/>
      <c r="T799" s="17"/>
    </row>
    <row r="800">
      <c r="A800" s="341"/>
      <c r="B800" s="168"/>
      <c r="C800" s="341"/>
      <c r="D800" s="181"/>
      <c r="E800" s="341"/>
      <c r="F800" s="168"/>
      <c r="G800" s="341"/>
      <c r="H800" s="168"/>
      <c r="I800" s="348"/>
      <c r="J800" s="181"/>
      <c r="K800" s="348"/>
      <c r="L800" s="181"/>
      <c r="M800" s="348"/>
      <c r="N800" s="181"/>
      <c r="O800" s="341"/>
      <c r="P800" s="168"/>
      <c r="Q800" s="205"/>
      <c r="R800" s="205"/>
      <c r="S800" s="17"/>
      <c r="T800" s="17"/>
    </row>
    <row r="801">
      <c r="A801" s="341"/>
      <c r="B801" s="168"/>
      <c r="C801" s="341"/>
      <c r="D801" s="181"/>
      <c r="E801" s="341"/>
      <c r="F801" s="168"/>
      <c r="G801" s="341"/>
      <c r="H801" s="168"/>
      <c r="I801" s="348"/>
      <c r="J801" s="181"/>
      <c r="K801" s="348"/>
      <c r="L801" s="181"/>
      <c r="M801" s="348"/>
      <c r="N801" s="181"/>
      <c r="O801" s="341"/>
      <c r="P801" s="168"/>
      <c r="Q801" s="205"/>
      <c r="R801" s="205"/>
      <c r="S801" s="17"/>
      <c r="T801" s="17"/>
    </row>
    <row r="802">
      <c r="A802" s="341"/>
      <c r="B802" s="168"/>
      <c r="C802" s="341"/>
      <c r="D802" s="181"/>
      <c r="E802" s="341"/>
      <c r="F802" s="168"/>
      <c r="G802" s="341"/>
      <c r="H802" s="168"/>
      <c r="I802" s="348"/>
      <c r="J802" s="181"/>
      <c r="K802" s="348"/>
      <c r="L802" s="181"/>
      <c r="M802" s="348"/>
      <c r="N802" s="181"/>
      <c r="O802" s="341"/>
      <c r="P802" s="168"/>
      <c r="Q802" s="205"/>
      <c r="R802" s="205"/>
      <c r="S802" s="17"/>
      <c r="T802" s="17"/>
    </row>
    <row r="803">
      <c r="A803" s="341"/>
      <c r="B803" s="168"/>
      <c r="C803" s="341"/>
      <c r="D803" s="181"/>
      <c r="E803" s="341"/>
      <c r="F803" s="168"/>
      <c r="G803" s="341"/>
      <c r="H803" s="168"/>
      <c r="I803" s="348"/>
      <c r="J803" s="181"/>
      <c r="K803" s="348"/>
      <c r="L803" s="181"/>
      <c r="M803" s="348"/>
      <c r="N803" s="181"/>
      <c r="O803" s="341"/>
      <c r="P803" s="168"/>
      <c r="Q803" s="205"/>
      <c r="R803" s="205"/>
      <c r="S803" s="17"/>
      <c r="T803" s="17"/>
    </row>
    <row r="804">
      <c r="A804" s="341"/>
      <c r="B804" s="168"/>
      <c r="C804" s="341"/>
      <c r="D804" s="181"/>
      <c r="E804" s="341"/>
      <c r="F804" s="168"/>
      <c r="G804" s="341"/>
      <c r="H804" s="168"/>
      <c r="I804" s="348"/>
      <c r="J804" s="181"/>
      <c r="K804" s="348"/>
      <c r="L804" s="181"/>
      <c r="M804" s="348"/>
      <c r="N804" s="181"/>
      <c r="O804" s="341"/>
      <c r="P804" s="168"/>
      <c r="Q804" s="205"/>
      <c r="R804" s="205"/>
      <c r="S804" s="17"/>
      <c r="T804" s="17"/>
    </row>
    <row r="805">
      <c r="A805" s="341"/>
      <c r="B805" s="168"/>
      <c r="C805" s="341"/>
      <c r="D805" s="181"/>
      <c r="E805" s="341"/>
      <c r="F805" s="168"/>
      <c r="G805" s="341"/>
      <c r="H805" s="168"/>
      <c r="I805" s="348"/>
      <c r="J805" s="181"/>
      <c r="K805" s="348"/>
      <c r="L805" s="181"/>
      <c r="M805" s="348"/>
      <c r="N805" s="181"/>
      <c r="O805" s="341"/>
      <c r="P805" s="168"/>
      <c r="Q805" s="205"/>
      <c r="R805" s="205"/>
      <c r="S805" s="17"/>
      <c r="T805" s="17"/>
    </row>
    <row r="806">
      <c r="A806" s="341"/>
      <c r="B806" s="168"/>
      <c r="C806" s="341"/>
      <c r="D806" s="181"/>
      <c r="E806" s="341"/>
      <c r="F806" s="168"/>
      <c r="G806" s="341"/>
      <c r="H806" s="168"/>
      <c r="I806" s="348"/>
      <c r="J806" s="181"/>
      <c r="K806" s="348"/>
      <c r="L806" s="181"/>
      <c r="M806" s="348"/>
      <c r="N806" s="181"/>
      <c r="O806" s="341"/>
      <c r="P806" s="168"/>
      <c r="Q806" s="205"/>
      <c r="R806" s="205"/>
      <c r="S806" s="17"/>
      <c r="T806" s="17"/>
    </row>
    <row r="807">
      <c r="A807" s="341"/>
      <c r="B807" s="168"/>
      <c r="C807" s="341"/>
      <c r="D807" s="181"/>
      <c r="E807" s="341"/>
      <c r="F807" s="168"/>
      <c r="G807" s="341"/>
      <c r="H807" s="168"/>
      <c r="I807" s="348"/>
      <c r="J807" s="181"/>
      <c r="K807" s="348"/>
      <c r="L807" s="181"/>
      <c r="M807" s="348"/>
      <c r="N807" s="181"/>
      <c r="O807" s="341"/>
      <c r="P807" s="168"/>
      <c r="Q807" s="205"/>
      <c r="R807" s="205"/>
      <c r="S807" s="17"/>
      <c r="T807" s="17"/>
    </row>
    <row r="808">
      <c r="A808" s="341"/>
      <c r="B808" s="168"/>
      <c r="C808" s="341"/>
      <c r="D808" s="181"/>
      <c r="E808" s="341"/>
      <c r="F808" s="168"/>
      <c r="G808" s="341"/>
      <c r="H808" s="168"/>
      <c r="I808" s="348"/>
      <c r="J808" s="181"/>
      <c r="K808" s="348"/>
      <c r="L808" s="181"/>
      <c r="M808" s="348"/>
      <c r="N808" s="181"/>
      <c r="O808" s="341"/>
      <c r="P808" s="168"/>
      <c r="Q808" s="205"/>
      <c r="R808" s="205"/>
      <c r="S808" s="17"/>
      <c r="T808" s="17"/>
    </row>
    <row r="809">
      <c r="A809" s="341"/>
      <c r="B809" s="168"/>
      <c r="C809" s="341"/>
      <c r="D809" s="181"/>
      <c r="E809" s="341"/>
      <c r="F809" s="168"/>
      <c r="G809" s="341"/>
      <c r="H809" s="168"/>
      <c r="I809" s="348"/>
      <c r="J809" s="181"/>
      <c r="K809" s="348"/>
      <c r="L809" s="181"/>
      <c r="M809" s="348"/>
      <c r="N809" s="181"/>
      <c r="O809" s="341"/>
      <c r="P809" s="168"/>
      <c r="Q809" s="205"/>
      <c r="R809" s="205"/>
      <c r="S809" s="17"/>
      <c r="T809" s="17"/>
    </row>
    <row r="810">
      <c r="A810" s="341"/>
      <c r="B810" s="168"/>
      <c r="C810" s="341"/>
      <c r="D810" s="181"/>
      <c r="E810" s="341"/>
      <c r="F810" s="168"/>
      <c r="G810" s="341"/>
      <c r="H810" s="168"/>
      <c r="I810" s="348"/>
      <c r="J810" s="181"/>
      <c r="K810" s="348"/>
      <c r="L810" s="181"/>
      <c r="M810" s="348"/>
      <c r="N810" s="181"/>
      <c r="O810" s="341"/>
      <c r="P810" s="168"/>
      <c r="Q810" s="205"/>
      <c r="R810" s="205"/>
      <c r="S810" s="17"/>
      <c r="T810" s="17"/>
    </row>
    <row r="811">
      <c r="A811" s="341"/>
      <c r="B811" s="168"/>
      <c r="C811" s="341"/>
      <c r="D811" s="181"/>
      <c r="E811" s="341"/>
      <c r="F811" s="168"/>
      <c r="G811" s="341"/>
      <c r="H811" s="168"/>
      <c r="I811" s="348"/>
      <c r="J811" s="181"/>
      <c r="K811" s="348"/>
      <c r="L811" s="181"/>
      <c r="M811" s="348"/>
      <c r="N811" s="181"/>
      <c r="O811" s="341"/>
      <c r="P811" s="168"/>
      <c r="Q811" s="205"/>
      <c r="R811" s="205"/>
      <c r="S811" s="17"/>
      <c r="T811" s="17"/>
    </row>
    <row r="812">
      <c r="A812" s="341"/>
      <c r="B812" s="168"/>
      <c r="C812" s="341"/>
      <c r="D812" s="181"/>
      <c r="E812" s="341"/>
      <c r="F812" s="168"/>
      <c r="G812" s="341"/>
      <c r="H812" s="168"/>
      <c r="I812" s="348"/>
      <c r="J812" s="181"/>
      <c r="K812" s="348"/>
      <c r="L812" s="181"/>
      <c r="M812" s="348"/>
      <c r="N812" s="181"/>
      <c r="O812" s="341"/>
      <c r="P812" s="168"/>
      <c r="Q812" s="205"/>
      <c r="R812" s="205"/>
      <c r="S812" s="17"/>
      <c r="T812" s="17"/>
    </row>
    <row r="813">
      <c r="A813" s="341"/>
      <c r="B813" s="168"/>
      <c r="C813" s="341"/>
      <c r="D813" s="181"/>
      <c r="E813" s="341"/>
      <c r="F813" s="168"/>
      <c r="G813" s="341"/>
      <c r="H813" s="168"/>
      <c r="I813" s="348"/>
      <c r="J813" s="181"/>
      <c r="K813" s="348"/>
      <c r="L813" s="181"/>
      <c r="M813" s="348"/>
      <c r="N813" s="181"/>
      <c r="O813" s="341"/>
      <c r="P813" s="168"/>
      <c r="Q813" s="205"/>
      <c r="R813" s="205"/>
      <c r="S813" s="17"/>
      <c r="T813" s="17"/>
    </row>
    <row r="814">
      <c r="A814" s="341"/>
      <c r="B814" s="168"/>
      <c r="C814" s="341"/>
      <c r="D814" s="181"/>
      <c r="E814" s="341"/>
      <c r="F814" s="168"/>
      <c r="G814" s="341"/>
      <c r="H814" s="168"/>
      <c r="I814" s="348"/>
      <c r="J814" s="181"/>
      <c r="K814" s="348"/>
      <c r="L814" s="181"/>
      <c r="M814" s="348"/>
      <c r="N814" s="181"/>
      <c r="O814" s="341"/>
      <c r="P814" s="168"/>
      <c r="Q814" s="205"/>
      <c r="R814" s="205"/>
      <c r="S814" s="17"/>
      <c r="T814" s="17"/>
    </row>
    <row r="815">
      <c r="A815" s="341"/>
      <c r="B815" s="168"/>
      <c r="C815" s="341"/>
      <c r="D815" s="181"/>
      <c r="E815" s="341"/>
      <c r="F815" s="168"/>
      <c r="G815" s="341"/>
      <c r="H815" s="168"/>
      <c r="I815" s="348"/>
      <c r="J815" s="181"/>
      <c r="K815" s="348"/>
      <c r="L815" s="181"/>
      <c r="M815" s="348"/>
      <c r="N815" s="181"/>
      <c r="O815" s="341"/>
      <c r="P815" s="168"/>
      <c r="Q815" s="205"/>
      <c r="R815" s="205"/>
      <c r="S815" s="17"/>
      <c r="T815" s="17"/>
    </row>
    <row r="816">
      <c r="A816" s="341"/>
      <c r="B816" s="168"/>
      <c r="C816" s="341"/>
      <c r="D816" s="181"/>
      <c r="E816" s="341"/>
      <c r="F816" s="168"/>
      <c r="G816" s="341"/>
      <c r="H816" s="168"/>
      <c r="I816" s="348"/>
      <c r="J816" s="181"/>
      <c r="K816" s="348"/>
      <c r="L816" s="181"/>
      <c r="M816" s="348"/>
      <c r="N816" s="181"/>
      <c r="O816" s="341"/>
      <c r="P816" s="168"/>
      <c r="Q816" s="205"/>
      <c r="R816" s="205"/>
      <c r="S816" s="17"/>
      <c r="T816" s="17"/>
    </row>
    <row r="817">
      <c r="A817" s="341"/>
      <c r="B817" s="168"/>
      <c r="C817" s="341"/>
      <c r="D817" s="181"/>
      <c r="E817" s="341"/>
      <c r="F817" s="168"/>
      <c r="G817" s="341"/>
      <c r="H817" s="168"/>
      <c r="I817" s="348"/>
      <c r="J817" s="181"/>
      <c r="K817" s="348"/>
      <c r="L817" s="181"/>
      <c r="M817" s="348"/>
      <c r="N817" s="181"/>
      <c r="O817" s="341"/>
      <c r="P817" s="168"/>
      <c r="Q817" s="205"/>
      <c r="R817" s="205"/>
      <c r="S817" s="17"/>
      <c r="T817" s="17"/>
    </row>
    <row r="818">
      <c r="A818" s="341"/>
      <c r="B818" s="168"/>
      <c r="C818" s="341"/>
      <c r="D818" s="181"/>
      <c r="E818" s="341"/>
      <c r="F818" s="168"/>
      <c r="G818" s="341"/>
      <c r="H818" s="168"/>
      <c r="I818" s="348"/>
      <c r="J818" s="181"/>
      <c r="K818" s="348"/>
      <c r="L818" s="181"/>
      <c r="M818" s="348"/>
      <c r="N818" s="181"/>
      <c r="O818" s="341"/>
      <c r="P818" s="168"/>
      <c r="Q818" s="205"/>
      <c r="R818" s="205"/>
      <c r="S818" s="17"/>
      <c r="T818" s="17"/>
    </row>
    <row r="819">
      <c r="A819" s="341"/>
      <c r="B819" s="168"/>
      <c r="C819" s="341"/>
      <c r="D819" s="181"/>
      <c r="E819" s="341"/>
      <c r="F819" s="168"/>
      <c r="G819" s="341"/>
      <c r="H819" s="168"/>
      <c r="I819" s="348"/>
      <c r="J819" s="181"/>
      <c r="K819" s="348"/>
      <c r="L819" s="181"/>
      <c r="M819" s="348"/>
      <c r="N819" s="181"/>
      <c r="O819" s="341"/>
      <c r="P819" s="168"/>
      <c r="Q819" s="205"/>
      <c r="R819" s="205"/>
      <c r="S819" s="17"/>
      <c r="T819" s="17"/>
    </row>
    <row r="820">
      <c r="A820" s="341"/>
      <c r="B820" s="168"/>
      <c r="C820" s="341"/>
      <c r="D820" s="181"/>
      <c r="E820" s="341"/>
      <c r="F820" s="168"/>
      <c r="G820" s="341"/>
      <c r="H820" s="168"/>
      <c r="I820" s="348"/>
      <c r="J820" s="181"/>
      <c r="K820" s="348"/>
      <c r="L820" s="181"/>
      <c r="M820" s="348"/>
      <c r="N820" s="181"/>
      <c r="O820" s="341"/>
      <c r="P820" s="168"/>
      <c r="Q820" s="205"/>
      <c r="R820" s="205"/>
      <c r="S820" s="17"/>
      <c r="T820" s="17"/>
    </row>
    <row r="821">
      <c r="A821" s="341"/>
      <c r="B821" s="168"/>
      <c r="C821" s="341"/>
      <c r="D821" s="181"/>
      <c r="E821" s="341"/>
      <c r="F821" s="168"/>
      <c r="G821" s="341"/>
      <c r="H821" s="168"/>
      <c r="I821" s="348"/>
      <c r="J821" s="181"/>
      <c r="K821" s="348"/>
      <c r="L821" s="181"/>
      <c r="M821" s="348"/>
      <c r="N821" s="181"/>
      <c r="O821" s="341"/>
      <c r="P821" s="168"/>
      <c r="Q821" s="205"/>
      <c r="R821" s="205"/>
      <c r="S821" s="17"/>
      <c r="T821" s="17"/>
    </row>
    <row r="822">
      <c r="A822" s="341"/>
      <c r="B822" s="168"/>
      <c r="C822" s="341"/>
      <c r="D822" s="181"/>
      <c r="E822" s="341"/>
      <c r="F822" s="168"/>
      <c r="G822" s="341"/>
      <c r="H822" s="168"/>
      <c r="I822" s="348"/>
      <c r="J822" s="181"/>
      <c r="K822" s="348"/>
      <c r="L822" s="181"/>
      <c r="M822" s="348"/>
      <c r="N822" s="181"/>
      <c r="O822" s="341"/>
      <c r="P822" s="168"/>
      <c r="Q822" s="205"/>
      <c r="R822" s="205"/>
      <c r="S822" s="17"/>
      <c r="T822" s="17"/>
    </row>
    <row r="823">
      <c r="A823" s="341"/>
      <c r="B823" s="168"/>
      <c r="C823" s="341"/>
      <c r="D823" s="181"/>
      <c r="E823" s="341"/>
      <c r="F823" s="168"/>
      <c r="G823" s="341"/>
      <c r="H823" s="168"/>
      <c r="I823" s="348"/>
      <c r="J823" s="181"/>
      <c r="K823" s="348"/>
      <c r="L823" s="181"/>
      <c r="M823" s="348"/>
      <c r="N823" s="181"/>
      <c r="O823" s="341"/>
      <c r="P823" s="168"/>
      <c r="Q823" s="205"/>
      <c r="R823" s="205"/>
      <c r="S823" s="17"/>
      <c r="T823" s="17"/>
    </row>
    <row r="824">
      <c r="A824" s="341"/>
      <c r="B824" s="168"/>
      <c r="C824" s="341"/>
      <c r="D824" s="181"/>
      <c r="E824" s="341"/>
      <c r="F824" s="168"/>
      <c r="G824" s="341"/>
      <c r="H824" s="168"/>
      <c r="I824" s="348"/>
      <c r="J824" s="181"/>
      <c r="K824" s="348"/>
      <c r="L824" s="181"/>
      <c r="M824" s="348"/>
      <c r="N824" s="181"/>
      <c r="O824" s="341"/>
      <c r="P824" s="168"/>
      <c r="Q824" s="205"/>
      <c r="R824" s="205"/>
      <c r="S824" s="17"/>
      <c r="T824" s="17"/>
    </row>
    <row r="825">
      <c r="A825" s="341"/>
      <c r="B825" s="168"/>
      <c r="C825" s="341"/>
      <c r="D825" s="181"/>
      <c r="E825" s="341"/>
      <c r="F825" s="168"/>
      <c r="G825" s="341"/>
      <c r="H825" s="168"/>
      <c r="I825" s="348"/>
      <c r="J825" s="181"/>
      <c r="K825" s="348"/>
      <c r="L825" s="181"/>
      <c r="M825" s="348"/>
      <c r="N825" s="181"/>
      <c r="O825" s="341"/>
      <c r="P825" s="168"/>
      <c r="Q825" s="205"/>
      <c r="R825" s="205"/>
      <c r="S825" s="17"/>
      <c r="T825" s="17"/>
    </row>
    <row r="826">
      <c r="A826" s="341"/>
      <c r="B826" s="168"/>
      <c r="C826" s="341"/>
      <c r="D826" s="181"/>
      <c r="E826" s="341"/>
      <c r="F826" s="168"/>
      <c r="G826" s="341"/>
      <c r="H826" s="168"/>
      <c r="I826" s="348"/>
      <c r="J826" s="181"/>
      <c r="K826" s="348"/>
      <c r="L826" s="181"/>
      <c r="M826" s="348"/>
      <c r="N826" s="181"/>
      <c r="O826" s="341"/>
      <c r="P826" s="168"/>
      <c r="Q826" s="205"/>
      <c r="R826" s="205"/>
      <c r="S826" s="17"/>
      <c r="T826" s="17"/>
    </row>
    <row r="827">
      <c r="A827" s="341"/>
      <c r="B827" s="168"/>
      <c r="C827" s="341"/>
      <c r="D827" s="181"/>
      <c r="E827" s="341"/>
      <c r="F827" s="168"/>
      <c r="G827" s="341"/>
      <c r="H827" s="168"/>
      <c r="I827" s="348"/>
      <c r="J827" s="181"/>
      <c r="K827" s="348"/>
      <c r="L827" s="181"/>
      <c r="M827" s="348"/>
      <c r="N827" s="181"/>
      <c r="O827" s="341"/>
      <c r="P827" s="168"/>
      <c r="Q827" s="205"/>
      <c r="R827" s="205"/>
      <c r="S827" s="17"/>
      <c r="T827" s="17"/>
    </row>
    <row r="828">
      <c r="A828" s="341"/>
      <c r="B828" s="168"/>
      <c r="C828" s="341"/>
      <c r="D828" s="181"/>
      <c r="E828" s="341"/>
      <c r="F828" s="168"/>
      <c r="G828" s="341"/>
      <c r="H828" s="168"/>
      <c r="I828" s="348"/>
      <c r="J828" s="181"/>
      <c r="K828" s="348"/>
      <c r="L828" s="181"/>
      <c r="M828" s="348"/>
      <c r="N828" s="181"/>
      <c r="O828" s="341"/>
      <c r="P828" s="168"/>
      <c r="Q828" s="205"/>
      <c r="R828" s="205"/>
      <c r="S828" s="17"/>
      <c r="T828" s="17"/>
    </row>
    <row r="829">
      <c r="A829" s="341"/>
      <c r="B829" s="168"/>
      <c r="C829" s="341"/>
      <c r="D829" s="181"/>
      <c r="E829" s="341"/>
      <c r="F829" s="168"/>
      <c r="G829" s="341"/>
      <c r="H829" s="168"/>
      <c r="I829" s="348"/>
      <c r="J829" s="181"/>
      <c r="K829" s="348"/>
      <c r="L829" s="181"/>
      <c r="M829" s="348"/>
      <c r="N829" s="181"/>
      <c r="O829" s="341"/>
      <c r="P829" s="168"/>
      <c r="Q829" s="205"/>
      <c r="R829" s="205"/>
      <c r="S829" s="17"/>
      <c r="T829" s="17"/>
    </row>
    <row r="830">
      <c r="A830" s="341"/>
      <c r="B830" s="168"/>
      <c r="C830" s="341"/>
      <c r="D830" s="181"/>
      <c r="E830" s="341"/>
      <c r="F830" s="168"/>
      <c r="G830" s="341"/>
      <c r="H830" s="168"/>
      <c r="I830" s="348"/>
      <c r="J830" s="181"/>
      <c r="K830" s="348"/>
      <c r="L830" s="181"/>
      <c r="M830" s="348"/>
      <c r="N830" s="181"/>
      <c r="O830" s="341"/>
      <c r="P830" s="168"/>
      <c r="Q830" s="205"/>
      <c r="R830" s="205"/>
      <c r="S830" s="17"/>
      <c r="T830" s="17"/>
    </row>
    <row r="831">
      <c r="A831" s="341"/>
      <c r="B831" s="168"/>
      <c r="C831" s="341"/>
      <c r="D831" s="181"/>
      <c r="E831" s="341"/>
      <c r="F831" s="168"/>
      <c r="G831" s="341"/>
      <c r="H831" s="168"/>
      <c r="I831" s="348"/>
      <c r="J831" s="181"/>
      <c r="K831" s="348"/>
      <c r="L831" s="181"/>
      <c r="M831" s="348"/>
      <c r="N831" s="181"/>
      <c r="O831" s="341"/>
      <c r="P831" s="168"/>
      <c r="Q831" s="205"/>
      <c r="R831" s="205"/>
      <c r="S831" s="17"/>
      <c r="T831" s="17"/>
    </row>
    <row r="832">
      <c r="A832" s="341"/>
      <c r="B832" s="168"/>
      <c r="C832" s="341"/>
      <c r="D832" s="181"/>
      <c r="E832" s="341"/>
      <c r="F832" s="168"/>
      <c r="G832" s="341"/>
      <c r="H832" s="168"/>
      <c r="I832" s="348"/>
      <c r="J832" s="181"/>
      <c r="K832" s="348"/>
      <c r="L832" s="181"/>
      <c r="M832" s="348"/>
      <c r="N832" s="181"/>
      <c r="O832" s="341"/>
      <c r="P832" s="168"/>
      <c r="Q832" s="205"/>
      <c r="R832" s="205"/>
      <c r="S832" s="17"/>
      <c r="T832" s="17"/>
    </row>
    <row r="833">
      <c r="A833" s="341"/>
      <c r="B833" s="168"/>
      <c r="C833" s="341"/>
      <c r="D833" s="181"/>
      <c r="E833" s="341"/>
      <c r="F833" s="168"/>
      <c r="G833" s="341"/>
      <c r="H833" s="168"/>
      <c r="I833" s="348"/>
      <c r="J833" s="181"/>
      <c r="K833" s="348"/>
      <c r="L833" s="181"/>
      <c r="M833" s="348"/>
      <c r="N833" s="181"/>
      <c r="O833" s="341"/>
      <c r="P833" s="168"/>
      <c r="Q833" s="205"/>
      <c r="R833" s="205"/>
      <c r="S833" s="17"/>
      <c r="T833" s="17"/>
    </row>
    <row r="834">
      <c r="A834" s="341"/>
      <c r="B834" s="168"/>
      <c r="C834" s="341"/>
      <c r="D834" s="181"/>
      <c r="E834" s="341"/>
      <c r="F834" s="168"/>
      <c r="G834" s="341"/>
      <c r="H834" s="168"/>
      <c r="I834" s="348"/>
      <c r="J834" s="181"/>
      <c r="K834" s="348"/>
      <c r="L834" s="181"/>
      <c r="M834" s="348"/>
      <c r="N834" s="181"/>
      <c r="O834" s="341"/>
      <c r="P834" s="168"/>
      <c r="Q834" s="205"/>
      <c r="R834" s="205"/>
      <c r="S834" s="17"/>
      <c r="T834" s="17"/>
    </row>
    <row r="835">
      <c r="A835" s="341"/>
      <c r="B835" s="168"/>
      <c r="C835" s="341"/>
      <c r="D835" s="181"/>
      <c r="E835" s="341"/>
      <c r="F835" s="168"/>
      <c r="G835" s="341"/>
      <c r="H835" s="168"/>
      <c r="I835" s="348"/>
      <c r="J835" s="181"/>
      <c r="K835" s="348"/>
      <c r="L835" s="181"/>
      <c r="M835" s="348"/>
      <c r="N835" s="181"/>
      <c r="O835" s="341"/>
      <c r="P835" s="168"/>
      <c r="Q835" s="205"/>
      <c r="R835" s="205"/>
      <c r="S835" s="17"/>
      <c r="T835" s="17"/>
    </row>
    <row r="836">
      <c r="A836" s="341"/>
      <c r="B836" s="168"/>
      <c r="C836" s="341"/>
      <c r="D836" s="181"/>
      <c r="E836" s="341"/>
      <c r="F836" s="168"/>
      <c r="G836" s="341"/>
      <c r="H836" s="168"/>
      <c r="I836" s="348"/>
      <c r="J836" s="181"/>
      <c r="K836" s="348"/>
      <c r="L836" s="181"/>
      <c r="M836" s="348"/>
      <c r="N836" s="181"/>
      <c r="O836" s="341"/>
      <c r="P836" s="168"/>
      <c r="Q836" s="205"/>
      <c r="R836" s="205"/>
      <c r="S836" s="17"/>
      <c r="T836" s="17"/>
    </row>
    <row r="837">
      <c r="A837" s="341"/>
      <c r="B837" s="168"/>
      <c r="C837" s="341"/>
      <c r="D837" s="181"/>
      <c r="E837" s="341"/>
      <c r="F837" s="168"/>
      <c r="G837" s="341"/>
      <c r="H837" s="168"/>
      <c r="I837" s="348"/>
      <c r="J837" s="181"/>
      <c r="K837" s="348"/>
      <c r="L837" s="181"/>
      <c r="M837" s="348"/>
      <c r="N837" s="181"/>
      <c r="O837" s="341"/>
      <c r="P837" s="168"/>
      <c r="Q837" s="205"/>
      <c r="R837" s="205"/>
      <c r="S837" s="17"/>
      <c r="T837" s="17"/>
    </row>
    <row r="838">
      <c r="A838" s="341"/>
      <c r="B838" s="168"/>
      <c r="C838" s="341"/>
      <c r="D838" s="181"/>
      <c r="E838" s="341"/>
      <c r="F838" s="168"/>
      <c r="G838" s="341"/>
      <c r="H838" s="168"/>
      <c r="I838" s="348"/>
      <c r="J838" s="181"/>
      <c r="K838" s="348"/>
      <c r="L838" s="181"/>
      <c r="M838" s="348"/>
      <c r="N838" s="181"/>
      <c r="O838" s="341"/>
      <c r="P838" s="168"/>
      <c r="Q838" s="205"/>
      <c r="R838" s="205"/>
      <c r="S838" s="17"/>
      <c r="T838" s="17"/>
    </row>
    <row r="839">
      <c r="A839" s="341"/>
      <c r="B839" s="168"/>
      <c r="C839" s="341"/>
      <c r="D839" s="181"/>
      <c r="E839" s="341"/>
      <c r="F839" s="168"/>
      <c r="G839" s="341"/>
      <c r="H839" s="168"/>
      <c r="I839" s="348"/>
      <c r="J839" s="181"/>
      <c r="K839" s="348"/>
      <c r="L839" s="181"/>
      <c r="M839" s="348"/>
      <c r="N839" s="181"/>
      <c r="O839" s="341"/>
      <c r="P839" s="168"/>
      <c r="Q839" s="205"/>
      <c r="R839" s="205"/>
      <c r="S839" s="17"/>
      <c r="T839" s="17"/>
    </row>
    <row r="840">
      <c r="A840" s="341"/>
      <c r="B840" s="168"/>
      <c r="C840" s="341"/>
      <c r="D840" s="181"/>
      <c r="E840" s="341"/>
      <c r="F840" s="168"/>
      <c r="G840" s="341"/>
      <c r="H840" s="168"/>
      <c r="I840" s="348"/>
      <c r="J840" s="181"/>
      <c r="K840" s="348"/>
      <c r="L840" s="181"/>
      <c r="M840" s="348"/>
      <c r="N840" s="181"/>
      <c r="O840" s="341"/>
      <c r="P840" s="168"/>
      <c r="Q840" s="205"/>
      <c r="R840" s="205"/>
      <c r="S840" s="17"/>
      <c r="T840" s="17"/>
    </row>
    <row r="841">
      <c r="A841" s="341"/>
      <c r="B841" s="168"/>
      <c r="C841" s="341"/>
      <c r="D841" s="181"/>
      <c r="E841" s="341"/>
      <c r="F841" s="168"/>
      <c r="G841" s="341"/>
      <c r="H841" s="168"/>
      <c r="I841" s="348"/>
      <c r="J841" s="181"/>
      <c r="K841" s="348"/>
      <c r="L841" s="181"/>
      <c r="M841" s="348"/>
      <c r="N841" s="181"/>
      <c r="O841" s="341"/>
      <c r="P841" s="168"/>
      <c r="Q841" s="205"/>
      <c r="R841" s="205"/>
      <c r="S841" s="17"/>
      <c r="T841" s="17"/>
    </row>
    <row r="842">
      <c r="A842" s="341"/>
      <c r="B842" s="168"/>
      <c r="C842" s="341"/>
      <c r="D842" s="181"/>
      <c r="E842" s="341"/>
      <c r="F842" s="168"/>
      <c r="G842" s="341"/>
      <c r="H842" s="168"/>
      <c r="I842" s="348"/>
      <c r="J842" s="181"/>
      <c r="K842" s="348"/>
      <c r="L842" s="181"/>
      <c r="M842" s="348"/>
      <c r="N842" s="181"/>
      <c r="O842" s="341"/>
      <c r="P842" s="168"/>
      <c r="Q842" s="205"/>
      <c r="R842" s="205"/>
      <c r="S842" s="17"/>
      <c r="T842" s="17"/>
    </row>
    <row r="843">
      <c r="A843" s="341"/>
      <c r="B843" s="168"/>
      <c r="C843" s="341"/>
      <c r="D843" s="181"/>
      <c r="E843" s="341"/>
      <c r="F843" s="168"/>
      <c r="G843" s="341"/>
      <c r="H843" s="168"/>
      <c r="I843" s="348"/>
      <c r="J843" s="181"/>
      <c r="K843" s="348"/>
      <c r="L843" s="181"/>
      <c r="M843" s="348"/>
      <c r="N843" s="181"/>
      <c r="O843" s="341"/>
      <c r="P843" s="168"/>
      <c r="Q843" s="205"/>
      <c r="R843" s="205"/>
      <c r="S843" s="17"/>
      <c r="T843" s="17"/>
    </row>
    <row r="844">
      <c r="A844" s="341"/>
      <c r="B844" s="168"/>
      <c r="C844" s="341"/>
      <c r="D844" s="181"/>
      <c r="E844" s="341"/>
      <c r="F844" s="168"/>
      <c r="G844" s="341"/>
      <c r="H844" s="168"/>
      <c r="I844" s="348"/>
      <c r="J844" s="181"/>
      <c r="K844" s="348"/>
      <c r="L844" s="181"/>
      <c r="M844" s="348"/>
      <c r="N844" s="181"/>
      <c r="O844" s="341"/>
      <c r="P844" s="168"/>
      <c r="Q844" s="205"/>
      <c r="R844" s="205"/>
      <c r="S844" s="17"/>
      <c r="T844" s="17"/>
    </row>
    <row r="845">
      <c r="A845" s="341"/>
      <c r="B845" s="168"/>
      <c r="C845" s="341"/>
      <c r="D845" s="181"/>
      <c r="E845" s="341"/>
      <c r="F845" s="168"/>
      <c r="G845" s="341"/>
      <c r="H845" s="168"/>
      <c r="I845" s="348"/>
      <c r="J845" s="181"/>
      <c r="K845" s="348"/>
      <c r="L845" s="181"/>
      <c r="M845" s="348"/>
      <c r="N845" s="181"/>
      <c r="O845" s="341"/>
      <c r="P845" s="168"/>
      <c r="Q845" s="205"/>
      <c r="R845" s="205"/>
      <c r="S845" s="17"/>
      <c r="T845" s="17"/>
    </row>
    <row r="846">
      <c r="A846" s="341"/>
      <c r="B846" s="168"/>
      <c r="C846" s="341"/>
      <c r="D846" s="181"/>
      <c r="E846" s="341"/>
      <c r="F846" s="168"/>
      <c r="G846" s="341"/>
      <c r="H846" s="168"/>
      <c r="I846" s="348"/>
      <c r="J846" s="181"/>
      <c r="K846" s="348"/>
      <c r="L846" s="181"/>
      <c r="M846" s="348"/>
      <c r="N846" s="181"/>
      <c r="O846" s="341"/>
      <c r="P846" s="168"/>
      <c r="Q846" s="205"/>
      <c r="R846" s="205"/>
      <c r="S846" s="17"/>
      <c r="T846" s="17"/>
    </row>
    <row r="847">
      <c r="A847" s="341"/>
      <c r="B847" s="168"/>
      <c r="C847" s="341"/>
      <c r="D847" s="181"/>
      <c r="E847" s="341"/>
      <c r="F847" s="168"/>
      <c r="G847" s="341"/>
      <c r="H847" s="168"/>
      <c r="I847" s="348"/>
      <c r="J847" s="181"/>
      <c r="K847" s="348"/>
      <c r="L847" s="181"/>
      <c r="M847" s="348"/>
      <c r="N847" s="181"/>
      <c r="O847" s="341"/>
      <c r="P847" s="168"/>
      <c r="Q847" s="205"/>
      <c r="R847" s="205"/>
      <c r="S847" s="17"/>
      <c r="T847" s="17"/>
    </row>
    <row r="848">
      <c r="A848" s="341"/>
      <c r="B848" s="168"/>
      <c r="C848" s="341"/>
      <c r="D848" s="181"/>
      <c r="E848" s="341"/>
      <c r="F848" s="168"/>
      <c r="G848" s="341"/>
      <c r="H848" s="168"/>
      <c r="I848" s="348"/>
      <c r="J848" s="181"/>
      <c r="K848" s="348"/>
      <c r="L848" s="181"/>
      <c r="M848" s="348"/>
      <c r="N848" s="181"/>
      <c r="O848" s="341"/>
      <c r="P848" s="168"/>
      <c r="Q848" s="205"/>
      <c r="R848" s="205"/>
      <c r="S848" s="17"/>
      <c r="T848" s="17"/>
    </row>
    <row r="849">
      <c r="A849" s="341"/>
      <c r="B849" s="168"/>
      <c r="C849" s="341"/>
      <c r="D849" s="181"/>
      <c r="E849" s="341"/>
      <c r="F849" s="168"/>
      <c r="G849" s="341"/>
      <c r="H849" s="168"/>
      <c r="I849" s="348"/>
      <c r="J849" s="181"/>
      <c r="K849" s="348"/>
      <c r="L849" s="181"/>
      <c r="M849" s="348"/>
      <c r="N849" s="181"/>
      <c r="O849" s="341"/>
      <c r="P849" s="168"/>
      <c r="Q849" s="205"/>
      <c r="R849" s="205"/>
      <c r="S849" s="17"/>
      <c r="T849" s="17"/>
    </row>
    <row r="850">
      <c r="A850" s="341"/>
      <c r="B850" s="168"/>
      <c r="C850" s="341"/>
      <c r="D850" s="181"/>
      <c r="E850" s="341"/>
      <c r="F850" s="168"/>
      <c r="G850" s="341"/>
      <c r="H850" s="168"/>
      <c r="I850" s="348"/>
      <c r="J850" s="181"/>
      <c r="K850" s="348"/>
      <c r="L850" s="181"/>
      <c r="M850" s="348"/>
      <c r="N850" s="181"/>
      <c r="O850" s="341"/>
      <c r="P850" s="168"/>
      <c r="Q850" s="205"/>
      <c r="R850" s="205"/>
      <c r="S850" s="17"/>
      <c r="T850" s="17"/>
    </row>
    <row r="851">
      <c r="A851" s="341"/>
      <c r="B851" s="168"/>
      <c r="C851" s="341"/>
      <c r="D851" s="181"/>
      <c r="E851" s="341"/>
      <c r="F851" s="168"/>
      <c r="G851" s="341"/>
      <c r="H851" s="168"/>
      <c r="I851" s="348"/>
      <c r="J851" s="181"/>
      <c r="K851" s="348"/>
      <c r="L851" s="181"/>
      <c r="M851" s="348"/>
      <c r="N851" s="181"/>
      <c r="O851" s="341"/>
      <c r="P851" s="168"/>
      <c r="Q851" s="205"/>
      <c r="R851" s="205"/>
      <c r="S851" s="17"/>
      <c r="T851" s="17"/>
    </row>
    <row r="852">
      <c r="A852" s="341"/>
      <c r="B852" s="168"/>
      <c r="C852" s="341"/>
      <c r="D852" s="181"/>
      <c r="E852" s="341"/>
      <c r="F852" s="168"/>
      <c r="G852" s="341"/>
      <c r="H852" s="168"/>
      <c r="I852" s="348"/>
      <c r="J852" s="181"/>
      <c r="K852" s="348"/>
      <c r="L852" s="181"/>
      <c r="M852" s="348"/>
      <c r="N852" s="181"/>
      <c r="O852" s="341"/>
      <c r="P852" s="168"/>
      <c r="Q852" s="205"/>
      <c r="R852" s="205"/>
      <c r="S852" s="17"/>
      <c r="T852" s="17"/>
    </row>
    <row r="853">
      <c r="A853" s="341"/>
      <c r="B853" s="168"/>
      <c r="C853" s="341"/>
      <c r="D853" s="181"/>
      <c r="E853" s="341"/>
      <c r="F853" s="168"/>
      <c r="G853" s="341"/>
      <c r="H853" s="168"/>
      <c r="I853" s="348"/>
      <c r="J853" s="181"/>
      <c r="K853" s="348"/>
      <c r="L853" s="181"/>
      <c r="M853" s="348"/>
      <c r="N853" s="181"/>
      <c r="O853" s="341"/>
      <c r="P853" s="168"/>
      <c r="Q853" s="205"/>
      <c r="R853" s="205"/>
      <c r="S853" s="17"/>
      <c r="T853" s="17"/>
    </row>
    <row r="854">
      <c r="A854" s="341"/>
      <c r="B854" s="168"/>
      <c r="C854" s="341"/>
      <c r="D854" s="181"/>
      <c r="E854" s="341"/>
      <c r="F854" s="168"/>
      <c r="G854" s="341"/>
      <c r="H854" s="168"/>
      <c r="I854" s="348"/>
      <c r="J854" s="181"/>
      <c r="K854" s="348"/>
      <c r="L854" s="181"/>
      <c r="M854" s="348"/>
      <c r="N854" s="181"/>
      <c r="O854" s="341"/>
      <c r="P854" s="168"/>
      <c r="Q854" s="205"/>
      <c r="R854" s="205"/>
      <c r="S854" s="17"/>
      <c r="T854" s="17"/>
    </row>
    <row r="855">
      <c r="A855" s="341"/>
      <c r="B855" s="168"/>
      <c r="C855" s="341"/>
      <c r="D855" s="181"/>
      <c r="E855" s="341"/>
      <c r="F855" s="168"/>
      <c r="G855" s="341"/>
      <c r="H855" s="168"/>
      <c r="I855" s="348"/>
      <c r="J855" s="181"/>
      <c r="K855" s="348"/>
      <c r="L855" s="181"/>
      <c r="M855" s="348"/>
      <c r="N855" s="181"/>
      <c r="O855" s="341"/>
      <c r="P855" s="168"/>
      <c r="Q855" s="205"/>
      <c r="R855" s="205"/>
      <c r="S855" s="17"/>
      <c r="T855" s="17"/>
    </row>
    <row r="856">
      <c r="A856" s="341"/>
      <c r="B856" s="168"/>
      <c r="C856" s="341"/>
      <c r="D856" s="181"/>
      <c r="E856" s="341"/>
      <c r="F856" s="168"/>
      <c r="G856" s="341"/>
      <c r="H856" s="168"/>
      <c r="I856" s="348"/>
      <c r="J856" s="181"/>
      <c r="K856" s="348"/>
      <c r="L856" s="181"/>
      <c r="M856" s="348"/>
      <c r="N856" s="181"/>
      <c r="O856" s="341"/>
      <c r="P856" s="168"/>
      <c r="Q856" s="205"/>
      <c r="R856" s="205"/>
      <c r="S856" s="17"/>
      <c r="T856" s="17"/>
    </row>
    <row r="857">
      <c r="A857" s="341"/>
      <c r="B857" s="168"/>
      <c r="C857" s="341"/>
      <c r="D857" s="181"/>
      <c r="E857" s="341"/>
      <c r="F857" s="168"/>
      <c r="G857" s="341"/>
      <c r="H857" s="168"/>
      <c r="I857" s="348"/>
      <c r="J857" s="181"/>
      <c r="K857" s="348"/>
      <c r="L857" s="181"/>
      <c r="M857" s="348"/>
      <c r="N857" s="181"/>
      <c r="O857" s="341"/>
      <c r="P857" s="168"/>
      <c r="Q857" s="205"/>
      <c r="R857" s="205"/>
      <c r="S857" s="17"/>
      <c r="T857" s="17"/>
    </row>
    <row r="858">
      <c r="A858" s="341"/>
      <c r="B858" s="168"/>
      <c r="C858" s="341"/>
      <c r="D858" s="181"/>
      <c r="E858" s="341"/>
      <c r="F858" s="168"/>
      <c r="G858" s="341"/>
      <c r="H858" s="168"/>
      <c r="I858" s="348"/>
      <c r="J858" s="181"/>
      <c r="K858" s="348"/>
      <c r="L858" s="181"/>
      <c r="M858" s="348"/>
      <c r="N858" s="181"/>
      <c r="O858" s="341"/>
      <c r="P858" s="168"/>
      <c r="Q858" s="205"/>
      <c r="R858" s="205"/>
      <c r="S858" s="17"/>
      <c r="T858" s="17"/>
    </row>
    <row r="859">
      <c r="A859" s="341"/>
      <c r="B859" s="168"/>
      <c r="C859" s="341"/>
      <c r="D859" s="181"/>
      <c r="E859" s="341"/>
      <c r="F859" s="168"/>
      <c r="G859" s="341"/>
      <c r="H859" s="168"/>
      <c r="I859" s="348"/>
      <c r="J859" s="181"/>
      <c r="K859" s="348"/>
      <c r="L859" s="181"/>
      <c r="M859" s="348"/>
      <c r="N859" s="181"/>
      <c r="O859" s="341"/>
      <c r="P859" s="168"/>
      <c r="Q859" s="205"/>
      <c r="R859" s="205"/>
      <c r="S859" s="17"/>
      <c r="T859" s="17"/>
    </row>
    <row r="860">
      <c r="A860" s="341"/>
      <c r="B860" s="168"/>
      <c r="C860" s="341"/>
      <c r="D860" s="181"/>
      <c r="E860" s="341"/>
      <c r="F860" s="168"/>
      <c r="G860" s="341"/>
      <c r="H860" s="168"/>
      <c r="I860" s="348"/>
      <c r="J860" s="181"/>
      <c r="K860" s="348"/>
      <c r="L860" s="181"/>
      <c r="M860" s="348"/>
      <c r="N860" s="181"/>
      <c r="O860" s="341"/>
      <c r="P860" s="168"/>
      <c r="Q860" s="205"/>
      <c r="R860" s="205"/>
      <c r="S860" s="17"/>
      <c r="T860" s="17"/>
    </row>
    <row r="861">
      <c r="A861" s="341"/>
      <c r="B861" s="168"/>
      <c r="C861" s="341"/>
      <c r="D861" s="181"/>
      <c r="E861" s="341"/>
      <c r="F861" s="168"/>
      <c r="G861" s="341"/>
      <c r="H861" s="168"/>
      <c r="I861" s="348"/>
      <c r="J861" s="181"/>
      <c r="K861" s="348"/>
      <c r="L861" s="181"/>
      <c r="M861" s="348"/>
      <c r="N861" s="181"/>
      <c r="O861" s="341"/>
      <c r="P861" s="168"/>
      <c r="Q861" s="205"/>
      <c r="R861" s="205"/>
      <c r="S861" s="17"/>
      <c r="T861" s="17"/>
    </row>
    <row r="862">
      <c r="A862" s="341"/>
      <c r="B862" s="168"/>
      <c r="C862" s="341"/>
      <c r="D862" s="181"/>
      <c r="E862" s="341"/>
      <c r="F862" s="168"/>
      <c r="G862" s="341"/>
      <c r="H862" s="168"/>
      <c r="I862" s="348"/>
      <c r="J862" s="181"/>
      <c r="K862" s="348"/>
      <c r="L862" s="181"/>
      <c r="M862" s="348"/>
      <c r="N862" s="181"/>
      <c r="O862" s="341"/>
      <c r="P862" s="168"/>
      <c r="Q862" s="205"/>
      <c r="R862" s="205"/>
      <c r="S862" s="17"/>
      <c r="T862" s="17"/>
    </row>
    <row r="863">
      <c r="A863" s="341"/>
      <c r="B863" s="168"/>
      <c r="C863" s="341"/>
      <c r="D863" s="181"/>
      <c r="E863" s="341"/>
      <c r="F863" s="168"/>
      <c r="G863" s="341"/>
      <c r="H863" s="168"/>
      <c r="I863" s="348"/>
      <c r="J863" s="181"/>
      <c r="K863" s="348"/>
      <c r="L863" s="181"/>
      <c r="M863" s="348"/>
      <c r="N863" s="181"/>
      <c r="O863" s="341"/>
      <c r="P863" s="168"/>
      <c r="Q863" s="205"/>
      <c r="R863" s="205"/>
      <c r="S863" s="17"/>
      <c r="T863" s="17"/>
    </row>
    <row r="864">
      <c r="A864" s="341"/>
      <c r="B864" s="168"/>
      <c r="C864" s="341"/>
      <c r="D864" s="181"/>
      <c r="E864" s="341"/>
      <c r="F864" s="168"/>
      <c r="G864" s="341"/>
      <c r="H864" s="168"/>
      <c r="I864" s="348"/>
      <c r="J864" s="181"/>
      <c r="K864" s="348"/>
      <c r="L864" s="181"/>
      <c r="M864" s="348"/>
      <c r="N864" s="181"/>
      <c r="O864" s="341"/>
      <c r="P864" s="168"/>
      <c r="Q864" s="205"/>
      <c r="R864" s="205"/>
      <c r="S864" s="17"/>
      <c r="T864" s="17"/>
    </row>
    <row r="865">
      <c r="A865" s="341"/>
      <c r="B865" s="168"/>
      <c r="C865" s="341"/>
      <c r="D865" s="181"/>
      <c r="E865" s="341"/>
      <c r="F865" s="168"/>
      <c r="G865" s="341"/>
      <c r="H865" s="168"/>
      <c r="I865" s="348"/>
      <c r="J865" s="181"/>
      <c r="K865" s="348"/>
      <c r="L865" s="181"/>
      <c r="M865" s="348"/>
      <c r="N865" s="181"/>
      <c r="O865" s="341"/>
      <c r="P865" s="168"/>
      <c r="Q865" s="205"/>
      <c r="R865" s="205"/>
      <c r="S865" s="17"/>
      <c r="T865" s="17"/>
    </row>
    <row r="866">
      <c r="A866" s="341"/>
      <c r="B866" s="168"/>
      <c r="C866" s="341"/>
      <c r="D866" s="181"/>
      <c r="E866" s="341"/>
      <c r="F866" s="168"/>
      <c r="G866" s="341"/>
      <c r="H866" s="168"/>
      <c r="I866" s="348"/>
      <c r="J866" s="181"/>
      <c r="K866" s="348"/>
      <c r="L866" s="181"/>
      <c r="M866" s="348"/>
      <c r="N866" s="181"/>
      <c r="O866" s="341"/>
      <c r="P866" s="168"/>
      <c r="Q866" s="205"/>
      <c r="R866" s="205"/>
      <c r="S866" s="17"/>
      <c r="T866" s="17"/>
    </row>
    <row r="867">
      <c r="A867" s="341"/>
      <c r="B867" s="168"/>
      <c r="C867" s="341"/>
      <c r="D867" s="181"/>
      <c r="E867" s="341"/>
      <c r="F867" s="168"/>
      <c r="G867" s="341"/>
      <c r="H867" s="168"/>
      <c r="I867" s="348"/>
      <c r="J867" s="181"/>
      <c r="K867" s="348"/>
      <c r="L867" s="181"/>
      <c r="M867" s="348"/>
      <c r="N867" s="181"/>
      <c r="O867" s="341"/>
      <c r="P867" s="168"/>
      <c r="Q867" s="205"/>
      <c r="R867" s="205"/>
      <c r="S867" s="17"/>
      <c r="T867" s="17"/>
    </row>
    <row r="868">
      <c r="A868" s="341"/>
      <c r="B868" s="168"/>
      <c r="C868" s="341"/>
      <c r="D868" s="181"/>
      <c r="E868" s="341"/>
      <c r="F868" s="168"/>
      <c r="G868" s="341"/>
      <c r="H868" s="168"/>
      <c r="I868" s="348"/>
      <c r="J868" s="181"/>
      <c r="K868" s="348"/>
      <c r="L868" s="181"/>
      <c r="M868" s="348"/>
      <c r="N868" s="181"/>
      <c r="O868" s="341"/>
      <c r="P868" s="168"/>
      <c r="Q868" s="205"/>
      <c r="R868" s="205"/>
      <c r="S868" s="17"/>
      <c r="T868" s="17"/>
    </row>
    <row r="869">
      <c r="A869" s="341"/>
      <c r="B869" s="168"/>
      <c r="C869" s="341"/>
      <c r="D869" s="181"/>
      <c r="E869" s="341"/>
      <c r="F869" s="168"/>
      <c r="G869" s="341"/>
      <c r="H869" s="168"/>
      <c r="I869" s="348"/>
      <c r="J869" s="181"/>
      <c r="K869" s="348"/>
      <c r="L869" s="181"/>
      <c r="M869" s="348"/>
      <c r="N869" s="181"/>
      <c r="O869" s="341"/>
      <c r="P869" s="168"/>
      <c r="Q869" s="205"/>
      <c r="R869" s="205"/>
      <c r="S869" s="17"/>
      <c r="T869" s="17"/>
    </row>
    <row r="870">
      <c r="A870" s="341"/>
      <c r="B870" s="168"/>
      <c r="C870" s="341"/>
      <c r="D870" s="181"/>
      <c r="E870" s="341"/>
      <c r="F870" s="168"/>
      <c r="G870" s="341"/>
      <c r="H870" s="168"/>
      <c r="I870" s="348"/>
      <c r="J870" s="181"/>
      <c r="K870" s="348"/>
      <c r="L870" s="181"/>
      <c r="M870" s="348"/>
      <c r="N870" s="181"/>
      <c r="O870" s="341"/>
      <c r="P870" s="168"/>
      <c r="Q870" s="205"/>
      <c r="R870" s="205"/>
      <c r="S870" s="17"/>
      <c r="T870" s="17"/>
    </row>
    <row r="871">
      <c r="A871" s="341"/>
      <c r="B871" s="168"/>
      <c r="C871" s="341"/>
      <c r="D871" s="181"/>
      <c r="E871" s="341"/>
      <c r="F871" s="168"/>
      <c r="G871" s="341"/>
      <c r="H871" s="168"/>
      <c r="I871" s="348"/>
      <c r="J871" s="181"/>
      <c r="K871" s="348"/>
      <c r="L871" s="181"/>
      <c r="M871" s="348"/>
      <c r="N871" s="181"/>
      <c r="O871" s="341"/>
      <c r="P871" s="168"/>
      <c r="Q871" s="205"/>
      <c r="R871" s="205"/>
      <c r="S871" s="17"/>
      <c r="T871" s="17"/>
    </row>
    <row r="872">
      <c r="A872" s="341"/>
      <c r="B872" s="168"/>
      <c r="C872" s="341"/>
      <c r="D872" s="181"/>
      <c r="E872" s="341"/>
      <c r="F872" s="168"/>
      <c r="G872" s="341"/>
      <c r="H872" s="168"/>
      <c r="I872" s="348"/>
      <c r="J872" s="181"/>
      <c r="K872" s="348"/>
      <c r="L872" s="181"/>
      <c r="M872" s="348"/>
      <c r="N872" s="181"/>
      <c r="O872" s="341"/>
      <c r="P872" s="168"/>
      <c r="Q872" s="205"/>
      <c r="R872" s="205"/>
      <c r="S872" s="17"/>
      <c r="T872" s="17"/>
    </row>
    <row r="873">
      <c r="A873" s="341"/>
      <c r="B873" s="168"/>
      <c r="C873" s="341"/>
      <c r="D873" s="181"/>
      <c r="E873" s="341"/>
      <c r="F873" s="168"/>
      <c r="G873" s="341"/>
      <c r="H873" s="168"/>
      <c r="I873" s="348"/>
      <c r="J873" s="181"/>
      <c r="K873" s="348"/>
      <c r="L873" s="181"/>
      <c r="M873" s="348"/>
      <c r="N873" s="181"/>
      <c r="O873" s="341"/>
      <c r="P873" s="168"/>
      <c r="Q873" s="205"/>
      <c r="R873" s="205"/>
      <c r="S873" s="17"/>
      <c r="T873" s="17"/>
    </row>
    <row r="874">
      <c r="A874" s="341"/>
      <c r="B874" s="168"/>
      <c r="C874" s="341"/>
      <c r="D874" s="181"/>
      <c r="E874" s="341"/>
      <c r="F874" s="168"/>
      <c r="G874" s="341"/>
      <c r="H874" s="168"/>
      <c r="I874" s="348"/>
      <c r="J874" s="181"/>
      <c r="K874" s="348"/>
      <c r="L874" s="181"/>
      <c r="M874" s="348"/>
      <c r="N874" s="181"/>
      <c r="O874" s="341"/>
      <c r="P874" s="168"/>
      <c r="Q874" s="205"/>
      <c r="R874" s="205"/>
      <c r="S874" s="17"/>
      <c r="T874" s="17"/>
    </row>
    <row r="875">
      <c r="A875" s="341"/>
      <c r="B875" s="168"/>
      <c r="C875" s="341"/>
      <c r="D875" s="181"/>
      <c r="E875" s="341"/>
      <c r="F875" s="168"/>
      <c r="G875" s="341"/>
      <c r="H875" s="168"/>
      <c r="I875" s="348"/>
      <c r="J875" s="181"/>
      <c r="K875" s="348"/>
      <c r="L875" s="181"/>
      <c r="M875" s="348"/>
      <c r="N875" s="181"/>
      <c r="O875" s="341"/>
      <c r="P875" s="168"/>
      <c r="Q875" s="205"/>
      <c r="R875" s="205"/>
      <c r="S875" s="17"/>
      <c r="T875" s="17"/>
    </row>
    <row r="876">
      <c r="A876" s="341"/>
      <c r="B876" s="168"/>
      <c r="C876" s="341"/>
      <c r="D876" s="181"/>
      <c r="E876" s="341"/>
      <c r="F876" s="168"/>
      <c r="G876" s="341"/>
      <c r="H876" s="168"/>
      <c r="I876" s="348"/>
      <c r="J876" s="181"/>
      <c r="K876" s="348"/>
      <c r="L876" s="181"/>
      <c r="M876" s="348"/>
      <c r="N876" s="181"/>
      <c r="O876" s="341"/>
      <c r="P876" s="168"/>
      <c r="Q876" s="205"/>
      <c r="R876" s="205"/>
      <c r="S876" s="17"/>
      <c r="T876" s="17"/>
    </row>
    <row r="877">
      <c r="A877" s="341"/>
      <c r="B877" s="168"/>
      <c r="C877" s="341"/>
      <c r="D877" s="181"/>
      <c r="E877" s="341"/>
      <c r="F877" s="168"/>
      <c r="G877" s="341"/>
      <c r="H877" s="168"/>
      <c r="I877" s="348"/>
      <c r="J877" s="181"/>
      <c r="K877" s="348"/>
      <c r="L877" s="181"/>
      <c r="M877" s="348"/>
      <c r="N877" s="181"/>
      <c r="O877" s="341"/>
      <c r="P877" s="168"/>
      <c r="Q877" s="205"/>
      <c r="R877" s="205"/>
      <c r="S877" s="17"/>
      <c r="T877" s="17"/>
    </row>
    <row r="878">
      <c r="A878" s="341"/>
      <c r="B878" s="168"/>
      <c r="C878" s="341"/>
      <c r="D878" s="181"/>
      <c r="E878" s="341"/>
      <c r="F878" s="168"/>
      <c r="G878" s="341"/>
      <c r="H878" s="168"/>
      <c r="I878" s="348"/>
      <c r="J878" s="181"/>
      <c r="K878" s="348"/>
      <c r="L878" s="181"/>
      <c r="M878" s="348"/>
      <c r="N878" s="181"/>
      <c r="O878" s="341"/>
      <c r="P878" s="168"/>
      <c r="Q878" s="205"/>
      <c r="R878" s="205"/>
      <c r="S878" s="17"/>
      <c r="T878" s="17"/>
    </row>
    <row r="879">
      <c r="A879" s="341"/>
      <c r="B879" s="168"/>
      <c r="C879" s="341"/>
      <c r="D879" s="181"/>
      <c r="E879" s="341"/>
      <c r="F879" s="168"/>
      <c r="G879" s="341"/>
      <c r="H879" s="168"/>
      <c r="I879" s="348"/>
      <c r="J879" s="181"/>
      <c r="K879" s="348"/>
      <c r="L879" s="181"/>
      <c r="M879" s="348"/>
      <c r="N879" s="181"/>
      <c r="O879" s="341"/>
      <c r="P879" s="168"/>
      <c r="Q879" s="205"/>
      <c r="R879" s="205"/>
      <c r="S879" s="17"/>
      <c r="T879" s="17"/>
    </row>
    <row r="880">
      <c r="A880" s="341"/>
      <c r="B880" s="168"/>
      <c r="C880" s="341"/>
      <c r="D880" s="181"/>
      <c r="E880" s="341"/>
      <c r="F880" s="168"/>
      <c r="G880" s="341"/>
      <c r="H880" s="168"/>
      <c r="I880" s="348"/>
      <c r="J880" s="181"/>
      <c r="K880" s="348"/>
      <c r="L880" s="181"/>
      <c r="M880" s="348"/>
      <c r="N880" s="181"/>
      <c r="O880" s="341"/>
      <c r="P880" s="168"/>
      <c r="Q880" s="205"/>
      <c r="R880" s="205"/>
      <c r="S880" s="17"/>
      <c r="T880" s="17"/>
    </row>
    <row r="881">
      <c r="A881" s="341"/>
      <c r="B881" s="168"/>
      <c r="C881" s="341"/>
      <c r="D881" s="181"/>
      <c r="E881" s="341"/>
      <c r="F881" s="168"/>
      <c r="G881" s="341"/>
      <c r="H881" s="168"/>
      <c r="I881" s="348"/>
      <c r="J881" s="181"/>
      <c r="K881" s="348"/>
      <c r="L881" s="181"/>
      <c r="M881" s="348"/>
      <c r="N881" s="181"/>
      <c r="O881" s="341"/>
      <c r="P881" s="168"/>
      <c r="Q881" s="205"/>
      <c r="R881" s="205"/>
      <c r="S881" s="17"/>
      <c r="T881" s="17"/>
    </row>
    <row r="882">
      <c r="A882" s="341"/>
      <c r="B882" s="168"/>
      <c r="C882" s="341"/>
      <c r="D882" s="181"/>
      <c r="E882" s="341"/>
      <c r="F882" s="168"/>
      <c r="G882" s="341"/>
      <c r="H882" s="168"/>
      <c r="I882" s="348"/>
      <c r="J882" s="181"/>
      <c r="K882" s="348"/>
      <c r="L882" s="181"/>
      <c r="M882" s="348"/>
      <c r="N882" s="181"/>
      <c r="O882" s="341"/>
      <c r="P882" s="168"/>
      <c r="Q882" s="205"/>
      <c r="R882" s="205"/>
      <c r="S882" s="17"/>
      <c r="T882" s="17"/>
    </row>
    <row r="883">
      <c r="A883" s="341"/>
      <c r="B883" s="168"/>
      <c r="C883" s="341"/>
      <c r="D883" s="181"/>
      <c r="E883" s="341"/>
      <c r="F883" s="168"/>
      <c r="G883" s="341"/>
      <c r="H883" s="168"/>
      <c r="I883" s="348"/>
      <c r="J883" s="181"/>
      <c r="K883" s="348"/>
      <c r="L883" s="181"/>
      <c r="M883" s="348"/>
      <c r="N883" s="181"/>
      <c r="O883" s="341"/>
      <c r="P883" s="168"/>
      <c r="Q883" s="205"/>
      <c r="R883" s="205"/>
      <c r="S883" s="17"/>
      <c r="T883" s="17"/>
    </row>
    <row r="884">
      <c r="A884" s="341"/>
      <c r="B884" s="168"/>
      <c r="C884" s="341"/>
      <c r="D884" s="181"/>
      <c r="E884" s="341"/>
      <c r="F884" s="168"/>
      <c r="G884" s="341"/>
      <c r="H884" s="168"/>
      <c r="I884" s="348"/>
      <c r="J884" s="181"/>
      <c r="K884" s="348"/>
      <c r="L884" s="181"/>
      <c r="M884" s="348"/>
      <c r="N884" s="181"/>
      <c r="O884" s="341"/>
      <c r="P884" s="168"/>
      <c r="Q884" s="205"/>
      <c r="R884" s="205"/>
      <c r="S884" s="17"/>
      <c r="T884" s="17"/>
    </row>
    <row r="885">
      <c r="A885" s="341"/>
      <c r="B885" s="168"/>
      <c r="C885" s="341"/>
      <c r="D885" s="181"/>
      <c r="E885" s="341"/>
      <c r="F885" s="168"/>
      <c r="G885" s="341"/>
      <c r="H885" s="168"/>
      <c r="I885" s="348"/>
      <c r="J885" s="181"/>
      <c r="K885" s="348"/>
      <c r="L885" s="181"/>
      <c r="M885" s="348"/>
      <c r="N885" s="181"/>
      <c r="O885" s="341"/>
      <c r="P885" s="168"/>
      <c r="Q885" s="205"/>
      <c r="R885" s="205"/>
      <c r="S885" s="17"/>
      <c r="T885" s="17"/>
    </row>
    <row r="886">
      <c r="A886" s="341"/>
      <c r="B886" s="168"/>
      <c r="C886" s="341"/>
      <c r="D886" s="181"/>
      <c r="E886" s="341"/>
      <c r="F886" s="168"/>
      <c r="G886" s="341"/>
      <c r="H886" s="168"/>
      <c r="I886" s="348"/>
      <c r="J886" s="181"/>
      <c r="K886" s="348"/>
      <c r="L886" s="181"/>
      <c r="M886" s="348"/>
      <c r="N886" s="181"/>
      <c r="O886" s="341"/>
      <c r="P886" s="168"/>
      <c r="Q886" s="205"/>
      <c r="R886" s="205"/>
      <c r="S886" s="17"/>
      <c r="T886" s="17"/>
    </row>
    <row r="887">
      <c r="A887" s="341"/>
      <c r="B887" s="168"/>
      <c r="C887" s="341"/>
      <c r="D887" s="181"/>
      <c r="E887" s="341"/>
      <c r="F887" s="168"/>
      <c r="G887" s="341"/>
      <c r="H887" s="168"/>
      <c r="I887" s="348"/>
      <c r="J887" s="181"/>
      <c r="K887" s="348"/>
      <c r="L887" s="181"/>
      <c r="M887" s="348"/>
      <c r="N887" s="181"/>
      <c r="O887" s="341"/>
      <c r="P887" s="168"/>
      <c r="Q887" s="205"/>
      <c r="R887" s="205"/>
      <c r="S887" s="17"/>
      <c r="T887" s="17"/>
    </row>
    <row r="888">
      <c r="A888" s="341"/>
      <c r="B888" s="168"/>
      <c r="C888" s="341"/>
      <c r="D888" s="181"/>
      <c r="E888" s="341"/>
      <c r="F888" s="168"/>
      <c r="G888" s="341"/>
      <c r="H888" s="168"/>
      <c r="I888" s="348"/>
      <c r="J888" s="181"/>
      <c r="K888" s="348"/>
      <c r="L888" s="181"/>
      <c r="M888" s="348"/>
      <c r="N888" s="181"/>
      <c r="O888" s="341"/>
      <c r="P888" s="168"/>
      <c r="Q888" s="205"/>
      <c r="R888" s="205"/>
      <c r="S888" s="17"/>
      <c r="T888" s="17"/>
    </row>
    <row r="889">
      <c r="A889" s="341"/>
      <c r="B889" s="168"/>
      <c r="C889" s="341"/>
      <c r="D889" s="181"/>
      <c r="E889" s="341"/>
      <c r="F889" s="168"/>
      <c r="G889" s="341"/>
      <c r="H889" s="168"/>
      <c r="I889" s="348"/>
      <c r="J889" s="181"/>
      <c r="K889" s="348"/>
      <c r="L889" s="181"/>
      <c r="M889" s="348"/>
      <c r="N889" s="181"/>
      <c r="O889" s="341"/>
      <c r="P889" s="168"/>
      <c r="Q889" s="205"/>
      <c r="R889" s="205"/>
      <c r="S889" s="17"/>
      <c r="T889" s="17"/>
    </row>
    <row r="890">
      <c r="A890" s="341"/>
      <c r="B890" s="168"/>
      <c r="C890" s="341"/>
      <c r="D890" s="181"/>
      <c r="E890" s="341"/>
      <c r="F890" s="168"/>
      <c r="G890" s="341"/>
      <c r="H890" s="168"/>
      <c r="I890" s="348"/>
      <c r="J890" s="181"/>
      <c r="K890" s="348"/>
      <c r="L890" s="181"/>
      <c r="M890" s="348"/>
      <c r="N890" s="181"/>
      <c r="O890" s="341"/>
      <c r="P890" s="168"/>
      <c r="Q890" s="205"/>
      <c r="R890" s="205"/>
      <c r="S890" s="17"/>
      <c r="T890" s="17"/>
    </row>
    <row r="891">
      <c r="A891" s="341"/>
      <c r="B891" s="168"/>
      <c r="C891" s="341"/>
      <c r="D891" s="181"/>
      <c r="E891" s="341"/>
      <c r="F891" s="168"/>
      <c r="G891" s="341"/>
      <c r="H891" s="168"/>
      <c r="I891" s="348"/>
      <c r="J891" s="181"/>
      <c r="K891" s="348"/>
      <c r="L891" s="181"/>
      <c r="M891" s="348"/>
      <c r="N891" s="181"/>
      <c r="O891" s="341"/>
      <c r="P891" s="168"/>
      <c r="Q891" s="205"/>
      <c r="R891" s="205"/>
      <c r="S891" s="17"/>
      <c r="T891" s="17"/>
    </row>
    <row r="892">
      <c r="A892" s="341"/>
      <c r="B892" s="168"/>
      <c r="C892" s="341"/>
      <c r="D892" s="181"/>
      <c r="E892" s="341"/>
      <c r="F892" s="168"/>
      <c r="G892" s="341"/>
      <c r="H892" s="168"/>
      <c r="I892" s="348"/>
      <c r="J892" s="181"/>
      <c r="K892" s="348"/>
      <c r="L892" s="181"/>
      <c r="M892" s="348"/>
      <c r="N892" s="181"/>
      <c r="O892" s="341"/>
      <c r="P892" s="168"/>
      <c r="Q892" s="205"/>
      <c r="R892" s="205"/>
      <c r="S892" s="17"/>
      <c r="T892" s="17"/>
    </row>
    <row r="893">
      <c r="A893" s="341"/>
      <c r="B893" s="168"/>
      <c r="C893" s="341"/>
      <c r="D893" s="181"/>
      <c r="E893" s="341"/>
      <c r="F893" s="168"/>
      <c r="G893" s="341"/>
      <c r="H893" s="168"/>
      <c r="I893" s="348"/>
      <c r="J893" s="181"/>
      <c r="K893" s="348"/>
      <c r="L893" s="181"/>
      <c r="M893" s="348"/>
      <c r="N893" s="181"/>
      <c r="O893" s="341"/>
      <c r="P893" s="168"/>
      <c r="Q893" s="205"/>
      <c r="R893" s="205"/>
      <c r="S893" s="17"/>
      <c r="T893" s="17"/>
    </row>
    <row r="894">
      <c r="A894" s="341"/>
      <c r="B894" s="168"/>
      <c r="C894" s="341"/>
      <c r="D894" s="181"/>
      <c r="E894" s="341"/>
      <c r="F894" s="168"/>
      <c r="G894" s="341"/>
      <c r="H894" s="168"/>
      <c r="I894" s="348"/>
      <c r="J894" s="181"/>
      <c r="K894" s="348"/>
      <c r="L894" s="181"/>
      <c r="M894" s="348"/>
      <c r="N894" s="181"/>
      <c r="O894" s="341"/>
      <c r="P894" s="168"/>
      <c r="Q894" s="205"/>
      <c r="R894" s="205"/>
      <c r="S894" s="17"/>
      <c r="T894" s="17"/>
    </row>
    <row r="895">
      <c r="A895" s="341"/>
      <c r="B895" s="168"/>
      <c r="C895" s="341"/>
      <c r="D895" s="181"/>
      <c r="E895" s="341"/>
      <c r="F895" s="168"/>
      <c r="G895" s="341"/>
      <c r="H895" s="168"/>
      <c r="I895" s="348"/>
      <c r="J895" s="181"/>
      <c r="K895" s="348"/>
      <c r="L895" s="181"/>
      <c r="M895" s="348"/>
      <c r="N895" s="181"/>
      <c r="O895" s="341"/>
      <c r="P895" s="168"/>
      <c r="Q895" s="205"/>
      <c r="R895" s="205"/>
      <c r="S895" s="17"/>
      <c r="T895" s="17"/>
    </row>
    <row r="896">
      <c r="A896" s="341"/>
      <c r="B896" s="168"/>
      <c r="C896" s="341"/>
      <c r="D896" s="181"/>
      <c r="E896" s="341"/>
      <c r="F896" s="168"/>
      <c r="G896" s="341"/>
      <c r="H896" s="168"/>
      <c r="I896" s="348"/>
      <c r="J896" s="181"/>
      <c r="K896" s="348"/>
      <c r="L896" s="181"/>
      <c r="M896" s="348"/>
      <c r="N896" s="181"/>
      <c r="O896" s="341"/>
      <c r="P896" s="168"/>
      <c r="Q896" s="205"/>
      <c r="R896" s="205"/>
      <c r="S896" s="17"/>
      <c r="T896" s="17"/>
    </row>
    <row r="897">
      <c r="A897" s="341"/>
      <c r="B897" s="168"/>
      <c r="C897" s="341"/>
      <c r="D897" s="181"/>
      <c r="E897" s="341"/>
      <c r="F897" s="168"/>
      <c r="G897" s="341"/>
      <c r="H897" s="168"/>
      <c r="I897" s="348"/>
      <c r="J897" s="181"/>
      <c r="K897" s="348"/>
      <c r="L897" s="181"/>
      <c r="M897" s="348"/>
      <c r="N897" s="181"/>
      <c r="O897" s="341"/>
      <c r="P897" s="168"/>
      <c r="Q897" s="205"/>
      <c r="R897" s="205"/>
      <c r="S897" s="17"/>
      <c r="T897" s="17"/>
    </row>
    <row r="898">
      <c r="A898" s="341"/>
      <c r="B898" s="168"/>
      <c r="C898" s="341"/>
      <c r="D898" s="181"/>
      <c r="E898" s="341"/>
      <c r="F898" s="168"/>
      <c r="G898" s="341"/>
      <c r="H898" s="168"/>
      <c r="I898" s="348"/>
      <c r="J898" s="181"/>
      <c r="K898" s="348"/>
      <c r="L898" s="181"/>
      <c r="M898" s="348"/>
      <c r="N898" s="181"/>
      <c r="O898" s="341"/>
      <c r="P898" s="168"/>
      <c r="Q898" s="205"/>
      <c r="R898" s="205"/>
      <c r="S898" s="17"/>
      <c r="T898" s="17"/>
    </row>
    <row r="899">
      <c r="A899" s="341"/>
      <c r="B899" s="168"/>
      <c r="C899" s="341"/>
      <c r="D899" s="181"/>
      <c r="E899" s="341"/>
      <c r="F899" s="168"/>
      <c r="G899" s="341"/>
      <c r="H899" s="168"/>
      <c r="I899" s="348"/>
      <c r="J899" s="181"/>
      <c r="K899" s="348"/>
      <c r="L899" s="181"/>
      <c r="M899" s="348"/>
      <c r="N899" s="181"/>
      <c r="O899" s="341"/>
      <c r="P899" s="168"/>
      <c r="Q899" s="205"/>
      <c r="R899" s="205"/>
      <c r="S899" s="17"/>
      <c r="T899" s="17"/>
    </row>
    <row r="900">
      <c r="A900" s="341"/>
      <c r="B900" s="168"/>
      <c r="C900" s="341"/>
      <c r="D900" s="181"/>
      <c r="E900" s="341"/>
      <c r="F900" s="168"/>
      <c r="G900" s="341"/>
      <c r="H900" s="168"/>
      <c r="I900" s="348"/>
      <c r="J900" s="181"/>
      <c r="K900" s="348"/>
      <c r="L900" s="181"/>
      <c r="M900" s="348"/>
      <c r="N900" s="181"/>
      <c r="O900" s="341"/>
      <c r="P900" s="168"/>
      <c r="Q900" s="205"/>
      <c r="R900" s="205"/>
      <c r="S900" s="17"/>
      <c r="T900" s="17"/>
    </row>
    <row r="901">
      <c r="A901" s="341"/>
      <c r="B901" s="168"/>
      <c r="C901" s="341"/>
      <c r="D901" s="181"/>
      <c r="E901" s="341"/>
      <c r="F901" s="168"/>
      <c r="G901" s="341"/>
      <c r="H901" s="168"/>
      <c r="I901" s="348"/>
      <c r="J901" s="181"/>
      <c r="K901" s="348"/>
      <c r="L901" s="181"/>
      <c r="M901" s="348"/>
      <c r="N901" s="181"/>
      <c r="O901" s="341"/>
      <c r="P901" s="168"/>
      <c r="Q901" s="205"/>
      <c r="R901" s="205"/>
      <c r="S901" s="17"/>
      <c r="T901" s="17"/>
    </row>
    <row r="902">
      <c r="A902" s="341"/>
      <c r="B902" s="168"/>
      <c r="C902" s="341"/>
      <c r="D902" s="181"/>
      <c r="E902" s="341"/>
      <c r="F902" s="168"/>
      <c r="G902" s="341"/>
      <c r="H902" s="168"/>
      <c r="I902" s="348"/>
      <c r="J902" s="181"/>
      <c r="K902" s="348"/>
      <c r="L902" s="181"/>
      <c r="M902" s="348"/>
      <c r="N902" s="181"/>
      <c r="O902" s="341"/>
      <c r="P902" s="168"/>
      <c r="Q902" s="205"/>
      <c r="R902" s="205"/>
      <c r="S902" s="17"/>
      <c r="T902" s="17"/>
    </row>
    <row r="903">
      <c r="A903" s="341"/>
      <c r="B903" s="168"/>
      <c r="C903" s="341"/>
      <c r="D903" s="181"/>
      <c r="E903" s="341"/>
      <c r="F903" s="168"/>
      <c r="G903" s="341"/>
      <c r="H903" s="168"/>
      <c r="I903" s="348"/>
      <c r="J903" s="181"/>
      <c r="K903" s="348"/>
      <c r="L903" s="181"/>
      <c r="M903" s="348"/>
      <c r="N903" s="181"/>
      <c r="O903" s="341"/>
      <c r="P903" s="168"/>
      <c r="Q903" s="205"/>
      <c r="R903" s="205"/>
      <c r="S903" s="17"/>
      <c r="T903" s="17"/>
    </row>
    <row r="904">
      <c r="A904" s="341"/>
      <c r="B904" s="168"/>
      <c r="C904" s="341"/>
      <c r="D904" s="181"/>
      <c r="E904" s="341"/>
      <c r="F904" s="168"/>
      <c r="G904" s="341"/>
      <c r="H904" s="168"/>
      <c r="I904" s="348"/>
      <c r="J904" s="181"/>
      <c r="K904" s="348"/>
      <c r="L904" s="181"/>
      <c r="M904" s="348"/>
      <c r="N904" s="181"/>
      <c r="O904" s="341"/>
      <c r="P904" s="168"/>
      <c r="Q904" s="205"/>
      <c r="R904" s="205"/>
      <c r="S904" s="17"/>
      <c r="T904" s="17"/>
    </row>
    <row r="905">
      <c r="A905" s="341"/>
      <c r="B905" s="168"/>
      <c r="C905" s="341"/>
      <c r="D905" s="181"/>
      <c r="E905" s="341"/>
      <c r="F905" s="168"/>
      <c r="G905" s="341"/>
      <c r="H905" s="168"/>
      <c r="I905" s="348"/>
      <c r="J905" s="181"/>
      <c r="K905" s="348"/>
      <c r="L905" s="181"/>
      <c r="M905" s="348"/>
      <c r="N905" s="181"/>
      <c r="O905" s="341"/>
      <c r="P905" s="168"/>
      <c r="Q905" s="205"/>
      <c r="R905" s="205"/>
      <c r="S905" s="17"/>
      <c r="T905" s="17"/>
    </row>
    <row r="906">
      <c r="A906" s="341"/>
      <c r="B906" s="168"/>
      <c r="C906" s="341"/>
      <c r="D906" s="181"/>
      <c r="E906" s="341"/>
      <c r="F906" s="168"/>
      <c r="G906" s="341"/>
      <c r="H906" s="168"/>
      <c r="I906" s="348"/>
      <c r="J906" s="181"/>
      <c r="K906" s="348"/>
      <c r="L906" s="181"/>
      <c r="M906" s="348"/>
      <c r="N906" s="181"/>
      <c r="O906" s="341"/>
      <c r="P906" s="168"/>
      <c r="Q906" s="205"/>
      <c r="R906" s="205"/>
      <c r="S906" s="17"/>
      <c r="T906" s="17"/>
    </row>
    <row r="907">
      <c r="A907" s="341"/>
      <c r="B907" s="168"/>
      <c r="C907" s="341"/>
      <c r="D907" s="181"/>
      <c r="E907" s="341"/>
      <c r="F907" s="168"/>
      <c r="G907" s="341"/>
      <c r="H907" s="168"/>
      <c r="I907" s="348"/>
      <c r="J907" s="181"/>
      <c r="K907" s="348"/>
      <c r="L907" s="181"/>
      <c r="M907" s="348"/>
      <c r="N907" s="181"/>
      <c r="O907" s="341"/>
      <c r="P907" s="168"/>
      <c r="Q907" s="205"/>
      <c r="R907" s="205"/>
      <c r="S907" s="17"/>
      <c r="T907" s="17"/>
    </row>
    <row r="908">
      <c r="A908" s="341"/>
      <c r="B908" s="168"/>
      <c r="C908" s="341"/>
      <c r="D908" s="181"/>
      <c r="E908" s="341"/>
      <c r="F908" s="168"/>
      <c r="G908" s="341"/>
      <c r="H908" s="168"/>
      <c r="I908" s="348"/>
      <c r="J908" s="181"/>
      <c r="K908" s="348"/>
      <c r="L908" s="181"/>
      <c r="M908" s="348"/>
      <c r="N908" s="181"/>
      <c r="O908" s="341"/>
      <c r="P908" s="168"/>
      <c r="Q908" s="205"/>
      <c r="R908" s="205"/>
      <c r="S908" s="17"/>
      <c r="T908" s="17"/>
    </row>
    <row r="909">
      <c r="A909" s="341"/>
      <c r="B909" s="168"/>
      <c r="C909" s="341"/>
      <c r="D909" s="181"/>
      <c r="E909" s="341"/>
      <c r="F909" s="168"/>
      <c r="G909" s="341"/>
      <c r="H909" s="168"/>
      <c r="I909" s="348"/>
      <c r="J909" s="181"/>
      <c r="K909" s="348"/>
      <c r="L909" s="181"/>
      <c r="M909" s="348"/>
      <c r="N909" s="181"/>
      <c r="O909" s="341"/>
      <c r="P909" s="168"/>
      <c r="Q909" s="205"/>
      <c r="R909" s="205"/>
      <c r="S909" s="17"/>
      <c r="T909" s="17"/>
    </row>
    <row r="910">
      <c r="A910" s="341"/>
      <c r="B910" s="168"/>
      <c r="C910" s="341"/>
      <c r="D910" s="181"/>
      <c r="E910" s="341"/>
      <c r="F910" s="168"/>
      <c r="G910" s="341"/>
      <c r="H910" s="168"/>
      <c r="I910" s="348"/>
      <c r="J910" s="181"/>
      <c r="K910" s="348"/>
      <c r="L910" s="181"/>
      <c r="M910" s="348"/>
      <c r="N910" s="181"/>
      <c r="O910" s="341"/>
      <c r="P910" s="168"/>
      <c r="Q910" s="205"/>
      <c r="R910" s="205"/>
      <c r="S910" s="17"/>
      <c r="T910" s="17"/>
    </row>
    <row r="911">
      <c r="A911" s="341"/>
      <c r="B911" s="168"/>
      <c r="C911" s="341"/>
      <c r="D911" s="181"/>
      <c r="E911" s="341"/>
      <c r="F911" s="168"/>
      <c r="G911" s="341"/>
      <c r="H911" s="168"/>
      <c r="I911" s="348"/>
      <c r="J911" s="181"/>
      <c r="K911" s="348"/>
      <c r="L911" s="181"/>
      <c r="M911" s="348"/>
      <c r="N911" s="181"/>
      <c r="O911" s="341"/>
      <c r="P911" s="168"/>
      <c r="Q911" s="205"/>
      <c r="R911" s="205"/>
      <c r="S911" s="17"/>
      <c r="T911" s="17"/>
    </row>
    <row r="912">
      <c r="A912" s="341"/>
      <c r="B912" s="168"/>
      <c r="C912" s="341"/>
      <c r="D912" s="181"/>
      <c r="E912" s="341"/>
      <c r="F912" s="168"/>
      <c r="G912" s="341"/>
      <c r="H912" s="168"/>
      <c r="I912" s="348"/>
      <c r="J912" s="181"/>
      <c r="K912" s="348"/>
      <c r="L912" s="181"/>
      <c r="M912" s="348"/>
      <c r="N912" s="181"/>
      <c r="O912" s="341"/>
      <c r="P912" s="168"/>
      <c r="Q912" s="205"/>
      <c r="R912" s="205"/>
      <c r="S912" s="17"/>
      <c r="T912" s="17"/>
    </row>
    <row r="913">
      <c r="A913" s="341"/>
      <c r="B913" s="168"/>
      <c r="C913" s="341"/>
      <c r="D913" s="181"/>
      <c r="E913" s="341"/>
      <c r="F913" s="168"/>
      <c r="G913" s="341"/>
      <c r="H913" s="168"/>
      <c r="I913" s="348"/>
      <c r="J913" s="181"/>
      <c r="K913" s="348"/>
      <c r="L913" s="181"/>
      <c r="M913" s="348"/>
      <c r="N913" s="181"/>
      <c r="O913" s="341"/>
      <c r="P913" s="168"/>
      <c r="Q913" s="205"/>
      <c r="R913" s="205"/>
      <c r="S913" s="17"/>
      <c r="T913" s="17"/>
    </row>
    <row r="914">
      <c r="A914" s="341"/>
      <c r="B914" s="168"/>
      <c r="C914" s="341"/>
      <c r="D914" s="181"/>
      <c r="E914" s="341"/>
      <c r="F914" s="168"/>
      <c r="G914" s="341"/>
      <c r="H914" s="168"/>
      <c r="I914" s="348"/>
      <c r="J914" s="181"/>
      <c r="K914" s="348"/>
      <c r="L914" s="181"/>
      <c r="M914" s="348"/>
      <c r="N914" s="181"/>
      <c r="O914" s="341"/>
      <c r="P914" s="168"/>
      <c r="Q914" s="205"/>
      <c r="R914" s="205"/>
      <c r="S914" s="17"/>
      <c r="T914" s="17"/>
    </row>
    <row r="915">
      <c r="A915" s="341"/>
      <c r="B915" s="168"/>
      <c r="C915" s="341"/>
      <c r="D915" s="181"/>
      <c r="E915" s="341"/>
      <c r="F915" s="168"/>
      <c r="G915" s="341"/>
      <c r="H915" s="168"/>
      <c r="I915" s="348"/>
      <c r="J915" s="181"/>
      <c r="K915" s="348"/>
      <c r="L915" s="181"/>
      <c r="M915" s="348"/>
      <c r="N915" s="181"/>
      <c r="O915" s="341"/>
      <c r="P915" s="168"/>
      <c r="Q915" s="205"/>
      <c r="R915" s="205"/>
      <c r="S915" s="17"/>
      <c r="T915" s="17"/>
    </row>
    <row r="916">
      <c r="A916" s="341"/>
      <c r="B916" s="168"/>
      <c r="C916" s="341"/>
      <c r="D916" s="181"/>
      <c r="E916" s="341"/>
      <c r="F916" s="168"/>
      <c r="G916" s="341"/>
      <c r="H916" s="168"/>
      <c r="I916" s="348"/>
      <c r="J916" s="181"/>
      <c r="K916" s="348"/>
      <c r="L916" s="181"/>
      <c r="M916" s="348"/>
      <c r="N916" s="181"/>
      <c r="O916" s="341"/>
      <c r="P916" s="168"/>
      <c r="Q916" s="205"/>
      <c r="R916" s="205"/>
      <c r="S916" s="17"/>
      <c r="T916" s="17"/>
    </row>
    <row r="917">
      <c r="A917" s="341"/>
      <c r="B917" s="168"/>
      <c r="C917" s="341"/>
      <c r="D917" s="181"/>
      <c r="E917" s="341"/>
      <c r="F917" s="168"/>
      <c r="G917" s="341"/>
      <c r="H917" s="168"/>
      <c r="I917" s="348"/>
      <c r="J917" s="181"/>
      <c r="K917" s="348"/>
      <c r="L917" s="181"/>
      <c r="M917" s="348"/>
      <c r="N917" s="181"/>
      <c r="O917" s="341"/>
      <c r="P917" s="168"/>
      <c r="Q917" s="205"/>
      <c r="R917" s="205"/>
      <c r="S917" s="17"/>
      <c r="T917" s="17"/>
    </row>
    <row r="918">
      <c r="A918" s="341"/>
      <c r="B918" s="168"/>
      <c r="C918" s="341"/>
      <c r="D918" s="181"/>
      <c r="E918" s="341"/>
      <c r="F918" s="168"/>
      <c r="G918" s="341"/>
      <c r="H918" s="168"/>
      <c r="I918" s="348"/>
      <c r="J918" s="181"/>
      <c r="K918" s="348"/>
      <c r="L918" s="181"/>
      <c r="M918" s="348"/>
      <c r="N918" s="181"/>
      <c r="O918" s="341"/>
      <c r="P918" s="168"/>
      <c r="Q918" s="205"/>
      <c r="R918" s="205"/>
      <c r="S918" s="17"/>
      <c r="T918" s="17"/>
    </row>
    <row r="919">
      <c r="A919" s="341"/>
      <c r="B919" s="168"/>
      <c r="C919" s="341"/>
      <c r="D919" s="181"/>
      <c r="E919" s="341"/>
      <c r="F919" s="168"/>
      <c r="G919" s="341"/>
      <c r="H919" s="168"/>
      <c r="I919" s="348"/>
      <c r="J919" s="181"/>
      <c r="K919" s="348"/>
      <c r="L919" s="181"/>
      <c r="M919" s="348"/>
      <c r="N919" s="181"/>
      <c r="O919" s="341"/>
      <c r="P919" s="168"/>
      <c r="Q919" s="205"/>
      <c r="R919" s="205"/>
      <c r="S919" s="17"/>
      <c r="T919" s="17"/>
    </row>
    <row r="920">
      <c r="A920" s="341"/>
      <c r="B920" s="168"/>
      <c r="C920" s="341"/>
      <c r="D920" s="181"/>
      <c r="E920" s="341"/>
      <c r="F920" s="168"/>
      <c r="G920" s="341"/>
      <c r="H920" s="168"/>
      <c r="I920" s="348"/>
      <c r="J920" s="181"/>
      <c r="K920" s="348"/>
      <c r="L920" s="181"/>
      <c r="M920" s="348"/>
      <c r="N920" s="181"/>
      <c r="O920" s="341"/>
      <c r="P920" s="168"/>
      <c r="Q920" s="205"/>
      <c r="R920" s="205"/>
      <c r="S920" s="17"/>
      <c r="T920" s="17"/>
    </row>
    <row r="921">
      <c r="A921" s="341"/>
      <c r="B921" s="168"/>
      <c r="C921" s="341"/>
      <c r="D921" s="181"/>
      <c r="E921" s="341"/>
      <c r="F921" s="168"/>
      <c r="G921" s="341"/>
      <c r="H921" s="168"/>
      <c r="I921" s="348"/>
      <c r="J921" s="181"/>
      <c r="K921" s="348"/>
      <c r="L921" s="181"/>
      <c r="M921" s="348"/>
      <c r="N921" s="181"/>
      <c r="O921" s="341"/>
      <c r="P921" s="168"/>
      <c r="Q921" s="205"/>
      <c r="R921" s="205"/>
      <c r="S921" s="17"/>
      <c r="T921" s="17"/>
    </row>
    <row r="922">
      <c r="A922" s="341"/>
      <c r="B922" s="168"/>
      <c r="C922" s="341"/>
      <c r="D922" s="181"/>
      <c r="E922" s="341"/>
      <c r="F922" s="168"/>
      <c r="G922" s="341"/>
      <c r="H922" s="168"/>
      <c r="I922" s="348"/>
      <c r="J922" s="181"/>
      <c r="K922" s="348"/>
      <c r="L922" s="181"/>
      <c r="M922" s="348"/>
      <c r="N922" s="181"/>
      <c r="O922" s="341"/>
      <c r="P922" s="168"/>
      <c r="Q922" s="205"/>
      <c r="R922" s="205"/>
      <c r="S922" s="17"/>
      <c r="T922" s="17"/>
    </row>
    <row r="923">
      <c r="A923" s="341"/>
      <c r="B923" s="168"/>
      <c r="C923" s="341"/>
      <c r="D923" s="181"/>
      <c r="E923" s="341"/>
      <c r="F923" s="168"/>
      <c r="G923" s="341"/>
      <c r="H923" s="168"/>
      <c r="I923" s="348"/>
      <c r="J923" s="181"/>
      <c r="K923" s="348"/>
      <c r="L923" s="181"/>
      <c r="M923" s="348"/>
      <c r="N923" s="181"/>
      <c r="O923" s="341"/>
      <c r="P923" s="168"/>
      <c r="Q923" s="205"/>
      <c r="R923" s="205"/>
      <c r="S923" s="17"/>
      <c r="T923" s="17"/>
    </row>
    <row r="924">
      <c r="A924" s="341"/>
      <c r="B924" s="168"/>
      <c r="C924" s="341"/>
      <c r="D924" s="181"/>
      <c r="E924" s="341"/>
      <c r="F924" s="168"/>
      <c r="G924" s="341"/>
      <c r="H924" s="168"/>
      <c r="I924" s="348"/>
      <c r="J924" s="181"/>
      <c r="K924" s="348"/>
      <c r="L924" s="181"/>
      <c r="M924" s="348"/>
      <c r="N924" s="181"/>
      <c r="O924" s="341"/>
      <c r="P924" s="168"/>
      <c r="Q924" s="205"/>
      <c r="R924" s="205"/>
      <c r="S924" s="17"/>
      <c r="T924" s="17"/>
    </row>
    <row r="925">
      <c r="A925" s="341"/>
      <c r="B925" s="168"/>
      <c r="C925" s="341"/>
      <c r="D925" s="181"/>
      <c r="E925" s="341"/>
      <c r="F925" s="168"/>
      <c r="G925" s="341"/>
      <c r="H925" s="168"/>
      <c r="I925" s="348"/>
      <c r="J925" s="181"/>
      <c r="K925" s="348"/>
      <c r="L925" s="181"/>
      <c r="M925" s="348"/>
      <c r="N925" s="181"/>
      <c r="O925" s="341"/>
      <c r="P925" s="168"/>
      <c r="Q925" s="205"/>
      <c r="R925" s="205"/>
      <c r="S925" s="17"/>
      <c r="T925" s="17"/>
    </row>
    <row r="926">
      <c r="A926" s="341"/>
      <c r="B926" s="168"/>
      <c r="C926" s="341"/>
      <c r="D926" s="181"/>
      <c r="E926" s="341"/>
      <c r="F926" s="168"/>
      <c r="G926" s="341"/>
      <c r="H926" s="168"/>
      <c r="I926" s="348"/>
      <c r="J926" s="181"/>
      <c r="K926" s="348"/>
      <c r="L926" s="181"/>
      <c r="M926" s="348"/>
      <c r="N926" s="181"/>
      <c r="O926" s="341"/>
      <c r="P926" s="168"/>
      <c r="Q926" s="205"/>
      <c r="R926" s="205"/>
      <c r="S926" s="17"/>
      <c r="T926" s="17"/>
    </row>
    <row r="927">
      <c r="A927" s="341"/>
      <c r="B927" s="168"/>
      <c r="C927" s="341"/>
      <c r="D927" s="181"/>
      <c r="E927" s="341"/>
      <c r="F927" s="168"/>
      <c r="G927" s="341"/>
      <c r="H927" s="168"/>
      <c r="I927" s="348"/>
      <c r="J927" s="181"/>
      <c r="K927" s="348"/>
      <c r="L927" s="181"/>
      <c r="M927" s="348"/>
      <c r="N927" s="181"/>
      <c r="O927" s="341"/>
      <c r="P927" s="168"/>
      <c r="Q927" s="205"/>
      <c r="R927" s="205"/>
      <c r="S927" s="17"/>
      <c r="T927" s="17"/>
    </row>
    <row r="928">
      <c r="A928" s="341"/>
      <c r="B928" s="168"/>
      <c r="C928" s="341"/>
      <c r="D928" s="181"/>
      <c r="E928" s="341"/>
      <c r="F928" s="168"/>
      <c r="G928" s="341"/>
      <c r="H928" s="168"/>
      <c r="I928" s="348"/>
      <c r="J928" s="181"/>
      <c r="K928" s="348"/>
      <c r="L928" s="181"/>
      <c r="M928" s="348"/>
      <c r="N928" s="181"/>
      <c r="O928" s="341"/>
      <c r="P928" s="168"/>
      <c r="Q928" s="205"/>
      <c r="R928" s="205"/>
      <c r="S928" s="17"/>
      <c r="T928" s="17"/>
    </row>
    <row r="929">
      <c r="A929" s="341"/>
      <c r="B929" s="168"/>
      <c r="C929" s="341"/>
      <c r="D929" s="181"/>
      <c r="E929" s="341"/>
      <c r="F929" s="168"/>
      <c r="G929" s="341"/>
      <c r="H929" s="168"/>
      <c r="I929" s="348"/>
      <c r="J929" s="181"/>
      <c r="K929" s="348"/>
      <c r="L929" s="181"/>
      <c r="M929" s="348"/>
      <c r="N929" s="181"/>
      <c r="O929" s="341"/>
      <c r="P929" s="168"/>
      <c r="Q929" s="205"/>
      <c r="R929" s="205"/>
      <c r="S929" s="17"/>
      <c r="T929" s="17"/>
    </row>
    <row r="930">
      <c r="A930" s="341"/>
      <c r="B930" s="168"/>
      <c r="C930" s="341"/>
      <c r="D930" s="181"/>
      <c r="E930" s="341"/>
      <c r="F930" s="168"/>
      <c r="G930" s="341"/>
      <c r="H930" s="168"/>
      <c r="I930" s="348"/>
      <c r="J930" s="181"/>
      <c r="K930" s="348"/>
      <c r="L930" s="181"/>
      <c r="M930" s="348"/>
      <c r="N930" s="181"/>
      <c r="O930" s="341"/>
      <c r="P930" s="168"/>
      <c r="Q930" s="205"/>
      <c r="R930" s="205"/>
      <c r="S930" s="17"/>
      <c r="T930" s="17"/>
    </row>
    <row r="931">
      <c r="A931" s="341"/>
      <c r="B931" s="168"/>
      <c r="C931" s="341"/>
      <c r="D931" s="181"/>
      <c r="E931" s="341"/>
      <c r="F931" s="168"/>
      <c r="G931" s="341"/>
      <c r="H931" s="168"/>
      <c r="I931" s="348"/>
      <c r="J931" s="181"/>
      <c r="K931" s="348"/>
      <c r="L931" s="181"/>
      <c r="M931" s="348"/>
      <c r="N931" s="181"/>
      <c r="O931" s="341"/>
      <c r="P931" s="168"/>
      <c r="Q931" s="205"/>
      <c r="R931" s="205"/>
      <c r="S931" s="17"/>
      <c r="T931" s="17"/>
    </row>
    <row r="932">
      <c r="A932" s="341"/>
      <c r="B932" s="168"/>
      <c r="C932" s="341"/>
      <c r="D932" s="181"/>
      <c r="E932" s="341"/>
      <c r="F932" s="168"/>
      <c r="G932" s="341"/>
      <c r="H932" s="168"/>
      <c r="I932" s="348"/>
      <c r="J932" s="181"/>
      <c r="K932" s="348"/>
      <c r="L932" s="181"/>
      <c r="M932" s="348"/>
      <c r="N932" s="181"/>
      <c r="O932" s="341"/>
      <c r="P932" s="168"/>
      <c r="Q932" s="205"/>
      <c r="R932" s="205"/>
      <c r="S932" s="17"/>
      <c r="T932" s="17"/>
    </row>
    <row r="933">
      <c r="A933" s="341"/>
      <c r="B933" s="168"/>
      <c r="C933" s="341"/>
      <c r="D933" s="181"/>
      <c r="E933" s="341"/>
      <c r="F933" s="168"/>
      <c r="G933" s="341"/>
      <c r="H933" s="168"/>
      <c r="I933" s="348"/>
      <c r="J933" s="181"/>
      <c r="K933" s="348"/>
      <c r="L933" s="181"/>
      <c r="M933" s="348"/>
      <c r="N933" s="181"/>
      <c r="O933" s="341"/>
      <c r="P933" s="168"/>
      <c r="Q933" s="205"/>
      <c r="R933" s="205"/>
      <c r="S933" s="17"/>
      <c r="T933" s="17"/>
    </row>
    <row r="934">
      <c r="A934" s="341"/>
      <c r="B934" s="168"/>
      <c r="C934" s="341"/>
      <c r="D934" s="181"/>
      <c r="E934" s="341"/>
      <c r="F934" s="168"/>
      <c r="G934" s="341"/>
      <c r="H934" s="168"/>
      <c r="I934" s="348"/>
      <c r="J934" s="181"/>
      <c r="K934" s="348"/>
      <c r="L934" s="181"/>
      <c r="M934" s="348"/>
      <c r="N934" s="181"/>
      <c r="O934" s="341"/>
      <c r="P934" s="168"/>
      <c r="Q934" s="205"/>
      <c r="R934" s="205"/>
      <c r="S934" s="17"/>
      <c r="T934" s="17"/>
    </row>
    <row r="935">
      <c r="A935" s="341"/>
      <c r="B935" s="168"/>
      <c r="C935" s="341"/>
      <c r="D935" s="181"/>
      <c r="E935" s="341"/>
      <c r="F935" s="168"/>
      <c r="G935" s="341"/>
      <c r="H935" s="168"/>
      <c r="I935" s="348"/>
      <c r="J935" s="181"/>
      <c r="K935" s="348"/>
      <c r="L935" s="181"/>
      <c r="M935" s="348"/>
      <c r="N935" s="181"/>
      <c r="O935" s="341"/>
      <c r="P935" s="168"/>
      <c r="Q935" s="205"/>
      <c r="R935" s="205"/>
      <c r="S935" s="17"/>
      <c r="T935" s="17"/>
    </row>
    <row r="936">
      <c r="A936" s="341"/>
      <c r="B936" s="168"/>
      <c r="C936" s="341"/>
      <c r="D936" s="181"/>
      <c r="E936" s="341"/>
      <c r="F936" s="168"/>
      <c r="G936" s="341"/>
      <c r="H936" s="168"/>
      <c r="I936" s="348"/>
      <c r="J936" s="181"/>
      <c r="K936" s="348"/>
      <c r="L936" s="181"/>
      <c r="M936" s="348"/>
      <c r="N936" s="181"/>
      <c r="O936" s="341"/>
      <c r="P936" s="168"/>
      <c r="Q936" s="205"/>
      <c r="R936" s="205"/>
      <c r="S936" s="17"/>
      <c r="T936" s="17"/>
    </row>
    <row r="937">
      <c r="A937" s="341"/>
      <c r="B937" s="168"/>
      <c r="C937" s="341"/>
      <c r="D937" s="181"/>
      <c r="E937" s="341"/>
      <c r="F937" s="168"/>
      <c r="G937" s="341"/>
      <c r="H937" s="168"/>
      <c r="I937" s="348"/>
      <c r="J937" s="181"/>
      <c r="K937" s="348"/>
      <c r="L937" s="181"/>
      <c r="M937" s="348"/>
      <c r="N937" s="181"/>
      <c r="O937" s="341"/>
      <c r="P937" s="168"/>
      <c r="Q937" s="205"/>
      <c r="R937" s="205"/>
      <c r="S937" s="17"/>
      <c r="T937" s="17"/>
    </row>
    <row r="938">
      <c r="A938" s="341"/>
      <c r="B938" s="168"/>
      <c r="C938" s="341"/>
      <c r="D938" s="181"/>
      <c r="E938" s="341"/>
      <c r="F938" s="168"/>
      <c r="G938" s="341"/>
      <c r="H938" s="168"/>
      <c r="I938" s="348"/>
      <c r="J938" s="181"/>
      <c r="K938" s="348"/>
      <c r="L938" s="181"/>
      <c r="M938" s="348"/>
      <c r="N938" s="181"/>
      <c r="O938" s="341"/>
      <c r="P938" s="168"/>
      <c r="Q938" s="205"/>
      <c r="R938" s="205"/>
      <c r="S938" s="17"/>
      <c r="T938" s="17"/>
    </row>
    <row r="939">
      <c r="A939" s="341"/>
      <c r="B939" s="168"/>
      <c r="C939" s="341"/>
      <c r="D939" s="181"/>
      <c r="E939" s="341"/>
      <c r="F939" s="168"/>
      <c r="G939" s="341"/>
      <c r="H939" s="168"/>
      <c r="I939" s="348"/>
      <c r="J939" s="181"/>
      <c r="K939" s="348"/>
      <c r="L939" s="181"/>
      <c r="M939" s="348"/>
      <c r="N939" s="181"/>
      <c r="O939" s="341"/>
      <c r="P939" s="168"/>
      <c r="Q939" s="205"/>
      <c r="R939" s="205"/>
      <c r="S939" s="17"/>
      <c r="T939" s="17"/>
    </row>
    <row r="940">
      <c r="A940" s="341"/>
      <c r="B940" s="168"/>
      <c r="C940" s="341"/>
      <c r="D940" s="181"/>
      <c r="E940" s="341"/>
      <c r="F940" s="168"/>
      <c r="G940" s="341"/>
      <c r="H940" s="168"/>
      <c r="I940" s="348"/>
      <c r="J940" s="181"/>
      <c r="K940" s="348"/>
      <c r="L940" s="181"/>
      <c r="M940" s="348"/>
      <c r="N940" s="181"/>
      <c r="O940" s="341"/>
      <c r="P940" s="168"/>
      <c r="Q940" s="205"/>
      <c r="R940" s="205"/>
      <c r="S940" s="17"/>
      <c r="T940" s="17"/>
    </row>
    <row r="941">
      <c r="A941" s="341"/>
      <c r="B941" s="168"/>
      <c r="C941" s="341"/>
      <c r="D941" s="181"/>
      <c r="E941" s="341"/>
      <c r="F941" s="168"/>
      <c r="G941" s="341"/>
      <c r="H941" s="168"/>
      <c r="I941" s="348"/>
      <c r="J941" s="181"/>
      <c r="K941" s="348"/>
      <c r="L941" s="181"/>
      <c r="M941" s="348"/>
      <c r="N941" s="181"/>
      <c r="O941" s="341"/>
      <c r="P941" s="168"/>
      <c r="Q941" s="205"/>
      <c r="R941" s="205"/>
      <c r="S941" s="17"/>
      <c r="T941" s="17"/>
    </row>
    <row r="942">
      <c r="A942" s="341"/>
      <c r="B942" s="168"/>
      <c r="C942" s="341"/>
      <c r="D942" s="181"/>
      <c r="E942" s="341"/>
      <c r="F942" s="168"/>
      <c r="G942" s="341"/>
      <c r="H942" s="168"/>
      <c r="I942" s="348"/>
      <c r="J942" s="181"/>
      <c r="K942" s="348"/>
      <c r="L942" s="181"/>
      <c r="M942" s="348"/>
      <c r="N942" s="181"/>
      <c r="O942" s="341"/>
      <c r="P942" s="168"/>
      <c r="Q942" s="205"/>
      <c r="R942" s="205"/>
      <c r="S942" s="17"/>
      <c r="T942" s="17"/>
    </row>
    <row r="943">
      <c r="A943" s="341"/>
      <c r="B943" s="168"/>
      <c r="C943" s="341"/>
      <c r="D943" s="181"/>
      <c r="E943" s="341"/>
      <c r="F943" s="168"/>
      <c r="G943" s="341"/>
      <c r="H943" s="168"/>
      <c r="I943" s="348"/>
      <c r="J943" s="181"/>
      <c r="K943" s="348"/>
      <c r="L943" s="181"/>
      <c r="M943" s="348"/>
      <c r="N943" s="181"/>
      <c r="O943" s="341"/>
      <c r="P943" s="168"/>
      <c r="Q943" s="205"/>
      <c r="R943" s="205"/>
      <c r="S943" s="17"/>
      <c r="T943" s="17"/>
    </row>
    <row r="944">
      <c r="A944" s="341"/>
      <c r="B944" s="168"/>
      <c r="C944" s="341"/>
      <c r="D944" s="181"/>
      <c r="E944" s="341"/>
      <c r="F944" s="168"/>
      <c r="G944" s="341"/>
      <c r="H944" s="168"/>
      <c r="I944" s="348"/>
      <c r="J944" s="181"/>
      <c r="K944" s="348"/>
      <c r="L944" s="181"/>
      <c r="M944" s="348"/>
      <c r="N944" s="181"/>
      <c r="O944" s="341"/>
      <c r="P944" s="168"/>
      <c r="Q944" s="205"/>
      <c r="R944" s="205"/>
      <c r="S944" s="17"/>
      <c r="T944" s="17"/>
    </row>
    <row r="945">
      <c r="A945" s="341"/>
      <c r="B945" s="168"/>
      <c r="C945" s="341"/>
      <c r="D945" s="181"/>
      <c r="E945" s="341"/>
      <c r="F945" s="168"/>
      <c r="G945" s="341"/>
      <c r="H945" s="168"/>
      <c r="I945" s="348"/>
      <c r="J945" s="181"/>
      <c r="K945" s="348"/>
      <c r="L945" s="181"/>
      <c r="M945" s="348"/>
      <c r="N945" s="181"/>
      <c r="O945" s="341"/>
      <c r="P945" s="168"/>
      <c r="Q945" s="205"/>
      <c r="R945" s="205"/>
      <c r="S945" s="17"/>
      <c r="T945" s="17"/>
    </row>
    <row r="946">
      <c r="A946" s="341"/>
      <c r="B946" s="168"/>
      <c r="C946" s="341"/>
      <c r="D946" s="181"/>
      <c r="E946" s="341"/>
      <c r="F946" s="168"/>
      <c r="G946" s="341"/>
      <c r="H946" s="168"/>
      <c r="I946" s="348"/>
      <c r="J946" s="181"/>
      <c r="K946" s="348"/>
      <c r="L946" s="181"/>
      <c r="M946" s="348"/>
      <c r="N946" s="181"/>
      <c r="O946" s="341"/>
      <c r="P946" s="168"/>
      <c r="Q946" s="205"/>
      <c r="R946" s="205"/>
      <c r="S946" s="17"/>
      <c r="T946" s="17"/>
    </row>
    <row r="947">
      <c r="A947" s="341"/>
      <c r="B947" s="168"/>
      <c r="C947" s="341"/>
      <c r="D947" s="181"/>
      <c r="E947" s="341"/>
      <c r="F947" s="168"/>
      <c r="G947" s="341"/>
      <c r="H947" s="168"/>
      <c r="I947" s="348"/>
      <c r="J947" s="181"/>
      <c r="K947" s="348"/>
      <c r="L947" s="181"/>
      <c r="M947" s="348"/>
      <c r="N947" s="181"/>
      <c r="O947" s="341"/>
      <c r="P947" s="168"/>
      <c r="Q947" s="205"/>
      <c r="R947" s="205"/>
      <c r="S947" s="17"/>
      <c r="T947" s="17"/>
    </row>
    <row r="948">
      <c r="A948" s="341"/>
      <c r="B948" s="168"/>
      <c r="C948" s="341"/>
      <c r="D948" s="181"/>
      <c r="E948" s="341"/>
      <c r="F948" s="168"/>
      <c r="G948" s="341"/>
      <c r="H948" s="168"/>
      <c r="I948" s="348"/>
      <c r="J948" s="181"/>
      <c r="K948" s="348"/>
      <c r="L948" s="181"/>
      <c r="M948" s="348"/>
      <c r="N948" s="181"/>
      <c r="O948" s="341"/>
      <c r="P948" s="168"/>
      <c r="Q948" s="205"/>
      <c r="R948" s="205"/>
      <c r="S948" s="17"/>
      <c r="T948" s="17"/>
    </row>
    <row r="949">
      <c r="A949" s="341"/>
      <c r="B949" s="168"/>
      <c r="C949" s="341"/>
      <c r="D949" s="181"/>
      <c r="E949" s="341"/>
      <c r="F949" s="168"/>
      <c r="G949" s="341"/>
      <c r="H949" s="168"/>
      <c r="I949" s="348"/>
      <c r="J949" s="181"/>
      <c r="K949" s="348"/>
      <c r="L949" s="181"/>
      <c r="M949" s="348"/>
      <c r="N949" s="181"/>
      <c r="O949" s="341"/>
      <c r="P949" s="168"/>
      <c r="Q949" s="205"/>
      <c r="R949" s="205"/>
      <c r="S949" s="17"/>
      <c r="T949" s="17"/>
    </row>
    <row r="950">
      <c r="A950" s="341"/>
      <c r="B950" s="168"/>
      <c r="C950" s="341"/>
      <c r="D950" s="181"/>
      <c r="E950" s="341"/>
      <c r="F950" s="168"/>
      <c r="G950" s="341"/>
      <c r="H950" s="168"/>
      <c r="I950" s="348"/>
      <c r="J950" s="181"/>
      <c r="K950" s="348"/>
      <c r="L950" s="181"/>
      <c r="M950" s="348"/>
      <c r="N950" s="181"/>
      <c r="O950" s="341"/>
      <c r="P950" s="168"/>
      <c r="Q950" s="205"/>
      <c r="R950" s="205"/>
      <c r="S950" s="17"/>
      <c r="T950" s="17"/>
    </row>
    <row r="951">
      <c r="A951" s="341"/>
      <c r="B951" s="168"/>
      <c r="C951" s="341"/>
      <c r="D951" s="181"/>
      <c r="E951" s="341"/>
      <c r="F951" s="168"/>
      <c r="G951" s="341"/>
      <c r="H951" s="168"/>
      <c r="I951" s="348"/>
      <c r="J951" s="181"/>
      <c r="K951" s="348"/>
      <c r="L951" s="181"/>
      <c r="M951" s="348"/>
      <c r="N951" s="181"/>
      <c r="O951" s="341"/>
      <c r="P951" s="168"/>
      <c r="Q951" s="205"/>
      <c r="R951" s="205"/>
      <c r="S951" s="17"/>
      <c r="T951" s="17"/>
    </row>
    <row r="952">
      <c r="A952" s="341"/>
      <c r="B952" s="168"/>
      <c r="C952" s="341"/>
      <c r="D952" s="181"/>
      <c r="E952" s="341"/>
      <c r="F952" s="168"/>
      <c r="G952" s="341"/>
      <c r="H952" s="168"/>
      <c r="I952" s="348"/>
      <c r="J952" s="181"/>
      <c r="K952" s="348"/>
      <c r="L952" s="181"/>
      <c r="M952" s="348"/>
      <c r="N952" s="181"/>
      <c r="O952" s="341"/>
      <c r="P952" s="168"/>
      <c r="Q952" s="205"/>
      <c r="R952" s="205"/>
      <c r="S952" s="17"/>
      <c r="T952" s="17"/>
    </row>
    <row r="953">
      <c r="A953" s="341"/>
      <c r="B953" s="168"/>
      <c r="C953" s="341"/>
      <c r="D953" s="181"/>
      <c r="E953" s="341"/>
      <c r="F953" s="168"/>
      <c r="G953" s="341"/>
      <c r="H953" s="168"/>
      <c r="I953" s="348"/>
      <c r="J953" s="181"/>
      <c r="K953" s="348"/>
      <c r="L953" s="181"/>
      <c r="M953" s="348"/>
      <c r="N953" s="181"/>
      <c r="O953" s="341"/>
      <c r="P953" s="168"/>
      <c r="Q953" s="205"/>
      <c r="R953" s="205"/>
      <c r="S953" s="17"/>
      <c r="T953" s="17"/>
    </row>
    <row r="954">
      <c r="A954" s="341"/>
      <c r="B954" s="168"/>
      <c r="C954" s="341"/>
      <c r="D954" s="181"/>
      <c r="E954" s="341"/>
      <c r="F954" s="168"/>
      <c r="G954" s="341"/>
      <c r="H954" s="168"/>
      <c r="I954" s="348"/>
      <c r="J954" s="181"/>
      <c r="K954" s="348"/>
      <c r="L954" s="181"/>
      <c r="M954" s="348"/>
      <c r="N954" s="181"/>
      <c r="O954" s="341"/>
      <c r="P954" s="168"/>
      <c r="Q954" s="205"/>
      <c r="R954" s="205"/>
      <c r="S954" s="17"/>
      <c r="T954" s="17"/>
    </row>
    <row r="955">
      <c r="A955" s="341"/>
      <c r="B955" s="168"/>
      <c r="C955" s="341"/>
      <c r="D955" s="181"/>
      <c r="E955" s="341"/>
      <c r="F955" s="168"/>
      <c r="G955" s="341"/>
      <c r="H955" s="168"/>
      <c r="I955" s="348"/>
      <c r="J955" s="181"/>
      <c r="K955" s="348"/>
      <c r="L955" s="181"/>
      <c r="M955" s="348"/>
      <c r="N955" s="181"/>
      <c r="O955" s="341"/>
      <c r="P955" s="168"/>
      <c r="Q955" s="205"/>
      <c r="R955" s="205"/>
      <c r="S955" s="17"/>
      <c r="T955" s="17"/>
    </row>
    <row r="956">
      <c r="A956" s="341"/>
      <c r="B956" s="168"/>
      <c r="C956" s="341"/>
      <c r="D956" s="181"/>
      <c r="E956" s="341"/>
      <c r="F956" s="168"/>
      <c r="G956" s="341"/>
      <c r="H956" s="168"/>
      <c r="I956" s="348"/>
      <c r="J956" s="181"/>
      <c r="K956" s="348"/>
      <c r="L956" s="181"/>
      <c r="M956" s="348"/>
      <c r="N956" s="181"/>
      <c r="O956" s="341"/>
      <c r="P956" s="168"/>
      <c r="Q956" s="205"/>
      <c r="R956" s="205"/>
      <c r="S956" s="17"/>
      <c r="T956" s="17"/>
    </row>
    <row r="957">
      <c r="A957" s="341"/>
      <c r="B957" s="168"/>
      <c r="C957" s="341"/>
      <c r="D957" s="181"/>
      <c r="E957" s="341"/>
      <c r="F957" s="168"/>
      <c r="G957" s="341"/>
      <c r="H957" s="168"/>
      <c r="I957" s="348"/>
      <c r="J957" s="181"/>
      <c r="K957" s="348"/>
      <c r="L957" s="181"/>
      <c r="M957" s="348"/>
      <c r="N957" s="181"/>
      <c r="O957" s="341"/>
      <c r="P957" s="168"/>
      <c r="Q957" s="205"/>
      <c r="R957" s="205"/>
      <c r="S957" s="17"/>
      <c r="T957" s="17"/>
    </row>
    <row r="958">
      <c r="A958" s="341"/>
      <c r="B958" s="168"/>
      <c r="C958" s="341"/>
      <c r="D958" s="181"/>
      <c r="E958" s="341"/>
      <c r="F958" s="168"/>
      <c r="G958" s="341"/>
      <c r="H958" s="168"/>
      <c r="I958" s="348"/>
      <c r="J958" s="181"/>
      <c r="K958" s="348"/>
      <c r="L958" s="181"/>
      <c r="M958" s="348"/>
      <c r="N958" s="181"/>
      <c r="O958" s="341"/>
      <c r="P958" s="168"/>
      <c r="Q958" s="205"/>
      <c r="R958" s="205"/>
      <c r="S958" s="17"/>
      <c r="T958" s="17"/>
    </row>
    <row r="959">
      <c r="A959" s="341"/>
      <c r="B959" s="168"/>
      <c r="C959" s="341"/>
      <c r="D959" s="181"/>
      <c r="E959" s="341"/>
      <c r="F959" s="168"/>
      <c r="G959" s="341"/>
      <c r="H959" s="168"/>
      <c r="I959" s="348"/>
      <c r="J959" s="181"/>
      <c r="K959" s="348"/>
      <c r="L959" s="181"/>
      <c r="M959" s="348"/>
      <c r="N959" s="181"/>
      <c r="O959" s="341"/>
      <c r="P959" s="168"/>
      <c r="Q959" s="205"/>
      <c r="R959" s="205"/>
      <c r="S959" s="17"/>
      <c r="T959" s="17"/>
    </row>
    <row r="960">
      <c r="A960" s="341"/>
      <c r="B960" s="168"/>
      <c r="C960" s="341"/>
      <c r="D960" s="181"/>
      <c r="E960" s="341"/>
      <c r="F960" s="168"/>
      <c r="G960" s="341"/>
      <c r="H960" s="168"/>
      <c r="I960" s="348"/>
      <c r="J960" s="181"/>
      <c r="K960" s="348"/>
      <c r="L960" s="181"/>
      <c r="M960" s="348"/>
      <c r="N960" s="181"/>
      <c r="O960" s="341"/>
      <c r="P960" s="168"/>
      <c r="Q960" s="205"/>
      <c r="R960" s="205"/>
      <c r="S960" s="17"/>
      <c r="T960" s="17"/>
    </row>
    <row r="961">
      <c r="A961" s="341"/>
      <c r="B961" s="168"/>
      <c r="C961" s="341"/>
      <c r="D961" s="181"/>
      <c r="E961" s="341"/>
      <c r="F961" s="168"/>
      <c r="G961" s="341"/>
      <c r="H961" s="168"/>
      <c r="I961" s="348"/>
      <c r="J961" s="181"/>
      <c r="K961" s="348"/>
      <c r="L961" s="181"/>
      <c r="M961" s="348"/>
      <c r="N961" s="181"/>
      <c r="O961" s="341"/>
      <c r="P961" s="168"/>
      <c r="Q961" s="205"/>
      <c r="R961" s="205"/>
      <c r="S961" s="17"/>
      <c r="T961" s="17"/>
    </row>
    <row r="962">
      <c r="A962" s="341"/>
      <c r="B962" s="168"/>
      <c r="C962" s="341"/>
      <c r="D962" s="181"/>
      <c r="E962" s="341"/>
      <c r="F962" s="168"/>
      <c r="G962" s="341"/>
      <c r="H962" s="168"/>
      <c r="I962" s="348"/>
      <c r="J962" s="181"/>
      <c r="K962" s="348"/>
      <c r="L962" s="181"/>
      <c r="M962" s="348"/>
      <c r="N962" s="181"/>
      <c r="O962" s="341"/>
      <c r="P962" s="168"/>
      <c r="Q962" s="205"/>
      <c r="R962" s="205"/>
      <c r="S962" s="17"/>
      <c r="T962" s="17"/>
    </row>
    <row r="963">
      <c r="A963" s="341"/>
      <c r="B963" s="168"/>
      <c r="C963" s="341"/>
      <c r="D963" s="181"/>
      <c r="E963" s="341"/>
      <c r="F963" s="168"/>
      <c r="G963" s="341"/>
      <c r="H963" s="168"/>
      <c r="I963" s="348"/>
      <c r="J963" s="181"/>
      <c r="K963" s="348"/>
      <c r="L963" s="181"/>
      <c r="M963" s="348"/>
      <c r="N963" s="181"/>
      <c r="O963" s="341"/>
      <c r="P963" s="168"/>
      <c r="Q963" s="205"/>
      <c r="R963" s="205"/>
      <c r="S963" s="17"/>
      <c r="T963" s="17"/>
    </row>
    <row r="964">
      <c r="A964" s="341"/>
      <c r="B964" s="168"/>
      <c r="C964" s="341"/>
      <c r="D964" s="181"/>
      <c r="E964" s="341"/>
      <c r="F964" s="168"/>
      <c r="G964" s="341"/>
      <c r="H964" s="168"/>
      <c r="I964" s="348"/>
      <c r="J964" s="181"/>
      <c r="K964" s="348"/>
      <c r="L964" s="181"/>
      <c r="M964" s="348"/>
      <c r="N964" s="181"/>
      <c r="O964" s="341"/>
      <c r="P964" s="168"/>
      <c r="Q964" s="205"/>
      <c r="R964" s="205"/>
      <c r="S964" s="17"/>
      <c r="T964" s="17"/>
    </row>
    <row r="965">
      <c r="A965" s="341"/>
      <c r="B965" s="168"/>
      <c r="C965" s="341"/>
      <c r="D965" s="181"/>
      <c r="E965" s="341"/>
      <c r="F965" s="168"/>
      <c r="G965" s="341"/>
      <c r="H965" s="168"/>
      <c r="I965" s="348"/>
      <c r="J965" s="181"/>
      <c r="K965" s="348"/>
      <c r="L965" s="181"/>
      <c r="M965" s="348"/>
      <c r="N965" s="181"/>
      <c r="O965" s="341"/>
      <c r="P965" s="168"/>
      <c r="Q965" s="205"/>
      <c r="R965" s="205"/>
      <c r="S965" s="17"/>
      <c r="T965" s="17"/>
    </row>
    <row r="966">
      <c r="A966" s="341"/>
      <c r="B966" s="168"/>
      <c r="C966" s="341"/>
      <c r="D966" s="181"/>
      <c r="E966" s="341"/>
      <c r="F966" s="168"/>
      <c r="G966" s="341"/>
      <c r="H966" s="168"/>
      <c r="I966" s="348"/>
      <c r="J966" s="181"/>
      <c r="K966" s="348"/>
      <c r="L966" s="181"/>
      <c r="M966" s="348"/>
      <c r="N966" s="181"/>
      <c r="O966" s="341"/>
      <c r="P966" s="168"/>
      <c r="Q966" s="205"/>
      <c r="R966" s="205"/>
      <c r="S966" s="17"/>
      <c r="T966" s="17"/>
    </row>
    <row r="967">
      <c r="A967" s="341"/>
      <c r="B967" s="168"/>
      <c r="C967" s="341"/>
      <c r="D967" s="181"/>
      <c r="E967" s="341"/>
      <c r="F967" s="168"/>
      <c r="G967" s="341"/>
      <c r="H967" s="168"/>
      <c r="I967" s="348"/>
      <c r="J967" s="181"/>
      <c r="K967" s="348"/>
      <c r="L967" s="181"/>
      <c r="M967" s="348"/>
      <c r="N967" s="181"/>
      <c r="O967" s="341"/>
      <c r="P967" s="168"/>
      <c r="Q967" s="205"/>
      <c r="R967" s="205"/>
      <c r="S967" s="17"/>
      <c r="T967" s="17"/>
    </row>
    <row r="968">
      <c r="A968" s="341"/>
      <c r="B968" s="168"/>
      <c r="C968" s="341"/>
      <c r="D968" s="181"/>
      <c r="E968" s="341"/>
      <c r="F968" s="168"/>
      <c r="G968" s="341"/>
      <c r="H968" s="168"/>
      <c r="I968" s="348"/>
      <c r="J968" s="181"/>
      <c r="K968" s="348"/>
      <c r="L968" s="181"/>
      <c r="M968" s="348"/>
      <c r="N968" s="181"/>
      <c r="O968" s="341"/>
      <c r="P968" s="168"/>
      <c r="Q968" s="205"/>
      <c r="R968" s="205"/>
      <c r="S968" s="17"/>
      <c r="T968" s="17"/>
    </row>
    <row r="969">
      <c r="A969" s="341"/>
      <c r="B969" s="168"/>
      <c r="C969" s="341"/>
      <c r="D969" s="181"/>
      <c r="E969" s="341"/>
      <c r="F969" s="168"/>
      <c r="G969" s="341"/>
      <c r="H969" s="168"/>
      <c r="I969" s="348"/>
      <c r="J969" s="181"/>
      <c r="K969" s="348"/>
      <c r="L969" s="181"/>
      <c r="M969" s="348"/>
      <c r="N969" s="181"/>
      <c r="O969" s="341"/>
      <c r="P969" s="168"/>
      <c r="Q969" s="205"/>
      <c r="R969" s="205"/>
      <c r="S969" s="17"/>
      <c r="T969" s="17"/>
    </row>
    <row r="970">
      <c r="A970" s="341"/>
      <c r="B970" s="168"/>
      <c r="C970" s="341"/>
      <c r="D970" s="181"/>
      <c r="E970" s="341"/>
      <c r="F970" s="168"/>
      <c r="G970" s="341"/>
      <c r="H970" s="168"/>
      <c r="I970" s="348"/>
      <c r="J970" s="181"/>
      <c r="K970" s="348"/>
      <c r="L970" s="181"/>
      <c r="M970" s="348"/>
      <c r="N970" s="181"/>
      <c r="O970" s="341"/>
      <c r="P970" s="168"/>
      <c r="Q970" s="205"/>
      <c r="R970" s="205"/>
      <c r="S970" s="17"/>
      <c r="T970" s="17"/>
    </row>
    <row r="971">
      <c r="A971" s="341"/>
      <c r="B971" s="168"/>
      <c r="C971" s="341"/>
      <c r="D971" s="181"/>
      <c r="E971" s="341"/>
      <c r="F971" s="168"/>
      <c r="G971" s="341"/>
      <c r="H971" s="168"/>
      <c r="I971" s="348"/>
      <c r="J971" s="181"/>
      <c r="K971" s="348"/>
      <c r="L971" s="181"/>
      <c r="M971" s="348"/>
      <c r="N971" s="181"/>
      <c r="O971" s="341"/>
      <c r="P971" s="168"/>
      <c r="Q971" s="205"/>
      <c r="R971" s="205"/>
      <c r="S971" s="17"/>
      <c r="T971" s="17"/>
    </row>
    <row r="972">
      <c r="A972" s="341"/>
      <c r="B972" s="168"/>
      <c r="C972" s="341"/>
      <c r="D972" s="181"/>
      <c r="E972" s="341"/>
      <c r="F972" s="168"/>
      <c r="G972" s="341"/>
      <c r="H972" s="168"/>
      <c r="I972" s="348"/>
      <c r="J972" s="181"/>
      <c r="K972" s="348"/>
      <c r="L972" s="181"/>
      <c r="M972" s="348"/>
      <c r="N972" s="181"/>
      <c r="O972" s="341"/>
      <c r="P972" s="168"/>
      <c r="Q972" s="205"/>
      <c r="R972" s="205"/>
      <c r="S972" s="17"/>
      <c r="T972" s="17"/>
    </row>
    <row r="973">
      <c r="A973" s="341"/>
      <c r="B973" s="168"/>
      <c r="C973" s="341"/>
      <c r="D973" s="181"/>
      <c r="E973" s="341"/>
      <c r="F973" s="168"/>
      <c r="G973" s="341"/>
      <c r="H973" s="168"/>
      <c r="I973" s="348"/>
      <c r="J973" s="181"/>
      <c r="K973" s="348"/>
      <c r="L973" s="181"/>
      <c r="M973" s="348"/>
      <c r="N973" s="181"/>
      <c r="O973" s="341"/>
      <c r="P973" s="168"/>
      <c r="Q973" s="205"/>
      <c r="R973" s="205"/>
      <c r="S973" s="17"/>
      <c r="T973" s="17"/>
    </row>
    <row r="974">
      <c r="A974" s="341"/>
      <c r="B974" s="168"/>
      <c r="C974" s="341"/>
      <c r="D974" s="181"/>
      <c r="E974" s="341"/>
      <c r="F974" s="168"/>
      <c r="G974" s="341"/>
      <c r="H974" s="168"/>
      <c r="I974" s="348"/>
      <c r="J974" s="181"/>
      <c r="K974" s="348"/>
      <c r="L974" s="181"/>
      <c r="M974" s="348"/>
      <c r="N974" s="181"/>
      <c r="O974" s="341"/>
      <c r="P974" s="168"/>
      <c r="Q974" s="205"/>
      <c r="R974" s="205"/>
      <c r="S974" s="17"/>
      <c r="T974" s="17"/>
    </row>
    <row r="975">
      <c r="A975" s="341"/>
      <c r="B975" s="168"/>
      <c r="C975" s="341"/>
      <c r="D975" s="181"/>
      <c r="E975" s="341"/>
      <c r="F975" s="168"/>
      <c r="G975" s="341"/>
      <c r="H975" s="168"/>
      <c r="I975" s="348"/>
      <c r="J975" s="181"/>
      <c r="K975" s="348"/>
      <c r="L975" s="181"/>
      <c r="M975" s="348"/>
      <c r="N975" s="181"/>
      <c r="O975" s="341"/>
      <c r="P975" s="168"/>
      <c r="Q975" s="205"/>
      <c r="R975" s="205"/>
      <c r="S975" s="17"/>
      <c r="T975" s="17"/>
    </row>
    <row r="976">
      <c r="A976" s="341"/>
      <c r="B976" s="168"/>
      <c r="C976" s="341"/>
      <c r="D976" s="181"/>
      <c r="E976" s="341"/>
      <c r="F976" s="168"/>
      <c r="G976" s="341"/>
      <c r="H976" s="168"/>
      <c r="I976" s="348"/>
      <c r="J976" s="181"/>
      <c r="K976" s="348"/>
      <c r="L976" s="181"/>
      <c r="M976" s="348"/>
      <c r="N976" s="181"/>
      <c r="O976" s="341"/>
      <c r="P976" s="168"/>
      <c r="Q976" s="205"/>
      <c r="R976" s="205"/>
      <c r="S976" s="17"/>
      <c r="T976" s="17"/>
    </row>
    <row r="977">
      <c r="A977" s="341"/>
      <c r="B977" s="168"/>
      <c r="C977" s="341"/>
      <c r="D977" s="181"/>
      <c r="E977" s="341"/>
      <c r="F977" s="168"/>
      <c r="G977" s="341"/>
      <c r="H977" s="168"/>
      <c r="I977" s="348"/>
      <c r="J977" s="181"/>
      <c r="K977" s="348"/>
      <c r="L977" s="181"/>
      <c r="M977" s="348"/>
      <c r="N977" s="181"/>
      <c r="O977" s="341"/>
      <c r="P977" s="168"/>
      <c r="Q977" s="205"/>
      <c r="R977" s="205"/>
      <c r="S977" s="17"/>
      <c r="T977" s="17"/>
    </row>
    <row r="978">
      <c r="A978" s="341"/>
      <c r="B978" s="168"/>
      <c r="C978" s="341"/>
      <c r="D978" s="181"/>
      <c r="E978" s="341"/>
      <c r="F978" s="168"/>
      <c r="G978" s="341"/>
      <c r="H978" s="168"/>
      <c r="I978" s="348"/>
      <c r="J978" s="181"/>
      <c r="K978" s="348"/>
      <c r="L978" s="181"/>
      <c r="M978" s="348"/>
      <c r="N978" s="181"/>
      <c r="O978" s="341"/>
      <c r="P978" s="168"/>
      <c r="Q978" s="205"/>
      <c r="R978" s="205"/>
      <c r="S978" s="17"/>
      <c r="T978" s="17"/>
    </row>
    <row r="979">
      <c r="A979" s="341"/>
      <c r="B979" s="168"/>
      <c r="C979" s="341"/>
      <c r="D979" s="181"/>
      <c r="E979" s="341"/>
      <c r="F979" s="168"/>
      <c r="G979" s="341"/>
      <c r="H979" s="168"/>
      <c r="I979" s="348"/>
      <c r="J979" s="181"/>
      <c r="K979" s="348"/>
      <c r="L979" s="181"/>
      <c r="M979" s="348"/>
      <c r="N979" s="181"/>
      <c r="O979" s="341"/>
      <c r="P979" s="168"/>
      <c r="Q979" s="205"/>
      <c r="R979" s="205"/>
      <c r="S979" s="17"/>
      <c r="T979" s="17"/>
    </row>
    <row r="980">
      <c r="A980" s="341"/>
      <c r="B980" s="168"/>
      <c r="C980" s="341"/>
      <c r="D980" s="181"/>
      <c r="E980" s="341"/>
      <c r="F980" s="168"/>
      <c r="G980" s="341"/>
      <c r="H980" s="168"/>
      <c r="I980" s="348"/>
      <c r="J980" s="181"/>
      <c r="K980" s="348"/>
      <c r="L980" s="181"/>
      <c r="M980" s="348"/>
      <c r="N980" s="181"/>
      <c r="O980" s="341"/>
      <c r="P980" s="168"/>
      <c r="Q980" s="205"/>
      <c r="R980" s="205"/>
      <c r="S980" s="17"/>
      <c r="T980" s="17"/>
    </row>
    <row r="981">
      <c r="A981" s="341"/>
      <c r="B981" s="168"/>
      <c r="C981" s="341"/>
      <c r="D981" s="181"/>
      <c r="E981" s="341"/>
      <c r="F981" s="168"/>
      <c r="G981" s="341"/>
      <c r="H981" s="168"/>
      <c r="I981" s="348"/>
      <c r="J981" s="181"/>
      <c r="K981" s="348"/>
      <c r="L981" s="181"/>
      <c r="M981" s="348"/>
      <c r="N981" s="181"/>
      <c r="O981" s="341"/>
      <c r="P981" s="168"/>
      <c r="Q981" s="205"/>
      <c r="R981" s="205"/>
      <c r="S981" s="17"/>
      <c r="T981" s="17"/>
    </row>
    <row r="982">
      <c r="A982" s="341"/>
      <c r="B982" s="168"/>
      <c r="C982" s="341"/>
      <c r="D982" s="181"/>
      <c r="E982" s="341"/>
      <c r="F982" s="168"/>
      <c r="G982" s="341"/>
      <c r="H982" s="168"/>
      <c r="I982" s="348"/>
      <c r="J982" s="181"/>
      <c r="K982" s="348"/>
      <c r="L982" s="181"/>
      <c r="M982" s="348"/>
      <c r="N982" s="181"/>
      <c r="O982" s="341"/>
      <c r="P982" s="168"/>
      <c r="Q982" s="205"/>
      <c r="R982" s="205"/>
      <c r="S982" s="17"/>
      <c r="T982" s="17"/>
    </row>
    <row r="983">
      <c r="A983" s="341"/>
      <c r="B983" s="168"/>
      <c r="C983" s="341"/>
      <c r="D983" s="181"/>
      <c r="E983" s="341"/>
      <c r="F983" s="168"/>
      <c r="G983" s="341"/>
      <c r="H983" s="168"/>
      <c r="I983" s="348"/>
      <c r="J983" s="181"/>
      <c r="K983" s="348"/>
      <c r="L983" s="181"/>
      <c r="M983" s="348"/>
      <c r="N983" s="181"/>
      <c r="O983" s="341"/>
      <c r="P983" s="168"/>
      <c r="Q983" s="205"/>
      <c r="R983" s="205"/>
      <c r="S983" s="17"/>
      <c r="T983" s="17"/>
    </row>
    <row r="984">
      <c r="A984" s="341"/>
      <c r="B984" s="168"/>
      <c r="C984" s="341"/>
      <c r="D984" s="181"/>
      <c r="E984" s="341"/>
      <c r="F984" s="168"/>
      <c r="G984" s="341"/>
      <c r="H984" s="168"/>
      <c r="I984" s="348"/>
      <c r="J984" s="181"/>
      <c r="K984" s="348"/>
      <c r="L984" s="181"/>
      <c r="M984" s="348"/>
      <c r="N984" s="181"/>
      <c r="O984" s="341"/>
      <c r="P984" s="168"/>
      <c r="Q984" s="205"/>
      <c r="R984" s="205"/>
      <c r="S984" s="17"/>
      <c r="T984" s="17"/>
    </row>
    <row r="985">
      <c r="A985" s="341"/>
      <c r="B985" s="168"/>
      <c r="C985" s="341"/>
      <c r="D985" s="181"/>
      <c r="E985" s="341"/>
      <c r="F985" s="168"/>
      <c r="G985" s="341"/>
      <c r="H985" s="168"/>
      <c r="I985" s="348"/>
      <c r="J985" s="181"/>
      <c r="K985" s="348"/>
      <c r="L985" s="181"/>
      <c r="M985" s="348"/>
      <c r="N985" s="181"/>
      <c r="O985" s="341"/>
      <c r="P985" s="168"/>
      <c r="Q985" s="205"/>
      <c r="R985" s="205"/>
      <c r="S985" s="17"/>
      <c r="T985" s="17"/>
    </row>
    <row r="986">
      <c r="A986" s="341"/>
      <c r="B986" s="168"/>
      <c r="C986" s="341"/>
      <c r="D986" s="181"/>
      <c r="E986" s="341"/>
      <c r="F986" s="168"/>
      <c r="G986" s="341"/>
      <c r="H986" s="168"/>
      <c r="I986" s="348"/>
      <c r="J986" s="181"/>
      <c r="K986" s="348"/>
      <c r="L986" s="181"/>
      <c r="M986" s="348"/>
      <c r="N986" s="181"/>
      <c r="O986" s="341"/>
      <c r="P986" s="168"/>
      <c r="Q986" s="205"/>
      <c r="R986" s="205"/>
      <c r="S986" s="17"/>
      <c r="T986" s="17"/>
    </row>
    <row r="987">
      <c r="A987" s="341"/>
      <c r="B987" s="168"/>
      <c r="C987" s="341"/>
      <c r="D987" s="181"/>
      <c r="E987" s="341"/>
      <c r="F987" s="168"/>
      <c r="G987" s="341"/>
      <c r="H987" s="168"/>
      <c r="I987" s="348"/>
      <c r="J987" s="181"/>
      <c r="K987" s="348"/>
      <c r="L987" s="181"/>
      <c r="M987" s="348"/>
      <c r="N987" s="181"/>
      <c r="O987" s="341"/>
      <c r="P987" s="168"/>
      <c r="Q987" s="205"/>
      <c r="R987" s="205"/>
      <c r="S987" s="17"/>
      <c r="T987" s="17"/>
    </row>
    <row r="988">
      <c r="A988" s="341"/>
      <c r="B988" s="168"/>
      <c r="C988" s="341"/>
      <c r="D988" s="181"/>
      <c r="E988" s="341"/>
      <c r="F988" s="168"/>
      <c r="G988" s="341"/>
      <c r="H988" s="168"/>
      <c r="I988" s="348"/>
      <c r="J988" s="181"/>
      <c r="K988" s="348"/>
      <c r="L988" s="181"/>
      <c r="M988" s="348"/>
      <c r="N988" s="181"/>
      <c r="O988" s="341"/>
      <c r="P988" s="168"/>
      <c r="Q988" s="205"/>
      <c r="R988" s="205"/>
      <c r="S988" s="17"/>
      <c r="T988" s="17"/>
    </row>
    <row r="989">
      <c r="A989" s="341"/>
      <c r="B989" s="168"/>
      <c r="C989" s="341"/>
      <c r="D989" s="181"/>
      <c r="E989" s="341"/>
      <c r="F989" s="168"/>
      <c r="G989" s="341"/>
      <c r="H989" s="168"/>
      <c r="I989" s="348"/>
      <c r="J989" s="181"/>
      <c r="K989" s="348"/>
      <c r="L989" s="181"/>
      <c r="M989" s="348"/>
      <c r="N989" s="181"/>
      <c r="O989" s="341"/>
      <c r="P989" s="168"/>
      <c r="Q989" s="205"/>
      <c r="R989" s="205"/>
      <c r="S989" s="17"/>
      <c r="T989" s="17"/>
    </row>
    <row r="990">
      <c r="A990" s="341"/>
      <c r="B990" s="168"/>
      <c r="C990" s="341"/>
      <c r="D990" s="181"/>
      <c r="E990" s="341"/>
      <c r="F990" s="168"/>
      <c r="G990" s="341"/>
      <c r="H990" s="168"/>
      <c r="I990" s="348"/>
      <c r="J990" s="181"/>
      <c r="K990" s="348"/>
      <c r="L990" s="181"/>
      <c r="M990" s="348"/>
      <c r="N990" s="181"/>
      <c r="O990" s="341"/>
      <c r="P990" s="168"/>
      <c r="Q990" s="205"/>
      <c r="R990" s="205"/>
      <c r="S990" s="17"/>
      <c r="T990" s="17"/>
    </row>
    <row r="991">
      <c r="A991" s="341"/>
      <c r="B991" s="168"/>
      <c r="C991" s="341"/>
      <c r="D991" s="181"/>
      <c r="E991" s="341"/>
      <c r="F991" s="168"/>
      <c r="G991" s="341"/>
      <c r="H991" s="168"/>
      <c r="I991" s="348"/>
      <c r="J991" s="181"/>
      <c r="K991" s="348"/>
      <c r="L991" s="181"/>
      <c r="M991" s="348"/>
      <c r="N991" s="181"/>
      <c r="O991" s="341"/>
      <c r="P991" s="168"/>
      <c r="Q991" s="205"/>
      <c r="R991" s="205"/>
      <c r="S991" s="17"/>
      <c r="T991" s="17"/>
    </row>
    <row r="992">
      <c r="A992" s="341"/>
      <c r="B992" s="168"/>
      <c r="C992" s="341"/>
      <c r="D992" s="181"/>
      <c r="E992" s="341"/>
      <c r="F992" s="168"/>
      <c r="G992" s="341"/>
      <c r="H992" s="168"/>
      <c r="I992" s="348"/>
      <c r="J992" s="181"/>
      <c r="K992" s="348"/>
      <c r="L992" s="181"/>
      <c r="M992" s="348"/>
      <c r="N992" s="181"/>
      <c r="O992" s="341"/>
      <c r="P992" s="168"/>
      <c r="Q992" s="205"/>
      <c r="R992" s="205"/>
      <c r="S992" s="17"/>
      <c r="T992" s="17"/>
    </row>
    <row r="993">
      <c r="A993" s="341"/>
      <c r="B993" s="168"/>
      <c r="C993" s="341"/>
      <c r="D993" s="181"/>
      <c r="E993" s="341"/>
      <c r="F993" s="168"/>
      <c r="G993" s="341"/>
      <c r="H993" s="168"/>
      <c r="I993" s="348"/>
      <c r="J993" s="181"/>
      <c r="K993" s="348"/>
      <c r="L993" s="181"/>
      <c r="M993" s="348"/>
      <c r="N993" s="181"/>
      <c r="O993" s="341"/>
      <c r="P993" s="168"/>
      <c r="Q993" s="205"/>
      <c r="R993" s="205"/>
      <c r="S993" s="17"/>
      <c r="T993" s="17"/>
    </row>
    <row r="994">
      <c r="A994" s="341"/>
      <c r="B994" s="168"/>
      <c r="C994" s="341"/>
      <c r="D994" s="181"/>
      <c r="E994" s="341"/>
      <c r="F994" s="168"/>
      <c r="G994" s="341"/>
      <c r="H994" s="168"/>
      <c r="I994" s="348"/>
      <c r="J994" s="181"/>
      <c r="K994" s="348"/>
      <c r="L994" s="181"/>
      <c r="M994" s="348"/>
      <c r="N994" s="181"/>
      <c r="O994" s="341"/>
      <c r="P994" s="168"/>
      <c r="Q994" s="205"/>
      <c r="R994" s="205"/>
      <c r="S994" s="17"/>
      <c r="T994" s="17"/>
    </row>
    <row r="995">
      <c r="A995" s="341"/>
      <c r="B995" s="168"/>
      <c r="C995" s="341"/>
      <c r="D995" s="181"/>
      <c r="E995" s="341"/>
      <c r="F995" s="168"/>
      <c r="G995" s="341"/>
      <c r="H995" s="168"/>
      <c r="I995" s="348"/>
      <c r="J995" s="181"/>
      <c r="K995" s="348"/>
      <c r="L995" s="181"/>
      <c r="M995" s="348"/>
      <c r="N995" s="181"/>
      <c r="O995" s="341"/>
      <c r="P995" s="168"/>
      <c r="Q995" s="205"/>
      <c r="R995" s="205"/>
      <c r="S995" s="17"/>
      <c r="T995" s="17"/>
    </row>
    <row r="996">
      <c r="A996" s="341"/>
      <c r="B996" s="168"/>
      <c r="C996" s="341"/>
      <c r="D996" s="181"/>
      <c r="E996" s="341"/>
      <c r="F996" s="168"/>
      <c r="G996" s="341"/>
      <c r="H996" s="168"/>
      <c r="I996" s="348"/>
      <c r="J996" s="181"/>
      <c r="K996" s="348"/>
      <c r="L996" s="181"/>
      <c r="M996" s="348"/>
      <c r="N996" s="181"/>
      <c r="O996" s="341"/>
      <c r="P996" s="168"/>
      <c r="Q996" s="205"/>
      <c r="R996" s="205"/>
      <c r="S996" s="17"/>
      <c r="T996" s="17"/>
    </row>
    <row r="997">
      <c r="A997" s="341"/>
      <c r="B997" s="168"/>
      <c r="C997" s="341"/>
      <c r="D997" s="181"/>
      <c r="E997" s="341"/>
      <c r="F997" s="168"/>
      <c r="G997" s="341"/>
      <c r="H997" s="168"/>
      <c r="I997" s="348"/>
      <c r="J997" s="181"/>
      <c r="K997" s="348"/>
      <c r="L997" s="181"/>
      <c r="M997" s="348"/>
      <c r="N997" s="181"/>
      <c r="O997" s="341"/>
      <c r="P997" s="168"/>
      <c r="Q997" s="205"/>
      <c r="R997" s="205"/>
      <c r="S997" s="17"/>
      <c r="T997" s="17"/>
    </row>
    <row r="998">
      <c r="A998" s="341"/>
      <c r="B998" s="168"/>
      <c r="C998" s="341"/>
      <c r="D998" s="181"/>
      <c r="E998" s="341"/>
      <c r="F998" s="168"/>
      <c r="G998" s="341"/>
      <c r="H998" s="168"/>
      <c r="I998" s="348"/>
      <c r="J998" s="181"/>
      <c r="K998" s="348"/>
      <c r="L998" s="181"/>
      <c r="M998" s="348"/>
      <c r="N998" s="181"/>
      <c r="O998" s="341"/>
      <c r="P998" s="168"/>
      <c r="Q998" s="205"/>
      <c r="R998" s="205"/>
      <c r="S998" s="17"/>
      <c r="T998" s="17"/>
    </row>
    <row r="999">
      <c r="A999" s="341"/>
      <c r="B999" s="168"/>
      <c r="C999" s="341"/>
      <c r="D999" s="181"/>
      <c r="E999" s="341"/>
      <c r="F999" s="168"/>
      <c r="G999" s="341"/>
      <c r="H999" s="168"/>
      <c r="I999" s="348"/>
      <c r="J999" s="181"/>
      <c r="K999" s="348"/>
      <c r="L999" s="181"/>
      <c r="M999" s="348"/>
      <c r="N999" s="181"/>
      <c r="O999" s="341"/>
      <c r="P999" s="168"/>
      <c r="Q999" s="341"/>
      <c r="R999" s="168"/>
      <c r="S999" s="17"/>
      <c r="T999" s="17"/>
    </row>
    <row r="1000">
      <c r="A1000" s="341"/>
      <c r="B1000" s="168"/>
      <c r="C1000" s="341"/>
      <c r="D1000" s="181"/>
      <c r="E1000" s="341"/>
      <c r="F1000" s="168"/>
      <c r="G1000" s="341"/>
      <c r="H1000" s="168"/>
      <c r="I1000" s="348"/>
      <c r="J1000" s="181"/>
      <c r="K1000" s="348"/>
      <c r="L1000" s="181"/>
      <c r="M1000" s="348"/>
      <c r="N1000" s="181"/>
      <c r="O1000" s="341"/>
      <c r="P1000" s="168"/>
      <c r="Q1000" s="341"/>
      <c r="R1000" s="168"/>
      <c r="S1000" s="17"/>
      <c r="T1000" s="17"/>
    </row>
    <row r="1001">
      <c r="A1001" s="341"/>
      <c r="B1001" s="168"/>
      <c r="C1001" s="341"/>
      <c r="D1001" s="181"/>
      <c r="E1001" s="341"/>
      <c r="F1001" s="168"/>
      <c r="G1001" s="341"/>
      <c r="H1001" s="168"/>
      <c r="I1001" s="348"/>
      <c r="J1001" s="181"/>
      <c r="K1001" s="348"/>
      <c r="L1001" s="181"/>
      <c r="M1001" s="348"/>
      <c r="N1001" s="181"/>
      <c r="O1001" s="341"/>
      <c r="P1001" s="168"/>
      <c r="Q1001" s="341"/>
      <c r="R1001" s="168"/>
      <c r="S1001" s="17"/>
      <c r="T1001" s="17"/>
    </row>
    <row r="1002">
      <c r="A1002" s="341"/>
      <c r="B1002" s="168"/>
      <c r="C1002" s="341"/>
      <c r="D1002" s="181"/>
      <c r="E1002" s="341"/>
      <c r="F1002" s="168"/>
      <c r="G1002" s="341"/>
      <c r="H1002" s="168"/>
      <c r="I1002" s="348"/>
      <c r="J1002" s="181"/>
      <c r="K1002" s="348"/>
      <c r="L1002" s="181"/>
      <c r="M1002" s="348"/>
      <c r="N1002" s="181"/>
      <c r="O1002" s="341"/>
      <c r="P1002" s="168"/>
      <c r="Q1002" s="341"/>
      <c r="R1002" s="168"/>
      <c r="S1002" s="17"/>
      <c r="T1002" s="17"/>
    </row>
    <row r="1003">
      <c r="A1003" s="341"/>
      <c r="B1003" s="168"/>
      <c r="C1003" s="341"/>
      <c r="D1003" s="181"/>
      <c r="E1003" s="341"/>
      <c r="F1003" s="168"/>
      <c r="G1003" s="341"/>
      <c r="H1003" s="168"/>
      <c r="I1003" s="348"/>
      <c r="J1003" s="181"/>
      <c r="K1003" s="348"/>
      <c r="L1003" s="181"/>
      <c r="M1003" s="348"/>
      <c r="N1003" s="181"/>
      <c r="O1003" s="341"/>
      <c r="P1003" s="168"/>
      <c r="Q1003" s="341"/>
      <c r="R1003" s="168"/>
      <c r="S1003" s="17"/>
      <c r="T1003" s="17"/>
    </row>
    <row r="1004">
      <c r="A1004" s="341"/>
      <c r="B1004" s="168"/>
      <c r="C1004" s="341"/>
      <c r="D1004" s="181"/>
      <c r="E1004" s="341"/>
      <c r="F1004" s="168"/>
      <c r="G1004" s="341"/>
      <c r="H1004" s="168"/>
      <c r="I1004" s="348"/>
      <c r="J1004" s="181"/>
      <c r="K1004" s="348"/>
      <c r="L1004" s="181"/>
      <c r="M1004" s="348"/>
      <c r="N1004" s="181"/>
      <c r="O1004" s="341"/>
      <c r="P1004" s="168"/>
      <c r="Q1004" s="341"/>
      <c r="R1004" s="168"/>
      <c r="S1004" s="17"/>
      <c r="T1004" s="17"/>
    </row>
    <row r="1005">
      <c r="A1005" s="341"/>
      <c r="B1005" s="168"/>
      <c r="C1005" s="341"/>
      <c r="D1005" s="181"/>
      <c r="E1005" s="341"/>
      <c r="F1005" s="168"/>
      <c r="G1005" s="341"/>
      <c r="H1005" s="168"/>
      <c r="I1005" s="348"/>
      <c r="J1005" s="181"/>
      <c r="K1005" s="348"/>
      <c r="L1005" s="181"/>
      <c r="M1005" s="348"/>
      <c r="N1005" s="181"/>
      <c r="O1005" s="341"/>
      <c r="P1005" s="168"/>
      <c r="Q1005" s="341"/>
      <c r="R1005" s="168"/>
      <c r="S1005" s="17"/>
      <c r="T1005" s="17"/>
    </row>
    <row r="1006">
      <c r="A1006" s="341"/>
      <c r="B1006" s="168"/>
      <c r="C1006" s="341"/>
      <c r="D1006" s="181"/>
      <c r="E1006" s="341"/>
      <c r="F1006" s="168"/>
      <c r="G1006" s="341"/>
      <c r="H1006" s="168"/>
      <c r="I1006" s="348"/>
      <c r="J1006" s="181"/>
      <c r="K1006" s="348"/>
      <c r="L1006" s="181"/>
      <c r="M1006" s="348"/>
      <c r="N1006" s="181"/>
      <c r="O1006" s="341"/>
      <c r="P1006" s="168"/>
      <c r="Q1006" s="341"/>
      <c r="R1006" s="168"/>
      <c r="S1006" s="17"/>
      <c r="T1006" s="17"/>
    </row>
    <row r="1007">
      <c r="A1007" s="341"/>
      <c r="B1007" s="168"/>
      <c r="C1007" s="341"/>
      <c r="D1007" s="181"/>
      <c r="E1007" s="341"/>
      <c r="F1007" s="168"/>
      <c r="G1007" s="341"/>
      <c r="H1007" s="168"/>
      <c r="I1007" s="348"/>
      <c r="J1007" s="181"/>
      <c r="K1007" s="348"/>
      <c r="L1007" s="181"/>
      <c r="M1007" s="348"/>
      <c r="N1007" s="181"/>
      <c r="O1007" s="341"/>
      <c r="P1007" s="168"/>
      <c r="Q1007" s="341"/>
      <c r="R1007" s="168"/>
      <c r="S1007" s="17"/>
      <c r="T1007" s="17"/>
    </row>
    <row r="1008">
      <c r="A1008" s="341"/>
      <c r="B1008" s="168"/>
      <c r="C1008" s="341"/>
      <c r="D1008" s="181"/>
      <c r="E1008" s="341"/>
      <c r="F1008" s="168"/>
      <c r="G1008" s="341"/>
      <c r="H1008" s="168"/>
      <c r="I1008" s="348"/>
      <c r="J1008" s="181"/>
      <c r="K1008" s="348"/>
      <c r="L1008" s="181"/>
      <c r="M1008" s="348"/>
      <c r="N1008" s="181"/>
      <c r="O1008" s="341"/>
      <c r="P1008" s="168"/>
      <c r="Q1008" s="341"/>
      <c r="R1008" s="168"/>
      <c r="S1008" s="17"/>
      <c r="T1008" s="17"/>
    </row>
    <row r="1009">
      <c r="A1009" s="341"/>
      <c r="B1009" s="168"/>
      <c r="C1009" s="341"/>
      <c r="D1009" s="181"/>
      <c r="E1009" s="341"/>
      <c r="F1009" s="168"/>
      <c r="G1009" s="341"/>
      <c r="H1009" s="168"/>
      <c r="I1009" s="348"/>
      <c r="J1009" s="181"/>
      <c r="K1009" s="348"/>
      <c r="L1009" s="181"/>
      <c r="M1009" s="348"/>
      <c r="N1009" s="181"/>
      <c r="O1009" s="341"/>
      <c r="P1009" s="168"/>
      <c r="Q1009" s="341"/>
      <c r="R1009" s="168"/>
      <c r="S1009" s="17"/>
      <c r="T1009" s="17"/>
    </row>
    <row r="1010">
      <c r="A1010" s="341"/>
      <c r="B1010" s="168"/>
      <c r="C1010" s="341"/>
      <c r="D1010" s="181"/>
      <c r="E1010" s="341"/>
      <c r="F1010" s="168"/>
      <c r="G1010" s="341"/>
      <c r="H1010" s="168"/>
      <c r="I1010" s="348"/>
      <c r="J1010" s="181"/>
      <c r="K1010" s="348"/>
      <c r="L1010" s="181"/>
      <c r="M1010" s="348"/>
      <c r="N1010" s="181"/>
      <c r="O1010" s="341"/>
      <c r="P1010" s="168"/>
      <c r="Q1010" s="341"/>
      <c r="R1010" s="168"/>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c r="U1" s="306"/>
      <c r="V1" s="306"/>
      <c r="W1" s="306"/>
      <c r="X1" s="306"/>
      <c r="Y1" s="306"/>
      <c r="Z1" s="306"/>
    </row>
    <row r="2" ht="41.25" customHeight="1">
      <c r="S2" s="306"/>
      <c r="T2" s="306"/>
      <c r="U2" s="306"/>
      <c r="V2" s="306"/>
      <c r="W2" s="306"/>
      <c r="X2" s="306"/>
      <c r="Y2" s="306"/>
      <c r="Z2" s="306"/>
    </row>
    <row r="3">
      <c r="A3" s="334" t="s">
        <v>4794</v>
      </c>
      <c r="B3" s="72" t="s">
        <v>4795</v>
      </c>
      <c r="C3" s="349" t="str">
        <f>IFERROR(__xludf.DUMMYFUNCTION("GOOGLETRANSLATE(A3,""zh-tw"",""ja"")"),"設備プロジェクト")</f>
        <v>設備プロジェクト</v>
      </c>
      <c r="D3" s="350" t="str">
        <f>IFERROR(__xludf.DUMMYFUNCTION("GOOGLETRANSLATE(B3,""zh-tw"",""ja"")"),"装備の属性")</f>
        <v>装備の属性</v>
      </c>
      <c r="E3" s="351" t="s">
        <v>4796</v>
      </c>
      <c r="F3" s="14" t="s">
        <v>4376</v>
      </c>
      <c r="G3" s="336" t="str">
        <f>IFERROR(__xludf.DUMMYFUNCTION("GOOGLETRANSLATE(A3,""zh-tw"",""zh"")"),"装备项目")</f>
        <v>装备项目</v>
      </c>
      <c r="H3" s="69" t="str">
        <f>IFERROR(__xludf.DUMMYFUNCTION("GOOGLETRANSLATE(B3,""zh-tw"",""zh"")"),"装备属性")</f>
        <v>装备属性</v>
      </c>
      <c r="I3" s="335" t="str">
        <f>IFERROR(__xludf.DUMMYFUNCTION("GOOGLETRANSLATE(A3,""zh-tw"",""es-MX"")"),"Proyecto de equipamiento")</f>
        <v>Proyecto de equipamiento</v>
      </c>
      <c r="J3" s="34" t="str">
        <f>IFERROR(__xludf.DUMMYFUNCTION("GOOGLETRANSLATE(B3,""zh-tw"",""es-MX"")"),"Atributos del equipo")</f>
        <v>Atributos del equipo</v>
      </c>
      <c r="K3" s="336" t="str">
        <f>IFERROR(__xludf.DUMMYFUNCTION("GOOGLETRANSLATE(A3,""zh-tw"",""KO"")"),"장비 프로젝트")</f>
        <v>장비 프로젝트</v>
      </c>
      <c r="L3" s="69" t="str">
        <f>IFERROR(__xludf.DUMMYFUNCTION("GOOGLETRANSLATE(B3,""zh-tw"",""KO"")"),"장비 속성")</f>
        <v>장비 속성</v>
      </c>
      <c r="M3" s="335" t="str">
        <f>IFERROR(__xludf.DUMMYFUNCTION("GOOGLETRANSLATE(A3,""zh-tw"",""ru"")"),"Проект оборудования")</f>
        <v>Проект оборудования</v>
      </c>
      <c r="N3" s="34" t="str">
        <f>IFERROR(__xludf.DUMMYFUNCTION("GOOGLETRANSLATE(B3,""zh-tw"",""ru"")"),"Атрибуты оборудования")</f>
        <v>Атрибуты оборудования</v>
      </c>
      <c r="O3" s="334" t="s">
        <v>4797</v>
      </c>
      <c r="P3" s="72" t="s">
        <v>4798</v>
      </c>
      <c r="Q3" s="337" t="s">
        <v>4799</v>
      </c>
      <c r="R3" s="338" t="s">
        <v>4380</v>
      </c>
      <c r="S3" s="17"/>
      <c r="T3" s="17"/>
      <c r="U3" s="17"/>
      <c r="V3" s="17"/>
      <c r="W3" s="17"/>
      <c r="X3" s="17"/>
      <c r="Y3" s="17"/>
      <c r="Z3" s="17"/>
    </row>
    <row r="4">
      <c r="A4" s="340" t="s">
        <v>4800</v>
      </c>
      <c r="B4" s="323" t="s">
        <v>4801</v>
      </c>
      <c r="C4" s="352" t="s">
        <v>4802</v>
      </c>
      <c r="D4" s="190" t="s">
        <v>4803</v>
      </c>
      <c r="E4" s="339" t="s">
        <v>4804</v>
      </c>
      <c r="F4" s="167" t="s">
        <v>4805</v>
      </c>
      <c r="G4" s="341" t="str">
        <f>IFERROR(__xludf.DUMMYFUNCTION("GOOGLETRANSLATE(A4,""zh-tw"",""zh"")"),"妹妹脱下的内裤")</f>
        <v>妹妹脱下的内裤</v>
      </c>
      <c r="H4" s="168" t="str">
        <f>IFERROR(__xludf.DUMMYFUNCTION("GOOGLETRANSLATE(B4,""zh-tw"",""zh"")"),"低体力回复")</f>
        <v>低体力回复</v>
      </c>
      <c r="I4" s="339" t="s">
        <v>4806</v>
      </c>
      <c r="J4" s="167" t="s">
        <v>4807</v>
      </c>
      <c r="K4" s="339" t="s">
        <v>4808</v>
      </c>
      <c r="L4" s="167" t="s">
        <v>4809</v>
      </c>
      <c r="M4" s="342" t="str">
        <f>IFERROR(__xludf.DUMMYFUNCTION("GOOGLETRANSLATE(A4,""zh-tw"",""ru"")"),"Нижнее белье моей сестры")</f>
        <v>Нижнее белье моей сестры</v>
      </c>
      <c r="N4" s="321" t="str">
        <f>IFERROR(__xludf.DUMMYFUNCTION("GOOGLETRANSLATE(B4,""zh-tw"",""ru"")"),"Низкое восстановление выносливости")</f>
        <v>Низкое восстановление выносливости</v>
      </c>
      <c r="O4" s="340" t="s">
        <v>4810</v>
      </c>
      <c r="P4" s="323" t="s">
        <v>4811</v>
      </c>
      <c r="Q4" s="343" t="s">
        <v>4812</v>
      </c>
      <c r="R4" s="344" t="s">
        <v>4813</v>
      </c>
      <c r="S4" s="17"/>
      <c r="T4" s="17"/>
      <c r="U4" s="17"/>
      <c r="V4" s="17"/>
      <c r="W4" s="17"/>
      <c r="X4" s="17"/>
      <c r="Y4" s="17"/>
      <c r="Z4" s="17"/>
    </row>
    <row r="5">
      <c r="A5" s="340" t="s">
        <v>4814</v>
      </c>
      <c r="B5" s="323" t="s">
        <v>4815</v>
      </c>
      <c r="C5" s="352" t="s">
        <v>4816</v>
      </c>
      <c r="D5" s="353" t="str">
        <f>IFERROR(__xludf.DUMMYFUNCTION("GOOGLETRANSLATE(B5,""zh-tw"",""ja"")"),"性欲が増し、全属性が10%増加")</f>
        <v>性欲が増し、全属性が10%増加</v>
      </c>
      <c r="E5" s="339" t="s">
        <v>4817</v>
      </c>
      <c r="F5" s="167" t="s">
        <v>4818</v>
      </c>
      <c r="G5" s="341" t="str">
        <f>IFERROR(__xludf.DUMMYFUNCTION("GOOGLETRANSLATE(A5,""zh-tw"",""zh"")"),"少女的笑容")</f>
        <v>少女的笑容</v>
      </c>
      <c r="H5" s="168" t="str">
        <f>IFERROR(__xludf.DUMMYFUNCTION("GOOGLETRANSLATE(B5,""zh-tw"",""zh"")"),"性欲上升，全属性上升10%")</f>
        <v>性欲上升，全属性上升10%</v>
      </c>
      <c r="I5" s="339" t="s">
        <v>4819</v>
      </c>
      <c r="J5" s="168" t="str">
        <f>IFERROR(__xludf.DUMMYFUNCTION("GOOGLETRANSLATE(B5,""zh-tw"",""es-MX"")"),"La libido aumenta, todos los atributos aumentan un 10%.")</f>
        <v>La libido aumenta, todos los atributos aumentan un 10%.</v>
      </c>
      <c r="K5" s="341" t="str">
        <f>IFERROR(__xludf.DUMMYFUNCTION("GOOGLETRANSLATE(A5,""zh-tw"",""KO"")"),"소녀의 미소")</f>
        <v>소녀의 미소</v>
      </c>
      <c r="L5" s="167" t="s">
        <v>4820</v>
      </c>
      <c r="M5" s="342" t="str">
        <f>IFERROR(__xludf.DUMMYFUNCTION("GOOGLETRANSLATE(A5,""zh-tw"",""ru"")"),"Улыбка девушки")</f>
        <v>Улыбка девушки</v>
      </c>
      <c r="N5" s="321"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40" t="s">
        <v>4821</v>
      </c>
      <c r="P5" s="323" t="s">
        <v>4822</v>
      </c>
      <c r="Q5" s="343" t="s">
        <v>4823</v>
      </c>
      <c r="R5" s="344" t="s">
        <v>4824</v>
      </c>
      <c r="S5" s="17"/>
      <c r="T5" s="17"/>
      <c r="U5" s="17"/>
      <c r="V5" s="17"/>
      <c r="W5" s="17"/>
      <c r="X5" s="17"/>
      <c r="Y5" s="17"/>
      <c r="Z5" s="17"/>
    </row>
    <row r="6">
      <c r="A6" s="340" t="s">
        <v>4825</v>
      </c>
      <c r="B6" s="323" t="s">
        <v>724</v>
      </c>
      <c r="C6" s="354" t="str">
        <f>IFERROR(__xludf.DUMMYFUNCTION("GOOGLETRANSLATE(A6,""zh-tw"",""ja"")"),"フライドポテト")</f>
        <v>フライドポテト</v>
      </c>
      <c r="D6" s="353" t="str">
        <f>IFERROR(__xludf.DUMMYFUNCTION("GOOGLETRANSLATE(B6,""zh-tw"",""ja"")"),"-")</f>
        <v>-</v>
      </c>
      <c r="E6" s="339" t="s">
        <v>4826</v>
      </c>
      <c r="F6" s="167" t="s">
        <v>724</v>
      </c>
      <c r="G6" s="341" t="str">
        <f>IFERROR(__xludf.DUMMYFUNCTION("GOOGLETRANSLATE(A6,""zh-tw"",""zh"")"),"炸薯条")</f>
        <v>炸薯条</v>
      </c>
      <c r="H6" s="168" t="str">
        <f>IFERROR(__xludf.DUMMYFUNCTION("GOOGLETRANSLATE(B6,""zh-tw"",""zh"")"),"-")</f>
        <v>-</v>
      </c>
      <c r="I6" s="341" t="str">
        <f>IFERROR(__xludf.DUMMYFUNCTION("GOOGLETRANSLATE(A6,""zh-tw"",""es-MX"")"),"papas fritas")</f>
        <v>papas fritas</v>
      </c>
      <c r="J6" s="168" t="str">
        <f>IFERROR(__xludf.DUMMYFUNCTION("GOOGLETRANSLATE(B6,""zh-tw"",""es-MX"")"),"-")</f>
        <v>-</v>
      </c>
      <c r="K6" s="341" t="str">
        <f>IFERROR(__xludf.DUMMYFUNCTION("GOOGLETRANSLATE(A6,""zh-tw"",""KO"")"),"감자 튀김")</f>
        <v>감자 튀김</v>
      </c>
      <c r="L6" s="168" t="str">
        <f>IFERROR(__xludf.DUMMYFUNCTION("GOOGLETRANSLATE(B6,""zh-tw"",""KO"")"),"-")</f>
        <v>-</v>
      </c>
      <c r="M6" s="342" t="str">
        <f>IFERROR(__xludf.DUMMYFUNCTION("GOOGLETRANSLATE(A6,""zh-tw"",""ru"")"),"картофель фри")</f>
        <v>картофель фри</v>
      </c>
      <c r="N6" s="321" t="str">
        <f>IFERROR(__xludf.DUMMYFUNCTION("GOOGLETRANSLATE(B6,""zh-tw"",""ru"")"),"-")</f>
        <v>-</v>
      </c>
      <c r="O6" s="340" t="s">
        <v>4827</v>
      </c>
      <c r="P6" s="323" t="s">
        <v>4828</v>
      </c>
      <c r="Q6" s="343" t="s">
        <v>4829</v>
      </c>
      <c r="R6" s="344" t="s">
        <v>724</v>
      </c>
      <c r="S6" s="17"/>
      <c r="T6" s="17"/>
      <c r="U6" s="17"/>
      <c r="V6" s="17"/>
      <c r="W6" s="17"/>
      <c r="X6" s="17"/>
      <c r="Y6" s="17"/>
      <c r="Z6" s="17"/>
    </row>
    <row r="7">
      <c r="A7" s="340" t="s">
        <v>4830</v>
      </c>
      <c r="B7" s="323" t="s">
        <v>4831</v>
      </c>
      <c r="C7" s="354" t="str">
        <f>IFERROR(__xludf.DUMMYFUNCTION("GOOGLETRANSLATE(A7,""zh-tw"",""ja"")"),"トイレットペーパー")</f>
        <v>トイレットペーパー</v>
      </c>
      <c r="D7" s="353" t="str">
        <f>IFERROR(__xludf.DUMMYFUNCTION("GOOGLETRANSLATE(B7,""zh-tw"",""ja"")"),"物理防御：出血防御1")</f>
        <v>物理防御：出血防御1</v>
      </c>
      <c r="E7" s="339" t="s">
        <v>4832</v>
      </c>
      <c r="F7" s="167" t="s">
        <v>4833</v>
      </c>
      <c r="G7" s="341" t="str">
        <f>IFERROR(__xludf.DUMMYFUNCTION("GOOGLETRANSLATE(A7,""zh-tw"",""zh"")"),"厕纸")</f>
        <v>厕纸</v>
      </c>
      <c r="H7" s="168" t="str">
        <f>IFERROR(__xludf.DUMMYFUNCTION("GOOGLETRANSLATE(B7,""zh-tw"",""zh"")"),"物防：1
出血防御")</f>
        <v>物防：1
出血防御</v>
      </c>
      <c r="I7" s="341" t="str">
        <f>IFERROR(__xludf.DUMMYFUNCTION("GOOGLETRANSLATE(A7,""zh-tw"",""es-MX"")"),"papel higiénico")</f>
        <v>papel higiénico</v>
      </c>
      <c r="J7" s="168" t="str">
        <f>IFERROR(__xludf.DUMMYFUNCTION("GOOGLETRANSLATE(B7,""zh-tw"",""es-MX"")"),"Defensa física: 1 Defensa contra sangrado")</f>
        <v>Defensa física: 1 Defensa contra sangrado</v>
      </c>
      <c r="K7" s="341" t="str">
        <f>IFERROR(__xludf.DUMMYFUNCTION("GOOGLETRANSLATE(A7,""zh-tw"",""KO"")"),"휴지")</f>
        <v>휴지</v>
      </c>
      <c r="L7" s="167" t="s">
        <v>4834</v>
      </c>
      <c r="M7" s="342" t="str">
        <f>IFERROR(__xludf.DUMMYFUNCTION("GOOGLETRANSLATE(A7,""zh-tw"",""ru"")"),"туалетная бумага")</f>
        <v>туалетная бумага</v>
      </c>
      <c r="N7" s="321" t="str">
        <f>IFERROR(__xludf.DUMMYFUNCTION("GOOGLETRANSLATE(B7,""zh-tw"",""ru"")"),"Физическая защита: 1 Защита от кровотечения")</f>
        <v>Физическая защита: 1 Защита от кровотечения</v>
      </c>
      <c r="O7" s="340" t="s">
        <v>4835</v>
      </c>
      <c r="P7" s="323" t="s">
        <v>4836</v>
      </c>
      <c r="Q7" s="343" t="s">
        <v>4837</v>
      </c>
      <c r="R7" s="344" t="s">
        <v>4838</v>
      </c>
      <c r="S7" s="17"/>
      <c r="T7" s="17"/>
      <c r="U7" s="17"/>
      <c r="V7" s="17"/>
      <c r="W7" s="17"/>
      <c r="X7" s="17"/>
      <c r="Y7" s="17"/>
      <c r="Z7" s="17"/>
    </row>
    <row r="8">
      <c r="A8" s="340" t="s">
        <v>4839</v>
      </c>
      <c r="B8" s="323" t="s">
        <v>4840</v>
      </c>
      <c r="C8" s="352" t="s">
        <v>4841</v>
      </c>
      <c r="D8" s="353" t="str">
        <f>IFERROR(__xludf.DUMMYFUNCTION("GOOGLETRANSLATE(B8,""zh-tw"",""ja"")"),"運：10（回復確率）")</f>
        <v>運：10（回復確率）</v>
      </c>
      <c r="E8" s="339" t="s">
        <v>4842</v>
      </c>
      <c r="F8" s="167" t="s">
        <v>4843</v>
      </c>
      <c r="G8" s="341" t="str">
        <f>IFERROR(__xludf.DUMMYFUNCTION("GOOGLETRANSLATE(A8,""zh-tw"",""zh"")"),"苹果头套")</f>
        <v>苹果头套</v>
      </c>
      <c r="H8" s="168" t="str">
        <f>IFERROR(__xludf.DUMMYFUNCTION("GOOGLETRANSLATE(B8,""zh-tw"",""zh"")"),"幸运：10
概率回复")</f>
        <v>幸运：10
概率回复</v>
      </c>
      <c r="I8" s="339" t="s">
        <v>4844</v>
      </c>
      <c r="J8" s="167" t="s">
        <v>4845</v>
      </c>
      <c r="K8" s="339" t="s">
        <v>4846</v>
      </c>
      <c r="L8" s="167" t="s">
        <v>4847</v>
      </c>
      <c r="M8" s="342" t="str">
        <f>IFERROR(__xludf.DUMMYFUNCTION("GOOGLETRANSLATE(A8,""zh-tw"",""ru"")"),"Повязка на голову Apple")</f>
        <v>Повязка на голову Apple</v>
      </c>
      <c r="N8" s="321" t="str">
        <f>IFERROR(__xludf.DUMMYFUNCTION("GOOGLETRANSLATE(B8,""zh-tw"",""ru"")"),"Удача: 10 (Вероятность выздоровления)")</f>
        <v>Удача: 10 (Вероятность выздоровления)</v>
      </c>
      <c r="O8" s="340" t="s">
        <v>4848</v>
      </c>
      <c r="P8" s="323" t="s">
        <v>4849</v>
      </c>
      <c r="Q8" s="343" t="s">
        <v>4850</v>
      </c>
      <c r="R8" s="344" t="s">
        <v>4851</v>
      </c>
      <c r="S8" s="17"/>
      <c r="T8" s="17"/>
      <c r="U8" s="17"/>
      <c r="V8" s="17"/>
      <c r="W8" s="17"/>
      <c r="X8" s="17"/>
      <c r="Y8" s="17"/>
      <c r="Z8" s="17"/>
    </row>
    <row r="9">
      <c r="A9" s="340" t="s">
        <v>4852</v>
      </c>
      <c r="B9" s="323" t="s">
        <v>4853</v>
      </c>
      <c r="C9" s="352" t="s">
        <v>4854</v>
      </c>
      <c r="D9" s="353" t="str">
        <f>IFERROR(__xludf.DUMMYFUNCTION("GOOGLETRANSLATE(B9,""zh-tw"",""ja"")"),"物理攻撃：5。攻撃速度と移動速度が向上します。")</f>
        <v>物理攻撃：5。攻撃速度と移動速度が向上します。</v>
      </c>
      <c r="E9" s="339" t="s">
        <v>4855</v>
      </c>
      <c r="F9" s="167" t="s">
        <v>4856</v>
      </c>
      <c r="G9" s="341" t="str">
        <f>IFERROR(__xludf.DUMMYFUNCTION("GOOGLETRANSLATE(A9,""zh-tw"",""zh"")"),"借来的猫爪")</f>
        <v>借来的猫爪</v>
      </c>
      <c r="H9" s="168" t="str">
        <f>IFERROR(__xludf.DUMMYFUNCTION("GOOGLETRANSLATE(B9,""zh-tw"",""zh"")"),"物攻：5
攻速、移速上升")</f>
        <v>物攻：5
攻速、移速上升</v>
      </c>
      <c r="I9" s="339" t="s">
        <v>4857</v>
      </c>
      <c r="J9" s="168" t="str">
        <f>IFERROR(__xludf.DUMMYFUNCTION("GOOGLETRANSLATE(B9,""zh-tw"",""es-MX"")"),"Ataque físico: 5. Aumenta la velocidad de ataque y la velocidad de movimiento.")</f>
        <v>Ataque físico: 5. Aumenta la velocidad de ataque y la velocidad de movimiento.</v>
      </c>
      <c r="K9" s="339" t="s">
        <v>4858</v>
      </c>
      <c r="L9" s="167" t="s">
        <v>4859</v>
      </c>
      <c r="M9" s="342" t="str">
        <f>IFERROR(__xludf.DUMMYFUNCTION("GOOGLETRANSLATE(A9,""zh-tw"",""ru"")"),"одолженная кошачья лапа")</f>
        <v>одолженная кошачья лапа</v>
      </c>
      <c r="N9" s="321" t="str">
        <f>IFERROR(__xludf.DUMMYFUNCTION("GOOGLETRANSLATE(B9,""zh-tw"",""ru"")"),"Физическая атака: 5. Увеличивает скорость атаки и скорость передвижения.")</f>
        <v>Физическая атака: 5. Увеличивает скорость атаки и скорость передвижения.</v>
      </c>
      <c r="O9" s="340" t="s">
        <v>4860</v>
      </c>
      <c r="P9" s="323" t="s">
        <v>4861</v>
      </c>
      <c r="Q9" s="343" t="s">
        <v>4862</v>
      </c>
      <c r="R9" s="344" t="s">
        <v>4863</v>
      </c>
      <c r="S9" s="17"/>
      <c r="T9" s="17"/>
      <c r="U9" s="17"/>
      <c r="V9" s="17"/>
      <c r="W9" s="17"/>
      <c r="X9" s="17"/>
      <c r="Y9" s="17"/>
      <c r="Z9" s="17"/>
    </row>
    <row r="10">
      <c r="A10" s="340" t="s">
        <v>4864</v>
      </c>
      <c r="B10" s="323" t="s">
        <v>4865</v>
      </c>
      <c r="C10" s="352" t="s">
        <v>4866</v>
      </c>
      <c r="D10" s="353" t="str">
        <f>IFERROR(__xludf.DUMMYFUNCTION("GOOGLETRANSLATE(B10,""zh-tw"",""ja"")"),"攻撃速度と移動速度が上昇し、フラッシュステップのクールダウンが短縮されました。")</f>
        <v>攻撃速度と移動速度が上昇し、フラッシュステップのクールダウンが短縮されました。</v>
      </c>
      <c r="E10" s="339" t="s">
        <v>4867</v>
      </c>
      <c r="F10" s="167" t="s">
        <v>4868</v>
      </c>
      <c r="G10" s="341" t="str">
        <f>IFERROR(__xludf.DUMMYFUNCTION("GOOGLETRANSLATE(A10,""zh-tw"",""zh"")"),"借来的猫足")</f>
        <v>借来的猫足</v>
      </c>
      <c r="H10" s="168" t="str">
        <f>IFERROR(__xludf.DUMMYFUNCTION("GOOGLETRANSLATE(B10,""zh-tw"",""zh"")"),"攻速、移速上升
闪步冷却时间缩短")</f>
        <v>攻速、移速上升
闪步冷却时间缩短</v>
      </c>
      <c r="I10" s="341" t="str">
        <f>IFERROR(__xludf.DUMMYFUNCTION("GOOGLETRANSLATE(A10,""zh-tw"",""es-MX"")"),"patas de gato prestadas")</f>
        <v>patas de gato prestadas</v>
      </c>
      <c r="J10" s="168" t="str">
        <f>IFERROR(__xludf.DUMMYFUNCTION("GOOGLETRANSLATE(B10,""zh-tw"",""es-MX"")"),"Aumentada la velocidad de ataque y la velocidad de movimiento; reducido el tiempo de reutilización de Paso Relámpago.")</f>
        <v>Aumentada la velocidad de ataque y la velocidad de movimiento; reducido el tiempo de reutilización de Paso Relámpago.</v>
      </c>
      <c r="K10" s="339" t="s">
        <v>4869</v>
      </c>
      <c r="L10" s="167" t="s">
        <v>4870</v>
      </c>
      <c r="M10" s="342" t="str">
        <f>IFERROR(__xludf.DUMMYFUNCTION("GOOGLETRANSLATE(A10,""zh-tw"",""ru"")"),"одолженные кошачьи лапки")</f>
        <v>одолженные кошачьи лапки</v>
      </c>
      <c r="N10" s="321" t="str">
        <f>IFERROR(__xludf.DUMMYFUNCTION("GOOGLETRANSLATE(B10,""zh-tw"",""ru"")"),"Скорость атаки и передвижения увеличена; время восстановления умения «Мгновенный шаг» уменьшено.")</f>
        <v>Скорость атаки и передвижения увеличена; время восстановления умения «Мгновенный шаг» уменьшено.</v>
      </c>
      <c r="O10" s="340" t="s">
        <v>4871</v>
      </c>
      <c r="P10" s="323" t="s">
        <v>4872</v>
      </c>
      <c r="Q10" s="343" t="s">
        <v>4873</v>
      </c>
      <c r="R10" s="344" t="s">
        <v>4874</v>
      </c>
      <c r="S10" s="17"/>
      <c r="T10" s="17"/>
      <c r="U10" s="17"/>
      <c r="V10" s="17"/>
      <c r="W10" s="17"/>
      <c r="X10" s="17"/>
      <c r="Y10" s="17"/>
      <c r="Z10" s="17"/>
    </row>
    <row r="11">
      <c r="A11" s="340" t="s">
        <v>4875</v>
      </c>
      <c r="B11" s="323" t="s">
        <v>4876</v>
      </c>
      <c r="C11" s="352" t="s">
        <v>4247</v>
      </c>
      <c r="D11" s="353" t="str">
        <f>IFERROR(__xludf.DUMMYFUNCTION("GOOGLETRANSLATE(B11,""zh-tw"",""ja"")"),"攻撃速度、攻撃回数を+1する")</f>
        <v>攻撃速度、攻撃回数を+1する</v>
      </c>
      <c r="E11" s="339" t="s">
        <v>4250</v>
      </c>
      <c r="F11" s="167" t="s">
        <v>4877</v>
      </c>
      <c r="G11" s="341" t="str">
        <f>IFERROR(__xludf.DUMMYFUNCTION("GOOGLETRANSLATE(A11,""zh-tw"",""zh"")"),"猫爪手套")</f>
        <v>猫爪手套</v>
      </c>
      <c r="H11" s="168" t="str">
        <f>IFERROR(__xludf.DUMMYFUNCTION("GOOGLETRANSLATE(B11,""zh-tw"",""zh"")"),"增加攻击速度、攻击数目+1")</f>
        <v>增加攻击速度、攻击数目+1</v>
      </c>
      <c r="I11" s="341" t="str">
        <f>IFERROR(__xludf.DUMMYFUNCTION("GOOGLETRANSLATE(A11,""zh-tw"",""es-MX"")"),"Guantes de pata de gato")</f>
        <v>Guantes de pata de gato</v>
      </c>
      <c r="J11" s="168" t="str">
        <f>IFERROR(__xludf.DUMMYFUNCTION("GOOGLETRANSLATE(B11,""zh-tw"",""es-MX"")"),"Aumenta la velocidad de ataque y el número de ataques +1")</f>
        <v>Aumenta la velocidad de ataque y el número de ataques +1</v>
      </c>
      <c r="K11" s="339" t="s">
        <v>4252</v>
      </c>
      <c r="L11" s="167" t="s">
        <v>4878</v>
      </c>
      <c r="M11" s="342" t="str">
        <f>IFERROR(__xludf.DUMMYFUNCTION("GOOGLETRANSLATE(A11,""zh-tw"",""ru"")"),"Перчатки «Кошачья лапка»")</f>
        <v>Перчатки «Кошачья лапка»</v>
      </c>
      <c r="N11" s="321" t="str">
        <f>IFERROR(__xludf.DUMMYFUNCTION("GOOGLETRANSLATE(B11,""zh-tw"",""ru"")"),"Увеличивает скорость атаки, количество атак +1")</f>
        <v>Увеличивает скорость атаки, количество атак +1</v>
      </c>
      <c r="O11" s="340" t="s">
        <v>4254</v>
      </c>
      <c r="P11" s="323" t="s">
        <v>4879</v>
      </c>
      <c r="Q11" s="343" t="s">
        <v>4880</v>
      </c>
      <c r="R11" s="344" t="s">
        <v>4881</v>
      </c>
      <c r="S11" s="17"/>
      <c r="T11" s="17"/>
      <c r="U11" s="17"/>
      <c r="V11" s="17"/>
      <c r="W11" s="17"/>
      <c r="X11" s="17"/>
      <c r="Y11" s="17"/>
      <c r="Z11" s="17"/>
    </row>
    <row r="12">
      <c r="A12" s="340" t="s">
        <v>4882</v>
      </c>
      <c r="B12" s="323" t="s">
        <v>4883</v>
      </c>
      <c r="C12" s="352" t="s">
        <v>4884</v>
      </c>
      <c r="D12" s="353" t="str">
        <f>IFERROR(__xludf.DUMMYFUNCTION("GOOGLETRANSLATE(B12,""zh-tw"",""ja"")"),"物理防御：2。スタミナが5％増加し、すべての状態異常耐性が15％増加し、無敵の確率が15％増加します。")</f>
        <v>物理防御：2。スタミナが5％増加し、すべての状態異常耐性が15％増加し、無敵の確率が15％増加します。</v>
      </c>
      <c r="E12" s="339" t="s">
        <v>4885</v>
      </c>
      <c r="F12" s="167" t="s">
        <v>4886</v>
      </c>
      <c r="G12" s="341" t="str">
        <f>IFERROR(__xludf.DUMMYFUNCTION("GOOGLETRANSLATE(A12,""zh-tw"",""zh"")"),"毅力头巾")</f>
        <v>毅力头巾</v>
      </c>
      <c r="H12" s="168" t="str">
        <f>IFERROR(__xludf.DUMMYFUNCTION("GOOGLETRANSLATE(B12,""zh-tw"",""zh"")"),"物防：2
体力上升5%、增加了15%全异常抗性、15%机率免死")</f>
        <v>物防：2
体力上升5%、增加了15%全异常抗性、15%机率免死</v>
      </c>
      <c r="I12" s="341" t="str">
        <f>IFERROR(__xludf.DUMMYFUNCTION("GOOGLETRANSLATE(A12,""zh-tw"",""es-MX"")"),"Diadema de la perseverancia")</f>
        <v>Diadema de la perseverancia</v>
      </c>
      <c r="J12" s="168" t="str">
        <f>IFERROR(__xludf.DUMMYFUNCTION("GOOGLETRANSLATE(B12,""zh-tw"",""es-MX"")"),"Defensa física: 2. Aumenta la resistencia en un 5%, aumenta la resistencia a todos los estados alterados en un 15% y otorga un 15% de probabilidad de invulnerabilidad.")</f>
        <v>Defensa física: 2. Aumenta la resistencia en un 5%, aumenta la resistencia a todos los estados alterados en un 15% y otorga un 15% de probabilidad de invulnerabilidad.</v>
      </c>
      <c r="K12" s="339" t="s">
        <v>4887</v>
      </c>
      <c r="L12" s="167" t="s">
        <v>4888</v>
      </c>
      <c r="M12" s="342" t="str">
        <f>IFERROR(__xludf.DUMMYFUNCTION("GOOGLETRANSLATE(A12,""zh-tw"",""ru"")"),"Повязка на голову Perseverance")</f>
        <v>Повязка на голову Perseverance</v>
      </c>
      <c r="N12" s="321" t="str">
        <f>IFERROR(__xludf.DUMMYFUNCTION("GOOGLETRANSLATE(B12,""zh-tw"",""ru"")"),"Физическая защита: 2. Увеличивает выносливость на 5%, увеличивает сопротивление всем аномальным состояниям на 15% и дает 15% шанс стать неуязвимым.")</f>
        <v>Физическая защита: 2. Увеличивает выносливость на 5%, увеличивает сопротивление всем аномальным состояниям на 15% и дает 15% шанс стать неуязвимым.</v>
      </c>
      <c r="O12" s="340" t="s">
        <v>4889</v>
      </c>
      <c r="P12" s="323" t="s">
        <v>4890</v>
      </c>
      <c r="Q12" s="343" t="s">
        <v>4891</v>
      </c>
      <c r="R12" s="344" t="s">
        <v>4892</v>
      </c>
      <c r="S12" s="17"/>
      <c r="T12" s="17"/>
      <c r="U12" s="17"/>
      <c r="V12" s="17"/>
      <c r="W12" s="17"/>
      <c r="X12" s="17"/>
      <c r="Y12" s="17"/>
      <c r="Z12" s="17"/>
    </row>
    <row r="13">
      <c r="A13" s="340" t="s">
        <v>4893</v>
      </c>
      <c r="B13" s="323" t="s">
        <v>4894</v>
      </c>
      <c r="C13" s="354" t="str">
        <f>IFERROR(__xludf.DUMMYFUNCTION("GOOGLETRANSLATE(A13,""zh-tw"",""ja"")"),"招き猫")</f>
        <v>招き猫</v>
      </c>
      <c r="D13" s="190" t="s">
        <v>4895</v>
      </c>
      <c r="E13" s="339" t="s">
        <v>4896</v>
      </c>
      <c r="F13" s="167" t="s">
        <v>4897</v>
      </c>
      <c r="G13" s="341" t="str">
        <f>IFERROR(__xludf.DUMMYFUNCTION("GOOGLETRANSLATE(A13,""zh-tw"",""zh"")"),"招财猫")</f>
        <v>招财猫</v>
      </c>
      <c r="H13" s="168" t="str">
        <f>IFERROR(__xludf.DUMMYFUNCTION("GOOGLETRANSLATE(B13,""zh-tw"",""zh"")"),"魔抗：10
幸运：50
吸取物品")</f>
        <v>魔抗：10
幸运：50
吸取物品</v>
      </c>
      <c r="I13" s="341" t="str">
        <f>IFERROR(__xludf.DUMMYFUNCTION("GOOGLETRANSLATE(A13,""zh-tw"",""es-MX"")"),"Gato de la suerte")</f>
        <v>Gato de la suerte</v>
      </c>
      <c r="J13" s="168" t="str">
        <f>IFERROR(__xludf.DUMMYFUNCTION("GOOGLETRANSLATE(B13,""zh-tw"",""es-MX"")"),"Resistencia mágica: 10
Suerte: 50
Absorber objetos")</f>
        <v>Resistencia mágica: 10
Suerte: 50
Absorber objetos</v>
      </c>
      <c r="K13" s="339" t="s">
        <v>4898</v>
      </c>
      <c r="L13" s="167" t="s">
        <v>4899</v>
      </c>
      <c r="M13" s="342" t="str">
        <f>IFERROR(__xludf.DUMMYFUNCTION("GOOGLETRANSLATE(A13,""zh-tw"",""ru"")"),"Счастливый кот")</f>
        <v>Счастливый кот</v>
      </c>
      <c r="N13" s="321" t="str">
        <f>IFERROR(__xludf.DUMMYFUNCTION("GOOGLETRANSLATE(B13,""zh-tw"",""ru"")"),"Сопротивление магии: 10
Удача: 50
Поглощение предметов")</f>
        <v>Сопротивление магии: 10
Удача: 50
Поглощение предметов</v>
      </c>
      <c r="O13" s="340" t="s">
        <v>4900</v>
      </c>
      <c r="P13" s="323" t="s">
        <v>4901</v>
      </c>
      <c r="Q13" s="343" t="s">
        <v>4902</v>
      </c>
      <c r="R13" s="344" t="s">
        <v>4903</v>
      </c>
      <c r="S13" s="17"/>
      <c r="T13" s="17"/>
      <c r="U13" s="17"/>
      <c r="V13" s="17"/>
      <c r="W13" s="17"/>
      <c r="X13" s="17"/>
      <c r="Y13" s="17"/>
      <c r="Z13" s="17"/>
    </row>
    <row r="14">
      <c r="A14" s="340" t="s">
        <v>4904</v>
      </c>
      <c r="B14" s="323" t="s">
        <v>4905</v>
      </c>
      <c r="C14" s="354" t="str">
        <f>IFERROR(__xludf.DUMMYFUNCTION("GOOGLETRANSLATE(A14,""zh-tw"",""ja"")"),"怒りの拳")</f>
        <v>怒りの拳</v>
      </c>
      <c r="D14" s="353" t="str">
        <f>IFERROR(__xludf.DUMMYFUNCTION("GOOGLETRANSLATE(B14,""zh-tw"",""ja"")"),"自動旋回攻撃")</f>
        <v>自動旋回攻撃</v>
      </c>
      <c r="E14" s="339" t="s">
        <v>4906</v>
      </c>
      <c r="F14" s="167" t="s">
        <v>4907</v>
      </c>
      <c r="G14" s="341" t="str">
        <f>IFERROR(__xludf.DUMMYFUNCTION("GOOGLETRANSLATE(A14,""zh-tw"",""zh"")"),"愤怒的拳头")</f>
        <v>愤怒的拳头</v>
      </c>
      <c r="H14" s="168" t="str">
        <f>IFERROR(__xludf.DUMMYFUNCTION("GOOGLETRANSLATE(B14,""zh-tw"",""zh"")"),"自动环绕攻击")</f>
        <v>自动环绕攻击</v>
      </c>
      <c r="I14" s="341" t="str">
        <f>IFERROR(__xludf.DUMMYFUNCTION("GOOGLETRANSLATE(A14,""zh-tw"",""es-MX"")"),"Puño furioso")</f>
        <v>Puño furioso</v>
      </c>
      <c r="J14" s="168" t="str">
        <f>IFERROR(__xludf.DUMMYFUNCTION("GOOGLETRANSLATE(B14,""zh-tw"",""es-MX"")"),"ataque automático en círculo")</f>
        <v>ataque automático en círculo</v>
      </c>
      <c r="K14" s="341" t="str">
        <f>IFERROR(__xludf.DUMMYFUNCTION("GOOGLETRANSLATE(A14,""zh-tw"",""KO"")"),"화난 주먹")</f>
        <v>화난 주먹</v>
      </c>
      <c r="L14" s="167" t="s">
        <v>4908</v>
      </c>
      <c r="M14" s="342" t="str">
        <f>IFERROR(__xludf.DUMMYFUNCTION("GOOGLETRANSLATE(A14,""zh-tw"",""ru"")"),"Злой кулак")</f>
        <v>Злой кулак</v>
      </c>
      <c r="N14" s="321" t="str">
        <f>IFERROR(__xludf.DUMMYFUNCTION("GOOGLETRANSLATE(B14,""zh-tw"",""ru"")"),"Автоматическая круговая атака")</f>
        <v>Автоматическая круговая атака</v>
      </c>
      <c r="O14" s="340" t="s">
        <v>4909</v>
      </c>
      <c r="P14" s="323" t="s">
        <v>4910</v>
      </c>
      <c r="Q14" s="343" t="s">
        <v>4911</v>
      </c>
      <c r="R14" s="344" t="s">
        <v>4912</v>
      </c>
      <c r="S14" s="17"/>
      <c r="T14" s="17"/>
      <c r="U14" s="17"/>
      <c r="V14" s="17"/>
      <c r="W14" s="17"/>
      <c r="X14" s="17"/>
      <c r="Y14" s="17"/>
      <c r="Z14" s="17"/>
    </row>
    <row r="15">
      <c r="A15" s="340" t="s">
        <v>4913</v>
      </c>
      <c r="B15" s="323" t="s">
        <v>4914</v>
      </c>
      <c r="C15" s="352" t="s">
        <v>4915</v>
      </c>
      <c r="D15" s="190" t="s">
        <v>4916</v>
      </c>
      <c r="E15" s="339" t="s">
        <v>4917</v>
      </c>
      <c r="F15" s="167" t="s">
        <v>4918</v>
      </c>
      <c r="G15" s="341" t="str">
        <f>IFERROR(__xludf.DUMMYFUNCTION("GOOGLETRANSLATE(A15,""zh-tw"",""zh"")"),"毒蛇之拥")</f>
        <v>毒蛇之拥</v>
      </c>
      <c r="H15" s="168" t="str">
        <f>IFERROR(__xludf.DUMMYFUNCTION("GOOGLETRANSLATE(B15,""zh-tw"",""zh"")"),"物攻：1
魔攻：1
自动环绕攻击")</f>
        <v>物攻：1
魔攻：1
自动环绕攻击</v>
      </c>
      <c r="I15" s="341" t="str">
        <f>IFERROR(__xludf.DUMMYFUNCTION("GOOGLETRANSLATE(A15,""zh-tw"",""es-MX"")"),"El abrazo de la serpiente")</f>
        <v>El abrazo de la serpiente</v>
      </c>
      <c r="J15" s="168" t="str">
        <f>IFERROR(__xludf.DUMMYFUNCTION("GOOGLETRANSLATE(B15,""zh-tw"",""es-MX"")"),"Ataque físico: 1
Ataque mágico: 1
Ataque circular automático")</f>
        <v>Ataque físico: 1
Ataque mágico: 1
Ataque circular automático</v>
      </c>
      <c r="K15" s="339" t="s">
        <v>4919</v>
      </c>
      <c r="L15" s="167" t="s">
        <v>4920</v>
      </c>
      <c r="M15" s="342" t="str">
        <f>IFERROR(__xludf.DUMMYFUNCTION("GOOGLETRANSLATE(A15,""zh-tw"",""ru"")"),"Объятия Змеи")</f>
        <v>Объятия Змеи</v>
      </c>
      <c r="N15" s="321" t="str">
        <f>IFERROR(__xludf.DUMMYFUNCTION("GOOGLETRANSLATE(B15,""zh-tw"",""ru"")"),"Физическая атака: 1
Магическая атака: 1
Атака с автокругом")</f>
        <v>Физическая атака: 1
Магическая атака: 1
Атака с автокругом</v>
      </c>
      <c r="O15" s="340" t="s">
        <v>4921</v>
      </c>
      <c r="P15" s="323" t="s">
        <v>4922</v>
      </c>
      <c r="Q15" s="343" t="s">
        <v>4923</v>
      </c>
      <c r="R15" s="344" t="s">
        <v>4924</v>
      </c>
      <c r="S15" s="17"/>
      <c r="T15" s="17"/>
      <c r="U15" s="17"/>
      <c r="V15" s="17"/>
      <c r="W15" s="17"/>
      <c r="X15" s="17"/>
      <c r="Y15" s="17"/>
      <c r="Z15" s="17"/>
    </row>
    <row r="16">
      <c r="A16" s="340" t="s">
        <v>4053</v>
      </c>
      <c r="B16" s="323" t="s">
        <v>4925</v>
      </c>
      <c r="C16" s="354" t="str">
        <f>IFERROR(__xludf.DUMMYFUNCTION("GOOGLETRANSLATE(A16,""zh-tw"",""ja"")"),"火の鳥の羽")</f>
        <v>火の鳥の羽</v>
      </c>
      <c r="D16" s="353" t="str">
        <f>IFERROR(__xludf.DUMMYFUNCTION("GOOGLETRANSLATE(B16,""zh-tw"",""ja"")"),"一度復活する")</f>
        <v>一度復活する</v>
      </c>
      <c r="E16" s="339" t="s">
        <v>4058</v>
      </c>
      <c r="F16" s="167" t="s">
        <v>4926</v>
      </c>
      <c r="G16" s="341" t="str">
        <f>IFERROR(__xludf.DUMMYFUNCTION("GOOGLETRANSLATE(A16,""zh-tw"",""zh"")"),"火鸟的羽毛")</f>
        <v>火鸟的羽毛</v>
      </c>
      <c r="H16" s="168" t="str">
        <f>IFERROR(__xludf.DUMMYFUNCTION("GOOGLETRANSLATE(B16,""zh-tw"",""zh"")"),"复活一次")</f>
        <v>复活一次</v>
      </c>
      <c r="I16" s="341" t="str">
        <f>IFERROR(__xludf.DUMMYFUNCTION("GOOGLETRANSLATE(A16,""zh-tw"",""es-MX"")"),"Plumas de pájaro de fuego")</f>
        <v>Plumas de pájaro de fuego</v>
      </c>
      <c r="J16" s="168" t="str">
        <f>IFERROR(__xludf.DUMMYFUNCTION("GOOGLETRANSLATE(B16,""zh-tw"",""es-MX"")"),"Resucita una vez")</f>
        <v>Resucita una vez</v>
      </c>
      <c r="K16" s="340" t="s">
        <v>4061</v>
      </c>
      <c r="L16" s="167" t="s">
        <v>4927</v>
      </c>
      <c r="M16" s="342" t="str">
        <f>IFERROR(__xludf.DUMMYFUNCTION("GOOGLETRANSLATE(A16,""zh-tw"",""ru"")"),"Перья жар-птицы")</f>
        <v>Перья жар-птицы</v>
      </c>
      <c r="N16" s="321" t="str">
        <f>IFERROR(__xludf.DUMMYFUNCTION("GOOGLETRANSLATE(B16,""zh-tw"",""ru"")"),"Воскресить однажды")</f>
        <v>Воскресить однажды</v>
      </c>
      <c r="O16" s="340" t="s">
        <v>4064</v>
      </c>
      <c r="P16" s="323" t="s">
        <v>4928</v>
      </c>
      <c r="Q16" s="343" t="s">
        <v>4067</v>
      </c>
      <c r="R16" s="344" t="s">
        <v>4929</v>
      </c>
      <c r="S16" s="17"/>
      <c r="T16" s="17"/>
      <c r="U16" s="17"/>
      <c r="V16" s="17"/>
      <c r="W16" s="17"/>
      <c r="X16" s="17"/>
      <c r="Y16" s="17"/>
      <c r="Z16" s="17"/>
    </row>
    <row r="17">
      <c r="A17" s="340" t="s">
        <v>4930</v>
      </c>
      <c r="B17" s="323" t="s">
        <v>4931</v>
      </c>
      <c r="C17" s="352" t="s">
        <v>4932</v>
      </c>
      <c r="D17" s="353" t="str">
        <f>IFERROR(__xludf.DUMMYFUNCTION("GOOGLETRANSLATE(B17,""zh-tw"",""ja"")"),"物理防御力: 2
魔法耐性: 15
落下ダメージ軽減")</f>
        <v>物理防御力: 2
魔法耐性: 15
落下ダメージ軽減</v>
      </c>
      <c r="E17" s="339" t="s">
        <v>4933</v>
      </c>
      <c r="F17" s="167" t="s">
        <v>4934</v>
      </c>
      <c r="G17" s="341" t="str">
        <f>IFERROR(__xludf.DUMMYFUNCTION("GOOGLETRANSLATE(A17,""zh-tw"",""zh"")"),"倒吊人的骨戒")</f>
        <v>倒吊人的骨戒</v>
      </c>
      <c r="H17" s="168" t="str">
        <f>IFERROR(__xludf.DUMMYFUNCTION("GOOGLETRANSLATE(B17,""zh-tw"",""zh"")"),"物防：2
魔抗：15
掉落伤害减免")</f>
        <v>物防：2
魔抗：15
掉落伤害减免</v>
      </c>
      <c r="I17" s="341" t="str">
        <f>IFERROR(__xludf.DUMMYFUNCTION("GOOGLETRANSLATE(A17,""zh-tw"",""es-MX"")"),"El anillo de hueso del ahorcado")</f>
        <v>El anillo de hueso del ahorcado</v>
      </c>
      <c r="J17" s="168" t="str">
        <f>IFERROR(__xludf.DUMMYFUNCTION("GOOGLETRANSLATE(B17,""zh-tw"",""es-MX"")"),"Defensa física: 2
Resistencia mágica: 15
Reducción de daño por caída de objetos")</f>
        <v>Defensa física: 2
Resistencia mágica: 15
Reducción de daño por caída de objetos</v>
      </c>
      <c r="K17" s="339" t="s">
        <v>4935</v>
      </c>
      <c r="L17" s="167" t="s">
        <v>4936</v>
      </c>
      <c r="M17" s="342" t="str">
        <f>IFERROR(__xludf.DUMMYFUNCTION("GOOGLETRANSLATE(A17,""zh-tw"",""ru"")"),"Кольцо из костей повешенного")</f>
        <v>Кольцо из костей повешенного</v>
      </c>
      <c r="N17" s="321"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40" t="s">
        <v>4937</v>
      </c>
      <c r="P17" s="323" t="s">
        <v>4938</v>
      </c>
      <c r="Q17" s="343" t="s">
        <v>4939</v>
      </c>
      <c r="R17" s="344" t="s">
        <v>4940</v>
      </c>
      <c r="S17" s="17"/>
      <c r="T17" s="17"/>
      <c r="U17" s="17"/>
      <c r="V17" s="17"/>
      <c r="W17" s="17"/>
      <c r="X17" s="17"/>
      <c r="Y17" s="17"/>
      <c r="Z17" s="17"/>
    </row>
    <row r="18">
      <c r="A18" s="339" t="s">
        <v>4941</v>
      </c>
      <c r="B18" s="167" t="s">
        <v>4942</v>
      </c>
      <c r="C18" s="352" t="s">
        <v>4943</v>
      </c>
      <c r="D18" s="353" t="str">
        <f>IFERROR(__xludf.DUMMYFUNCTION("GOOGLETRANSLATE(B18,""zh-tw"",""ja"")"),"物理攻撃：3。武器の耐久度消費を減らし、攻撃速度とパンチダメージを増加させます。")</f>
        <v>物理攻撃：3。武器の耐久度消費を減らし、攻撃速度とパンチダメージを増加させます。</v>
      </c>
      <c r="E18" s="341" t="str">
        <f>IFERROR(__xludf.DUMMYFUNCTION("GOOGLETRANSLATE(A18,""zh-tw"",""en"")"),"Martial Artist's Wristguards")</f>
        <v>Martial Artist's Wristguards</v>
      </c>
      <c r="F18" s="168" t="str">
        <f>IFERROR(__xludf.DUMMYFUNCTION("GOOGLETRANSLATE(B18,""zh-tw"",""en"")"),"Physical Attack: 3. Reduces weapon durability consumption, increases attack speed and punch damage.")</f>
        <v>Physical Attack: 3. Reduces weapon durability consumption, increases attack speed and punch damage.</v>
      </c>
      <c r="G18" s="341" t="str">
        <f>IFERROR(__xludf.DUMMYFUNCTION("GOOGLETRANSLATE(A18,""zh-tw"",""zh"")"),"武术家护腕")</f>
        <v>武术家护腕</v>
      </c>
      <c r="H18" s="168" t="str">
        <f>IFERROR(__xludf.DUMMYFUNCTION("GOOGLETRANSLATE(B18,""zh-tw"",""zh"")"),"物攻：3
减少武器耐久消耗、提升攻速和拳击的伤害")</f>
        <v>物攻：3
减少武器耐久消耗、提升攻速和拳击的伤害</v>
      </c>
      <c r="I18" s="341" t="str">
        <f>IFERROR(__xludf.DUMMYFUNCTION("GOOGLETRANSLATE(A18,""zh-tw"",""es-MX"")"),"Muñequeras para artistas marciales")</f>
        <v>Muñequeras para artistas marciales</v>
      </c>
      <c r="J18" s="168" t="str">
        <f>IFERROR(__xludf.DUMMYFUNCTION("GOOGLETRANSLATE(B18,""zh-tw"",""es-MX"")"),"Ataque físico: 3. Reduce el consumo de durabilidad del arma, aumenta la velocidad de ataque y el daño de los puñetazos.")</f>
        <v>Ataque físico: 3. Reduce el consumo de durabilidad del arma, aumenta la velocidad de ataque y el daño de los puñetazos.</v>
      </c>
      <c r="K18" s="341" t="str">
        <f>IFERROR(__xludf.DUMMYFUNCTION("GOOGLETRANSLATE(A18,""zh-tw"",""KO"")"),"무술가의 손목 보호대")</f>
        <v>무술가의 손목 보호대</v>
      </c>
      <c r="L18" s="168" t="str">
        <f>IFERROR(__xludf.DUMMYFUNCTION("GOOGLETRANSLATE(B18,""zh-tw"",""KO"")"),"물리 공격력: 3. 무기 내구도 소모 감소, 공격 속도 증가, 펀치 데미지 증가.")</f>
        <v>물리 공격력: 3. 무기 내구도 소모 감소, 공격 속도 증가, 펀치 데미지 증가.</v>
      </c>
      <c r="M18" s="342" t="str">
        <f>IFERROR(__xludf.DUMMYFUNCTION("GOOGLETRANSLATE(A18,""zh-tw"",""ru"")"),"Наручи мастера боевых искусств")</f>
        <v>Наручи мастера боевых искусств</v>
      </c>
      <c r="N18" s="321" t="str">
        <f>IFERROR(__xludf.DUMMYFUNCTION("GOOGLETRANSLATE(B18,""zh-tw"",""ru"")"),"Физическая атака: 3. Снижает расход прочности оружия, увеличивает скорость атаки и урон от ударов.")</f>
        <v>Физическая атака: 3. Снижает расход прочности оружия, увеличивает скорость атаки и урон от ударов.</v>
      </c>
      <c r="O18" s="340" t="s">
        <v>4944</v>
      </c>
      <c r="P18" s="323" t="s">
        <v>4945</v>
      </c>
      <c r="Q18" s="343" t="s">
        <v>4946</v>
      </c>
      <c r="R18" s="344" t="s">
        <v>4947</v>
      </c>
      <c r="S18" s="17"/>
      <c r="T18" s="17"/>
      <c r="U18" s="17"/>
      <c r="V18" s="17"/>
      <c r="W18" s="17"/>
      <c r="X18" s="17"/>
      <c r="Y18" s="17"/>
      <c r="Z18" s="17"/>
    </row>
    <row r="19">
      <c r="A19" s="340" t="s">
        <v>4948</v>
      </c>
      <c r="B19" s="323" t="s">
        <v>4949</v>
      </c>
      <c r="C19" s="352" t="s">
        <v>4950</v>
      </c>
      <c r="D19" s="353" t="str">
        <f>IFERROR(__xludf.DUMMYFUNCTION("GOOGLETRANSLATE(B19,""zh-tw"",""ja"")"),"移動速度：5 フラッシュステップ効果強化")</f>
        <v>移動速度：5 フラッシュステップ効果強化</v>
      </c>
      <c r="E19" s="339" t="s">
        <v>4951</v>
      </c>
      <c r="F19" s="167" t="s">
        <v>4952</v>
      </c>
      <c r="G19" s="341" t="str">
        <f>IFERROR(__xludf.DUMMYFUNCTION("GOOGLETRANSLATE(A19,""zh-tw"",""zh"")"),"武术家之鞋")</f>
        <v>武术家之鞋</v>
      </c>
      <c r="H19" s="168" t="str">
        <f>IFERROR(__xludf.DUMMYFUNCTION("GOOGLETRANSLATE(B19,""zh-tw"",""zh"")"),"移速:5
闪步效果强化")</f>
        <v>移速:5
闪步效果强化</v>
      </c>
      <c r="I19" s="341" t="str">
        <f>IFERROR(__xludf.DUMMYFUNCTION("GOOGLETRANSLATE(A19,""zh-tw"",""es-MX"")"),"Zapatos de artista marcial")</f>
        <v>Zapatos de artista marcial</v>
      </c>
      <c r="J19" s="168" t="str">
        <f>IFERROR(__xludf.DUMMYFUNCTION("GOOGLETRANSLATE(B19,""zh-tw"",""es-MX"")"),"Velocidad de movimiento: 5. Efecto de paso relámpago mejorado.")</f>
        <v>Velocidad de movimiento: 5. Efecto de paso relámpago mejorado.</v>
      </c>
      <c r="K19" s="341" t="str">
        <f>IFERROR(__xludf.DUMMYFUNCTION("GOOGLETRANSLATE(A19,""zh-tw"",""KO"")"),"무술가의 신발")</f>
        <v>무술가의 신발</v>
      </c>
      <c r="L19" s="168" t="str">
        <f>IFERROR(__xludf.DUMMYFUNCTION("GOOGLETRANSLATE(B19,""zh-tw"",""KO"")"),"이동 속도: 5 플래시 스텝 효과 강화")</f>
        <v>이동 속도: 5 플래시 스텝 효과 강화</v>
      </c>
      <c r="M19" s="342" t="str">
        <f>IFERROR(__xludf.DUMMYFUNCTION("GOOGLETRANSLATE(A19,""zh-tw"",""ru"")"),"Обувь для мастеров боевых искусств")</f>
        <v>Обувь для мастеров боевых искусств</v>
      </c>
      <c r="N19" s="321" t="str">
        <f>IFERROR(__xludf.DUMMYFUNCTION("GOOGLETRANSLATE(B19,""zh-tw"",""ru"")"),"Скорость передвижения: 5 шагов, улучшен эффект вспышки")</f>
        <v>Скорость передвижения: 5 шагов, улучшен эффект вспышки</v>
      </c>
      <c r="O19" s="340" t="s">
        <v>4953</v>
      </c>
      <c r="P19" s="323" t="s">
        <v>4954</v>
      </c>
      <c r="Q19" s="343" t="s">
        <v>4955</v>
      </c>
      <c r="R19" s="344" t="s">
        <v>4956</v>
      </c>
      <c r="S19" s="17"/>
      <c r="T19" s="17"/>
      <c r="U19" s="17"/>
      <c r="V19" s="17"/>
      <c r="W19" s="17"/>
      <c r="X19" s="17"/>
      <c r="Y19" s="17"/>
      <c r="Z19" s="17"/>
    </row>
    <row r="20">
      <c r="A20" s="340" t="s">
        <v>4957</v>
      </c>
      <c r="B20" s="323" t="s">
        <v>4958</v>
      </c>
      <c r="C20" s="352" t="s">
        <v>4959</v>
      </c>
      <c r="D20" s="353" t="str">
        <f>IFERROR(__xludf.DUMMYFUNCTION("GOOGLETRANSLATE(B20,""zh-tw"",""ja"")"),"物理防御: 1 運: 60")</f>
        <v>物理防御: 1 運: 60</v>
      </c>
      <c r="E20" s="339" t="s">
        <v>4960</v>
      </c>
      <c r="F20" s="167" t="s">
        <v>4961</v>
      </c>
      <c r="G20" s="341" t="str">
        <f>IFERROR(__xludf.DUMMYFUNCTION("GOOGLETRANSLATE(A20,""zh-tw"",""zh"")"),"萌萌兔耳")</f>
        <v>萌萌兔耳</v>
      </c>
      <c r="H20" s="168" t="str">
        <f>IFERROR(__xludf.DUMMYFUNCTION("GOOGLETRANSLATE(B20,""zh-tw"",""zh"")"),"物防：1
幸运：60")</f>
        <v>物防：1
幸运：60</v>
      </c>
      <c r="I20" s="341" t="str">
        <f>IFERROR(__xludf.DUMMYFUNCTION("GOOGLETRANSLATE(A20,""zh-tw"",""es-MX"")"),"Lindas orejas de conejo")</f>
        <v>Lindas orejas de conejo</v>
      </c>
      <c r="J20" s="168" t="str">
        <f>IFERROR(__xludf.DUMMYFUNCTION("GOOGLETRANSLATE(B20,""zh-tw"",""es-MX"")"),"Defensa física: 1 Suerte: 60")</f>
        <v>Defensa física: 1 Suerte: 60</v>
      </c>
      <c r="K20" s="341" t="str">
        <f>IFERROR(__xludf.DUMMYFUNCTION("GOOGLETRANSLATE(A20,""zh-tw"",""KO"")"),"귀여운 토끼 귀")</f>
        <v>귀여운 토끼 귀</v>
      </c>
      <c r="L20" s="168" t="str">
        <f>IFERROR(__xludf.DUMMYFUNCTION("GOOGLETRANSLATE(B20,""zh-tw"",""KO"")"),"물리 방어력: 1 행운: 60")</f>
        <v>물리 방어력: 1 행운: 60</v>
      </c>
      <c r="M20" s="342" t="str">
        <f>IFERROR(__xludf.DUMMYFUNCTION("GOOGLETRANSLATE(A20,""zh-tw"",""ru"")"),"Милые кроличьи ушки")</f>
        <v>Милые кроличьи ушки</v>
      </c>
      <c r="N20" s="321" t="str">
        <f>IFERROR(__xludf.DUMMYFUNCTION("GOOGLETRANSLATE(B20,""zh-tw"",""ru"")"),"Физическая защита: 1 Удача: 60")</f>
        <v>Физическая защита: 1 Удача: 60</v>
      </c>
      <c r="O20" s="340" t="s">
        <v>4962</v>
      </c>
      <c r="P20" s="323" t="s">
        <v>4963</v>
      </c>
      <c r="Q20" s="343" t="s">
        <v>4964</v>
      </c>
      <c r="R20" s="344" t="s">
        <v>4965</v>
      </c>
      <c r="S20" s="17"/>
      <c r="T20" s="17"/>
      <c r="U20" s="17"/>
      <c r="V20" s="17"/>
      <c r="W20" s="17"/>
      <c r="X20" s="17"/>
      <c r="Y20" s="17"/>
      <c r="Z20" s="17"/>
    </row>
    <row r="21">
      <c r="A21" s="340" t="s">
        <v>4966</v>
      </c>
      <c r="B21" s="323" t="s">
        <v>4967</v>
      </c>
      <c r="C21" s="354" t="str">
        <f>IFERROR(__xludf.DUMMYFUNCTION("GOOGLETRANSLATE(A21,""zh-tw"",""ja"")"),"メイド服")</f>
        <v>メイド服</v>
      </c>
      <c r="D21" s="353" t="str">
        <f>IFERROR(__xludf.DUMMYFUNCTION("GOOGLETRANSLATE(B21,""zh-tw"",""ja"")"),"物理防御力: 4
魔法耐性: 4
幸運: 30
攻撃不可、特殊効果あり")</f>
        <v>物理防御力: 4
魔法耐性: 4
幸運: 30
攻撃不可、特殊効果あり</v>
      </c>
      <c r="E21" s="339" t="s">
        <v>4968</v>
      </c>
      <c r="F21" s="167" t="s">
        <v>4969</v>
      </c>
      <c r="G21" s="341" t="str">
        <f>IFERROR(__xludf.DUMMYFUNCTION("GOOGLETRANSLATE(A21,""zh-tw"",""zh"")"),"女仆制服")</f>
        <v>女仆制服</v>
      </c>
      <c r="H21" s="168" t="str">
        <f>IFERROR(__xludf.DUMMYFUNCTION("GOOGLETRANSLATE(B21,""zh-tw"",""zh"")"),"物防：4
魔抗：4
幸运：30
无法攻击、特殊效果")</f>
        <v>物防：4
魔抗：4
幸运：30
无法攻击、特殊效果</v>
      </c>
      <c r="I21" s="341" t="str">
        <f>IFERROR(__xludf.DUMMYFUNCTION("GOOGLETRANSLATE(A21,""zh-tw"",""es-MX"")"),"uniforme de sirvienta")</f>
        <v>uniforme de sirvienta</v>
      </c>
      <c r="J21" s="168" t="str">
        <f>IFERROR(__xludf.DUMMYFUNCTION("GOOGLETRANSLATE(B21,""zh-tw"",""es-MX"")"),"Defensa física: 4
Resistencia mágica: 4
Suerte: 30
No puede atacar ni sufrir efectos especiales.")</f>
        <v>Defensa física: 4
Resistencia mágica: 4
Suerte: 30
No puede atacar ni sufrir efectos especiales.</v>
      </c>
      <c r="K21" s="340" t="s">
        <v>4970</v>
      </c>
      <c r="L21" s="167" t="s">
        <v>4971</v>
      </c>
      <c r="M21" s="342" t="str">
        <f>IFERROR(__xludf.DUMMYFUNCTION("GOOGLETRANSLATE(A21,""zh-tw"",""ru"")"),"Униформа горничной")</f>
        <v>Униформа горничной</v>
      </c>
      <c r="N21" s="321"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40" t="s">
        <v>4972</v>
      </c>
      <c r="P21" s="323" t="s">
        <v>4973</v>
      </c>
      <c r="Q21" s="343" t="s">
        <v>4974</v>
      </c>
      <c r="R21" s="344" t="s">
        <v>4975</v>
      </c>
      <c r="S21" s="17"/>
      <c r="T21" s="17"/>
      <c r="U21" s="17"/>
      <c r="V21" s="17"/>
      <c r="W21" s="17"/>
      <c r="X21" s="17"/>
      <c r="Y21" s="17"/>
      <c r="Z21" s="17"/>
    </row>
    <row r="22">
      <c r="A22" s="340" t="s">
        <v>4976</v>
      </c>
      <c r="B22" s="323" t="s">
        <v>4977</v>
      </c>
      <c r="C22" s="352" t="s">
        <v>4978</v>
      </c>
      <c r="D22" s="353" t="str">
        <f>IFERROR(__xludf.DUMMYFUNCTION("GOOGLETRANSLATE(B22,""zh-tw"",""ja"")"),"魔法攻撃力: 20
魔法防御: 10
高速詠唱と魔法貫通")</f>
        <v>魔法攻撃力: 20
魔法防御: 10
高速詠唱と魔法貫通</v>
      </c>
      <c r="E22" s="339" t="s">
        <v>4979</v>
      </c>
      <c r="F22" s="167" t="s">
        <v>4980</v>
      </c>
      <c r="G22" s="341" t="str">
        <f>IFERROR(__xludf.DUMMYFUNCTION("GOOGLETRANSLATE(A22,""zh-tw"",""zh"")"),"魔力晶簇")</f>
        <v>魔力晶簇</v>
      </c>
      <c r="H22" s="168" t="str">
        <f>IFERROR(__xludf.DUMMYFUNCTION("GOOGLETRANSLATE(B22,""zh-tw"",""zh"")"),"魔攻：20
魔抗：10
加快吟唱、魔法穿透")</f>
        <v>魔攻：20
魔抗：10
加快吟唱、魔法穿透</v>
      </c>
      <c r="I22" s="341" t="str">
        <f>IFERROR(__xludf.DUMMYFUNCTION("GOOGLETRANSLATE(A22,""zh-tw"",""es-MX"")"),"Racimo de cristales mágicos")</f>
        <v>Racimo de cristales mágicos</v>
      </c>
      <c r="J22" s="168" t="str">
        <f>IFERROR(__xludf.DUMMYFUNCTION("GOOGLETRANSLATE(B22,""zh-tw"",""es-MX"")"),"Ataque mágico: 20
Resistencia mágica: 10
Lanzamiento rápido y penetración mágica")</f>
        <v>Ataque mágico: 20
Resistencia mágica: 10
Lanzamiento rápido y penetración mágica</v>
      </c>
      <c r="K22" s="339" t="s">
        <v>4981</v>
      </c>
      <c r="L22" s="167" t="s">
        <v>4982</v>
      </c>
      <c r="M22" s="342" t="str">
        <f>IFERROR(__xludf.DUMMYFUNCTION("GOOGLETRANSLATE(A22,""zh-tw"",""ru"")"),"Магический кристаллический кластер")</f>
        <v>Магический кристаллический кластер</v>
      </c>
      <c r="N22" s="321"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40" t="s">
        <v>4983</v>
      </c>
      <c r="P22" s="323" t="s">
        <v>4984</v>
      </c>
      <c r="Q22" s="343" t="s">
        <v>4985</v>
      </c>
      <c r="R22" s="344" t="s">
        <v>4986</v>
      </c>
      <c r="S22" s="17"/>
      <c r="T22" s="17"/>
      <c r="U22" s="17"/>
      <c r="V22" s="17"/>
      <c r="W22" s="17"/>
      <c r="X22" s="17"/>
      <c r="Y22" s="17"/>
      <c r="Z22" s="17"/>
    </row>
    <row r="23">
      <c r="A23" s="340" t="s">
        <v>4987</v>
      </c>
      <c r="B23" s="323" t="s">
        <v>4988</v>
      </c>
      <c r="C23" s="352" t="s">
        <v>4989</v>
      </c>
      <c r="D23" s="353" t="str">
        <f>IFERROR(__xludf.DUMMYFUNCTION("GOOGLETRANSLATE(B23,""zh-tw"",""ja"")"),"魔法攻撃力: 35
魔法耐性: 20
スピードキャスト、魔法貫通")</f>
        <v>魔法攻撃力: 35
魔法耐性: 20
スピードキャスト、魔法貫通</v>
      </c>
      <c r="E23" s="339" t="s">
        <v>4990</v>
      </c>
      <c r="F23" s="167" t="s">
        <v>4991</v>
      </c>
      <c r="G23" s="341" t="str">
        <f>IFERROR(__xludf.DUMMYFUNCTION("GOOGLETRANSLATE(A23,""zh-tw"",""zh"")"),"深邃魔力晶簇")</f>
        <v>深邃魔力晶簇</v>
      </c>
      <c r="H23" s="168" t="str">
        <f>IFERROR(__xludf.DUMMYFUNCTION("GOOGLETRANSLATE(B23,""zh-tw"",""zh"")"),"魔攻：35
魔抗：20
加快吟唱、魔法穿透")</f>
        <v>魔攻：35
魔抗：20
加快吟唱、魔法穿透</v>
      </c>
      <c r="I23" s="341" t="str">
        <f>IFERROR(__xludf.DUMMYFUNCTION("GOOGLETRANSLATE(A23,""zh-tw"",""es-MX"")"),"Racimo de cristales de magia profunda")</f>
        <v>Racimo de cristales de magia profunda</v>
      </c>
      <c r="J23" s="168" t="str">
        <f>IFERROR(__xludf.DUMMYFUNCTION("GOOGLETRANSLATE(B23,""zh-tw"",""es-MX"")"),"Ataque mágico: 35
Resistencia mágica: 20
Velocidad de lanzamiento, Penetración mágica")</f>
        <v>Ataque mágico: 35
Resistencia mágica: 20
Velocidad de lanzamiento, Penetración mágica</v>
      </c>
      <c r="K23" s="340" t="s">
        <v>4992</v>
      </c>
      <c r="L23" s="167" t="s">
        <v>4993</v>
      </c>
      <c r="M23" s="342" t="str">
        <f>IFERROR(__xludf.DUMMYFUNCTION("GOOGLETRANSLATE(A23,""zh-tw"",""ru"")"),"Кристаллический кластер глубокой магии")</f>
        <v>Кристаллический кластер глубокой магии</v>
      </c>
      <c r="N23" s="321" t="str">
        <f>IFERROR(__xludf.DUMMYFUNCTION("GOOGLETRANSLATE(B23,""zh-tw"",""ru"")"),"Магическая атака: 35
Сопротивление магии: 20
Скорость применения заклинаний, Магическое проникновение")</f>
        <v>Магическая атака: 35
Сопротивление магии: 20
Скорость применения заклинаний, Магическое проникновение</v>
      </c>
      <c r="O23" s="340" t="s">
        <v>4994</v>
      </c>
      <c r="P23" s="323" t="s">
        <v>4995</v>
      </c>
      <c r="Q23" s="343" t="s">
        <v>4996</v>
      </c>
      <c r="R23" s="344" t="s">
        <v>4997</v>
      </c>
      <c r="S23" s="17"/>
      <c r="T23" s="17"/>
      <c r="U23" s="17"/>
      <c r="V23" s="17"/>
      <c r="W23" s="17"/>
      <c r="X23" s="17"/>
      <c r="Y23" s="17"/>
      <c r="Z23" s="17"/>
    </row>
    <row r="24">
      <c r="A24" s="340" t="s">
        <v>4998</v>
      </c>
      <c r="B24" s="323" t="s">
        <v>4999</v>
      </c>
      <c r="C24" s="352" t="s">
        <v>5000</v>
      </c>
      <c r="D24" s="353" t="str">
        <f>IFERROR(__xludf.DUMMYFUNCTION("GOOGLETRANSLATE(B24,""zh-tw"",""ja"")"),"スタミナが増加（基本25、追加ボーナス2%）。スタミナ回復効果が20%増加。")</f>
        <v>スタミナが増加（基本25、追加ボーナス2%）。スタミナ回復効果が20%増加。</v>
      </c>
      <c r="E24" s="339" t="s">
        <v>5001</v>
      </c>
      <c r="F24" s="168" t="str">
        <f>IFERROR(__xludf.DUMMYFUNCTION("GOOGLETRANSLATE(B24,""zh-tw"",""en"")"),"Stamina increased, base 25, additional 2% bonus. Stamina recovery effect increased by 20%.")</f>
        <v>Stamina increased, base 25, additional 2% bonus. Stamina recovery effect increased by 20%.</v>
      </c>
      <c r="G24" s="341" t="str">
        <f>IFERROR(__xludf.DUMMYFUNCTION("GOOGLETRANSLATE(A24,""zh-tw"",""zh"")"),"受诅胎体")</f>
        <v>受诅胎体</v>
      </c>
      <c r="H24" s="168" t="str">
        <f>IFERROR(__xludf.DUMMYFUNCTION("GOOGLETRANSLATE(B24,""zh-tw"",""zh"")"),"体力上升，基础25，额外加成2%
体力恢复效果提升20%")</f>
        <v>体力上升，基础25，额外加成2%
体力恢复效果提升20%</v>
      </c>
      <c r="I24" s="341" t="str">
        <f>IFERROR(__xludf.DUMMYFUNCTION("GOOGLETRANSLATE(A24,""zh-tw"",""es-MX"")"),"feto maldito")</f>
        <v>feto maldito</v>
      </c>
      <c r="J24" s="168" t="str">
        <f>IFERROR(__xludf.DUMMYFUNCTION("GOOGLETRANSLATE(B24,""zh-tw"",""es-MX"")"),"Resistencia aumentada, base 25, bonificación adicional del 2%. Efecto de recuperación de resistencia aumentado en un 20%.")</f>
        <v>Resistencia aumentada, base 25, bonificación adicional del 2%. Efecto de recuperación de resistencia aumentado en un 20%.</v>
      </c>
      <c r="K24" s="341" t="str">
        <f>IFERROR(__xludf.DUMMYFUNCTION("GOOGLETRANSLATE(A24,""zh-tw"",""KO"")"),"저주받은 태아")</f>
        <v>저주받은 태아</v>
      </c>
      <c r="L24" s="167" t="s">
        <v>5002</v>
      </c>
      <c r="M24" s="342" t="str">
        <f>IFERROR(__xludf.DUMMYFUNCTION("GOOGLETRANSLATE(A24,""zh-tw"",""ru"")"),"Проклятый плод")</f>
        <v>Проклятый плод</v>
      </c>
      <c r="N24" s="321" t="str">
        <f>IFERROR(__xludf.DUMMYFUNCTION("GOOGLETRANSLATE(B24,""zh-tw"",""ru"")"),"Выносливость увеличена, базовая 25, дополнительный бонус 2%. Эффект восстановления выносливости увеличен на 20%.")</f>
        <v>Выносливость увеличена, базовая 25, дополнительный бонус 2%. Эффект восстановления выносливости увеличен на 20%.</v>
      </c>
      <c r="O24" s="340" t="s">
        <v>5003</v>
      </c>
      <c r="P24" s="323" t="s">
        <v>5004</v>
      </c>
      <c r="Q24" s="343" t="s">
        <v>5005</v>
      </c>
      <c r="R24" s="344" t="s">
        <v>5006</v>
      </c>
      <c r="S24" s="17"/>
      <c r="T24" s="17"/>
      <c r="U24" s="17"/>
      <c r="V24" s="17"/>
      <c r="W24" s="17"/>
      <c r="X24" s="17"/>
      <c r="Y24" s="17"/>
      <c r="Z24" s="17"/>
    </row>
    <row r="25">
      <c r="A25" s="340" t="s">
        <v>5007</v>
      </c>
      <c r="B25" s="323" t="s">
        <v>5008</v>
      </c>
      <c r="C25" s="352" t="s">
        <v>5009</v>
      </c>
      <c r="D25" s="353" t="str">
        <f>IFERROR(__xludf.DUMMYFUNCTION("GOOGLETRANSLATE(B25,""zh-tw"",""ja"")"),"スタミナが増加。基本値は30、追加で10%のボーナス。スタミナ自動回復効果を獲得し、スタミナ回復速度が25%増加。")</f>
        <v>スタミナが増加。基本値は30、追加で10%のボーナス。スタミナ自動回復効果を獲得し、スタミナ回復速度が25%増加。</v>
      </c>
      <c r="E25" s="339" t="s">
        <v>5010</v>
      </c>
      <c r="F25" s="168" t="str">
        <f>IFERROR(__xludf.DUMMYFUNCTION("GOOGLETRANSLATE(B25,""zh-tw"",""en"")"),"Stamina increased, base 30, additional 10% bonus. Gains automatic stamina recovery effect, stamina recovery rate increased by 25%.")</f>
        <v>Stamina increased, base 30, additional 10% bonus. Gains automatic stamina recovery effect, stamina recovery rate increased by 25%.</v>
      </c>
      <c r="G25" s="341" t="str">
        <f>IFERROR(__xludf.DUMMYFUNCTION("GOOGLETRANSLATE(A25,""zh-tw"",""zh"")"),"不幸的诞生")</f>
        <v>不幸的诞生</v>
      </c>
      <c r="H25" s="168" t="str">
        <f>IFERROR(__xludf.DUMMYFUNCTION("GOOGLETRANSLATE(B25,""zh-tw"",""zh"")"),"体力上升，基础30，额外加成10%
获得自动回复效果，体力恢复效果提升25%")</f>
        <v>体力上升，基础30，额外加成10%
获得自动回复效果，体力恢复效果提升25%</v>
      </c>
      <c r="I25" s="341" t="str">
        <f>IFERROR(__xludf.DUMMYFUNCTION("GOOGLETRANSLATE(A25,""zh-tw"",""es-MX"")"),"Un nacimiento desafortunado")</f>
        <v>Un nacimiento desafortunado</v>
      </c>
      <c r="J25" s="168" t="str">
        <f>IFERROR(__xludf.DUMMYFUNCTION("GOOGLETRANSLATE(B25,""zh-tw"",""es-MX"")"),"Resistencia aumentada, base 30, bonificación adicional del 10%. Obtiene el efecto de recuperación automática de resistencia, la tasa de recuperación de resistencia aumenta un 25%.")</f>
        <v>Resistencia aumentada, base 30, bonificación adicional del 10%. Obtiene el efecto de recuperación automática de resistencia, la tasa de recuperación de resistencia aumenta un 25%.</v>
      </c>
      <c r="K25" s="341" t="str">
        <f>IFERROR(__xludf.DUMMYFUNCTION("GOOGLETRANSLATE(A25,""zh-tw"",""KO"")"),"불행한 탄생")</f>
        <v>불행한 탄생</v>
      </c>
      <c r="L25" s="167" t="s">
        <v>5011</v>
      </c>
      <c r="M25" s="342" t="str">
        <f>IFERROR(__xludf.DUMMYFUNCTION("GOOGLETRANSLATE(A25,""zh-tw"",""ru"")"),"Неудачное рождение")</f>
        <v>Неудачное рождение</v>
      </c>
      <c r="N25" s="321" t="str">
        <f>IFERROR(__xludf.DUMMYFUNCTION("GOOGLETRANSLATE(B25,""zh-tw"",""ru"")"),"Выносливость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f>
        <v>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v>
      </c>
      <c r="O25" s="340" t="s">
        <v>5012</v>
      </c>
      <c r="P25" s="323" t="s">
        <v>5013</v>
      </c>
      <c r="Q25" s="343" t="s">
        <v>5014</v>
      </c>
      <c r="R25" s="344" t="s">
        <v>5015</v>
      </c>
      <c r="S25" s="17"/>
      <c r="T25" s="17"/>
      <c r="U25" s="17"/>
      <c r="V25" s="17"/>
      <c r="W25" s="17"/>
      <c r="X25" s="17"/>
      <c r="Y25" s="17"/>
      <c r="Z25" s="17"/>
    </row>
    <row r="26">
      <c r="A26" s="339" t="s">
        <v>5016</v>
      </c>
      <c r="B26" s="167" t="s">
        <v>5017</v>
      </c>
      <c r="C26" s="352" t="s">
        <v>5018</v>
      </c>
      <c r="D26" s="190" t="s">
        <v>5019</v>
      </c>
      <c r="E26" s="339" t="s">
        <v>5020</v>
      </c>
      <c r="F26" s="167" t="s">
        <v>5021</v>
      </c>
      <c r="G26" s="341" t="str">
        <f>IFERROR(__xludf.DUMMYFUNCTION("GOOGLETRANSLATE(A26,""zh-tw"",""zh"")"),"调皮的杰克")</f>
        <v>调皮的杰克</v>
      </c>
      <c r="H26" s="168" t="str">
        <f>IFERROR(__xludf.DUMMYFUNCTION("GOOGLETRANSLATE(B26,""zh-tw"",""zh"")"),"魔攻：8
魔防：8
增强残血伤害")</f>
        <v>魔攻：8
魔防：8
增强残血伤害</v>
      </c>
      <c r="I26" s="341" t="str">
        <f>IFERROR(__xludf.DUMMYFUNCTION("GOOGLETRANSLATE(A26,""zh-tw"",""es-MX"")"),"Jack el travieso")</f>
        <v>Jack el travieso</v>
      </c>
      <c r="J26" s="168" t="str">
        <f>IFERROR(__xludf.DUMMYFUNCTION("GOOGLETRANSLATE(B26,""zh-tw"",""es-MX"")"),"Ataque mágico: 8
Defensa mágica: 8
Aumenta el daño infligido a enemigos con poca salud.")</f>
        <v>Ataque mágico: 8
Defensa mágica: 8
Aumenta el daño infligido a enemigos con poca salud.</v>
      </c>
      <c r="K26" s="341" t="str">
        <f>IFERROR(__xludf.DUMMYFUNCTION("GOOGLETRANSLATE(A26,""zh-tw"",""KO"")"),"장난꾸러기 잭")</f>
        <v>장난꾸러기 잭</v>
      </c>
      <c r="L26" s="167" t="s">
        <v>5022</v>
      </c>
      <c r="M26" s="342" t="str">
        <f>IFERROR(__xludf.DUMMYFUNCTION("GOOGLETRANSLATE(A26,""zh-tw"",""ru"")"),"Непослушный Джек")</f>
        <v>Непослушный Джек</v>
      </c>
      <c r="N26" s="321" t="str">
        <f>IFERROR(__xludf.DUMMYFUNCTION("GOOGLETRANSLATE(B26,""zh-tw"",""ru"")"),"Магическая атака: 8
Магическая защита: 8
Увеличивает урон, наносимый врагам с низким уровнем здоровья.")</f>
        <v>Магическая атака: 8
Магическая защита: 8
Увеличивает урон, наносимый врагам с низким уровнем здоровья.</v>
      </c>
      <c r="O26" s="340" t="s">
        <v>5023</v>
      </c>
      <c r="P26" s="323" t="s">
        <v>5024</v>
      </c>
      <c r="Q26" s="343" t="s">
        <v>5025</v>
      </c>
      <c r="R26" s="170" t="s">
        <v>5026</v>
      </c>
      <c r="S26" s="17"/>
      <c r="T26" s="17"/>
      <c r="U26" s="17"/>
      <c r="V26" s="17"/>
      <c r="W26" s="17"/>
      <c r="X26" s="17"/>
      <c r="Y26" s="17"/>
      <c r="Z26" s="17"/>
    </row>
    <row r="27">
      <c r="A27" s="339" t="s">
        <v>5027</v>
      </c>
      <c r="B27" s="167" t="s">
        <v>5028</v>
      </c>
      <c r="C27" s="352" t="s">
        <v>5029</v>
      </c>
      <c r="D27" s="353" t="str">
        <f>IFERROR(__xludf.DUMMYFUNCTION("GOOGLETRANSLATE(B27,""zh-tw"",""ja"")"),"幸運: 100 - ドロップで拾えるお金の量が2倍になります。
(貯金箱との併用はできません)")</f>
        <v>幸運: 100 - ドロップで拾えるお金の量が2倍になります。
(貯金箱との併用はできません)</v>
      </c>
      <c r="E27" s="339" t="s">
        <v>5030</v>
      </c>
      <c r="F27" s="167" t="s">
        <v>5031</v>
      </c>
      <c r="G27" s="341" t="str">
        <f>IFERROR(__xludf.DUMMYFUNCTION("GOOGLETRANSLATE(A27,""zh-tw"",""zh"")"),"未满的黄金圣杯")</f>
        <v>未满的黄金圣杯</v>
      </c>
      <c r="H27" s="168" t="str">
        <f>IFERROR(__xludf.DUMMYFUNCTION("GOOGLETRANSLATE(B27,""zh-tw"",""zh"")"),"幸运:100
掉落拾取的金钱数量翻倍
(不可以和存钱罐连动)")</f>
        <v>幸运:100
掉落拾取的金钱数量翻倍
(不可以和存钱罐连动)</v>
      </c>
      <c r="I27" s="339" t="s">
        <v>5032</v>
      </c>
      <c r="J27" s="168" t="str">
        <f>IFERROR(__xludf.DUMMYFUNCTION("GOOGLETRANSLATE(B27,""zh-tw"",""es-MX"")"),"Suerte: 100 - Duplica la cantidad de dinero que recoges al soltar objetos.
(No se puede combinar con una hucha).")</f>
        <v>Suerte: 100 - Duplica la cantidad de dinero que recoges al soltar objetos.
(No se puede combinar con una hucha).</v>
      </c>
      <c r="K27" s="339" t="s">
        <v>5033</v>
      </c>
      <c r="L27" s="167" t="s">
        <v>5034</v>
      </c>
      <c r="M27" s="342" t="str">
        <f>IFERROR(__xludf.DUMMYFUNCTION("GOOGLETRANSLATE(A27,""zh-tw"",""ru"")"),"Незавершённый Святой Грааль")</f>
        <v>Незавершённый Святой Грааль</v>
      </c>
      <c r="N27" s="321" t="str">
        <f>IFERROR(__xludf.DUMMYFUNCTION("GOOGLETRANSLATE(B27,""zh-tw"",""ru"")"),"Удача: 100 — Удваивает количество денег, которые вы получаете из предметов.
(Нельзя совмещать с копилкой)")</f>
        <v>Удача: 100 — Удваивает количество денег, которые вы получаете из предметов.
(Нельзя совмещать с копилкой)</v>
      </c>
      <c r="O27" s="340" t="s">
        <v>5035</v>
      </c>
      <c r="P27" s="323" t="s">
        <v>5036</v>
      </c>
      <c r="Q27" s="343" t="s">
        <v>5037</v>
      </c>
      <c r="R27" s="344" t="s">
        <v>5038</v>
      </c>
      <c r="S27" s="17"/>
      <c r="T27" s="17"/>
      <c r="U27" s="17"/>
      <c r="V27" s="17"/>
      <c r="W27" s="17"/>
      <c r="X27" s="17"/>
      <c r="Y27" s="17"/>
      <c r="Z27" s="17"/>
    </row>
    <row r="28">
      <c r="A28" s="339" t="s">
        <v>5039</v>
      </c>
      <c r="B28" s="167" t="s">
        <v>5040</v>
      </c>
      <c r="C28" s="352" t="s">
        <v>5041</v>
      </c>
      <c r="D28" s="353" t="str">
        <f>IFERROR(__xludf.DUMMYFUNCTION("GOOGLETRANSLATE(B28,""zh-tw"",""ja"")"),"追加爆発効果、爆発軽減")</f>
        <v>追加爆発効果、爆発軽減</v>
      </c>
      <c r="E28" s="339" t="s">
        <v>5042</v>
      </c>
      <c r="F28" s="167" t="s">
        <v>5043</v>
      </c>
      <c r="G28" s="341" t="str">
        <f>IFERROR(__xludf.DUMMYFUNCTION("GOOGLETRANSLATE(A28,""zh-tw"",""zh"")"),"炸弹魔之魂")</f>
        <v>炸弹魔之魂</v>
      </c>
      <c r="H28" s="168" t="str">
        <f>IFERROR(__xludf.DUMMYFUNCTION("GOOGLETRANSLATE(B28,""zh-tw"",""zh"")"),"附带爆炸效果、爆炸减免")</f>
        <v>附带爆炸效果、爆炸减免</v>
      </c>
      <c r="I28" s="341" t="str">
        <f>IFERROR(__xludf.DUMMYFUNCTION("GOOGLETRANSLATE(A28,""zh-tw"",""es-MX"")"),"Alma del bombardero")</f>
        <v>Alma del bombardero</v>
      </c>
      <c r="J28" s="168" t="str">
        <f>IFERROR(__xludf.DUMMYFUNCTION("GOOGLETRANSLATE(B28,""zh-tw"",""es-MX"")"),"Efecto de explosión adicional, reducción de explosión")</f>
        <v>Efecto de explosión adicional, reducción de explosión</v>
      </c>
      <c r="K28" s="340" t="s">
        <v>5044</v>
      </c>
      <c r="L28" s="167" t="s">
        <v>5045</v>
      </c>
      <c r="M28" s="342" t="str">
        <f>IFERROR(__xludf.DUMMYFUNCTION("GOOGLETRANSLATE(A28,""zh-tw"",""ru"")"),"Душа бомбардировщика")</f>
        <v>Душа бомбардировщика</v>
      </c>
      <c r="N28" s="321" t="str">
        <f>IFERROR(__xludf.DUMMYFUNCTION("GOOGLETRANSLATE(B28,""zh-tw"",""ru"")"),"Дополнительный эффект взрыва, снижение взрыва")</f>
        <v>Дополнительный эффект взрыва, снижение взрыва</v>
      </c>
      <c r="O28" s="340" t="s">
        <v>5046</v>
      </c>
      <c r="P28" s="323" t="s">
        <v>5047</v>
      </c>
      <c r="Q28" s="343" t="s">
        <v>5048</v>
      </c>
      <c r="R28" s="344" t="s">
        <v>5049</v>
      </c>
      <c r="S28" s="17"/>
      <c r="T28" s="17"/>
      <c r="U28" s="17"/>
      <c r="V28" s="17"/>
      <c r="W28" s="17"/>
      <c r="X28" s="17"/>
      <c r="Y28" s="17"/>
      <c r="Z28" s="17"/>
    </row>
    <row r="29">
      <c r="A29" s="339" t="s">
        <v>5050</v>
      </c>
      <c r="B29" s="167" t="s">
        <v>5051</v>
      </c>
      <c r="C29" s="352" t="s">
        <v>5052</v>
      </c>
      <c r="D29" s="353" t="str">
        <f>IFERROR(__xludf.DUMMYFUNCTION("GOOGLETRANSLATE(B29,""zh-tw"",""ja"")"),"物理攻撃力：4
爆弾効果を増加")</f>
        <v>物理攻撃力：4
爆弾効果を増加</v>
      </c>
      <c r="E29" s="339" t="s">
        <v>5053</v>
      </c>
      <c r="F29" s="167" t="s">
        <v>5054</v>
      </c>
      <c r="G29" s="341" t="str">
        <f>IFERROR(__xludf.DUMMYFUNCTION("GOOGLETRANSLATE(A29,""zh-tw"",""zh"")"),"纵火狂的防烫手套")</f>
        <v>纵火狂的防烫手套</v>
      </c>
      <c r="H29" s="168" t="str">
        <f>IFERROR(__xludf.DUMMYFUNCTION("GOOGLETRANSLATE(B29,""zh-tw"",""zh"")"),"物攻:4
增强炸弹效果")</f>
        <v>物攻:4
增强炸弹效果</v>
      </c>
      <c r="I29" s="341" t="str">
        <f>IFERROR(__xludf.DUMMYFUNCTION("GOOGLETRANSLATE(A29,""zh-tw"",""es-MX"")"),"Los guantes resistentes al calor del pirómano")</f>
        <v>Los guantes resistentes al calor del pirómano</v>
      </c>
      <c r="J29" s="168" t="str">
        <f>IFERROR(__xludf.DUMMYFUNCTION("GOOGLETRANSLATE(B29,""zh-tw"",""es-MX"")"),"Ataque físico: 4. Aumenta el efecto de la bomba.")</f>
        <v>Ataque físico: 4. Aumenta el efecto de la bomba.</v>
      </c>
      <c r="K29" s="339" t="s">
        <v>5055</v>
      </c>
      <c r="L29" s="167" t="s">
        <v>5056</v>
      </c>
      <c r="M29" s="342" t="str">
        <f>IFERROR(__xludf.DUMMYFUNCTION("GOOGLETRANSLATE(A29,""zh-tw"",""ru"")"),"Термостойкие перчатки поджигателя")</f>
        <v>Термостойкие перчатки поджигателя</v>
      </c>
      <c r="N29" s="321" t="str">
        <f>IFERROR(__xludf.DUMMYFUNCTION("GOOGLETRANSLATE(B29,""zh-tw"",""ru"")"),"Физическая атака: 4
Увеличивает эффект бомбы")</f>
        <v>Физическая атака: 4
Увеличивает эффект бомбы</v>
      </c>
      <c r="O29" s="340" t="s">
        <v>5057</v>
      </c>
      <c r="P29" s="323" t="s">
        <v>5058</v>
      </c>
      <c r="Q29" s="343" t="s">
        <v>5059</v>
      </c>
      <c r="R29" s="344" t="s">
        <v>5060</v>
      </c>
      <c r="S29" s="17"/>
      <c r="T29" s="17"/>
      <c r="U29" s="17"/>
      <c r="V29" s="17"/>
      <c r="W29" s="17"/>
      <c r="X29" s="17"/>
      <c r="Y29" s="17"/>
      <c r="Z29" s="17"/>
    </row>
    <row r="30">
      <c r="A30" s="340" t="s">
        <v>5061</v>
      </c>
      <c r="B30" s="323" t="s">
        <v>5062</v>
      </c>
      <c r="C30" s="352" t="s">
        <v>5063</v>
      </c>
      <c r="D30" s="353"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39" t="s">
        <v>5064</v>
      </c>
      <c r="F30" s="167" t="s">
        <v>5065</v>
      </c>
      <c r="G30" s="341" t="str">
        <f>IFERROR(__xludf.DUMMYFUNCTION("GOOGLETRANSLATE(A30,""zh-tw"",""zh"")"),"魔力汲取手套")</f>
        <v>魔力汲取手套</v>
      </c>
      <c r="H30" s="168" t="str">
        <f>IFERROR(__xludf.DUMMYFUNCTION("GOOGLETRANSLATE(B30,""zh-tw"",""zh"")"),"魔攻：10
物防：1
魔抗：20
武器附带魔法伤害")</f>
        <v>魔攻：10
物防：1
魔抗：20
武器附带魔法伤害</v>
      </c>
      <c r="I30" s="341" t="str">
        <f>IFERROR(__xludf.DUMMYFUNCTION("GOOGLETRANSLATE(A30,""zh-tw"",""es-MX"")"),"Guantes de absorción mágica")</f>
        <v>Guantes de absorción mágica</v>
      </c>
      <c r="J30" s="168" t="str">
        <f>IFERROR(__xludf.DUMMYFUNCTION("GOOGLETRANSLATE(B30,""zh-tw"",""es-MX"")"),"Ataque mágico: 10
Defensa física: 1
Resistencia mágica: 20
El arma inflige daño mágico.")</f>
        <v>Ataque mágico: 10
Defensa física: 1
Resistencia mágica: 20
El arma inflige daño mágico.</v>
      </c>
      <c r="K30" s="340" t="s">
        <v>5066</v>
      </c>
      <c r="L30" s="167" t="s">
        <v>5067</v>
      </c>
      <c r="M30" s="342" t="str">
        <f>IFERROR(__xludf.DUMMYFUNCTION("GOOGLETRANSLATE(A30,""zh-tw"",""ru"")"),"Перчатки магического поглощения")</f>
        <v>Перчатки магического поглощения</v>
      </c>
      <c r="N30" s="321"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40" t="s">
        <v>5068</v>
      </c>
      <c r="P30" s="323" t="s">
        <v>5069</v>
      </c>
      <c r="Q30" s="343" t="s">
        <v>5070</v>
      </c>
      <c r="R30" s="344" t="s">
        <v>5071</v>
      </c>
      <c r="S30" s="17"/>
      <c r="T30" s="17"/>
      <c r="U30" s="17"/>
      <c r="V30" s="17"/>
      <c r="W30" s="17"/>
      <c r="X30" s="17"/>
      <c r="Y30" s="17"/>
      <c r="Z30" s="17"/>
    </row>
    <row r="31">
      <c r="A31" s="340" t="s">
        <v>5072</v>
      </c>
      <c r="B31" s="323" t="s">
        <v>5073</v>
      </c>
      <c r="C31" s="352" t="s">
        <v>5074</v>
      </c>
      <c r="D31" s="353" t="str">
        <f>IFERROR(__xludf.DUMMYFUNCTION("GOOGLETRANSLATE(B31,""zh-tw"",""ja"")"),"攻撃力: 2
防御力: 6
ダメージを与えるアーマー")</f>
        <v>攻撃力: 2
防御力: 6
ダメージを与えるアーマー</v>
      </c>
      <c r="E31" s="339" t="s">
        <v>5075</v>
      </c>
      <c r="F31" s="167" t="s">
        <v>5076</v>
      </c>
      <c r="G31" s="341" t="str">
        <f>IFERROR(__xludf.DUMMYFUNCTION("GOOGLETRANSLATE(A31,""zh-tw"",""zh"")"),"穿刺钉甲")</f>
        <v>穿刺钉甲</v>
      </c>
      <c r="H31" s="168" t="str">
        <f>IFERROR(__xludf.DUMMYFUNCTION("GOOGLETRANSLATE(B31,""zh-tw"",""zh"")"),"物攻：2
物防：6
伤害型防具")</f>
        <v>物攻：2
物防：6
伤害型防具</v>
      </c>
      <c r="I31" s="341" t="str">
        <f>IFERROR(__xludf.DUMMYFUNCTION("GOOGLETRANSLATE(A31,""zh-tw"",""es-MX"")"),"armadura de clavo perforante")</f>
        <v>armadura de clavo perforante</v>
      </c>
      <c r="J31" s="168" t="str">
        <f>IFERROR(__xludf.DUMMYFUNCTION("GOOGLETRANSLATE(B31,""zh-tw"",""es-MX"")"),"Ataque: 2
Defensa: 6
Armadura que inflige daño")</f>
        <v>Ataque: 2
Defensa: 6
Armadura que inflige daño</v>
      </c>
      <c r="K31" s="339" t="s">
        <v>5077</v>
      </c>
      <c r="L31" s="167" t="s">
        <v>5078</v>
      </c>
      <c r="M31" s="342" t="str">
        <f>IFERROR(__xludf.DUMMYFUNCTION("GOOGLETRANSLATE(A31,""zh-tw"",""ru"")"),"Броня с пронзительными гвоздями")</f>
        <v>Броня с пронзительными гвоздями</v>
      </c>
      <c r="N31" s="321" t="str">
        <f>IFERROR(__xludf.DUMMYFUNCTION("GOOGLETRANSLATE(B31,""zh-tw"",""ru"")"),"Атака: 2
Защита: 6
Броня, наносящая урон")</f>
        <v>Атака: 2
Защита: 6
Броня, наносящая урон</v>
      </c>
      <c r="O31" s="340" t="s">
        <v>5079</v>
      </c>
      <c r="P31" s="323" t="s">
        <v>5080</v>
      </c>
      <c r="Q31" s="343" t="s">
        <v>5081</v>
      </c>
      <c r="R31" s="344" t="s">
        <v>5082</v>
      </c>
      <c r="S31" s="17"/>
      <c r="T31" s="17"/>
      <c r="U31" s="17"/>
      <c r="V31" s="17"/>
      <c r="W31" s="17"/>
      <c r="X31" s="17"/>
      <c r="Y31" s="17"/>
      <c r="Z31" s="17"/>
    </row>
    <row r="32">
      <c r="A32" s="340" t="s">
        <v>5083</v>
      </c>
      <c r="B32" s="323" t="s">
        <v>5084</v>
      </c>
      <c r="C32" s="352" t="s">
        <v>5085</v>
      </c>
      <c r="D32" s="353" t="str">
        <f>IFERROR(__xludf.DUMMYFUNCTION("GOOGLETRANSLATE(B32,""zh-tw"",""ja"")"),"物理攻撃力：4
物理防御力：2
ダメージを与えるアーマー")</f>
        <v>物理攻撃力：4
物理防御力：2
ダメージを与えるアーマー</v>
      </c>
      <c r="E32" s="339" t="s">
        <v>5086</v>
      </c>
      <c r="F32" s="167" t="s">
        <v>5087</v>
      </c>
      <c r="G32" s="341" t="str">
        <f>IFERROR(__xludf.DUMMYFUNCTION("GOOGLETRANSLATE(A32,""zh-tw"",""zh"")"),"穿刺钉盔")</f>
        <v>穿刺钉盔</v>
      </c>
      <c r="H32" s="168" t="str">
        <f>IFERROR(__xludf.DUMMYFUNCTION("GOOGLETRANSLATE(B32,""zh-tw"",""zh"")"),"物攻：4
物防：2
伤害型防具")</f>
        <v>物攻：4
物防：2
伤害型防具</v>
      </c>
      <c r="I32" s="341" t="str">
        <f>IFERROR(__xludf.DUMMYFUNCTION("GOOGLETRANSLATE(A32,""zh-tw"",""es-MX"")"),"Casco perforador")</f>
        <v>Casco perforador</v>
      </c>
      <c r="J32" s="168" t="str">
        <f>IFERROR(__xludf.DUMMYFUNCTION("GOOGLETRANSLATE(B32,""zh-tw"",""es-MX"")"),"Ataque físico: 4
Defensa física: 2
Armadura que inflige daño")</f>
        <v>Ataque físico: 4
Defensa física: 2
Armadura que inflige daño</v>
      </c>
      <c r="K32" s="339" t="s">
        <v>5088</v>
      </c>
      <c r="L32" s="167" t="s">
        <v>5089</v>
      </c>
      <c r="M32" s="342" t="str">
        <f>IFERROR(__xludf.DUMMYFUNCTION("GOOGLETRANSLATE(A32,""zh-tw"",""ru"")"),"Пирсинг шлема")</f>
        <v>Пирсинг шлема</v>
      </c>
      <c r="N32" s="321" t="str">
        <f>IFERROR(__xludf.DUMMYFUNCTION("GOOGLETRANSLATE(B32,""zh-tw"",""ru"")"),"Физическая атака: 4
Физическая защита: 2
Броня, наносящая урон")</f>
        <v>Физическая атака: 4
Физическая защита: 2
Броня, наносящая урон</v>
      </c>
      <c r="O32" s="340" t="s">
        <v>5090</v>
      </c>
      <c r="P32" s="323" t="s">
        <v>5091</v>
      </c>
      <c r="Q32" s="343" t="s">
        <v>5092</v>
      </c>
      <c r="R32" s="344" t="s">
        <v>5093</v>
      </c>
      <c r="S32" s="17"/>
      <c r="T32" s="17"/>
      <c r="U32" s="17"/>
      <c r="V32" s="17"/>
      <c r="W32" s="17"/>
      <c r="X32" s="17"/>
      <c r="Y32" s="17"/>
      <c r="Z32" s="17"/>
    </row>
    <row r="33">
      <c r="A33" s="340" t="s">
        <v>5094</v>
      </c>
      <c r="B33" s="323" t="s">
        <v>5095</v>
      </c>
      <c r="C33" s="352" t="s">
        <v>5096</v>
      </c>
      <c r="D33" s="353" t="str">
        <f>IFERROR(__xludf.DUMMYFUNCTION("GOOGLETRANSLATE(B33,""zh-tw"",""ja"")"),"攻撃力: 2
防御力: 2
ダメージを与えるアーマー")</f>
        <v>攻撃力: 2
防御力: 2
ダメージを与えるアーマー</v>
      </c>
      <c r="E33" s="339" t="s">
        <v>5097</v>
      </c>
      <c r="F33" s="167" t="s">
        <v>5098</v>
      </c>
      <c r="G33" s="341" t="str">
        <f>IFERROR(__xludf.DUMMYFUNCTION("GOOGLETRANSLATE(A33,""zh-tw"",""zh"")"),"穿刺钉鞋")</f>
        <v>穿刺钉鞋</v>
      </c>
      <c r="H33" s="168" t="str">
        <f>IFERROR(__xludf.DUMMYFUNCTION("GOOGLETRANSLATE(B33,""zh-tw"",""zh"")"),"物攻：2
物防：2
伤害型防具")</f>
        <v>物攻：2
物防：2
伤害型防具</v>
      </c>
      <c r="I33" s="339" t="s">
        <v>5099</v>
      </c>
      <c r="J33" s="168" t="str">
        <f>IFERROR(__xludf.DUMMYFUNCTION("GOOGLETRANSLATE(B33,""zh-tw"",""es-MX"")"),"Ataque: 2
Defensa: 2
Armadura que inflige daño")</f>
        <v>Ataque: 2
Defensa: 2
Armadura que inflige daño</v>
      </c>
      <c r="K33" s="339" t="s">
        <v>5100</v>
      </c>
      <c r="L33" s="167" t="s">
        <v>5101</v>
      </c>
      <c r="M33" s="342" t="str">
        <f>IFERROR(__xludf.DUMMYFUNCTION("GOOGLETRANSLATE(A33,""zh-tw"",""ru"")"),"Обувь с шипами")</f>
        <v>Обувь с шипами</v>
      </c>
      <c r="N33" s="321" t="str">
        <f>IFERROR(__xludf.DUMMYFUNCTION("GOOGLETRANSLATE(B33,""zh-tw"",""ru"")"),"Атака: 2
Защита: 2
Броня, наносящая урон")</f>
        <v>Атака: 2
Защита: 2
Броня, наносящая урон</v>
      </c>
      <c r="O33" s="340" t="s">
        <v>5102</v>
      </c>
      <c r="P33" s="323" t="s">
        <v>5103</v>
      </c>
      <c r="Q33" s="343" t="s">
        <v>5104</v>
      </c>
      <c r="R33" s="344" t="s">
        <v>5105</v>
      </c>
      <c r="S33" s="17"/>
      <c r="T33" s="17"/>
      <c r="U33" s="17"/>
      <c r="V33" s="17"/>
      <c r="W33" s="17"/>
      <c r="X33" s="17"/>
      <c r="Y33" s="17"/>
      <c r="Z33" s="17"/>
    </row>
    <row r="34">
      <c r="A34" s="340" t="s">
        <v>5106</v>
      </c>
      <c r="B34" s="323" t="s">
        <v>5107</v>
      </c>
      <c r="C34" s="352" t="s">
        <v>5108</v>
      </c>
      <c r="D34" s="353" t="str">
        <f>IFERROR(__xludf.DUMMYFUNCTION("GOOGLETRANSLATE(B34,""zh-tw"",""ja"")"),"物理攻撃力：5
物理防御力：1
ダメージを与えるアーマー")</f>
        <v>物理攻撃力：5
物理防御力：1
ダメージを与えるアーマー</v>
      </c>
      <c r="E34" s="339" t="s">
        <v>5109</v>
      </c>
      <c r="F34" s="167" t="s">
        <v>5110</v>
      </c>
      <c r="G34" s="341" t="str">
        <f>IFERROR(__xludf.DUMMYFUNCTION("GOOGLETRANSLATE(A34,""zh-tw"",""zh"")"),"穿刺臂铠")</f>
        <v>穿刺臂铠</v>
      </c>
      <c r="H34" s="168" t="str">
        <f>IFERROR(__xludf.DUMMYFUNCTION("GOOGLETRANSLATE(B34,""zh-tw"",""zh"")"),"物攻：5
物防：1
伤害型防具")</f>
        <v>物攻：5
物防：1
伤害型防具</v>
      </c>
      <c r="I34" s="341" t="str">
        <f>IFERROR(__xludf.DUMMYFUNCTION("GOOGLETRANSLATE(A34,""zh-tw"",""es-MX"")"),"Armadura de brazo perforante")</f>
        <v>Armadura de brazo perforante</v>
      </c>
      <c r="J34" s="168" t="str">
        <f>IFERROR(__xludf.DUMMYFUNCTION("GOOGLETRANSLATE(B34,""zh-tw"",""es-MX"")"),"Ataque físico: 5
Defensa física: 1
Armadura que inflige daño")</f>
        <v>Ataque físico: 5
Defensa física: 1
Armadura que inflige daño</v>
      </c>
      <c r="K34" s="339" t="s">
        <v>5111</v>
      </c>
      <c r="L34" s="167" t="s">
        <v>5112</v>
      </c>
      <c r="M34" s="342" t="str">
        <f>IFERROR(__xludf.DUMMYFUNCTION("GOOGLETRANSLATE(A34,""zh-tw"",""ru"")"),"Броня для прокалывания рук")</f>
        <v>Броня для прокалывания рук</v>
      </c>
      <c r="N34" s="321" t="str">
        <f>IFERROR(__xludf.DUMMYFUNCTION("GOOGLETRANSLATE(B34,""zh-tw"",""ru"")"),"Физическая атака: 5
Физическая защита: 1
Броня, наносящая урон")</f>
        <v>Физическая атака: 5
Физическая защита: 1
Броня, наносящая урон</v>
      </c>
      <c r="O34" s="340" t="s">
        <v>5113</v>
      </c>
      <c r="P34" s="323" t="s">
        <v>5114</v>
      </c>
      <c r="Q34" s="343" t="s">
        <v>5115</v>
      </c>
      <c r="R34" s="344" t="s">
        <v>5116</v>
      </c>
      <c r="S34" s="17"/>
      <c r="T34" s="17"/>
      <c r="U34" s="17"/>
      <c r="V34" s="17"/>
      <c r="W34" s="17"/>
      <c r="X34" s="17"/>
      <c r="Y34" s="17"/>
      <c r="Z34" s="17"/>
    </row>
    <row r="35">
      <c r="A35" s="340" t="s">
        <v>5117</v>
      </c>
      <c r="B35" s="323" t="s">
        <v>5118</v>
      </c>
      <c r="C35" s="354" t="str">
        <f>IFERROR(__xludf.DUMMYFUNCTION("GOOGLETRANSLATE(A35,""zh-tw"",""ja"")"),"騎士のヘルメット")</f>
        <v>騎士のヘルメット</v>
      </c>
      <c r="D35" s="353" t="str">
        <f>IFERROR(__xludf.DUMMYFUNCTION("GOOGLETRANSLATE(B35,""zh-tw"",""ja"")"),"物理防御力: 5
魔法耐性: 2
スタミナが低いと能力が上昇する")</f>
        <v>物理防御力: 5
魔法耐性: 2
スタミナが低いと能力が上昇する</v>
      </c>
      <c r="E35" s="339" t="s">
        <v>5119</v>
      </c>
      <c r="F35" s="167" t="s">
        <v>5120</v>
      </c>
      <c r="G35" s="341" t="str">
        <f>IFERROR(__xludf.DUMMYFUNCTION("GOOGLETRANSLATE(A35,""zh-tw"",""zh"")"),"骑士头盔")</f>
        <v>骑士头盔</v>
      </c>
      <c r="H35" s="168" t="str">
        <f>IFERROR(__xludf.DUMMYFUNCTION("GOOGLETRANSLATE(B35,""zh-tw"",""zh"")"),"物防：5
魔抗：2
低体力增属性")</f>
        <v>物防：5
魔抗：2
低体力增属性</v>
      </c>
      <c r="I35" s="341" t="str">
        <f>IFERROR(__xludf.DUMMYFUNCTION("GOOGLETRANSLATE(A35,""zh-tw"",""es-MX"")"),"Casco de caballero")</f>
        <v>Casco de caballero</v>
      </c>
      <c r="J35" s="168" t="str">
        <f>IFERROR(__xludf.DUMMYFUNCTION("GOOGLETRANSLATE(B35,""zh-tw"",""es-MX"")"),"Defensa física: 5
Resistencia mágica: 2
Baja resistencia: aumenta los atributos")</f>
        <v>Defensa física: 5
Resistencia mágica: 2
Baja resistencia: aumenta los atributos</v>
      </c>
      <c r="K35" s="339" t="s">
        <v>5121</v>
      </c>
      <c r="L35" s="167" t="s">
        <v>5122</v>
      </c>
      <c r="M35" s="342" t="str">
        <f>IFERROR(__xludf.DUMMYFUNCTION("GOOGLETRANSLATE(A35,""zh-tw"",""ru"")"),"Рыцарский шлем")</f>
        <v>Рыцарский шлем</v>
      </c>
      <c r="N35" s="321" t="str">
        <f>IFERROR(__xludf.DUMMYFUNCTION("GOOGLETRANSLATE(B35,""zh-tw"",""ru"")"),"Физическая защита: 5
Сопротивление магии: 2
Низкая выносливость увеличивает характеристики")</f>
        <v>Физическая защита: 5
Сопротивление магии: 2
Низкая выносливость увеличивает характеристики</v>
      </c>
      <c r="O35" s="340" t="s">
        <v>5123</v>
      </c>
      <c r="P35" s="323" t="s">
        <v>5124</v>
      </c>
      <c r="Q35" s="343" t="s">
        <v>5125</v>
      </c>
      <c r="R35" s="344" t="s">
        <v>5126</v>
      </c>
      <c r="S35" s="17"/>
      <c r="T35" s="17"/>
      <c r="U35" s="17"/>
      <c r="V35" s="17"/>
      <c r="W35" s="17"/>
      <c r="X35" s="17"/>
      <c r="Y35" s="17"/>
      <c r="Z35" s="17"/>
    </row>
    <row r="36">
      <c r="A36" s="340" t="s">
        <v>5127</v>
      </c>
      <c r="B36" s="323" t="s">
        <v>5128</v>
      </c>
      <c r="C36" s="352" t="s">
        <v>5129</v>
      </c>
      <c r="D36" s="353" t="str">
        <f>IFERROR(__xludf.DUMMYFUNCTION("GOOGLETRANSLATE(B36,""zh-tw"",""ja"")"),"物理攻撃: 2 物理防御: 3 HPが低いときにステータスが上昇")</f>
        <v>物理攻撃: 2 物理防御: 3 HPが低いときにステータスが上昇</v>
      </c>
      <c r="E36" s="339" t="s">
        <v>5130</v>
      </c>
      <c r="F36" s="167" t="s">
        <v>5131</v>
      </c>
      <c r="G36" s="341" t="str">
        <f>IFERROR(__xludf.DUMMYFUNCTION("GOOGLETRANSLATE(A36,""zh-tw"",""zh"")"),"骑士护臂")</f>
        <v>骑士护臂</v>
      </c>
      <c r="H36" s="168" t="str">
        <f>IFERROR(__xludf.DUMMYFUNCTION("GOOGLETRANSLATE(B36,""zh-tw"",""zh"")"),"物攻：2
物防：3
低体力增属性")</f>
        <v>物攻：2
物防：3
低体力增属性</v>
      </c>
      <c r="I36" s="339" t="s">
        <v>5132</v>
      </c>
      <c r="J36" s="168" t="str">
        <f>IFERROR(__xludf.DUMMYFUNCTION("GOOGLETRANSLATE(B36,""zh-tw"",""es-MX"")"),"Ataque físico: 2 Defensa física: 3 Aumenta las estadísticas cuando la salud está baja")</f>
        <v>Ataque físico: 2 Defensa física: 3 Aumenta las estadísticas cuando la salud está baja</v>
      </c>
      <c r="K36" s="340" t="s">
        <v>5133</v>
      </c>
      <c r="L36" s="167" t="s">
        <v>5134</v>
      </c>
      <c r="M36" s="342" t="str">
        <f>IFERROR(__xludf.DUMMYFUNCTION("GOOGLETRANSLATE(A36,""zh-tw"",""ru"")"),"Наручи рыцаря")</f>
        <v>Наручи рыцаря</v>
      </c>
      <c r="N36" s="321" t="str">
        <f>IFERROR(__xludf.DUMMYFUNCTION("GOOGLETRANSLATE(B36,""zh-tw"",""ru"")"),"Физическая атака: 2 Физическая защита: 3 Увеличивает характеристики при низком уровне здоровья")</f>
        <v>Физическая атака: 2 Физическая защита: 3 Увеличивает характеристики при низком уровне здоровья</v>
      </c>
      <c r="O36" s="340" t="s">
        <v>5135</v>
      </c>
      <c r="P36" s="323" t="s">
        <v>5136</v>
      </c>
      <c r="Q36" s="343" t="s">
        <v>5137</v>
      </c>
      <c r="R36" s="344" t="s">
        <v>5138</v>
      </c>
      <c r="S36" s="17"/>
      <c r="T36" s="17"/>
      <c r="U36" s="17"/>
      <c r="V36" s="17"/>
      <c r="W36" s="17"/>
      <c r="X36" s="17"/>
      <c r="Y36" s="17"/>
      <c r="Z36" s="17"/>
    </row>
    <row r="37">
      <c r="A37" s="340" t="s">
        <v>5139</v>
      </c>
      <c r="B37" s="323" t="s">
        <v>5140</v>
      </c>
      <c r="C37" s="352" t="s">
        <v>5141</v>
      </c>
      <c r="D37" s="353" t="str">
        <f>IFERROR(__xludf.DUMMYFUNCTION("GOOGLETRANSLATE(B37,""zh-tw"",""ja"")"),"物理防御力: 2
魔法耐性: 2
HPが低いとステータスが上昇")</f>
        <v>物理防御力: 2
魔法耐性: 2
HPが低いとステータスが上昇</v>
      </c>
      <c r="E37" s="339" t="s">
        <v>5142</v>
      </c>
      <c r="F37" s="167" t="s">
        <v>5143</v>
      </c>
      <c r="G37" s="341" t="str">
        <f>IFERROR(__xludf.DUMMYFUNCTION("GOOGLETRANSLATE(A37,""zh-tw"",""zh"")"),"骑士胫甲")</f>
        <v>骑士胫甲</v>
      </c>
      <c r="H37" s="168" t="str">
        <f>IFERROR(__xludf.DUMMYFUNCTION("GOOGLETRANSLATE(B37,""zh-tw"",""zh"")"),"物防：2
魔抗：2
低体力增属性")</f>
        <v>物防：2
魔抗：2
低体力增属性</v>
      </c>
      <c r="I37" s="341" t="str">
        <f>IFERROR(__xludf.DUMMYFUNCTION("GOOGLETRANSLATE(A37,""zh-tw"",""es-MX"")"),"Grebas de caballero")</f>
        <v>Grebas de caballero</v>
      </c>
      <c r="J37" s="168" t="str">
        <f>IFERROR(__xludf.DUMMYFUNCTION("GOOGLETRANSLATE(B37,""zh-tw"",""es-MX"")"),"Defensa física: 2
Resistencia mágica: 2
Poca vida aumenta las estadísticas")</f>
        <v>Defensa física: 2
Resistencia mágica: 2
Poca vida aumenta las estadísticas</v>
      </c>
      <c r="K37" s="339" t="s">
        <v>5144</v>
      </c>
      <c r="L37" s="167" t="s">
        <v>5145</v>
      </c>
      <c r="M37" s="342" t="str">
        <f>IFERROR(__xludf.DUMMYFUNCTION("GOOGLETRANSLATE(A37,""zh-tw"",""ru"")"),"Рыцарские поножи")</f>
        <v>Рыцарские поножи</v>
      </c>
      <c r="N37" s="321" t="str">
        <f>IFERROR(__xludf.DUMMYFUNCTION("GOOGLETRANSLATE(B37,""zh-tw"",""ru"")"),"Физическая защита: 2
Сопротивление магии: 2
Низкий уровень здоровья увеличивает характеристики")</f>
        <v>Физическая защита: 2
Сопротивление магии: 2
Низкий уровень здоровья увеличивает характеристики</v>
      </c>
      <c r="O37" s="340" t="s">
        <v>5146</v>
      </c>
      <c r="P37" s="323" t="s">
        <v>5147</v>
      </c>
      <c r="Q37" s="343" t="s">
        <v>5148</v>
      </c>
      <c r="R37" s="344" t="s">
        <v>5149</v>
      </c>
      <c r="S37" s="17"/>
      <c r="T37" s="17"/>
      <c r="U37" s="17"/>
      <c r="V37" s="17"/>
      <c r="W37" s="17"/>
      <c r="X37" s="17"/>
      <c r="Y37" s="17"/>
      <c r="Z37" s="17"/>
    </row>
    <row r="38">
      <c r="A38" s="340" t="s">
        <v>5150</v>
      </c>
      <c r="B38" s="323" t="s">
        <v>5151</v>
      </c>
      <c r="C38" s="354" t="str">
        <f>IFERROR(__xludf.DUMMYFUNCTION("GOOGLETRANSLATE(A38,""zh-tw"",""ja"")"),"騎士の鎧")</f>
        <v>騎士の鎧</v>
      </c>
      <c r="D38" s="353" t="str">
        <f>IFERROR(__xludf.DUMMYFUNCTION("GOOGLETRANSLATE(B38,""zh-tw"",""ja"")"),"物理防御力: 10
魔法耐性: 4
スタミナが低いと能力が強化されます")</f>
        <v>物理防御力: 10
魔法耐性: 4
スタミナが低いと能力が強化されます</v>
      </c>
      <c r="E38" s="339" t="s">
        <v>5152</v>
      </c>
      <c r="F38" s="167" t="s">
        <v>5153</v>
      </c>
      <c r="G38" s="341" t="str">
        <f>IFERROR(__xludf.DUMMYFUNCTION("GOOGLETRANSLATE(A38,""zh-tw"",""zh"")"),"骑士铠甲")</f>
        <v>骑士铠甲</v>
      </c>
      <c r="H38" s="168" t="str">
        <f>IFERROR(__xludf.DUMMYFUNCTION("GOOGLETRANSLATE(B38,""zh-tw"",""zh"")"),"物防：10
魔抗：4
低体力增属性")</f>
        <v>物防：10
魔抗：4
低体力增属性</v>
      </c>
      <c r="I38" s="341" t="str">
        <f>IFERROR(__xludf.DUMMYFUNCTION("GOOGLETRANSLATE(A38,""zh-tw"",""es-MX"")"),"Armadura de caballero")</f>
        <v>Armadura de caballero</v>
      </c>
      <c r="J38" s="168" t="str">
        <f>IFERROR(__xludf.DUMMYFUNCTION("GOOGLETRANSLATE(B38,""zh-tw"",""es-MX"")"),"Defensa física: 10
Resistencia mágica: 4
Potencias mejoradas por baja resistencia")</f>
        <v>Defensa física: 10
Resistencia mágica: 4
Potencias mejoradas por baja resistencia</v>
      </c>
      <c r="K38" s="339" t="s">
        <v>5154</v>
      </c>
      <c r="L38" s="167" t="s">
        <v>5155</v>
      </c>
      <c r="M38" s="342" t="str">
        <f>IFERROR(__xludf.DUMMYFUNCTION("GOOGLETRANSLATE(A38,""zh-tw"",""ru"")"),"Рыцарские доспехи")</f>
        <v>Рыцарские доспехи</v>
      </c>
      <c r="N38" s="321"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40" t="s">
        <v>5156</v>
      </c>
      <c r="P38" s="323" t="s">
        <v>5157</v>
      </c>
      <c r="Q38" s="343" t="s">
        <v>5158</v>
      </c>
      <c r="R38" s="344" t="s">
        <v>5159</v>
      </c>
      <c r="S38" s="17"/>
      <c r="T38" s="17"/>
      <c r="U38" s="17"/>
      <c r="V38" s="17"/>
      <c r="W38" s="17"/>
      <c r="X38" s="17"/>
      <c r="Y38" s="17"/>
      <c r="Z38" s="17"/>
    </row>
    <row r="39">
      <c r="A39" s="345" t="s">
        <v>5160</v>
      </c>
      <c r="B39" s="168" t="s">
        <v>5161</v>
      </c>
      <c r="C39" s="352" t="s">
        <v>5162</v>
      </c>
      <c r="D39" s="353" t="str">
        <f>IFERROR(__xludf.DUMMYFUNCTION("GOOGLETRANSLATE(B39,""zh-tw"",""ja"")"),"魔法攻撃: 10 自動照準")</f>
        <v>魔法攻撃: 10 自動照準</v>
      </c>
      <c r="E39" s="339" t="s">
        <v>5163</v>
      </c>
      <c r="F39" s="167" t="s">
        <v>5164</v>
      </c>
      <c r="G39" s="341" t="str">
        <f>IFERROR(__xludf.DUMMYFUNCTION("GOOGLETRANSLATE(A39,""zh-tw"",""zh"")"),"堕落法师的手套")</f>
        <v>堕落法师的手套</v>
      </c>
      <c r="H39" s="168" t="str">
        <f>IFERROR(__xludf.DUMMYFUNCTION("GOOGLETRANSLATE(B39,""zh-tw"",""zh"")"),"魔攻：10
自动瞄准")</f>
        <v>魔攻：10
自动瞄准</v>
      </c>
      <c r="I39" s="341" t="str">
        <f>IFERROR(__xludf.DUMMYFUNCTION("GOOGLETRANSLATE(A39,""zh-tw"",""es-MX"")"),"Los guantes del mago caído")</f>
        <v>Los guantes del mago caído</v>
      </c>
      <c r="J39" s="168" t="str">
        <f>IFERROR(__xludf.DUMMYFUNCTION("GOOGLETRANSLATE(B39,""zh-tw"",""es-MX"")"),"Ataque mágico: 10 Apuntado automático")</f>
        <v>Ataque mágico: 10 Apuntado automático</v>
      </c>
      <c r="K39" s="341" t="str">
        <f>IFERROR(__xludf.DUMMYFUNCTION("GOOGLETRANSLATE(A39,""zh-tw"",""KO"")"),"타락한 마법사의 장갑")</f>
        <v>타락한 마법사의 장갑</v>
      </c>
      <c r="L39" s="167" t="s">
        <v>5165</v>
      </c>
      <c r="M39" s="342" t="str">
        <f>IFERROR(__xludf.DUMMYFUNCTION("GOOGLETRANSLATE(A39,""zh-tw"",""ru"")"),"Перчатки падшего мага")</f>
        <v>Перчатки падшего мага</v>
      </c>
      <c r="N39" s="321" t="str">
        <f>IFERROR(__xludf.DUMMYFUNCTION("GOOGLETRANSLATE(B39,""zh-tw"",""ru"")"),"Магическая атака: 10 Автоприцеливание")</f>
        <v>Магическая атака: 10 Автоприцеливание</v>
      </c>
      <c r="O39" s="340" t="s">
        <v>5166</v>
      </c>
      <c r="P39" s="323" t="s">
        <v>5167</v>
      </c>
      <c r="Q39" s="343" t="s">
        <v>5168</v>
      </c>
      <c r="R39" s="331" t="s">
        <v>5169</v>
      </c>
      <c r="S39" s="17"/>
      <c r="T39" s="17"/>
      <c r="U39" s="17"/>
      <c r="V39" s="17"/>
      <c r="W39" s="17"/>
      <c r="X39" s="17"/>
      <c r="Y39" s="17"/>
      <c r="Z39" s="17"/>
    </row>
    <row r="40">
      <c r="A40" s="339" t="s">
        <v>5170</v>
      </c>
      <c r="B40" s="167" t="s">
        <v>5171</v>
      </c>
      <c r="C40" s="354" t="str">
        <f>IFERROR(__xludf.DUMMYFUNCTION("GOOGLETRANSLATE(A40,""zh-tw"",""ja"")"),"堕落した魔術師のサークレット")</f>
        <v>堕落した魔術師のサークレット</v>
      </c>
      <c r="D40" s="353" t="str">
        <f>IFERROR(__xludf.DUMMYFUNCTION("GOOGLETRANSLATE(B40,""zh-tw"",""ja"")"),"魔法攻撃力：10
魔法耐性：25
魔法攻撃力が上昇し、最大スタミナが減少します。")</f>
        <v>魔法攻撃力：10
魔法耐性：25
魔法攻撃力が上昇し、最大スタミナが減少します。</v>
      </c>
      <c r="E40" s="339" t="s">
        <v>5172</v>
      </c>
      <c r="F40" s="167" t="s">
        <v>5173</v>
      </c>
      <c r="G40" s="341" t="str">
        <f>IFERROR(__xludf.DUMMYFUNCTION("GOOGLETRANSLATE(A40,""zh-tw"",""zh"")"),"堕落法师的头环")</f>
        <v>堕落法师的头环</v>
      </c>
      <c r="H40" s="168" t="str">
        <f>IFERROR(__xludf.DUMMYFUNCTION("GOOGLETRANSLATE(B40,""zh-tw"",""zh"")"),"魔攻：10
魔抗：25
提升魔攻并降低自身体力上限")</f>
        <v>魔攻：10
魔抗：25
提升魔攻并降低自身体力上限</v>
      </c>
      <c r="I40" s="341" t="str">
        <f>IFERROR(__xludf.DUMMYFUNCTION("GOOGLETRANSLATE(A40,""zh-tw"",""es-MX"")"),"Diadema de mago corrupto")</f>
        <v>Diadema de mago corrupto</v>
      </c>
      <c r="J40" s="168" t="str">
        <f>IFERROR(__xludf.DUMMYFUNCTION("GOOGLETRANSLATE(B40,""zh-tw"",""es-MX"")"),"Ataque mágico: 10
Resistencia mágica: 25
Aumenta el ataque mágico y reduce la resistencia máxima.")</f>
        <v>Ataque mágico: 10
Resistencia mágica: 25
Aumenta el ataque mágico y reduce la resistencia máxima.</v>
      </c>
      <c r="K40" s="339" t="s">
        <v>5174</v>
      </c>
      <c r="L40" s="167" t="s">
        <v>5175</v>
      </c>
      <c r="M40" s="342" t="str">
        <f>IFERROR(__xludf.DUMMYFUNCTION("GOOGLETRANSLATE(A40,""zh-tw"",""ru"")"),"Диадема испорченного мага")</f>
        <v>Диадема испорченного мага</v>
      </c>
      <c r="N40" s="321" t="str">
        <f>IFERROR(__xludf.DUMMYFUNCTION("GOOGLETRANSLATE(B40,""zh-tw"",""ru"")"),"Магическая атака: 10
Сопротивление магии: 25
Увеличивает магическую атаку и снижает максимальную выносливость.")</f>
        <v>Магическая атака: 10
Сопротивление магии: 25
Увеличивает магическую атаку и снижает максимальную выносливость.</v>
      </c>
      <c r="O40" s="340" t="s">
        <v>5176</v>
      </c>
      <c r="P40" s="323" t="s">
        <v>5177</v>
      </c>
      <c r="Q40" s="343" t="s">
        <v>5178</v>
      </c>
      <c r="R40" s="344" t="s">
        <v>5179</v>
      </c>
      <c r="S40" s="17"/>
      <c r="T40" s="17"/>
      <c r="U40" s="17"/>
      <c r="V40" s="17"/>
      <c r="W40" s="17"/>
      <c r="X40" s="17"/>
      <c r="Y40" s="17"/>
      <c r="Z40" s="17"/>
    </row>
    <row r="41">
      <c r="A41" s="339" t="s">
        <v>5180</v>
      </c>
      <c r="B41" s="167" t="s">
        <v>5181</v>
      </c>
      <c r="C41" s="354" t="str">
        <f>IFERROR(__xludf.DUMMYFUNCTION("GOOGLETRANSLATE(A41,""zh-tw"",""ja"")"),"堕落した魔術師のマント")</f>
        <v>堕落した魔術師のマント</v>
      </c>
      <c r="D41" s="353" t="str">
        <f>IFERROR(__xludf.DUMMYFUNCTION("GOOGLETRANSLATE(B41,""zh-tw"",""ja"")"),"魔法攻撃: 10 物理防御: 1 魔法抵抗: 35 フラッシュステップは、停滞した状態のオブジェクトを凍結します。")</f>
        <v>魔法攻撃: 10 物理防御: 1 魔法抵抗: 35 フラッシュステップは、停滞した状態のオブジェクトを凍結します。</v>
      </c>
      <c r="E41" s="339" t="s">
        <v>5182</v>
      </c>
      <c r="F41" s="167" t="s">
        <v>5183</v>
      </c>
      <c r="G41" s="341" t="str">
        <f>IFERROR(__xludf.DUMMYFUNCTION("GOOGLETRANSLATE(A41,""zh-tw"",""zh"")"),"堕落法师的披风")</f>
        <v>堕落法师的披风</v>
      </c>
      <c r="H41" s="168" t="str">
        <f>IFERROR(__xludf.DUMMYFUNCTION("GOOGLETRANSLATE(B41,""zh-tw"",""zh"")"),"魔攻：10
物防:1
魔抗：35
闪步使物体陷入凝滞状态")</f>
        <v>魔攻：10
物防:1
魔抗：35
闪步使物体陷入凝滞状态</v>
      </c>
      <c r="I41" s="341" t="str">
        <f>IFERROR(__xludf.DUMMYFUNCTION("GOOGLETRANSLATE(A41,""zh-tw"",""es-MX"")"),"La capa del mago caído")</f>
        <v>La capa del mago caído</v>
      </c>
      <c r="J41" s="168" t="str">
        <f>IFERROR(__xludf.DUMMYFUNCTION("GOOGLETRANSLATE(B41,""zh-tw"",""es-MX"")"),"Ataque mágico: 10 Defensa física: 1 Resistencia mágica: 35 Paso relámpago congela los objetos en un estado de estancamiento.")</f>
        <v>Ataque mágico: 10 Defensa física: 1 Resistencia mágica: 35 Paso relámpago congela los objetos en un estado de estancamiento.</v>
      </c>
      <c r="K41" s="339" t="s">
        <v>5184</v>
      </c>
      <c r="L41" s="167" t="s">
        <v>5185</v>
      </c>
      <c r="M41" s="342" t="str">
        <f>IFERROR(__xludf.DUMMYFUNCTION("GOOGLETRANSLATE(A41,""zh-tw"",""ru"")"),"Плащ падшего мага")</f>
        <v>Плащ падшего мага</v>
      </c>
      <c r="N41" s="321" t="str">
        <f>IFERROR(__xludf.DUMMYFUNCTION("GOOGLETRANSLATE(B41,""zh-tw"",""ru"")"),"Магическая атака: 10 Физическая защита: 1 Сопротивление магии: 35 Шаг молнии замораживает объекты в состоянии стагнации.")</f>
        <v>Магическая атака: 10 Физическая защита: 1 Сопротивление магии: 35 Шаг молнии замораживает объекты в состоянии стагнации.</v>
      </c>
      <c r="O41" s="340" t="s">
        <v>5186</v>
      </c>
      <c r="P41" s="323" t="s">
        <v>5187</v>
      </c>
      <c r="Q41" s="343" t="s">
        <v>5188</v>
      </c>
      <c r="R41" s="344" t="s">
        <v>5189</v>
      </c>
      <c r="S41" s="17"/>
      <c r="T41" s="17"/>
      <c r="U41" s="17"/>
      <c r="V41" s="17"/>
      <c r="W41" s="17"/>
      <c r="X41" s="17"/>
      <c r="Y41" s="17"/>
      <c r="Z41" s="17"/>
    </row>
    <row r="42">
      <c r="A42" s="345" t="s">
        <v>5190</v>
      </c>
      <c r="B42" s="167" t="s">
        <v>5191</v>
      </c>
      <c r="C42" s="354" t="str">
        <f>IFERROR(__xludf.DUMMYFUNCTION("GOOGLETRANSLATE(A42,""zh-tw"",""ja"")"),"堕落した魔術師の足跡")</f>
        <v>堕落した魔術師の足跡</v>
      </c>
      <c r="D42" s="353" t="str">
        <f>IFERROR(__xludf.DUMMYFUNCTION("GOOGLETRANSLATE(B42,""zh-tw"",""ja"")"),"魔法攻撃力：10
魔法耐性：20
ボイド：敵弾を含むあらゆる障害物を無視")</f>
        <v>魔法攻撃力：10
魔法耐性：20
ボイド：敵弾を含むあらゆる障害物を無視</v>
      </c>
      <c r="E42" s="339" t="s">
        <v>5192</v>
      </c>
      <c r="F42" s="167" t="s">
        <v>5193</v>
      </c>
      <c r="G42" s="341" t="str">
        <f>IFERROR(__xludf.DUMMYFUNCTION("GOOGLETRANSLATE(A42,""zh-tw"",""zh"")"),"堕落法师的轻履")</f>
        <v>堕落法师的轻履</v>
      </c>
      <c r="H42" s="168" t="str">
        <f>IFERROR(__xludf.DUMMYFUNCTION("GOOGLETRANSLATE(B42,""zh-tw"",""zh"")"),"魔攻：10
魔抗：20
虚无：无视一切阻碍、包括敌人子弹")</f>
        <v>魔攻：10
魔抗：20
虚无：无视一切阻碍、包括敌人子弹</v>
      </c>
      <c r="I42" s="341" t="str">
        <f>IFERROR(__xludf.DUMMYFUNCTION("GOOGLETRANSLATE(A42,""zh-tw"",""es-MX"")"),"Botas del mago caído")</f>
        <v>Botas del mago caído</v>
      </c>
      <c r="J42" s="168"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39" t="s">
        <v>5194</v>
      </c>
      <c r="L42" s="167" t="s">
        <v>5195</v>
      </c>
      <c r="M42" s="342" t="str">
        <f>IFERROR(__xludf.DUMMYFUNCTION("GOOGLETRANSLATE(A42,""zh-tw"",""ru"")"),"Ботфорты падшего мага")</f>
        <v>Ботфорты падшего мага</v>
      </c>
      <c r="N42" s="321"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40" t="s">
        <v>5196</v>
      </c>
      <c r="P42" s="323" t="s">
        <v>5197</v>
      </c>
      <c r="Q42" s="343" t="s">
        <v>5198</v>
      </c>
      <c r="R42" s="344" t="s">
        <v>5199</v>
      </c>
      <c r="S42" s="17"/>
      <c r="T42" s="17"/>
      <c r="U42" s="17"/>
      <c r="V42" s="17"/>
      <c r="W42" s="17"/>
      <c r="X42" s="17"/>
      <c r="Y42" s="17"/>
      <c r="Z42" s="17"/>
    </row>
    <row r="43">
      <c r="A43" s="339" t="s">
        <v>5200</v>
      </c>
      <c r="B43" s="167" t="s">
        <v>5201</v>
      </c>
      <c r="C43" s="352" t="s">
        <v>5202</v>
      </c>
      <c r="D43" s="353" t="str">
        <f>IFERROR(__xludf.DUMMYFUNCTION("GOOGLETRANSLATE(B43,""zh-tw"",""ja"")"),"魔法攻撃: 1. スタン耐性、魔法貫通力および魔法範囲の拡大。")</f>
        <v>魔法攻撃: 1. スタン耐性、魔法貫通力および魔法範囲の拡大。</v>
      </c>
      <c r="E43" s="339" t="s">
        <v>5203</v>
      </c>
      <c r="F43" s="167" t="s">
        <v>5204</v>
      </c>
      <c r="G43" s="341" t="str">
        <f>IFERROR(__xludf.DUMMYFUNCTION("GOOGLETRANSLATE(A43,""zh-tw"",""zh"")"),"精神凝聚头环")</f>
        <v>精神凝聚头环</v>
      </c>
      <c r="H43" s="168" t="str">
        <f>IFERROR(__xludf.DUMMYFUNCTION("GOOGLETRANSLATE(B43,""zh-tw"",""zh"")"),"魔攻：1
免疫晕眩、增强魔法穿透和魔法范围")</f>
        <v>魔攻：1
免疫晕眩、增强魔法穿透和魔法范围</v>
      </c>
      <c r="I43" s="341" t="str">
        <f>IFERROR(__xludf.DUMMYFUNCTION("GOOGLETRANSLATE(A43,""zh-tw"",""es-MX"")"),"Diadema de cohesión espiritual")</f>
        <v>Diadema de cohesión espiritual</v>
      </c>
      <c r="J43" s="168" t="str">
        <f>IFERROR(__xludf.DUMMYFUNCTION("GOOGLETRANSLATE(B43,""zh-tw"",""es-MX"")"),"Ataque mágico: 1. Inmune al aturdimiento, mayor penetración mágica y mayor alcance mágico.")</f>
        <v>Ataque mágico: 1. Inmune al aturdimiento, mayor penetración mágica y mayor alcance mágico.</v>
      </c>
      <c r="K43" s="339" t="s">
        <v>5205</v>
      </c>
      <c r="L43" s="167" t="s">
        <v>5206</v>
      </c>
      <c r="M43" s="342" t="str">
        <f>IFERROR(__xludf.DUMMYFUNCTION("GOOGLETRANSLATE(A43,""zh-tw"",""ru"")"),"Повязка на голову «Духовное единство»")</f>
        <v>Повязка на голову «Духовное единство»</v>
      </c>
      <c r="N43" s="321" t="str">
        <f>IFERROR(__xludf.DUMMYFUNCTION("GOOGLETRANSLATE(B43,""zh-tw"",""ru"")"),"Магическая атака: 1. Иммунитет к оглушению, увеличенное проникновение магии и дальность магии.")</f>
        <v>Магическая атака: 1. Иммунитет к оглушению, увеличенное проникновение магии и дальность магии.</v>
      </c>
      <c r="O43" s="340" t="s">
        <v>5207</v>
      </c>
      <c r="P43" s="323" t="s">
        <v>5208</v>
      </c>
      <c r="Q43" s="343" t="s">
        <v>5209</v>
      </c>
      <c r="R43" s="344" t="s">
        <v>5210</v>
      </c>
      <c r="S43" s="17"/>
      <c r="T43" s="17"/>
      <c r="U43" s="17"/>
      <c r="V43" s="17"/>
      <c r="W43" s="17"/>
      <c r="X43" s="17"/>
      <c r="Y43" s="17"/>
      <c r="Z43" s="17"/>
    </row>
    <row r="44">
      <c r="A44" s="339" t="s">
        <v>5211</v>
      </c>
      <c r="B44" s="167" t="s">
        <v>5212</v>
      </c>
      <c r="C44" s="354" t="str">
        <f>IFERROR(__xludf.DUMMYFUNCTION("GOOGLETRANSLATE(A44,""zh-tw"",""ja"")"),"夜霧の幻影")</f>
        <v>夜霧の幻影</v>
      </c>
      <c r="D44" s="353"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39" t="s">
        <v>5213</v>
      </c>
      <c r="F44" s="167" t="s">
        <v>5214</v>
      </c>
      <c r="G44" s="341" t="str">
        <f>IFERROR(__xludf.DUMMYFUNCTION("GOOGLETRANSLATE(A44,""zh-tw"",""zh"")"),"夜雾幻影")</f>
        <v>夜雾幻影</v>
      </c>
      <c r="H44" s="168" t="str">
        <f>IFERROR(__xludf.DUMMYFUNCTION("GOOGLETRANSLATE(B44,""zh-tw"",""zh"")"),"物防:2
魔防:2
每隔一段时间会透明化、透明时进行背刺伤害加倍")</f>
        <v>物防:2
魔防:2
每隔一段时间会透明化、透明时进行背刺伤害加倍</v>
      </c>
      <c r="I44" s="341" t="str">
        <f>IFERROR(__xludf.DUMMYFUNCTION("GOOGLETRANSLATE(A44,""zh-tw"",""es-MX"")"),"Fantasma de la niebla nocturna")</f>
        <v>Fantasma de la niebla nocturna</v>
      </c>
      <c r="J44" s="168" t="str">
        <f>IFERROR(__xludf.DUMMYFUNCTION("GOOGLETRANSLATE(B44,""zh-tw"",""es-MX"")"),"Defensa física: 2
Defensa mágica: 2
Periódicamente se vuelve transparente, duplicando el daño de los ataques por la espalda mientras esté transparente.")</f>
        <v>Defensa física: 2
Defensa mágica: 2
Periódicamente se vuelve transparente, duplicando el daño de los ataques por la espalda mientras esté transparente.</v>
      </c>
      <c r="K44" s="339" t="s">
        <v>5215</v>
      </c>
      <c r="L44" s="167" t="s">
        <v>5216</v>
      </c>
      <c r="M44" s="342" t="str">
        <f>IFERROR(__xludf.DUMMYFUNCTION("GOOGLETRANSLATE(A44,""zh-tw"",""ru"")"),"Ночной туманный фантом")</f>
        <v>Ночной туманный фантом</v>
      </c>
      <c r="N44" s="321"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40" t="s">
        <v>5217</v>
      </c>
      <c r="P44" s="323" t="s">
        <v>5218</v>
      </c>
      <c r="Q44" s="343" t="s">
        <v>5219</v>
      </c>
      <c r="R44" s="344" t="s">
        <v>5220</v>
      </c>
      <c r="S44" s="17"/>
      <c r="T44" s="17"/>
      <c r="U44" s="17"/>
      <c r="V44" s="17"/>
      <c r="W44" s="17"/>
      <c r="X44" s="17"/>
      <c r="Y44" s="17"/>
      <c r="Z44" s="17"/>
    </row>
    <row r="45">
      <c r="A45" s="339" t="s">
        <v>5221</v>
      </c>
      <c r="B45" s="167" t="s">
        <v>5222</v>
      </c>
      <c r="C45" s="352" t="s">
        <v>5223</v>
      </c>
      <c r="D45" s="190" t="s">
        <v>5224</v>
      </c>
      <c r="E45" s="339" t="s">
        <v>5225</v>
      </c>
      <c r="F45" s="167" t="s">
        <v>5226</v>
      </c>
      <c r="G45" s="341" t="str">
        <f>IFERROR(__xludf.DUMMYFUNCTION("GOOGLETRANSLATE(A45,""zh-tw"",""zh"")"),"圣少女的怜悯")</f>
        <v>圣少女的怜悯</v>
      </c>
      <c r="H45" s="168" t="str">
        <f>IFERROR(__xludf.DUMMYFUNCTION("GOOGLETRANSLATE(B45,""zh-tw"",""zh"")"),"魔攻：20
物防:2
魔抗：40
贤者、特殊好感")</f>
        <v>魔攻：20
物防:2
魔抗：40
贤者、特殊好感</v>
      </c>
      <c r="I45" s="341" t="str">
        <f>IFERROR(__xludf.DUMMYFUNCTION("GOOGLETRANSLATE(A45,""zh-tw"",""es-MX"")"),"La Misericordia de la Santa Doncella")</f>
        <v>La Misericordia de la Santa Doncella</v>
      </c>
      <c r="J45" s="168" t="str">
        <f>IFERROR(__xludf.DUMMYFUNCTION("GOOGLETRANSLATE(B45,""zh-tw"",""es-MX"")"),"Ataque mágico: 20 Defensa física: 2 Resistencia mágica: 40 Sabio, Afinidad especial")</f>
        <v>Ataque mágico: 20 Defensa física: 2 Resistencia mágica: 40 Sabio, Afinidad especial</v>
      </c>
      <c r="K45" s="339" t="s">
        <v>5227</v>
      </c>
      <c r="L45" s="167" t="s">
        <v>5228</v>
      </c>
      <c r="M45" s="342" t="str">
        <f>IFERROR(__xludf.DUMMYFUNCTION("GOOGLETRANSLATE(A45,""zh-tw"",""ru"")"),"Милосердие Святой Девы")</f>
        <v>Милосердие Святой Девы</v>
      </c>
      <c r="N45" s="321" t="str">
        <f>IFERROR(__xludf.DUMMYFUNCTION("GOOGLETRANSLATE(B45,""zh-tw"",""ru"")"),"Магическая атака: 20 Физическая защита: 2 Сопротивление магии: 40 Мудрец, Особое родство")</f>
        <v>Магическая атака: 20 Физическая защита: 2 Сопротивление магии: 40 Мудрец, Особое родство</v>
      </c>
      <c r="O45" s="340" t="s">
        <v>5229</v>
      </c>
      <c r="P45" s="323" t="s">
        <v>5230</v>
      </c>
      <c r="Q45" s="343" t="s">
        <v>5231</v>
      </c>
      <c r="R45" s="344" t="s">
        <v>5232</v>
      </c>
      <c r="S45" s="17"/>
      <c r="T45" s="17"/>
      <c r="U45" s="17"/>
      <c r="V45" s="17"/>
      <c r="W45" s="17"/>
      <c r="X45" s="17"/>
      <c r="Y45" s="17"/>
      <c r="Z45" s="17"/>
    </row>
    <row r="46">
      <c r="A46" s="340" t="s">
        <v>5233</v>
      </c>
      <c r="B46" s="323" t="s">
        <v>5234</v>
      </c>
      <c r="C46" s="352" t="s">
        <v>5235</v>
      </c>
      <c r="D46" s="353" t="str">
        <f>IFERROR(__xludf.DUMMYFUNCTION("GOOGLETRANSLATE(B46,""zh-tw"",""ja"")"),"魔法耐性: 10
幸運: 10
晴れの日 2")</f>
        <v>魔法耐性: 10
幸運: 10
晴れの日 2</v>
      </c>
      <c r="E46" s="339" t="s">
        <v>5236</v>
      </c>
      <c r="F46" s="167" t="s">
        <v>5237</v>
      </c>
      <c r="G46" s="341" t="str">
        <f>IFERROR(__xludf.DUMMYFUNCTION("GOOGLETRANSLATE(A46,""zh-tw"",""zh"")"),"晴天娃娃")</f>
        <v>晴天娃娃</v>
      </c>
      <c r="H46" s="168" t="str">
        <f>IFERROR(__xludf.DUMMYFUNCTION("GOOGLETRANSLATE(B46,""zh-tw"",""zh"")"),"魔抗：10
幸运：10
第二天晴天")</f>
        <v>魔抗：10
幸运：10
第二天晴天</v>
      </c>
      <c r="I46" s="339" t="s">
        <v>5236</v>
      </c>
      <c r="J46" s="168" t="str">
        <f>IFERROR(__xludf.DUMMYFUNCTION("GOOGLETRANSLATE(B46,""zh-tw"",""es-MX"")"),"Resistencia Mágica: 10
Suerte: 10
Día Soleado 2")</f>
        <v>Resistencia Mágica: 10
Suerte: 10
Día Soleado 2</v>
      </c>
      <c r="K46" s="339" t="s">
        <v>5238</v>
      </c>
      <c r="L46" s="167" t="s">
        <v>5239</v>
      </c>
      <c r="M46" s="342" t="str">
        <f>IFERROR(__xludf.DUMMYFUNCTION("GOOGLETRANSLATE(A46,""zh-tw"",""ru"")"),"Солнечная кукла")</f>
        <v>Солнечная кукла</v>
      </c>
      <c r="N46" s="321" t="str">
        <f>IFERROR(__xludf.DUMMYFUNCTION("GOOGLETRANSLATE(B46,""zh-tw"",""ru"")"),"Сопротивление магии: 10
Удача: 10
Солнечный день 2")</f>
        <v>Сопротивление магии: 10
Удача: 10
Солнечный день 2</v>
      </c>
      <c r="O46" s="340" t="s">
        <v>5240</v>
      </c>
      <c r="P46" s="323" t="s">
        <v>5241</v>
      </c>
      <c r="Q46" s="355" t="s">
        <v>5242</v>
      </c>
      <c r="R46" s="344" t="s">
        <v>5243</v>
      </c>
      <c r="S46" s="17"/>
      <c r="T46" s="17"/>
      <c r="U46" s="17"/>
      <c r="V46" s="17"/>
      <c r="W46" s="17"/>
      <c r="X46" s="17"/>
      <c r="Y46" s="17"/>
      <c r="Z46" s="17"/>
    </row>
    <row r="47">
      <c r="A47" s="340" t="s">
        <v>5244</v>
      </c>
      <c r="B47" s="323" t="s">
        <v>5245</v>
      </c>
      <c r="C47" s="352" t="s">
        <v>5246</v>
      </c>
      <c r="D47" s="353" t="str">
        <f>IFERROR(__xludf.DUMMYFUNCTION("GOOGLETRANSLATE(B47,""zh-tw"",""ja"")"),"魔法耐性：10
幸運：10
2日目は曇りでした。")</f>
        <v>魔法耐性：10
幸運：10
2日目は曇りでした。</v>
      </c>
      <c r="E47" s="339" t="s">
        <v>5247</v>
      </c>
      <c r="F47" s="167" t="s">
        <v>5248</v>
      </c>
      <c r="G47" s="341" t="str">
        <f>IFERROR(__xludf.DUMMYFUNCTION("GOOGLETRANSLATE(A47,""zh-tw"",""zh"")"),"阴天娃娃")</f>
        <v>阴天娃娃</v>
      </c>
      <c r="H47" s="168" t="str">
        <f>IFERROR(__xludf.DUMMYFUNCTION("GOOGLETRANSLATE(B47,""zh-tw"",""zh"")"),"魔抗：10
幸运：10
第二天阴天")</f>
        <v>魔抗：10
幸运：10
第二天阴天</v>
      </c>
      <c r="I47" s="339" t="s">
        <v>5247</v>
      </c>
      <c r="J47" s="168" t="str">
        <f>IFERROR(__xludf.DUMMYFUNCTION("GOOGLETRANSLATE(B47,""zh-tw"",""es-MX"")"),"Resistencia mágica: 10
Suerte: 10
El segundo día estuvo nublado.")</f>
        <v>Resistencia mágica: 10
Suerte: 10
El segundo día estuvo nublado.</v>
      </c>
      <c r="K47" s="340" t="s">
        <v>5249</v>
      </c>
      <c r="L47" s="167" t="s">
        <v>5250</v>
      </c>
      <c r="M47" s="342" t="str">
        <f>IFERROR(__xludf.DUMMYFUNCTION("GOOGLETRANSLATE(A47,""zh-tw"",""ru"")"),"Облачная кукла")</f>
        <v>Облачная кукла</v>
      </c>
      <c r="N47" s="321" t="str">
        <f>IFERROR(__xludf.DUMMYFUNCTION("GOOGLETRANSLATE(B47,""zh-tw"",""ru"")"),"Сопротивление магии: 10
Удача: 10
Второй день был облачным.")</f>
        <v>Сопротивление магии: 10
Удача: 10
Второй день был облачным.</v>
      </c>
      <c r="O47" s="340" t="s">
        <v>5251</v>
      </c>
      <c r="P47" s="323" t="s">
        <v>5252</v>
      </c>
      <c r="Q47" s="355" t="s">
        <v>5253</v>
      </c>
      <c r="R47" s="344" t="s">
        <v>5254</v>
      </c>
      <c r="S47" s="17"/>
      <c r="T47" s="17"/>
      <c r="U47" s="17"/>
      <c r="V47" s="17"/>
      <c r="W47" s="17"/>
      <c r="X47" s="17"/>
      <c r="Y47" s="17"/>
      <c r="Z47" s="17"/>
    </row>
    <row r="48">
      <c r="A48" s="340" t="s">
        <v>5255</v>
      </c>
      <c r="B48" s="323" t="s">
        <v>5256</v>
      </c>
      <c r="C48" s="352" t="s">
        <v>5257</v>
      </c>
      <c r="D48" s="353" t="str">
        <f>IFERROR(__xludf.DUMMYFUNCTION("GOOGLETRANSLATE(B48,""zh-tw"",""ja"")"),"魔法耐性：10
幸運：10
翌日は雨だった。")</f>
        <v>魔法耐性：10
幸運：10
翌日は雨だった。</v>
      </c>
      <c r="E48" s="339" t="s">
        <v>5258</v>
      </c>
      <c r="F48" s="167" t="s">
        <v>5259</v>
      </c>
      <c r="G48" s="341" t="str">
        <f>IFERROR(__xludf.DUMMYFUNCTION("GOOGLETRANSLATE(A48,""zh-tw"",""zh"")"),"雨天娃娃")</f>
        <v>雨天娃娃</v>
      </c>
      <c r="H48" s="168" t="str">
        <f>IFERROR(__xludf.DUMMYFUNCTION("GOOGLETRANSLATE(B48,""zh-tw"",""zh"")"),"魔抗：10
幸运：10
第二天雨天")</f>
        <v>魔抗：10
幸运：10
第二天雨天</v>
      </c>
      <c r="I48" s="339" t="s">
        <v>5258</v>
      </c>
      <c r="J48" s="168" t="str">
        <f>IFERROR(__xludf.DUMMYFUNCTION("GOOGLETRANSLATE(B48,""zh-tw"",""es-MX"")"),"Resistencia mágica: 10
Suerte: 10
Al día siguiente llovió.")</f>
        <v>Resistencia mágica: 10
Suerte: 10
Al día siguiente llovió.</v>
      </c>
      <c r="K48" s="339" t="s">
        <v>5260</v>
      </c>
      <c r="L48" s="167" t="s">
        <v>5261</v>
      </c>
      <c r="M48" s="342" t="str">
        <f>IFERROR(__xludf.DUMMYFUNCTION("GOOGLETRANSLATE(A48,""zh-tw"",""ru"")"),"Кукла Дождливый День")</f>
        <v>Кукла Дождливый День</v>
      </c>
      <c r="N48" s="321" t="str">
        <f>IFERROR(__xludf.DUMMYFUNCTION("GOOGLETRANSLATE(B48,""zh-tw"",""ru"")"),"Сопротивление магии: 10
Удача: 10
Следующий день выдался дождливым.")</f>
        <v>Сопротивление магии: 10
Удача: 10
Следующий день выдался дождливым.</v>
      </c>
      <c r="O48" s="340" t="s">
        <v>5262</v>
      </c>
      <c r="P48" s="323" t="s">
        <v>5263</v>
      </c>
      <c r="Q48" s="355" t="s">
        <v>5264</v>
      </c>
      <c r="R48" s="344" t="s">
        <v>5265</v>
      </c>
      <c r="S48" s="17"/>
      <c r="T48" s="17"/>
      <c r="U48" s="17"/>
      <c r="V48" s="17"/>
      <c r="W48" s="17"/>
      <c r="X48" s="17"/>
      <c r="Y48" s="17"/>
      <c r="Z48" s="17"/>
    </row>
    <row r="49">
      <c r="A49" s="339" t="s">
        <v>5266</v>
      </c>
      <c r="B49" s="167" t="s">
        <v>5267</v>
      </c>
      <c r="C49" s="352" t="s">
        <v>5266</v>
      </c>
      <c r="D49" s="353" t="str">
        <f>IFERROR(__xludf.DUMMYFUNCTION("GOOGLETRANSLATE(B49,""zh-tw"",""ja"")"),"物理防御力: 1
魔法耐性: 10
幸運: 5
最大スタミナを増加")</f>
        <v>物理防御力: 1
魔法耐性: 10
幸運: 5
最大スタミナを増加</v>
      </c>
      <c r="E49" s="339" t="s">
        <v>5268</v>
      </c>
      <c r="F49" s="167" t="s">
        <v>5269</v>
      </c>
      <c r="G49" s="341" t="str">
        <f>IFERROR(__xludf.DUMMYFUNCTION("GOOGLETRANSLATE(A49,""zh-tw"",""zh"")"),"芳草心")</f>
        <v>芳草心</v>
      </c>
      <c r="H49" s="168" t="str">
        <f>IFERROR(__xludf.DUMMYFUNCTION("GOOGLETRANSLATE(B49,""zh-tw"",""zh"")"),"物防：1
魔抗：10
幸运：5
提升最大体力")</f>
        <v>物防：1
魔抗：10
幸运：5
提升最大体力</v>
      </c>
      <c r="I49" s="341" t="str">
        <f>IFERROR(__xludf.DUMMYFUNCTION("GOOGLETRANSLATE(A49,""zh-tw"",""es-MX"")"),"Corazón de hierba fragante")</f>
        <v>Corazón de hierba fragante</v>
      </c>
      <c r="J49" s="168" t="str">
        <f>IFERROR(__xludf.DUMMYFUNCTION("GOOGLETRANSLATE(B49,""zh-tw"",""es-MX"")"),"Defensa física: 1
Resistencia mágica: 10
Suerte: 5
Aumenta la resistencia máxima")</f>
        <v>Defensa física: 1
Resistencia mágica: 10
Suerte: 5
Aumenta la resistencia máxima</v>
      </c>
      <c r="K49" s="339" t="s">
        <v>5270</v>
      </c>
      <c r="L49" s="167" t="s">
        <v>5271</v>
      </c>
      <c r="M49" s="342" t="str">
        <f>IFERROR(__xludf.DUMMYFUNCTION("GOOGLETRANSLATE(A49,""zh-tw"",""ru"")"),"Сердце ароматной травы")</f>
        <v>Сердце ароматной травы</v>
      </c>
      <c r="N49" s="321"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40" t="s">
        <v>5272</v>
      </c>
      <c r="P49" s="323" t="s">
        <v>5273</v>
      </c>
      <c r="Q49" s="343" t="s">
        <v>5274</v>
      </c>
      <c r="R49" s="344" t="s">
        <v>5275</v>
      </c>
      <c r="S49" s="17"/>
      <c r="T49" s="17"/>
      <c r="U49" s="17"/>
      <c r="V49" s="17"/>
      <c r="W49" s="17"/>
      <c r="X49" s="17"/>
      <c r="Y49" s="17"/>
      <c r="Z49" s="17"/>
    </row>
    <row r="50">
      <c r="A50" s="339" t="s">
        <v>4232</v>
      </c>
      <c r="B50" s="167" t="s">
        <v>5276</v>
      </c>
      <c r="C50" s="352" t="s">
        <v>4234</v>
      </c>
      <c r="D50" s="353" t="str">
        <f>IFERROR(__xludf.DUMMYFUNCTION("GOOGLETRANSLATE(B50,""zh-tw"",""ja"")"),"魔法耐性: 30 回復不能、7秒間無敵")</f>
        <v>魔法耐性: 30 回復不能、7秒間無敵</v>
      </c>
      <c r="E50" s="339" t="s">
        <v>4236</v>
      </c>
      <c r="F50" s="167" t="s">
        <v>5277</v>
      </c>
      <c r="G50" s="341" t="str">
        <f>IFERROR(__xludf.DUMMYFUNCTION("GOOGLETRANSLATE(A50,""zh-tw"",""zh"")"),"稻草人的心")</f>
        <v>稻草人的心</v>
      </c>
      <c r="H50" s="168" t="str">
        <f>IFERROR(__xludf.DUMMYFUNCTION("GOOGLETRANSLATE(B50,""zh-tw"",""zh"")"),"魔抗：30
无法回复、免死7秒")</f>
        <v>魔抗：30
无法回复、免死7秒</v>
      </c>
      <c r="I50" s="341" t="str">
        <f>IFERROR(__xludf.DUMMYFUNCTION("GOOGLETRANSLATE(A50,""zh-tw"",""es-MX"")"),"El corazón del espantapájaros")</f>
        <v>El corazón del espantapájaros</v>
      </c>
      <c r="J50" s="168" t="str">
        <f>IFERROR(__xludf.DUMMYFUNCTION("GOOGLETRANSLATE(B50,""zh-tw"",""es-MX"")"),"Resistencia mágica: 30. Incapaz de recuperarse, invulnerable durante 7 segundos.")</f>
        <v>Resistencia mágica: 30. Incapaz de recuperarse, invulnerable durante 7 segundos.</v>
      </c>
      <c r="K50" s="339" t="s">
        <v>4238</v>
      </c>
      <c r="L50" s="167" t="s">
        <v>5278</v>
      </c>
      <c r="M50" s="342" t="str">
        <f>IFERROR(__xludf.DUMMYFUNCTION("GOOGLETRANSLATE(A50,""zh-tw"",""ru"")"),"Сердце пугала")</f>
        <v>Сердце пугала</v>
      </c>
      <c r="N50" s="321" t="str">
        <f>IFERROR(__xludf.DUMMYFUNCTION("GOOGLETRANSLATE(B50,""zh-tw"",""ru"")"),"Сопротивление магии: 30 Невозможно восстановиться, неуязвим в течение 7 секунд.")</f>
        <v>Сопротивление магии: 30 Невозможно восстановиться, неуязвим в течение 7 секунд.</v>
      </c>
      <c r="O50" s="340" t="s">
        <v>4240</v>
      </c>
      <c r="P50" s="323" t="s">
        <v>5279</v>
      </c>
      <c r="Q50" s="343" t="s">
        <v>4242</v>
      </c>
      <c r="R50" s="344" t="s">
        <v>5280</v>
      </c>
      <c r="S50" s="17"/>
      <c r="T50" s="17"/>
      <c r="U50" s="17"/>
      <c r="V50" s="17"/>
      <c r="W50" s="17"/>
      <c r="X50" s="17"/>
      <c r="Y50" s="17"/>
      <c r="Z50" s="17"/>
    </row>
    <row r="51">
      <c r="A51" s="339" t="s">
        <v>5281</v>
      </c>
      <c r="B51" s="167" t="s">
        <v>5282</v>
      </c>
      <c r="C51" s="354" t="str">
        <f>IFERROR(__xludf.DUMMYFUNCTION("GOOGLETRANSLATE(A51,""zh-tw"",""ja"")"),"貯金箱")</f>
        <v>貯金箱</v>
      </c>
      <c r="D51" s="353" t="str">
        <f>IFERROR(__xludf.DUMMYFUNCTION("GOOGLETRANSLATE(B51,""zh-tw"",""ja"")"),"幸運: 40 お金を見つける (100万で進化)、壊れやすい")</f>
        <v>幸運: 40 お金を見つける (100万で進化)、壊れやすい</v>
      </c>
      <c r="E51" s="339" t="s">
        <v>5283</v>
      </c>
      <c r="F51" s="167" t="s">
        <v>5284</v>
      </c>
      <c r="G51" s="341" t="str">
        <f>IFERROR(__xludf.DUMMYFUNCTION("GOOGLETRANSLATE(A51,""zh-tw"",""zh"")"),"猪猪存钱罐")</f>
        <v>猪猪存钱罐</v>
      </c>
      <c r="H51" s="168" t="str">
        <f>IFERROR(__xludf.DUMMYFUNCTION("GOOGLETRANSLATE(B51,""zh-tw"",""zh"")"),"幸运：40
捡钱(100万进化)、易碎")</f>
        <v>幸运：40
捡钱(100万进化)、易碎</v>
      </c>
      <c r="I51" s="341" t="str">
        <f>IFERROR(__xludf.DUMMYFUNCTION("GOOGLETRANSLATE(A51,""zh-tw"",""es-MX"")"),"Hucha")</f>
        <v>Hucha</v>
      </c>
      <c r="J51" s="168" t="str">
        <f>IFERROR(__xludf.DUMMYFUNCTION("GOOGLETRANSLATE(B51,""zh-tw"",""es-MX"")"),"Suerte: 40 Encontrar dinero (Evoluciona con 1 millón), Frágil")</f>
        <v>Suerte: 40 Encontrar dinero (Evoluciona con 1 millón), Frágil</v>
      </c>
      <c r="K51" s="341" t="str">
        <f>IFERROR(__xludf.DUMMYFUNCTION("GOOGLETRANSLATE(A51,""zh-tw"",""KO"")"),"돼지 저금통")</f>
        <v>돼지 저금통</v>
      </c>
      <c r="L51" s="167" t="s">
        <v>5285</v>
      </c>
      <c r="M51" s="342" t="str">
        <f>IFERROR(__xludf.DUMMYFUNCTION("GOOGLETRANSLATE(A51,""zh-tw"",""ru"")"),"Копилка")</f>
        <v>Копилка</v>
      </c>
      <c r="N51" s="321" t="str">
        <f>IFERROR(__xludf.DUMMYFUNCTION("GOOGLETRANSLATE(B51,""zh-tw"",""ru"")"),"Удача: 40 Найти деньги (Эволюция с 1 миллионом), Хрупкий")</f>
        <v>Удача: 40 Найти деньги (Эволюция с 1 миллионом), Хрупкий</v>
      </c>
      <c r="O51" s="340" t="s">
        <v>5286</v>
      </c>
      <c r="P51" s="323" t="s">
        <v>5287</v>
      </c>
      <c r="Q51" s="343" t="s">
        <v>5288</v>
      </c>
      <c r="R51" s="344" t="s">
        <v>5289</v>
      </c>
      <c r="S51" s="17"/>
      <c r="T51" s="17"/>
      <c r="U51" s="17"/>
      <c r="V51" s="17"/>
      <c r="W51" s="17"/>
      <c r="X51" s="17"/>
      <c r="Y51" s="17"/>
      <c r="Z51" s="17"/>
    </row>
    <row r="52">
      <c r="A52" s="339" t="s">
        <v>5290</v>
      </c>
      <c r="B52" s="167" t="s">
        <v>5291</v>
      </c>
      <c r="C52" s="354" t="str">
        <f>IFERROR(__xludf.DUMMYFUNCTION("GOOGLETRANSLATE(A52,""zh-tw"",""ja"")"),"貪欲な貯金箱")</f>
        <v>貪欲な貯金箱</v>
      </c>
      <c r="D52" s="353" t="str">
        <f>IFERROR(__xludf.DUMMYFUNCTION("GOOGLETRANSLATE(B52,""zh-tw"",""ja"")"),"幸運：マネー100拾得、マモンオーラ、破壊不能、移動速度アップ
（聖杯と連携可能）")</f>
        <v>幸運：マネー100拾得、マモンオーラ、破壊不能、移動速度アップ
（聖杯と連携可能）</v>
      </c>
      <c r="E52" s="339" t="s">
        <v>5292</v>
      </c>
      <c r="F52" s="168" t="str">
        <f>IFERROR(__xludf.DUMMYFUNCTION("GOOGLETRANSLATE(B52,""zh-tw"",""en"")"),"Luck: 100 Money Pickup, Mammon Aura, Indestructible, Increased Movement Speed
(Can be linked with the Holy Grail)")</f>
        <v>Luck: 100 Money Pickup, Mammon Aura, Indestructible, Increased Movement Speed
(Can be linked with the Holy Grail)</v>
      </c>
      <c r="G52" s="341" t="str">
        <f>IFERROR(__xludf.DUMMYFUNCTION("GOOGLETRANSLATE(A52,""zh-tw"",""zh"")"),"贪欲存钱罐")</f>
        <v>贪欲存钱罐</v>
      </c>
      <c r="H52" s="168" t="str">
        <f>IFERROR(__xludf.DUMMYFUNCTION("GOOGLETRANSLATE(B52,""zh-tw"",""zh"")"),"幸运：100
捡钱、玛门光环、坚不可摧、移动加快
(可以与黄金圣杯连动)")</f>
        <v>幸运：100
捡钱、玛门光环、坚不可摧、移动加快
(可以与黄金圣杯连动)</v>
      </c>
      <c r="I52" s="341" t="str">
        <f>IFERROR(__xludf.DUMMYFUNCTION("GOOGLETRANSLATE(A52,""zh-tw"",""es-MX"")"),"Alcancía codiciosa")</f>
        <v>Alcancía codiciosa</v>
      </c>
      <c r="J52" s="168" t="str">
        <f>IFERROR(__xludf.DUMMYFUNCTION("GOOGLETRANSLATE(B52,""zh-tw"",""es-MX"")"),"Suerte: Recogida de dinero: 100, Aura de Mammon, Indestructible, Velocidad de movimiento aumentada
(Puede vincularse con el Santo Grial)")</f>
        <v>Suerte: Recogida de dinero: 100, Aura de Mammon, Indestructible, Velocidad de movimiento aumentada
(Puede vincularse con el Santo Grial)</v>
      </c>
      <c r="K52" s="341" t="str">
        <f>IFERROR(__xludf.DUMMYFUNCTION("GOOGLETRANSLATE(A52,""zh-tw"",""KO"")"),"탐욕스러운 돼지 저금통")</f>
        <v>탐욕스러운 돼지 저금통</v>
      </c>
      <c r="L52" s="167" t="s">
        <v>5293</v>
      </c>
      <c r="M52" s="342" t="str">
        <f>IFERROR(__xludf.DUMMYFUNCTION("GOOGLETRANSLATE(A52,""zh-tw"",""ru"")"),"Жадная копилка")</f>
        <v>Жадная копилка</v>
      </c>
      <c r="N52" s="321" t="str">
        <f>IFERROR(__xludf.DUMMYFUNCTION("GOOGLETRANSLATE(B52,""zh-tw"",""ru"")"),"Удача: 100 ед. сбора денег, Аура Маммона, Неуязвимость, Увеличение скорости передвижения
(Можно связать со Святым Граалем)")</f>
        <v>Удача: 100 ед. сбора денег, Аура Маммона, Неуязвимость, Увеличение скорости передвижения
(Можно связать со Святым Граалем)</v>
      </c>
      <c r="O52" s="340" t="s">
        <v>5294</v>
      </c>
      <c r="P52" s="323" t="s">
        <v>5295</v>
      </c>
      <c r="Q52" s="343" t="s">
        <v>5296</v>
      </c>
      <c r="R52" s="344" t="s">
        <v>5297</v>
      </c>
      <c r="S52" s="17"/>
      <c r="T52" s="17"/>
      <c r="U52" s="17"/>
      <c r="V52" s="17"/>
      <c r="W52" s="17"/>
      <c r="X52" s="17"/>
      <c r="Y52" s="17"/>
      <c r="Z52" s="17"/>
    </row>
    <row r="53">
      <c r="A53" s="339" t="s">
        <v>5298</v>
      </c>
      <c r="B53" s="167" t="s">
        <v>5299</v>
      </c>
      <c r="C53" s="352" t="s">
        <v>5300</v>
      </c>
      <c r="D53" s="353"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39" t="s">
        <v>5301</v>
      </c>
      <c r="F53" s="167" t="s">
        <v>5302</v>
      </c>
      <c r="G53" s="341" t="str">
        <f>IFERROR(__xludf.DUMMYFUNCTION("GOOGLETRANSLATE(A53,""zh-tw"",""zh"")"),"王权之令")</f>
        <v>王权之令</v>
      </c>
      <c r="H53" s="168"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41" t="str">
        <f>IFERROR(__xludf.DUMMYFUNCTION("GOOGLETRANSLATE(A53,""zh-tw"",""es-MX"")"),"Orden Real")</f>
        <v>Orden Real</v>
      </c>
      <c r="J53" s="168" t="str">
        <f>IFERROR(__xludf.DUMMYFUNCTION("GOOGLETRANSLATE(B53,""zh-tw"",""es-MX"")"),"Aumenta el tamaño y el poder del Sirviente, y mejora todas sus estadísticas.
Puño de Furia: Aumenta el daño y el alcance de repulsión.
Cuchillo Envenenado: Aumenta la probabilidad de envenenar.
Hucha: Mayor resistencia a la rotura.
Hucha Codiciosa: Au"&amp;"menta el alcance de detección y el radio del aura.
Mano Maldita de Cherish: Aumenta los efectos negativos y difumina los dedos (aún no implementado).
◉▽◉: Aumenta el tamaño, el daño y la repulsión (los efectos de repulsión no se acumulan).
(La Gaviota "&amp;"no es compatible actualmente).")</f>
        <v>Aumenta el tamaño y el poder del Sirviente, y mejora todas sus estadísticas.
Puño de Furia: Aumenta el daño y el alcance de repulsión.
Cuchillo Envenenado: Aumenta la probabilidad de envenenar.
Hucha: Mayor resistencia a la rotura.
Hucha Codiciosa: Aumenta el alcance de detección y el radio del aura.
Mano Maldita de Cherish: Aumenta los efectos negativos y difumina los dedos (aún no implementado).
◉▽◉: Aumenta el tamaño, el daño y la repulsión (los efectos de repulsión no se acumulan).
(La Gaviota no es compatible actualmente).</v>
      </c>
      <c r="K53" s="341" t="str">
        <f>IFERROR(__xludf.DUMMYFUNCTION("GOOGLETRANSLATE(A53,""zh-tw"",""KO"")"),"칙령")</f>
        <v>칙령</v>
      </c>
      <c r="L53" s="167" t="s">
        <v>5303</v>
      </c>
      <c r="M53" s="342" t="str">
        <f>IFERROR(__xludf.DUMMYFUNCTION("GOOGLETRANSLATE(A53,""zh-tw"",""ru"")"),"Королевский орден")</f>
        <v>Королевский орден</v>
      </c>
      <c r="N53" s="321"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40" t="s">
        <v>5304</v>
      </c>
      <c r="P53" s="323" t="s">
        <v>5305</v>
      </c>
      <c r="Q53" s="343" t="s">
        <v>5306</v>
      </c>
      <c r="R53" s="170" t="s">
        <v>5307</v>
      </c>
      <c r="S53" s="17"/>
      <c r="T53" s="17"/>
      <c r="U53" s="17"/>
      <c r="V53" s="17"/>
      <c r="W53" s="17"/>
      <c r="X53" s="17"/>
      <c r="Y53" s="17"/>
      <c r="Z53" s="17"/>
    </row>
    <row r="54">
      <c r="A54" s="339" t="s">
        <v>5308</v>
      </c>
      <c r="B54" s="167" t="s">
        <v>5309</v>
      </c>
      <c r="C54" s="352" t="s">
        <v>5310</v>
      </c>
      <c r="D54" s="167" t="s">
        <v>5311</v>
      </c>
      <c r="E54" s="339" t="s">
        <v>5312</v>
      </c>
      <c r="F54" s="167" t="s">
        <v>5313</v>
      </c>
      <c r="G54" s="341" t="str">
        <f>IFERROR(__xludf.DUMMYFUNCTION("GOOGLETRANSLATE(A54,""zh-tw"",""zh"")"),"猫猫玩偶服")</f>
        <v>猫猫玩偶服</v>
      </c>
      <c r="H54" s="168" t="str">
        <f>IFERROR(__xludf.DUMMYFUNCTION("GOOGLETRANSLATE(B54,""zh-tw"",""zh"")"),"物防：3
魔抗：25
武器数量+10
装备数量+20")</f>
        <v>物防：3
魔抗：25
武器数量+10
装备数量+20</v>
      </c>
      <c r="I54" s="339" t="s">
        <v>5314</v>
      </c>
      <c r="J54" s="168" t="str">
        <f>IFERROR(__xludf.DUMMYFUNCTION("GOOGLETRANSLATE(B54,""zh-tw"",""es-MX"")"),"Defensa física: 3
Resistencia mágica: 25
Cantidad de armas: +10
Cantidad de equipo: +20")</f>
        <v>Defensa física: 3
Resistencia mágica: 25
Cantidad de armas: +10
Cantidad de equipo: +20</v>
      </c>
      <c r="K54" s="341" t="str">
        <f>IFERROR(__xludf.DUMMYFUNCTION("GOOGLETRANSLATE(A54,""zh-tw"",""KO"")"),"고양이 의상")</f>
        <v>고양이 의상</v>
      </c>
      <c r="L54" s="167" t="s">
        <v>5315</v>
      </c>
      <c r="M54" s="342" t="str">
        <f>IFERROR(__xludf.DUMMYFUNCTION("GOOGLETRANSLATE(A54,""zh-tw"",""ru"")"),"Костюм кошки")</f>
        <v>Костюм кошки</v>
      </c>
      <c r="N54" s="321"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40" t="s">
        <v>5316</v>
      </c>
      <c r="P54" s="323" t="s">
        <v>5317</v>
      </c>
      <c r="Q54" s="343" t="s">
        <v>5318</v>
      </c>
      <c r="R54" s="344" t="s">
        <v>5319</v>
      </c>
      <c r="S54" s="17"/>
      <c r="T54" s="17"/>
      <c r="U54" s="17"/>
      <c r="V54" s="17"/>
      <c r="W54" s="17"/>
      <c r="X54" s="17"/>
      <c r="Y54" s="17"/>
      <c r="Z54" s="17"/>
    </row>
    <row r="55">
      <c r="A55" s="339" t="s">
        <v>4270</v>
      </c>
      <c r="B55" s="167" t="s">
        <v>5320</v>
      </c>
      <c r="C55" s="354" t="str">
        <f>IFERROR(__xludf.DUMMYFUNCTION("GOOGLETRANSLATE(A55,""zh-tw"",""ja"")"),"溶岩リング")</f>
        <v>溶岩リング</v>
      </c>
      <c r="D55" s="353" t="str">
        <f>IFERROR(__xludf.DUMMYFUNCTION("GOOGLETRANSLATE(B55,""zh-tw"",""ja"")"),"物理防御力: 2
魔法攻撃力: 15
魔法耐性: 60
凍結と燃焼の確率が減少")</f>
        <v>物理防御力: 2
魔法攻撃力: 15
魔法耐性: 60
凍結と燃焼の確率が減少</v>
      </c>
      <c r="E55" s="339" t="s">
        <v>4274</v>
      </c>
      <c r="F55" s="167" t="s">
        <v>5321</v>
      </c>
      <c r="G55" s="341" t="str">
        <f>IFERROR(__xludf.DUMMYFUNCTION("GOOGLETRANSLATE(A55,""zh-tw"",""zh"")"),"熔岩戒指")</f>
        <v>熔岩戒指</v>
      </c>
      <c r="H55" s="168" t="str">
        <f>IFERROR(__xludf.DUMMYFUNCTION("GOOGLETRANSLATE(B55,""zh-tw"",""zh"")"),"物防：2
魔功：15
魔抗：60
降低结冰、炎上的机率")</f>
        <v>物防：2
魔功：15
魔抗：60
降低结冰、炎上的机率</v>
      </c>
      <c r="I55" s="341" t="str">
        <f>IFERROR(__xludf.DUMMYFUNCTION("GOOGLETRANSLATE(A55,""zh-tw"",""es-MX"")"),"Anillo de lava")</f>
        <v>Anillo de lava</v>
      </c>
      <c r="J55" s="168" t="str">
        <f>IFERROR(__xludf.DUMMYFUNCTION("GOOGLETRANSLATE(B55,""zh-tw"",""es-MX"")"),"Defensa física: 2
Poder mágico: 15
Resistencia mágica: 60
Menor probabilidad de congelación y quemaduras")</f>
        <v>Defensa física: 2
Poder mágico: 15
Resistencia mágica: 60
Menor probabilidad de congelación y quemaduras</v>
      </c>
      <c r="K55" s="339" t="s">
        <v>4275</v>
      </c>
      <c r="L55" s="167" t="s">
        <v>5322</v>
      </c>
      <c r="M55" s="342" t="str">
        <f>IFERROR(__xludf.DUMMYFUNCTION("GOOGLETRANSLATE(A55,""zh-tw"",""ru"")"),"Кольцо лавы")</f>
        <v>Кольцо лавы</v>
      </c>
      <c r="N55" s="321"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40" t="s">
        <v>4277</v>
      </c>
      <c r="P55" s="323" t="s">
        <v>5323</v>
      </c>
      <c r="Q55" s="343" t="s">
        <v>5324</v>
      </c>
      <c r="R55" s="344" t="s">
        <v>5325</v>
      </c>
      <c r="S55" s="17"/>
      <c r="T55" s="17"/>
      <c r="U55" s="17"/>
      <c r="V55" s="17"/>
      <c r="W55" s="17"/>
      <c r="X55" s="17"/>
      <c r="Y55" s="17"/>
      <c r="Z55" s="17"/>
    </row>
    <row r="56">
      <c r="A56" s="339" t="s">
        <v>5326</v>
      </c>
      <c r="B56" s="323" t="s">
        <v>5327</v>
      </c>
      <c r="C56" s="352" t="s">
        <v>5328</v>
      </c>
      <c r="D56" s="190" t="s">
        <v>5329</v>
      </c>
      <c r="E56" s="339" t="s">
        <v>5330</v>
      </c>
      <c r="F56" s="167" t="s">
        <v>5331</v>
      </c>
      <c r="G56" s="341" t="str">
        <f>IFERROR(__xludf.DUMMYFUNCTION("GOOGLETRANSLATE(A56,""zh-tw"",""zh"")"),"炎天娃娃")</f>
        <v>炎天娃娃</v>
      </c>
      <c r="H56" s="168" t="str">
        <f>IFERROR(__xludf.DUMMYFUNCTION("GOOGLETRANSLATE(B56,""zh-tw"",""zh"")"),"魔抗：10
幸运：10
第二天炎热")</f>
        <v>魔抗：10
幸运：10
第二天炎热</v>
      </c>
      <c r="I56" s="339" t="s">
        <v>5330</v>
      </c>
      <c r="J56" s="168" t="str">
        <f>IFERROR(__xludf.DUMMYFUNCTION("GOOGLETRANSLATE(B56,""zh-tw"",""es-MX"")"),"Resistencia Mágica: 10
Suerte: 10
El día siguiente hizo calor.")</f>
        <v>Resistencia Mágica: 10
Suerte: 10
El día siguiente hizo calor.</v>
      </c>
      <c r="K56" s="341" t="str">
        <f>IFERROR(__xludf.DUMMYFUNCTION("GOOGLETRANSLATE(A56,""zh-tw"",""KO"")"),"불꽃 인형")</f>
        <v>불꽃 인형</v>
      </c>
      <c r="L56" s="168" t="str">
        <f>IFERROR(__xludf.DUMMYFUNCTION("GOOGLETRANSLATE(B56,""zh-tw"",""KO"")"),"마법 저항력: 10
행운: 10
다음 날은 더웠다.")</f>
        <v>마법 저항력: 10
행운: 10
다음 날은 더웠다.</v>
      </c>
      <c r="M56" s="342" t="str">
        <f>IFERROR(__xludf.DUMMYFUNCTION("GOOGLETRANSLATE(A56,""zh-tw"",""ru"")"),"Кукла Пламени")</f>
        <v>Кукла Пламени</v>
      </c>
      <c r="N56" s="321"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40" t="s">
        <v>5332</v>
      </c>
      <c r="P56" s="323" t="s">
        <v>5333</v>
      </c>
      <c r="Q56" s="355" t="s">
        <v>5334</v>
      </c>
      <c r="R56" s="344" t="s">
        <v>5335</v>
      </c>
      <c r="S56" s="17"/>
      <c r="T56" s="17"/>
      <c r="U56" s="17"/>
      <c r="V56" s="17"/>
      <c r="W56" s="17"/>
      <c r="X56" s="17"/>
      <c r="Y56" s="17"/>
      <c r="Z56" s="17"/>
    </row>
    <row r="57">
      <c r="A57" s="339" t="s">
        <v>5336</v>
      </c>
      <c r="B57" s="167" t="s">
        <v>5337</v>
      </c>
      <c r="C57" s="352" t="s">
        <v>5338</v>
      </c>
      <c r="D57" s="353" t="str">
        <f>IFERROR(__xludf.DUMMYFUNCTION("GOOGLETRANSLATE(B57,""zh-tw"",""ja"")"),"物理攻撃力：6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f>
        <v>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v>
      </c>
      <c r="E57" s="339" t="s">
        <v>5339</v>
      </c>
      <c r="F57" s="167" t="s">
        <v>5340</v>
      </c>
      <c r="G57" s="341" t="str">
        <f>IFERROR(__xludf.DUMMYFUNCTION("GOOGLETRANSLATE(A57,""zh-tw"",""zh"")"),"破颜拳套")</f>
        <v>破颜拳套</v>
      </c>
      <c r="H57" s="168"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56" t="s">
        <v>5341</v>
      </c>
      <c r="J57" s="357" t="s">
        <v>5342</v>
      </c>
      <c r="K57" s="341" t="str">
        <f>IFERROR(__xludf.DUMMYFUNCTION("GOOGLETRANSLATE(A57,""zh-tw"",""KO"")"),"얼굴을 부수는 장갑")</f>
        <v>얼굴을 부수는 장갑</v>
      </c>
      <c r="L57" s="168" t="str">
        <f>IFERROR(__xludf.DUMMYFUNCTION("GOOGLETRANSLATE(B57,""zh-tw"",""KO"")"),"물리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f>
        <v>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v>
      </c>
      <c r="M57" s="342" t="str">
        <f>IFERROR(__xludf.DUMMYFUNCTION("GOOGLETRANSLATE(A57,""zh-tw"",""ru"")"),"Перчатки, ломающие лицо")</f>
        <v>Перчатки, ломающие лицо</v>
      </c>
      <c r="N57" s="321" t="str">
        <f>IFERROR(__xludf.DUMMYFUNCTION("GOOGLETRANSLATE(B57,""zh-tw"",""ru"")"),"Физическая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"&amp;"противника превышает 1% от этого значения, он уменьшится до 1% от здоровья противника.
Ношение нескольких копий увеличивает вероятность срабатывания.")</f>
        <v>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противника превышает 1% от этого значения, он уменьшится до 1% от здоровья противника.
Ношение нескольких копий увеличивает вероятность срабатывания.</v>
      </c>
      <c r="O57" s="340" t="s">
        <v>5343</v>
      </c>
      <c r="P57" s="323" t="s">
        <v>5344</v>
      </c>
      <c r="Q57" s="343" t="s">
        <v>5345</v>
      </c>
      <c r="R57" s="344" t="s">
        <v>5346</v>
      </c>
      <c r="S57" s="17"/>
      <c r="T57" s="17"/>
      <c r="U57" s="17"/>
      <c r="V57" s="17"/>
      <c r="W57" s="17"/>
      <c r="X57" s="17"/>
      <c r="Y57" s="17"/>
      <c r="Z57" s="17"/>
    </row>
    <row r="58">
      <c r="A58" s="341" t="s">
        <v>5347</v>
      </c>
      <c r="B58" s="168" t="s">
        <v>5348</v>
      </c>
      <c r="C58" s="339" t="s">
        <v>5349</v>
      </c>
      <c r="D58" s="168" t="s">
        <v>5350</v>
      </c>
      <c r="E58" s="341" t="s">
        <v>5351</v>
      </c>
      <c r="F58" s="168" t="s">
        <v>5352</v>
      </c>
      <c r="G58" s="341" t="str">
        <f>IFERROR(__xludf.DUMMYFUNCTION("GOOGLETRANSLATE(A58,""zh-tw"",""zh"")"),"红髓玉吊坠")</f>
        <v>红髓玉吊坠</v>
      </c>
      <c r="H58" s="168"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41" t="str">
        <f>IFERROR(__xludf.DUMMYFUNCTION("GOOGLETRANSLATE(A58,""zh-tw"",""es-MX"")"),"Colgante de cornalina roja")</f>
        <v>Colgante de cornalina roja</v>
      </c>
      <c r="J58" s="168" t="str">
        <f>IFERROR(__xludf.DUMMYFUNCTION("GOOGLETRANSLATE(B58,""zh-tw"",""es-MX"")"),"Ataque mágico: 20
Defensa mágica: 45
1. Reduce el consumo de durabilidad de las armas mágicas.
2. Aumenta el ataque mágico según la cantidad de Fragmentos de Piedra Celestial (cada fragmento aumenta en 10).
3. Esta habilidad es un efecto único; no se "&amp;"puede acumular con otras piezas de equipo.")</f>
        <v>Ataque mágico: 20
Defensa mágica: 45
1. Reduce el consumo de durabilidad de las armas mágicas.
2. Aumenta el ataque mágico según la cantidad de Fragmentos de Piedra Celestial (cada fragmento aumenta en 10).
3. Esta habilidad es un efecto único; no se puede acumular con otras piezas de equipo.</v>
      </c>
      <c r="K58" s="341" t="str">
        <f>IFERROR(__xludf.DUMMYFUNCTION("GOOGLETRANSLATE(A58,""zh-tw"",""KO"")"),"붉은 홍옥수 펜던트")</f>
        <v>붉은 홍옥수 펜던트</v>
      </c>
      <c r="L58" s="168" t="str">
        <f>IFERROR(__xludf.DUMMYFUNCTION("GOOGLETRANSLATE(B58,""zh-tw"",""KO"")"),"마법 공격력: 20
마법 방어력: 45
1. 마법 무기의 내구도 소모량이 감소합니다.
2. ""천상의 돌 조각"" 개수에 따라 마법 공격력이 증가합니다. (조각 하나당 10씩 증가합니다.)
3. 이 장비 능력은 ""고유"" 효과입니다. 여러 장비를 장착해도 효과가 중첩되지 않습니다.")</f>
        <v>마법 공격력: 20
마법 방어력: 45
1. 마법 무기의 내구도 소모량이 감소합니다.
2. "천상의 돌 조각" 개수에 따라 마법 공격력이 증가합니다. (조각 하나당 10씩 증가합니다.)
3. 이 장비 능력은 "고유" 효과입니다. 여러 장비를 장착해도 효과가 중첩되지 않습니다.</v>
      </c>
      <c r="M58" s="342" t="str">
        <f>IFERROR(__xludf.DUMMYFUNCTION("GOOGLETRANSLATE(A58,""zh-tw"",""ru"")"),"Кулон из красного сердолика")</f>
        <v>Кулон из красного сердолика</v>
      </c>
      <c r="N58" s="321" t="str">
        <f>IFERROR(__xludf.DUMMYFUNCTION("GOOGLETRANSLATE(B58,""zh-tw"",""ru"")"),"Магическая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силу на 10).
3. Эта способность снаря"&amp;"жения — «уникальный» эффект; эффект от нескольких предметов снаряжения не суммируется.")</f>
        <v>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силу на 10).
3. Эта способность снаряжения — «уникальный» эффект; эффект от нескольких предметов снаряжения не суммируется.</v>
      </c>
      <c r="O58" s="339" t="s">
        <v>5351</v>
      </c>
      <c r="P58" s="167" t="s">
        <v>5353</v>
      </c>
      <c r="Q58" s="358" t="s">
        <v>5354</v>
      </c>
      <c r="R58" s="359" t="s">
        <v>5355</v>
      </c>
      <c r="S58" s="17"/>
      <c r="T58" s="17"/>
      <c r="U58" s="17"/>
      <c r="V58" s="17"/>
      <c r="W58" s="17"/>
      <c r="X58" s="17"/>
      <c r="Y58" s="17"/>
      <c r="Z58" s="17"/>
    </row>
    <row r="59">
      <c r="A59" s="341" t="s">
        <v>5356</v>
      </c>
      <c r="B59" s="168" t="s">
        <v>5357</v>
      </c>
      <c r="C59" s="339" t="s">
        <v>4291</v>
      </c>
      <c r="D59" s="168" t="s">
        <v>5358</v>
      </c>
      <c r="E59" s="341" t="s">
        <v>5359</v>
      </c>
      <c r="F59" s="168" t="s">
        <v>5360</v>
      </c>
      <c r="G59" s="341" t="str">
        <f>IFERROR(__xludf.DUMMYFUNCTION("GOOGLETRANSLATE(A59,""zh-tw"",""zh"")"),"谢里斯的诅咒之手")</f>
        <v>谢里斯的诅咒之手</v>
      </c>
      <c r="H59" s="168"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41" t="str">
        <f>IFERROR(__xludf.DUMMYFUNCTION("GOOGLETRANSLATE(A59,""zh-tw"",""es-MX"")"),"La mano maldita de Sheris")</f>
        <v>La mano maldita de Sheris</v>
      </c>
      <c r="J59" s="168" t="str">
        <f>IFERROR(__xludf.DUMMYFUNCTION("GOOGLETRANSLATE(B59,""zh-tw"",""es-MX"")"),"Defensa mágica: 18. Orbita automáticamente al Sirviente. Inflige daño al objetivo. Aplica las siguientes desventajas: Provocar, Enfurecer.
(Reduce la defensa del enemigo, aumenta su ataque).
(Desventaja aún no implementada).")</f>
        <v>Defensa mágica: 18. Orbita automáticamente al Sirviente. Inflige daño al objetivo. Aplica las siguientes desventajas: Provocar, Enfurecer.
(Reduce la defensa del enemigo, aumenta su ataque).
(Desventaja aún no implementada).</v>
      </c>
      <c r="K59" s="341" t="str">
        <f>IFERROR(__xludf.DUMMYFUNCTION("GOOGLETRANSLATE(A59,""zh-tw"",""KO"")"),"셰리스의 저주받은 손")</f>
        <v>셰리스의 저주받은 손</v>
      </c>
      <c r="L59" s="168" t="str">
        <f>IFERROR(__xludf.DUMMYFUNCTION("GOOGLETRANSLATE(B59,""zh-tw"",""KO"")"),"마법 방어력: 18 자동으로 서번트를 선회합니다. 대상에게 피해를 입힙니다. 도발, 격노 등의 디버프를 부여합니다.
(적의 방어력을 감소시키고, 적의 공격력을 증가시킵니다.)
(디버프는 아직 구현되지 않았습니다.)")</f>
        <v>마법 방어력: 18 자동으로 서번트를 선회합니다. 대상에게 피해를 입힙니다. 도발, 격노 등의 디버프를 부여합니다.
(적의 방어력을 감소시키고, 적의 공격력을 증가시킵니다.)
(디버프는 아직 구현되지 않았습니다.)</v>
      </c>
      <c r="M59" s="342" t="str">
        <f>IFERROR(__xludf.DUMMYFUNCTION("GOOGLETRANSLATE(A59,""zh-tw"",""ru"")"),"Проклятая рука Шерис")</f>
        <v>Проклятая рука Шерис</v>
      </c>
      <c r="N59" s="321" t="str">
        <f>IFERROR(__xludf.DUMMYFUNCTION("GOOGLETRANSLATE(B59,""zh-tw"",""ru"")"),"Защита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f>
        <v>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v>
      </c>
      <c r="O59" s="339" t="s">
        <v>5361</v>
      </c>
      <c r="P59" s="167" t="s">
        <v>5362</v>
      </c>
      <c r="Q59" s="360" t="s">
        <v>5363</v>
      </c>
      <c r="R59" s="331" t="s">
        <v>5364</v>
      </c>
      <c r="S59" s="17"/>
      <c r="T59" s="17"/>
      <c r="U59" s="17"/>
      <c r="V59" s="17"/>
      <c r="W59" s="17"/>
      <c r="X59" s="17"/>
      <c r="Y59" s="17"/>
      <c r="Z59" s="17"/>
    </row>
    <row r="60">
      <c r="A60" s="341" t="s">
        <v>5365</v>
      </c>
      <c r="B60" s="168" t="s">
        <v>5366</v>
      </c>
      <c r="C60" s="360" t="s">
        <v>5367</v>
      </c>
      <c r="D60" s="191" t="s">
        <v>5368</v>
      </c>
      <c r="E60" s="339" t="s">
        <v>5369</v>
      </c>
      <c r="F60" s="167" t="s">
        <v>5370</v>
      </c>
      <c r="G60" s="341" t="str">
        <f>IFERROR(__xludf.DUMMYFUNCTION("GOOGLETRANSLATE(A60,""zh-tw"",""zh"")"),"爱神荡漾")</f>
        <v>爱神荡漾</v>
      </c>
      <c r="H60" s="168" t="str">
        <f>IFERROR(__xludf.DUMMYFUNCTION("GOOGLETRANSLATE(B60,""zh-tw"",""zh"")"),"大幅增加触摸时提升的好感度
(摸一次增加一颗好感)
※此为作弊神器，请参考TIPS")</f>
        <v>大幅增加触摸时提升的好感度
(摸一次增加一颗好感)
※此为作弊神器，请参考TIPS</v>
      </c>
      <c r="I60" s="341" t="str">
        <f>IFERROR(__xludf.DUMMYFUNCTION("GOOGLETRANSLATE(A60,""zh-tw"",""es-MX"")"),"Onda de Cupido")</f>
        <v>Onda de Cupido</v>
      </c>
      <c r="J60" s="168" t="str">
        <f>IFERROR(__xludf.DUMMYFUNCTION("GOOGLETRANSLATE(B60,""zh-tw"",""es-MX"")"),"Aumenta significativamente la afinidad obtenida al interactuar con otros personajes.
(Cada interacción aumenta la afinidad en un punto).
※Esta es una herramienta para hacer trampa; consulta los consejos.")</f>
        <v>Aumenta significativamente la afinidad obtenida al interactuar con otros personajes.
(Cada interacción aumenta la afinidad en un punto).
※Esta es una herramienta para hacer trampa; consulta los consejos.</v>
      </c>
      <c r="K60" s="341" t="str">
        <f>IFERROR(__xludf.DUMMYFUNCTION("GOOGLETRANSLATE(A60,""zh-tw"",""KO"")"),"큐피드의 물결")</f>
        <v>큐피드의 물결</v>
      </c>
      <c r="L60" s="168" t="str">
        <f>IFERROR(__xludf.DUMMYFUNCTION("GOOGLETRANSLATE(B60,""zh-tw"",""KO"")"),"터치 시 획득하는 친밀도가 크게 증가합니다.
(터치 한 번으로 친밀도가 1포인트 증가합니다.)
※이 도구는 치트 도구이므로, 팁을 참조하세요.")</f>
        <v>터치 시 획득하는 친밀도가 크게 증가합니다.
(터치 한 번으로 친밀도가 1포인트 증가합니다.)
※이 도구는 치트 도구이므로, 팁을 참조하세요.</v>
      </c>
      <c r="M60" s="342" t="str">
        <f>IFERROR(__xludf.DUMMYFUNCTION("GOOGLETRANSLATE(A60,""zh-tw"",""ru"")"),"Волна Купидона")</f>
        <v>Волна Купидона</v>
      </c>
      <c r="N60" s="321" t="str">
        <f>IFERROR(__xludf.DUMMYFUNCTION("GOOGLETRANSLATE(B60,""zh-tw"",""ru"")"),"Значительно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f>
        <v>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v>
      </c>
      <c r="O60" s="339" t="s">
        <v>5371</v>
      </c>
      <c r="P60" s="167" t="s">
        <v>5372</v>
      </c>
      <c r="Q60" s="358" t="s">
        <v>5373</v>
      </c>
      <c r="R60" s="331" t="s">
        <v>5374</v>
      </c>
      <c r="S60" s="361"/>
      <c r="T60" s="361"/>
      <c r="U60" s="361"/>
      <c r="V60" s="361"/>
      <c r="W60" s="361"/>
      <c r="X60" s="361"/>
      <c r="Y60" s="361"/>
      <c r="Z60" s="361"/>
    </row>
    <row r="61">
      <c r="A61" s="339" t="s">
        <v>5375</v>
      </c>
      <c r="B61" s="167" t="s">
        <v>5376</v>
      </c>
      <c r="C61" s="352" t="s">
        <v>5377</v>
      </c>
      <c r="D61" s="190" t="s">
        <v>5378</v>
      </c>
      <c r="E61" s="339" t="s">
        <v>5379</v>
      </c>
      <c r="F61" s="167" t="s">
        <v>5380</v>
      </c>
      <c r="G61" s="341" t="str">
        <f>IFERROR(__xludf.DUMMYFUNCTION("GOOGLETRANSLATE(A61,""zh-tw"",""zh"")"),"绝对领域")</f>
        <v>绝对领域</v>
      </c>
      <c r="H61" s="168" t="str">
        <f>IFERROR(__xludf.DUMMYFUNCTION("GOOGLETRANSLATE(B61,""zh-tw"",""zh"")"),"魔防：169
幸运：69
增加携带武器/防具数量+99
※此为作弊神器，请参考TIPS")</f>
        <v>魔防：169
幸运：69
增加携带武器/防具数量+99
※此为作弊神器，请参考TIPS</v>
      </c>
      <c r="I61" s="341" t="str">
        <f>IFERROR(__xludf.DUMMYFUNCTION("GOOGLETRANSLATE(A61,""zh-tw"",""es-MX"")"),"Territorio absoluto")</f>
        <v>Territorio absoluto</v>
      </c>
      <c r="J61" s="168" t="str">
        <f>IFERROR(__xludf.DUMMYFUNCTION("GOOGLETRANSLATE(B61,""zh-tw"",""es-MX"")"),"Defensa mágica: 169
Suerte: 69
Aumenta la cantidad de armas/armaduras que puedes llevar en +99
※Este es un objeto que otorga ventajas injustas. Consulta los consejos.")</f>
        <v>Defensa mágica: 169
Suerte: 69
Aumenta la cantidad de armas/armaduras que puedes llevar en +99
※Este es un objeto que otorga ventajas injustas. Consulta los consejos.</v>
      </c>
      <c r="K61" s="341" t="str">
        <f>IFERROR(__xludf.DUMMYFUNCTION("GOOGLETRANSLATE(A61,""zh-tw"",""KO"")"),"절대 영토")</f>
        <v>절대 영토</v>
      </c>
      <c r="L61" s="168" t="str">
        <f>IFERROR(__xludf.DUMMYFUNCTION("GOOGLETRANSLATE(B61,""zh-tw"",""KO"")"),"마법 방어력: 169
행운: 69
소지 가능한 무기/방어구 개수 +99 증가
※치트 아이템입니다. 팁을 참고해 주세요.")</f>
        <v>마법 방어력: 169
행운: 69
소지 가능한 무기/방어구 개수 +99 증가
※치트 아이템입니다. 팁을 참고해 주세요.</v>
      </c>
      <c r="M61" s="342" t="str">
        <f>IFERROR(__xludf.DUMMYFUNCTION("GOOGLETRANSLATE(A61,""zh-tw"",""ru"")"),"Абсолютная Территория")</f>
        <v>Абсолютная Территория</v>
      </c>
      <c r="N61" s="321" t="str">
        <f>IFERROR(__xludf.DUMMYFUNCTION("GOOGLETRANSLATE(B61,""zh-tw"",""ru"")"),"Защита от магии: 169
Удача: 69
Увеличивает количество оружия/брони, которое вы можете носить, на +99
※Это читерский предмет, пожалуйста, ознакомьтесь с СОВЕТЫМИ.")</f>
        <v>Защита от магии: 169
Удача: 69
Увеличивает количество оружия/брони, которое вы можете носить, на +99
※Это читерский предмет, пожалуйста, ознакомьтесь с СОВЕТЫМИ.</v>
      </c>
      <c r="O61" s="339" t="s">
        <v>5381</v>
      </c>
      <c r="P61" s="167" t="s">
        <v>5382</v>
      </c>
      <c r="Q61" s="343" t="s">
        <v>5383</v>
      </c>
      <c r="R61" s="344" t="s">
        <v>5384</v>
      </c>
      <c r="S61" s="17"/>
      <c r="T61" s="17"/>
      <c r="U61" s="17"/>
      <c r="V61" s="17"/>
      <c r="W61" s="17"/>
      <c r="X61" s="17"/>
      <c r="Y61" s="17"/>
      <c r="Z61" s="17"/>
    </row>
    <row r="62">
      <c r="A62" s="345" t="s">
        <v>5385</v>
      </c>
      <c r="B62" s="328" t="s">
        <v>5386</v>
      </c>
      <c r="C62" s="345" t="s">
        <v>5387</v>
      </c>
      <c r="D62" s="328" t="s">
        <v>5388</v>
      </c>
      <c r="E62" s="345" t="s">
        <v>5389</v>
      </c>
      <c r="F62" s="328" t="s">
        <v>5390</v>
      </c>
      <c r="G62" s="341" t="str">
        <f>IFERROR(__xludf.DUMMYFUNCTION("GOOGLETRANSLATE(A62,""zh-tw"",""zh"")"),"火蝾螈之卷")</f>
        <v>火蝾螈之卷</v>
      </c>
      <c r="H62" s="168" t="str">
        <f>IFERROR(__xludf.DUMMYFUNCTION("GOOGLETRANSLATE(B62,""zh-tw"",""zh"")"),"魔攻：50
魔防：15
强化火焰元素")</f>
        <v>魔攻：50
魔防：15
强化火焰元素</v>
      </c>
      <c r="I62" s="341" t="str">
        <f>IFERROR(__xludf.DUMMYFUNCTION("GOOGLETRANSLATE(A62,""zh-tw"",""es-MX"")"),"Pergamino de salamandra de fuego")</f>
        <v>Pergamino de salamandra de fuego</v>
      </c>
      <c r="J62" s="168" t="str">
        <f>IFERROR(__xludf.DUMMYFUNCTION("GOOGLETRANSLATE(B62,""zh-tw"",""es-MX"")"),"Ataque mágico: 50
Defensa mágica: 15
Elemento fuego potenciado")</f>
        <v>Ataque mágico: 50
Defensa mágica: 15
Elemento fuego potenciado</v>
      </c>
      <c r="K62" s="341" t="str">
        <f>IFERROR(__xludf.DUMMYFUNCTION("GOOGLETRANSLATE(A62,""zh-tw"",""KO"")"),"불도롱뇽 두루마리")</f>
        <v>불도롱뇽 두루마리</v>
      </c>
      <c r="L62" s="168" t="str">
        <f>IFERROR(__xludf.DUMMYFUNCTION("GOOGLETRANSLATE(B62,""zh-tw"",""KO"")"),"마법 공격력: 50
마법 방어력: 15
향상된 화속성")</f>
        <v>마법 공격력: 50
마법 방어력: 15
향상된 화속성</v>
      </c>
      <c r="M62" s="342" t="str">
        <f>IFERROR(__xludf.DUMMYFUNCTION("GOOGLETRANSLATE(A62,""zh-tw"",""ru"")"),"Свиток Огненной Саламандры")</f>
        <v>Свиток Огненной Саламандры</v>
      </c>
      <c r="N62" s="321"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41" t="s">
        <v>5391</v>
      </c>
      <c r="P62" s="168" t="s">
        <v>5392</v>
      </c>
      <c r="Q62" s="343" t="s">
        <v>5393</v>
      </c>
      <c r="R62" s="344" t="s">
        <v>5394</v>
      </c>
      <c r="S62" s="17"/>
      <c r="T62" s="17"/>
      <c r="U62" s="17"/>
      <c r="V62" s="17"/>
      <c r="W62" s="17"/>
      <c r="X62" s="17"/>
      <c r="Y62" s="17"/>
      <c r="Z62" s="17"/>
    </row>
    <row r="63">
      <c r="A63" s="345" t="s">
        <v>5395</v>
      </c>
      <c r="B63" s="328" t="s">
        <v>5396</v>
      </c>
      <c r="C63" s="352" t="s">
        <v>5397</v>
      </c>
      <c r="D63" s="190" t="s">
        <v>5398</v>
      </c>
      <c r="E63" s="345" t="s">
        <v>5399</v>
      </c>
      <c r="F63" s="328" t="s">
        <v>5400</v>
      </c>
      <c r="G63" s="341" t="str">
        <f>IFERROR(__xludf.DUMMYFUNCTION("GOOGLETRANSLATE(A63,""zh-tw"",""zh"")"),"逆咒缚契约")</f>
        <v>逆咒缚契约</v>
      </c>
      <c r="H63" s="168" t="str">
        <f>IFERROR(__xludf.DUMMYFUNCTION("GOOGLETRANSLATE(B63,""zh-tw"",""zh"")"),"代替从者受到伤害
依从者数量提升主角生命回复力")</f>
        <v>代替从者受到伤害
依从者数量提升主角生命回复力</v>
      </c>
      <c r="I63" s="341" t="str">
        <f>IFERROR(__xludf.DUMMYFUNCTION("GOOGLETRANSLATE(A63,""zh-tw"",""es-MX"")"),"Contrato de maldición inversa")</f>
        <v>Contrato de maldición inversa</v>
      </c>
      <c r="J63" s="168" t="str">
        <f>IFERROR(__xludf.DUMMYFUNCTION("GOOGLETRANSLATE(B63,""zh-tw"",""es-MX"")"),"Recibe daño en lugar de los Servants; aumenta la regeneración de HP del protagonista en función del número de Servants.")</f>
        <v>Recibe daño en lugar de los Servants; aumenta la regeneración de HP del protagonista en función del número de Servants.</v>
      </c>
      <c r="K63" s="341" t="str">
        <f>IFERROR(__xludf.DUMMYFUNCTION("GOOGLETRANSLATE(A63,""zh-tw"",""KO"")"),"역저주 계약")</f>
        <v>역저주 계약</v>
      </c>
      <c r="L63" s="168" t="str">
        <f>IFERROR(__xludf.DUMMYFUNCTION("GOOGLETRANSLATE(B63,""zh-tw"",""KO"")"),"하인 대신 피해를 입습니다. 하인의 수에 따라 주인공의 HP 재생 속도가 증가합니다.")</f>
        <v>하인 대신 피해를 입습니다. 하인의 수에 따라 주인공의 HP 재생 속도가 증가합니다.</v>
      </c>
      <c r="M63" s="342" t="str">
        <f>IFERROR(__xludf.DUMMYFUNCTION("GOOGLETRANSLATE(A63,""zh-tw"",""ru"")"),"Контракт обратного проклятия")</f>
        <v>Контракт обратного проклятия</v>
      </c>
      <c r="N63" s="321" t="str">
        <f>IFERROR(__xludf.DUMMYFUNCTION("GOOGLETRANSLATE(B63,""zh-tw"",""ru"")"),"Получение урона вместо Слуг; увеличение регенерации HP главного героя в зависимости от количества Слуг.")</f>
        <v>Получение урона вместо Слуг; увеличение регенерации HP главного героя в зависимости от количества Слуг.</v>
      </c>
      <c r="O63" s="341" t="s">
        <v>5401</v>
      </c>
      <c r="P63" s="168" t="s">
        <v>5402</v>
      </c>
      <c r="Q63" s="343" t="s">
        <v>5403</v>
      </c>
      <c r="R63" s="344" t="s">
        <v>5404</v>
      </c>
      <c r="S63" s="17"/>
      <c r="T63" s="17"/>
      <c r="U63" s="17"/>
      <c r="V63" s="17"/>
      <c r="W63" s="17"/>
      <c r="X63" s="17"/>
      <c r="Y63" s="17"/>
      <c r="Z63" s="17"/>
    </row>
    <row r="64">
      <c r="A64" s="339" t="s">
        <v>5405</v>
      </c>
      <c r="B64" s="167" t="s">
        <v>5406</v>
      </c>
      <c r="C64" s="341" t="str">
        <f>IFERROR(__xludf.DUMMYFUNCTION("GOOGLETRANSLATE(A64,""zh-tw"",""ja"")"),"ハンターの衣装")</f>
        <v>ハンターの衣装</v>
      </c>
      <c r="D64" s="168" t="str">
        <f>IFERROR(__xludf.DUMMYFUNCTION("GOOGLETRANSLATE(B64,""zh-tw"",""ja"")"),"物理防御力：3
魔法耐性：10
草の上に立っている間、スタミナが回復します")</f>
        <v>物理防御力：3
魔法耐性：10
草の上に立っている間、スタミナが回復します</v>
      </c>
      <c r="E64" s="339" t="s">
        <v>5407</v>
      </c>
      <c r="F64" s="167" t="s">
        <v>5408</v>
      </c>
      <c r="G64" s="341" t="str">
        <f>IFERROR(__xludf.DUMMYFUNCTION("GOOGLETRANSLATE(A64,""zh-tw"",""zh"")"),"猎人服")</f>
        <v>猎人服</v>
      </c>
      <c r="H64" s="168" t="str">
        <f>IFERROR(__xludf.DUMMYFUNCTION("GOOGLETRANSLATE(B64,""zh-tw"",""zh"")"),"物防：3
魔抗：10
站在草地上回复体力")</f>
        <v>物防：3
魔抗：10
站在草地上回复体力</v>
      </c>
      <c r="I64" s="341" t="str">
        <f>IFERROR(__xludf.DUMMYFUNCTION("GOOGLETRANSLATE(A64,""zh-tw"",""es-MX"")"),"Traje de cazador")</f>
        <v>Traje de cazador</v>
      </c>
      <c r="J64" s="168" t="str">
        <f>IFERROR(__xludf.DUMMYFUNCTION("GOOGLETRANSLATE(B64,""zh-tw"",""es-MX"")"),"Defensa física: 3
Resistencia mágica: 10")</f>
        <v>Defensa física: 3
Resistencia mágica: 10</v>
      </c>
      <c r="K64" s="341" t="str">
        <f>IFERROR(__xludf.DUMMYFUNCTION("GOOGLETRANSLATE(A64,""zh-tw"",""KO"")"),"사냥꾼의 복장")</f>
        <v>사냥꾼의 복장</v>
      </c>
      <c r="L64" s="168" t="str">
        <f>IFERROR(__xludf.DUMMYFUNCTION("GOOGLETRANSLATE(B64,""zh-tw"",""KO"")"),"물리 방어력: 3
마법 저항력: 10
풀밭에 서 있는 동안 지구력 회복")</f>
        <v>물리 방어력: 3
마법 저항력: 10
풀밭에 서 있는 동안 지구력 회복</v>
      </c>
      <c r="M64" s="342" t="str">
        <f>IFERROR(__xludf.DUMMYFUNCTION("GOOGLETRANSLATE(A64,""zh-tw"",""ru"")"),"Наряд охотника")</f>
        <v>Наряд охотника</v>
      </c>
      <c r="N64" s="321" t="str">
        <f>IFERROR(__xludf.DUMMYFUNCTION("GOOGLETRANSLATE(B64,""zh-tw"",""ru"")"),"Физическая защита: 3
Сопротивление магии: 10
Восстанавливает выносливость, стоя на траве")</f>
        <v>Физическая защита: 3
Сопротивление магии: 10
Восстанавливает выносливость, стоя на траве</v>
      </c>
      <c r="O64" s="342" t="str">
        <f>IFERROR(__xludf.DUMMYFUNCTION("GOOGLETRANSLATE(A64,""zh-tw"",""de"")"),"Jägers Outfit")</f>
        <v>Jägers Outfit</v>
      </c>
      <c r="P64" s="321" t="str">
        <f>IFERROR(__xludf.DUMMYFUNCTION("GOOGLETRANSLATE(B64,""zh-tw"",""de"")"),"Physische Verteidigung: 3
Magieresistenz: 10
Regeneriert Ausdauer beim Stehen auf Gras")</f>
        <v>Physische Verteidigung: 3
Magieresistenz: 10
Regeneriert Ausdauer beim Stehen auf Gras</v>
      </c>
      <c r="Q64" s="343" t="s">
        <v>5409</v>
      </c>
      <c r="R64" s="344" t="s">
        <v>5410</v>
      </c>
      <c r="S64" s="17"/>
      <c r="T64" s="17"/>
      <c r="U64" s="17"/>
      <c r="V64" s="17"/>
      <c r="W64" s="17"/>
      <c r="X64" s="17"/>
      <c r="Y64" s="17"/>
      <c r="Z64" s="17"/>
    </row>
    <row r="65">
      <c r="A65" s="339" t="s">
        <v>5411</v>
      </c>
      <c r="B65" s="167" t="s">
        <v>5412</v>
      </c>
      <c r="C65" s="341" t="str">
        <f>IFERROR(__xludf.DUMMYFUNCTION("GOOGLETRANSLATE(A65,""zh-tw"",""ja"")"),"ハンターベルト")</f>
        <v>ハンターベルト</v>
      </c>
      <c r="D65" s="168" t="str">
        <f>IFERROR(__xludf.DUMMYFUNCTION("GOOGLETRANSLATE(B65,""zh-tw"",""ja"")"),"物理防御力：1
軽微な改善：スタミナ制限、移動速度、装備容量")</f>
        <v>物理防御力：1
軽微な改善：スタミナ制限、移動速度、装備容量</v>
      </c>
      <c r="E65" s="339" t="s">
        <v>5413</v>
      </c>
      <c r="F65" s="167" t="s">
        <v>5414</v>
      </c>
      <c r="G65" s="341" t="str">
        <f>IFERROR(__xludf.DUMMYFUNCTION("GOOGLETRANSLATE(A65,""zh-tw"",""zh"")"),"猎人腰带")</f>
        <v>猎人腰带</v>
      </c>
      <c r="H65" s="168" t="str">
        <f>IFERROR(__xludf.DUMMYFUNCTION("GOOGLETRANSLATE(B65,""zh-tw"",""zh"")"),"物防：1
小幅提升：体力上限、移动速度、装备携带数量")</f>
        <v>物防：1
小幅提升：体力上限、移动速度、装备携带数量</v>
      </c>
      <c r="I65" s="341" t="str">
        <f>IFERROR(__xludf.DUMMYFUNCTION("GOOGLETRANSLATE(A65,""zh-tw"",""es-MX"")"),"Cinturón de cazador")</f>
        <v>Cinturón de cazador</v>
      </c>
      <c r="J65" s="168" t="str">
        <f>IFERROR(__xludf.DUMMYFUNCTION("GOOGLETRANSLATE(B65,""zh-tw"",""es-MX"")"),"Defensa física: 1")</f>
        <v>Defensa física: 1</v>
      </c>
      <c r="K65" s="341" t="str">
        <f>IFERROR(__xludf.DUMMYFUNCTION("GOOGLETRANSLATE(A65,""zh-tw"",""KO"")"),"헌터 벨트")</f>
        <v>헌터 벨트</v>
      </c>
      <c r="L65" s="168" t="str">
        <f>IFERROR(__xludf.DUMMYFUNCTION("GOOGLETRANSLATE(B65,""zh-tw"",""KO"")"),"물리 방어력: 1
약간의 개선: 체력 제한, 이동 속도, 장비 수용량")</f>
        <v>물리 방어력: 1
약간의 개선: 체력 제한, 이동 속도, 장비 수용량</v>
      </c>
      <c r="M65" s="342" t="str">
        <f>IFERROR(__xludf.DUMMYFUNCTION("GOOGLETRANSLATE(A65,""zh-tw"",""ru"")"),"Пояс Охотника")</f>
        <v>Пояс Охотника</v>
      </c>
      <c r="N65" s="321" t="str">
        <f>IFERROR(__xludf.DUMMYFUNCTION("GOOGLETRANSLATE(B65,""zh-tw"",""ru"")"),"Физическая защита: 1
Небольшие улучшения: предел выносливости, скорость передвижения и грузоподъёмность снаряжения.")</f>
        <v>Физическая защита: 1
Небольшие улучшения: предел выносливости, скорость передвижения и грузоподъёмность снаряжения.</v>
      </c>
      <c r="O65" s="342" t="str">
        <f>IFERROR(__xludf.DUMMYFUNCTION("GOOGLETRANSLATE(A65,""zh-tw"",""de"")"),"Jägergürtel")</f>
        <v>Jägergürtel</v>
      </c>
      <c r="P65" s="321"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43" t="s">
        <v>5415</v>
      </c>
      <c r="R65" s="344" t="s">
        <v>5416</v>
      </c>
      <c r="S65" s="17"/>
      <c r="T65" s="17"/>
      <c r="U65" s="17"/>
      <c r="V65" s="17"/>
      <c r="W65" s="17"/>
      <c r="X65" s="17"/>
      <c r="Y65" s="17"/>
      <c r="Z65" s="17"/>
    </row>
    <row r="66">
      <c r="A66" s="339" t="s">
        <v>5417</v>
      </c>
      <c r="B66" s="167" t="s">
        <v>5418</v>
      </c>
      <c r="C66" s="341" t="str">
        <f>IFERROR(__xludf.DUMMYFUNCTION("GOOGLETRANSLATE(A66,""zh-tw"",""ja"")"),"ハンターの短剣")</f>
        <v>ハンターの短剣</v>
      </c>
      <c r="D66" s="168" t="str">
        <f>IFERROR(__xludf.DUMMYFUNCTION("GOOGLETRANSLATE(B66,""zh-tw"",""ja"")"),"物理攻撃力: 6
幸運: 20
肉のドロップ率が2倍（魚のフライを含む）")</f>
        <v>物理攻撃力: 6
幸運: 20
肉のドロップ率が2倍（魚のフライを含む）</v>
      </c>
      <c r="E66" s="339" t="s">
        <v>5419</v>
      </c>
      <c r="F66" s="167" t="s">
        <v>5420</v>
      </c>
      <c r="G66" s="341" t="str">
        <f>IFERROR(__xludf.DUMMYFUNCTION("GOOGLETRANSLATE(A66,""zh-tw"",""zh"")"),"猎人短刀")</f>
        <v>猎人短刀</v>
      </c>
      <c r="H66" s="168" t="str">
        <f>IFERROR(__xludf.DUMMYFUNCTION("GOOGLETRANSLATE(B66,""zh-tw"",""zh"")"),"物攻：6
幸运：20
肉类掉落机率翻倍(包含炸鱼)")</f>
        <v>物攻：6
幸运：20
肉类掉落机率翻倍(包含炸鱼)</v>
      </c>
      <c r="I66" s="341" t="str">
        <f>IFERROR(__xludf.DUMMYFUNCTION("GOOGLETRANSLATE(A66,""zh-tw"",""es-MX"")"),"Daga del cazador")</f>
        <v>Daga del cazador</v>
      </c>
      <c r="J66" s="168" t="str">
        <f>IFERROR(__xludf.DUMMYFUNCTION("GOOGLETRANSLATE(B66,""zh-tw"",""es-MX"")"),"Ataque físico: 6
Suerte: 20
Probabilidad de obtener carne duplicada (incluido pescado frito)")</f>
        <v>Ataque físico: 6
Suerte: 20
Probabilidad de obtener carne duplicada (incluido pescado frito)</v>
      </c>
      <c r="K66" s="341" t="str">
        <f>IFERROR(__xludf.DUMMYFUNCTION("GOOGLETRANSLATE(A66,""zh-tw"",""KO"")"),"사냥꾼의 단검")</f>
        <v>사냥꾼의 단검</v>
      </c>
      <c r="L66" s="168" t="str">
        <f>IFERROR(__xludf.DUMMYFUNCTION("GOOGLETRANSLATE(B66,""zh-tw"",""KO"")"),"물리 공격력: 6
행운: 20
고기 드랍률 2배 증가 (생선튀김 포함)")</f>
        <v>물리 공격력: 6
행운: 20
고기 드랍률 2배 증가 (생선튀김 포함)</v>
      </c>
      <c r="M66" s="342" t="str">
        <f>IFERROR(__xludf.DUMMYFUNCTION("GOOGLETRANSLATE(A66,""zh-tw"",""ru"")"),"Кинжал охотника")</f>
        <v>Кинжал охотника</v>
      </c>
      <c r="N66" s="321"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42" t="str">
        <f>IFERROR(__xludf.DUMMYFUNCTION("GOOGLETRANSLATE(A66,""zh-tw"",""de"")"),"Jägerdolch")</f>
        <v>Jägerdolch</v>
      </c>
      <c r="P66" s="321" t="str">
        <f>IFERROR(__xludf.DUMMYFUNCTION("GOOGLETRANSLATE(B66,""zh-tw"",""de"")"),"Physischer Angriff: 6
Glück: 20
Fleischfundchance verdoppelt (einschließlich gebratenem Fisch)")</f>
        <v>Physischer Angriff: 6
Glück: 20
Fleischfundchance verdoppelt (einschließlich gebratenem Fisch)</v>
      </c>
      <c r="Q66" s="343" t="s">
        <v>5421</v>
      </c>
      <c r="R66" s="344" t="s">
        <v>5422</v>
      </c>
      <c r="S66" s="17"/>
      <c r="T66" s="17"/>
      <c r="U66" s="17"/>
      <c r="V66" s="17"/>
      <c r="W66" s="17"/>
      <c r="X66" s="17"/>
      <c r="Y66" s="17"/>
      <c r="Z66" s="17"/>
    </row>
    <row r="67">
      <c r="A67" s="339" t="s">
        <v>5423</v>
      </c>
      <c r="B67" s="167" t="s">
        <v>5424</v>
      </c>
      <c r="C67" s="341" t="str">
        <f>IFERROR(__xludf.DUMMYFUNCTION("GOOGLETRANSLATE(A67,""zh-tw"",""ja"")"),"アオウミガメの甲羅")</f>
        <v>アオウミガメの甲羅</v>
      </c>
      <c r="D67" s="168" t="str">
        <f>IFERROR(__xludf.DUMMYFUNCTION("GOOGLETRANSLATE(B67,""zh-tw"",""ja"")"),"物理防御力：20
魔法耐性：60
水泳速度が上昇し、陸上移動速度が低下")</f>
        <v>物理防御力：20
魔法耐性：60
水泳速度が上昇し、陸上移動速度が低下</v>
      </c>
      <c r="E67" s="339" t="s">
        <v>5425</v>
      </c>
      <c r="F67" s="167" t="s">
        <v>5426</v>
      </c>
      <c r="G67" s="341" t="str">
        <f>IFERROR(__xludf.DUMMYFUNCTION("GOOGLETRANSLATE(A67,""zh-tw"",""zh"")"),"绿龟壳")</f>
        <v>绿龟壳</v>
      </c>
      <c r="H67" s="168" t="str">
        <f>IFERROR(__xludf.DUMMYFUNCTION("GOOGLETRANSLATE(B67,""zh-tw"",""zh"")"),"物防：20
魔抗：60
增加游泳移速、降低陆地移速")</f>
        <v>物防：20
魔抗：60
增加游泳移速、降低陆地移速</v>
      </c>
      <c r="I67" s="341" t="str">
        <f>IFERROR(__xludf.DUMMYFUNCTION("GOOGLETRANSLATE(A67,""zh-tw"",""es-MX"")"),"caparazón de tortuga verde")</f>
        <v>caparazón de tortuga verde</v>
      </c>
      <c r="J67" s="168" t="str">
        <f>IFERROR(__xludf.DUMMYFUNCTION("GOOGLETRANSLATE(B67,""zh-tw"",""es-MX"")"),"Defensa física: 20
Resistencia mágica: 60")</f>
        <v>Defensa física: 20
Resistencia mágica: 60</v>
      </c>
      <c r="K67" s="341" t="str">
        <f>IFERROR(__xludf.DUMMYFUNCTION("GOOGLETRANSLATE(A67,""zh-tw"",""KO"")"),"녹색 거북이 껍질")</f>
        <v>녹색 거북이 껍질</v>
      </c>
      <c r="L67" s="168" t="str">
        <f>IFERROR(__xludf.DUMMYFUNCTION("GOOGLETRANSLATE(B67,""zh-tw"",""KO"")"),"물리 방어력: 20
마법 저항력: 60
수영 속도 증가, 지상 이동 속도 감소")</f>
        <v>물리 방어력: 20
마법 저항력: 60
수영 속도 증가, 지상 이동 속도 감소</v>
      </c>
      <c r="M67" s="342" t="str">
        <f>IFERROR(__xludf.DUMMYFUNCTION("GOOGLETRANSLATE(A67,""zh-tw"",""ru"")"),"Зеленый панцирь черепахи")</f>
        <v>Зеленый панцирь черепахи</v>
      </c>
      <c r="N67" s="321"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42" t="str">
        <f>IFERROR(__xludf.DUMMYFUNCTION("GOOGLETRANSLATE(A67,""zh-tw"",""de"")"),"Grüner Schildkrötenpanzer")</f>
        <v>Grüner Schildkrötenpanzer</v>
      </c>
      <c r="P67" s="321" t="str">
        <f>IFERROR(__xludf.DUMMYFUNCTION("GOOGLETRANSLATE(B67,""zh-tw"",""de"")"),"Physische Verteidigung: 20
Magieresistenz: 60
Erhöht die Schwimmgeschwindigkeit, verringert die Bewegungsgeschwindigkeit an Land.")</f>
        <v>Physische Verteidigung: 20
Magieresistenz: 60
Erhöht die Schwimmgeschwindigkeit, verringert die Bewegungsgeschwindigkeit an Land.</v>
      </c>
      <c r="Q67" s="343" t="s">
        <v>5427</v>
      </c>
      <c r="R67" s="344" t="s">
        <v>5428</v>
      </c>
      <c r="S67" s="17"/>
      <c r="T67" s="17"/>
      <c r="U67" s="17"/>
      <c r="V67" s="17"/>
      <c r="W67" s="17"/>
      <c r="X67" s="17"/>
      <c r="Y67" s="17"/>
      <c r="Z67" s="17"/>
    </row>
    <row r="68">
      <c r="A68" s="339" t="s">
        <v>5429</v>
      </c>
      <c r="B68" s="167" t="s">
        <v>5430</v>
      </c>
      <c r="C68" s="341" t="str">
        <f>IFERROR(__xludf.DUMMYFUNCTION("GOOGLETRANSLATE(A68,""zh-tw"",""ja"")"),"宝石の剣")</f>
        <v>宝石の剣</v>
      </c>
      <c r="D68" s="168" t="str">
        <f>IFERROR(__xludf.DUMMYFUNCTION("GOOGLETRANSLATE(B68,""zh-tw"",""ja"")"),"魔法攻撃力: 15
魔法耐性: 20
幸運: 20
攻撃力を強化するには宝石を消費します")</f>
        <v>魔法攻撃力: 15
魔法耐性: 20
幸運: 20
攻撃力を強化するには宝石を消費します</v>
      </c>
      <c r="E68" s="339" t="s">
        <v>5431</v>
      </c>
      <c r="F68" s="167" t="s">
        <v>5432</v>
      </c>
      <c r="G68" s="341" t="str">
        <f>IFERROR(__xludf.DUMMYFUNCTION("GOOGLETRANSLATE(A68,""zh-tw"",""zh"")"),"宝石剑")</f>
        <v>宝石剑</v>
      </c>
      <c r="H68" s="168" t="str">
        <f>IFERROR(__xludf.DUMMYFUNCTION("GOOGLETRANSLATE(B68,""zh-tw"",""zh"")"),"魔攻：15
魔抗：20
幸运：20
消耗宝石强化攻击")</f>
        <v>魔攻：15
魔抗：20
幸运：20
消耗宝石强化攻击</v>
      </c>
      <c r="I68" s="341" t="str">
        <f>IFERROR(__xludf.DUMMYFUNCTION("GOOGLETRANSLATE(A68,""zh-tw"",""es-MX"")"),"Espada enjoyada")</f>
        <v>Espada enjoyada</v>
      </c>
      <c r="J68" s="168" t="str">
        <f>IFERROR(__xludf.DUMMYFUNCTION("GOOGLETRANSLATE(B68,""zh-tw"",""es-MX"")"),"Ataque mágico: 15
Resistencia mágica: 20
Suerte: 20
Consume gemas para aumentar el ataque")</f>
        <v>Ataque mágico: 15
Resistencia mágica: 20
Suerte: 20
Consume gemas para aumentar el ataque</v>
      </c>
      <c r="K68" s="341" t="str">
        <f>IFERROR(__xludf.DUMMYFUNCTION("GOOGLETRANSLATE(A68,""zh-tw"",""KO"")"),"보석 검")</f>
        <v>보석 검</v>
      </c>
      <c r="L68" s="168" t="str">
        <f>IFERROR(__xludf.DUMMYFUNCTION("GOOGLETRANSLATE(B68,""zh-tw"",""KO"")"),"마법 공격력: 15
마법 저항력: 20
행운: 20
보석을 소모하여 공격력을 강화하세요")</f>
        <v>마법 공격력: 15
마법 저항력: 20
행운: 20
보석을 소모하여 공격력을 강화하세요</v>
      </c>
      <c r="M68" s="342" t="str">
        <f>IFERROR(__xludf.DUMMYFUNCTION("GOOGLETRANSLATE(A68,""zh-tw"",""ru"")"),"Драгоценный меч")</f>
        <v>Драгоценный меч</v>
      </c>
      <c r="N68" s="321"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42" t="str">
        <f>IFERROR(__xludf.DUMMYFUNCTION("GOOGLETRANSLATE(A68,""zh-tw"",""de"")"),"Juwelenschwert")</f>
        <v>Juwelenschwert</v>
      </c>
      <c r="P68" s="321" t="str">
        <f>IFERROR(__xludf.DUMMYFUNCTION("GOOGLETRANSLATE(B68,""zh-tw"",""de"")"),"Magischer Angriff: 15
Magieresistenz: 20
Glück: 20
Verbrauche Edelsteine, um den Angriff zu erhöhen")</f>
        <v>Magischer Angriff: 15
Magieresistenz: 20
Glück: 20
Verbrauche Edelsteine, um den Angriff zu erhöhen</v>
      </c>
      <c r="Q68" s="343" t="s">
        <v>5433</v>
      </c>
      <c r="R68" s="344" t="s">
        <v>5434</v>
      </c>
      <c r="S68" s="17"/>
      <c r="T68" s="17"/>
      <c r="U68" s="17"/>
      <c r="V68" s="17"/>
      <c r="W68" s="17"/>
      <c r="X68" s="17"/>
      <c r="Y68" s="17"/>
      <c r="Z68" s="17"/>
    </row>
    <row r="69">
      <c r="A69" s="339" t="s">
        <v>5435</v>
      </c>
      <c r="B69" s="167" t="s">
        <v>5436</v>
      </c>
      <c r="C69" s="341" t="str">
        <f>IFERROR(__xludf.DUMMYFUNCTION("GOOGLETRANSLATE(A69,""zh-tw"",""ja"")"),"安全手袋")</f>
        <v>安全手袋</v>
      </c>
      <c r="D69" s="168" t="str">
        <f>IFERROR(__xludf.DUMMYFUNCTION("GOOGLETRANSLATE(B69,""zh-tw"",""ja"")"),"物理防御力: 2 魔法耐性: 45 雷防御")</f>
        <v>物理防御力: 2 魔法耐性: 45 雷防御</v>
      </c>
      <c r="E69" s="339" t="s">
        <v>5437</v>
      </c>
      <c r="F69" s="167" t="s">
        <v>5438</v>
      </c>
      <c r="G69" s="341" t="str">
        <f>IFERROR(__xludf.DUMMYFUNCTION("GOOGLETRANSLATE(A69,""zh-tw"",""zh"")"),"安全手套")</f>
        <v>安全手套</v>
      </c>
      <c r="H69" s="168" t="str">
        <f>IFERROR(__xludf.DUMMYFUNCTION("GOOGLETRANSLATE(B69,""zh-tw"",""zh"")"),"物防：2
魔抗：45
防御雷电")</f>
        <v>物防：2
魔抗：45
防御雷电</v>
      </c>
      <c r="I69" s="341" t="str">
        <f>IFERROR(__xludf.DUMMYFUNCTION("GOOGLETRANSLATE(A69,""zh-tw"",""es-MX"")"),"guantes de seguridad")</f>
        <v>guantes de seguridad</v>
      </c>
      <c r="J69" s="168" t="str">
        <f>IFERROR(__xludf.DUMMYFUNCTION("GOOGLETRANSLATE(B69,""zh-tw"",""es-MX"")"),"Defensa física: 2 Resistencia mágica: 45 Defensa contra rayos")</f>
        <v>Defensa física: 2 Resistencia mágica: 45 Defensa contra rayos</v>
      </c>
      <c r="K69" s="341" t="str">
        <f>IFERROR(__xludf.DUMMYFUNCTION("GOOGLETRANSLATE(A69,""zh-tw"",""KO"")"),"안전 장갑")</f>
        <v>안전 장갑</v>
      </c>
      <c r="L69" s="168" t="str">
        <f>IFERROR(__xludf.DUMMYFUNCTION("GOOGLETRANSLATE(B69,""zh-tw"",""KO"")"),"물리 방어력: 2 마법 저항력: 45 번개 방어력")</f>
        <v>물리 방어력: 2 마법 저항력: 45 번개 방어력</v>
      </c>
      <c r="M69" s="342" t="str">
        <f>IFERROR(__xludf.DUMMYFUNCTION("GOOGLETRANSLATE(A69,""zh-tw"",""ru"")"),"защитные перчатки")</f>
        <v>защитные перчатки</v>
      </c>
      <c r="N69" s="321" t="str">
        <f>IFERROR(__xludf.DUMMYFUNCTION("GOOGLETRANSLATE(B69,""zh-tw"",""ru"")"),"Физическая защита: 2 Сопротивление магии: 45 Защита от молнии")</f>
        <v>Физическая защита: 2 Сопротивление магии: 45 Защита от молнии</v>
      </c>
      <c r="O69" s="342" t="str">
        <f>IFERROR(__xludf.DUMMYFUNCTION("GOOGLETRANSLATE(A69,""zh-tw"",""de"")"),"Schutzhandschuhe")</f>
        <v>Schutzhandschuhe</v>
      </c>
      <c r="P69" s="321" t="str">
        <f>IFERROR(__xludf.DUMMYFUNCTION("GOOGLETRANSLATE(B69,""zh-tw"",""de"")"),"Physische Verteidigung: 2 Magieresistenz: 45 Blitzverteidigung")</f>
        <v>Physische Verteidigung: 2 Magieresistenz: 45 Blitzverteidigung</v>
      </c>
      <c r="Q69" s="343" t="s">
        <v>5439</v>
      </c>
      <c r="R69" s="344" t="s">
        <v>5440</v>
      </c>
      <c r="S69" s="17"/>
      <c r="T69" s="17"/>
      <c r="U69" s="17"/>
      <c r="V69" s="17"/>
      <c r="W69" s="17"/>
      <c r="X69" s="17"/>
      <c r="Y69" s="17"/>
      <c r="Z69" s="17"/>
    </row>
    <row r="70">
      <c r="A70" s="339" t="s">
        <v>5441</v>
      </c>
      <c r="B70" s="167" t="s">
        <v>5442</v>
      </c>
      <c r="C70" s="341" t="str">
        <f>IFERROR(__xludf.DUMMYFUNCTION("GOOGLETRANSLATE(A70,""zh-tw"",""ja"")"),"シャープブレードリング")</f>
        <v>シャープブレードリング</v>
      </c>
      <c r="D70" s="168" t="str">
        <f>IFERROR(__xludf.DUMMYFUNCTION("GOOGLETRANSLATE(B70,""zh-tw"",""ja"")"),"物理攻撃力+15%")</f>
        <v>物理攻撃力+15%</v>
      </c>
      <c r="E70" s="339" t="s">
        <v>5443</v>
      </c>
      <c r="F70" s="167" t="s">
        <v>5444</v>
      </c>
      <c r="G70" s="341" t="str">
        <f>IFERROR(__xludf.DUMMYFUNCTION("GOOGLETRANSLATE(A70,""zh-tw"",""zh"")"),"锐刃指环")</f>
        <v>锐刃指环</v>
      </c>
      <c r="H70" s="168" t="str">
        <f>IFERROR(__xludf.DUMMYFUNCTION("GOOGLETRANSLATE(B70,""zh-tw"",""zh"")"),"物攻+15%")</f>
        <v>物攻+15%</v>
      </c>
      <c r="I70" s="341" t="str">
        <f>IFERROR(__xludf.DUMMYFUNCTION("GOOGLETRANSLATE(A70,""zh-tw"",""es-MX"")"),"Anillo de hoja afilada")</f>
        <v>Anillo de hoja afilada</v>
      </c>
      <c r="J70" s="168" t="str">
        <f>IFERROR(__xludf.DUMMYFUNCTION("GOOGLETRANSLATE(B70,""zh-tw"",""es-MX"")"),"Ataque físico +15%")</f>
        <v>Ataque físico +15%</v>
      </c>
      <c r="K70" s="341" t="str">
        <f>IFERROR(__xludf.DUMMYFUNCTION("GOOGLETRANSLATE(A70,""zh-tw"",""KO"")"),"날카로운 칼날 반지")</f>
        <v>날카로운 칼날 반지</v>
      </c>
      <c r="L70" s="168" t="str">
        <f>IFERROR(__xludf.DUMMYFUNCTION("GOOGLETRANSLATE(B70,""zh-tw"",""KO"")"),"물리 공격력 +15%")</f>
        <v>물리 공격력 +15%</v>
      </c>
      <c r="M70" s="342" t="str">
        <f>IFERROR(__xludf.DUMMYFUNCTION("GOOGLETRANSLATE(A70,""zh-tw"",""ru"")"),"Кольцо с острым лезвием")</f>
        <v>Кольцо с острым лезвием</v>
      </c>
      <c r="N70" s="321" t="str">
        <f>IFERROR(__xludf.DUMMYFUNCTION("GOOGLETRANSLATE(B70,""zh-tw"",""ru"")"),"Физическая атака +15%")</f>
        <v>Физическая атака +15%</v>
      </c>
      <c r="O70" s="342" t="str">
        <f>IFERROR(__xludf.DUMMYFUNCTION("GOOGLETRANSLATE(A70,""zh-tw"",""de"")"),"Scharfer Klingenring")</f>
        <v>Scharfer Klingenring</v>
      </c>
      <c r="P70" s="321" t="str">
        <f>IFERROR(__xludf.DUMMYFUNCTION("GOOGLETRANSLATE(B70,""zh-tw"",""de"")"),"Physischer Angriff +15 %")</f>
        <v>Physischer Angriff +15 %</v>
      </c>
      <c r="Q70" s="343" t="s">
        <v>5445</v>
      </c>
      <c r="R70" s="344" t="s">
        <v>5446</v>
      </c>
      <c r="S70" s="17"/>
      <c r="T70" s="17"/>
      <c r="U70" s="17"/>
      <c r="V70" s="17"/>
      <c r="W70" s="17"/>
      <c r="X70" s="17"/>
      <c r="Y70" s="17"/>
      <c r="Z70" s="17"/>
    </row>
    <row r="71">
      <c r="A71" s="339" t="s">
        <v>5447</v>
      </c>
      <c r="B71" s="167" t="s">
        <v>5448</v>
      </c>
      <c r="C71" s="341" t="str">
        <f>IFERROR(__xludf.DUMMYFUNCTION("GOOGLETRANSLATE(A71,""zh-tw"",""ja"")"),"滝指")</f>
        <v>滝指</v>
      </c>
      <c r="D71" s="168" t="str">
        <f>IFERROR(__xludf.DUMMYFUNCTION("GOOGLETRANSLATE(B71,""zh-tw"",""ja"")"),"近接通常攻撃回数+1。出血確率。ヒットボックスは小さく、武器のサイズによる変化はありません。ダメージは固定ですが、剣術訓練と組み合わせることでダメージボーナスを得ることができます。")</f>
        <v>近接通常攻撃回数+1。出血確率。ヒットボックスは小さく、武器のサイズによる変化はありません。ダメージは固定ですが、剣術訓練と組み合わせることでダメージボーナスを得ることができます。</v>
      </c>
      <c r="E71" s="339" t="s">
        <v>5449</v>
      </c>
      <c r="F71" s="167" t="s">
        <v>5450</v>
      </c>
      <c r="G71" s="341" t="str">
        <f>IFERROR(__xludf.DUMMYFUNCTION("GOOGLETRANSLATE(A71,""zh-tw"",""zh"")"),"胁差")</f>
        <v>胁差</v>
      </c>
      <c r="H71" s="168"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41" t="str">
        <f>IFERROR(__xludf.DUMMYFUNCTION("GOOGLETRANSLATE(A71,""zh-tw"",""es-MX"")"),"takizashi")</f>
        <v>takizashi</v>
      </c>
      <c r="J71" s="168" t="str">
        <f>IFERROR(__xludf.DUMMYFUNCTION("GOOGLETRANSLATE(B71,""zh-tw"",""es-MX"")"),"+1 ataque cuerpo a cuerpo normal. Posibilidad de sangrado. Área de impacto pequeña, que no varía con el tamaño del arma. Daño fijo, pero se puede combinar con entrenamiento en esgrima para obtener bonificaciones de daño.")</f>
        <v>+1 ataque cuerpo a cuerpo normal. Posibilidad de sangrado. Área de impacto pequeña, que no varía con el tamaño del arma. Daño fijo, pero se puede combinar con entrenamiento en esgrima para obtener bonificaciones de daño.</v>
      </c>
      <c r="K71" s="341" t="str">
        <f>IFERROR(__xludf.DUMMYFUNCTION("GOOGLETRANSLATE(A71,""zh-tw"",""KO"")"),"다키자시")</f>
        <v>다키자시</v>
      </c>
      <c r="L71" s="168" t="str">
        <f>IFERROR(__xludf.DUMMYFUNCTION("GOOGLETRANSLATE(B71,""zh-tw"",""KO"")"),"근접 일반 공격 횟수 +1. 출혈 확률. 타격 범위가 작고 무기 크기에 따라 변하지 않습니다. 고정 피해량이지만, 검술 훈련과 병행하여 추가 피해를 얻을 수 있습니다.")</f>
        <v>근접 일반 공격 횟수 +1. 출혈 확률. 타격 범위가 작고 무기 크기에 따라 변하지 않습니다. 고정 피해량이지만, 검술 훈련과 병행하여 추가 피해를 얻을 수 있습니다.</v>
      </c>
      <c r="M71" s="342" t="str">
        <f>IFERROR(__xludf.DUMMYFUNCTION("GOOGLETRANSLATE(A71,""zh-tw"",""ru"")"),"Такизаши")</f>
        <v>Такизаши</v>
      </c>
      <c r="N71" s="321" t="str">
        <f>IFERROR(__xludf.DUMMYFUNCTION("GOOGLETRANSLATE(B71,""zh-tw"",""ru"")"),"+1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f>
        <v>+1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v>
      </c>
      <c r="O71" s="342" t="str">
        <f>IFERROR(__xludf.DUMMYFUNCTION("GOOGLETRANSLATE(A71,""zh-tw"",""de"")"),"Takizashi")</f>
        <v>Takizashi</v>
      </c>
      <c r="P71" s="321" t="str">
        <f>IFERROR(__xludf.DUMMYFUNCTION("GOOGLETRANSLATE(B71,""zh-tw"",""de"")"),"+1 Nahkampfangriff. Blutungschance. Kleine Trefferzone, die sich nicht mit der Waffengröße ändert. Fester Schaden, kann aber mit Schwertkampftraining für Schadensboni kombiniert werden.")</f>
        <v>+1 Nahkampfangriff. Blutungschance. Kleine Trefferzone, die sich nicht mit der Waffengröße ändert. Fester Schaden, kann aber mit Schwertkampftraining für Schadensboni kombiniert werden.</v>
      </c>
      <c r="Q71" s="343" t="s">
        <v>5449</v>
      </c>
      <c r="R71" s="344" t="s">
        <v>5451</v>
      </c>
      <c r="S71" s="17"/>
      <c r="T71" s="17"/>
      <c r="U71" s="17"/>
      <c r="V71" s="17"/>
      <c r="W71" s="17"/>
      <c r="X71" s="17"/>
      <c r="Y71" s="17"/>
      <c r="Z71" s="17"/>
    </row>
    <row r="72">
      <c r="A72" s="339" t="s">
        <v>5452</v>
      </c>
      <c r="B72" s="167" t="s">
        <v>5453</v>
      </c>
      <c r="C72" s="341" t="str">
        <f>IFERROR(__xludf.DUMMYFUNCTION("GOOGLETRANSLATE(A72,""zh-tw"",""ja"")"),"鉄の鷲")</f>
        <v>鉄の鷲</v>
      </c>
      <c r="D72" s="168" t="str">
        <f>IFERROR(__xludf.DUMMYFUNCTION("GOOGLETRANSLATE(B72,""zh-tw"",""ja"")"),"物理防御力：15
魔法耐性：10
詳細はヒントをご覧ください")</f>
        <v>物理防御力：15
魔法耐性：10
詳細はヒントをご覧ください</v>
      </c>
      <c r="E72" s="339" t="s">
        <v>5454</v>
      </c>
      <c r="F72" s="167" t="s">
        <v>5455</v>
      </c>
      <c r="G72" s="341" t="str">
        <f>IFERROR(__xludf.DUMMYFUNCTION("GOOGLETRANSLATE(A72,""zh-tw"",""zh"")"),"铁觇")</f>
        <v>铁觇</v>
      </c>
      <c r="H72" s="168" t="str">
        <f>IFERROR(__xludf.DUMMYFUNCTION("GOOGLETRANSLATE(B72,""zh-tw"",""zh"")"),"物防：15
魔抗：10
详细说明于Tips")</f>
        <v>物防：15
魔抗：10
详细说明于Tips</v>
      </c>
      <c r="I72" s="341" t="str">
        <f>IFERROR(__xludf.DUMMYFUNCTION("GOOGLETRANSLATE(A72,""zh-tw"",""es-MX"")"),"águila de hierro")</f>
        <v>águila de hierro</v>
      </c>
      <c r="J72" s="168" t="str">
        <f>IFERROR(__xludf.DUMMYFUNCTION("GOOGLETRANSLATE(B72,""zh-tw"",""es-MX"")"),"Defensa física: 15
Resistencia mágica: 10
Explicación detallada en la sección de Consejos.")</f>
        <v>Defensa física: 15
Resistencia mágica: 10
Explicación detallada en la sección de Consejos.</v>
      </c>
      <c r="K72" s="341" t="str">
        <f>IFERROR(__xludf.DUMMYFUNCTION("GOOGLETRANSLATE(A72,""zh-tw"",""KO"")"),"아이언 이글")</f>
        <v>아이언 이글</v>
      </c>
      <c r="L72" s="168" t="str">
        <f>IFERROR(__xludf.DUMMYFUNCTION("GOOGLETRANSLATE(B72,""zh-tw"",""KO"")"),"물리 방어력: 15
마법 저항력: 10
자세한 설명은 팁에 있습니다")</f>
        <v>물리 방어력: 15
마법 저항력: 10
자세한 설명은 팁에 있습니다</v>
      </c>
      <c r="M72" s="342" t="str">
        <f>IFERROR(__xludf.DUMMYFUNCTION("GOOGLETRANSLATE(A72,""zh-tw"",""ru"")"),"Железный орел")</f>
        <v>Железный орел</v>
      </c>
      <c r="N72" s="321" t="str">
        <f>IFERROR(__xludf.DUMMYFUNCTION("GOOGLETRANSLATE(B72,""zh-tw"",""ru"")"),"Физическая защита: 15
Сопротивление магии: 10
Подробное объяснение в разделе «Советы»")</f>
        <v>Физическая защита: 15
Сопротивление магии: 10
Подробное объяснение в разделе «Советы»</v>
      </c>
      <c r="O72" s="342" t="str">
        <f>IFERROR(__xludf.DUMMYFUNCTION("GOOGLETRANSLATE(A72,""zh-tw"",""de"")"),"Eiserner Adler")</f>
        <v>Eiserner Adler</v>
      </c>
      <c r="P72" s="321" t="str">
        <f>IFERROR(__xludf.DUMMYFUNCTION("GOOGLETRANSLATE(B72,""zh-tw"",""de"")"),"Physische Verteidigung: 15
Magieresistenz: 10
Detaillierte Erklärung in den Tipps")</f>
        <v>Physische Verteidigung: 15
Magieresistenz: 10
Detaillierte Erklärung in den Tipps</v>
      </c>
      <c r="Q72" s="355" t="s">
        <v>5456</v>
      </c>
      <c r="R72" s="344" t="s">
        <v>5457</v>
      </c>
      <c r="S72" s="17"/>
      <c r="T72" s="17"/>
      <c r="U72" s="17"/>
      <c r="V72" s="17"/>
      <c r="W72" s="17"/>
      <c r="X72" s="17"/>
      <c r="Y72" s="17"/>
      <c r="Z72" s="17"/>
    </row>
    <row r="73">
      <c r="A73" s="339" t="s">
        <v>5458</v>
      </c>
      <c r="B73" s="167" t="s">
        <v>5459</v>
      </c>
      <c r="C73" s="341" t="str">
        <f>IFERROR(__xludf.DUMMYFUNCTION("GOOGLETRANSLATE(A73,""zh-tw"",""ja"")"),"五剣くんのバッジ")</f>
        <v>五剣くんのバッジ</v>
      </c>
      <c r="D73" s="168" t="str">
        <f>IFERROR(__xludf.DUMMYFUNCTION("GOOGLETRANSLATE(B73,""zh-tw"",""ja"")"),"攻撃力と攻撃上限ボーナスを減らし、武器の耐久性消費を減らします。")</f>
        <v>攻撃力と攻撃上限ボーナスを減らし、武器の耐久性消費を減らします。</v>
      </c>
      <c r="E73" s="339" t="s">
        <v>5460</v>
      </c>
      <c r="F73" s="167" t="s">
        <v>5461</v>
      </c>
      <c r="G73" s="341" t="str">
        <f>IFERROR(__xludf.DUMMYFUNCTION("GOOGLETRANSLATE(A73,""zh-tw"",""zh"")"),"护刃众的徽章")</f>
        <v>护刃众的徽章</v>
      </c>
      <c r="H73" s="168" t="str">
        <f>IFERROR(__xludf.DUMMYFUNCTION("GOOGLETRANSLATE(B73,""zh-tw"",""zh"")"),"减少攻击力以及攻击上限加成
降低武器耐久度消耗")</f>
        <v>减少攻击力以及攻击上限加成
降低武器耐久度消耗</v>
      </c>
      <c r="I73" s="341" t="str">
        <f>IFERROR(__xludf.DUMMYFUNCTION("GOOGLETRANSLATE(A73,""zh-tw"",""es-MX"")"),"Insignias de Goken-kun")</f>
        <v>Insignias de Goken-kun</v>
      </c>
      <c r="J73" s="168" t="str">
        <f>IFERROR(__xludf.DUMMYFUNCTION("GOOGLETRANSLATE(B73,""zh-tw"",""es-MX"")"),"Reduce las bonificaciones de poder de ataque y límite de ataque; reduce el consumo de durabilidad del arma.")</f>
        <v>Reduce las bonificaciones de poder de ataque y límite de ataque; reduce el consumo de durabilidad del arma.</v>
      </c>
      <c r="K73" s="341" t="str">
        <f>IFERROR(__xludf.DUMMYFUNCTION("GOOGLETRANSLATE(A73,""zh-tw"",""KO"")"),"고켄군의 배지")</f>
        <v>고켄군의 배지</v>
      </c>
      <c r="L73" s="168" t="str">
        <f>IFERROR(__xludf.DUMMYFUNCTION("GOOGLETRANSLATE(B73,""zh-tw"",""KO"")"),"공격력과 공격력 상한 보너스를 감소시키고, 무기 내구도 소모를 감소시킵니다.")</f>
        <v>공격력과 공격력 상한 보너스를 감소시키고, 무기 내구도 소모를 감소시킵니다.</v>
      </c>
      <c r="M73" s="342" t="str">
        <f>IFERROR(__xludf.DUMMYFUNCTION("GOOGLETRANSLATE(A73,""zh-tw"",""ru"")"),"Значки Гокен-куна")</f>
        <v>Значки Гокен-куна</v>
      </c>
      <c r="N73" s="321" t="str">
        <f>IFERROR(__xludf.DUMMYFUNCTION("GOOGLETRANSLATE(B73,""zh-tw"",""ru"")"),"Уменьшает силу атаки и бонусы к пределу атаки; уменьшает расход прочности оружия.")</f>
        <v>Уменьшает силу атаки и бонусы к пределу атаки; уменьшает расход прочности оружия.</v>
      </c>
      <c r="O73" s="342" t="str">
        <f>IFERROR(__xludf.DUMMYFUNCTION("GOOGLETRANSLATE(A73,""zh-tw"",""de"")"),"Abzeichen des Goken-kun")</f>
        <v>Abzeichen des Goken-kun</v>
      </c>
      <c r="P73" s="321" t="str">
        <f>IFERROR(__xludf.DUMMYFUNCTION("GOOGLETRANSLATE(B73,""zh-tw"",""de"")"),"Verringert Angriffskraft und Angriffslimitboni; verringert den Waffenhaltbarkeitsverbrauch.")</f>
        <v>Verringert Angriffskraft und Angriffslimitboni; verringert den Waffenhaltbarkeitsverbrauch.</v>
      </c>
      <c r="Q73" s="343" t="s">
        <v>5462</v>
      </c>
      <c r="R73" s="344" t="s">
        <v>5463</v>
      </c>
      <c r="S73" s="17"/>
      <c r="T73" s="17"/>
      <c r="U73" s="17"/>
      <c r="V73" s="17"/>
      <c r="W73" s="17"/>
      <c r="X73" s="17"/>
      <c r="Y73" s="17"/>
      <c r="Z73" s="17"/>
    </row>
    <row r="74">
      <c r="A74" s="339" t="s">
        <v>5464</v>
      </c>
      <c r="B74" s="167" t="s">
        <v>5465</v>
      </c>
      <c r="C74" s="341" t="str">
        <f>IFERROR(__xludf.DUMMYFUNCTION("GOOGLETRANSLATE(A74,""zh-tw"",""ja"")"),"イチゴを取り戻せ！")</f>
        <v>イチゴを取り戻せ！</v>
      </c>
      <c r="D74" s="168" t="str">
        <f>IFERROR(__xludf.DUMMYFUNCTION("GOOGLETRANSLATE(B74,""zh-tw"",""ja"")"),"コマンドタイプの装備
(スキルスロット参照)")</f>
        <v>コマンドタイプの装備
(スキルスロット参照)</v>
      </c>
      <c r="E74" s="339" t="s">
        <v>5466</v>
      </c>
      <c r="F74" s="167" t="s">
        <v>5467</v>
      </c>
      <c r="G74" s="341" t="str">
        <f>IFERROR(__xludf.DUMMYFUNCTION("GOOGLETRANSLATE(A74,""zh-tw"",""zh"")"),"把草莓夺回来！ !")</f>
        <v>把草莓夺回来！ !</v>
      </c>
      <c r="H74" s="168" t="str">
        <f>IFERROR(__xludf.DUMMYFUNCTION("GOOGLETRANSLATE(B74,""zh-tw"",""zh"")"),"指令类型装备
(请见技能栏位)")</f>
        <v>指令类型装备
(请见技能栏位)</v>
      </c>
      <c r="I74" s="341" t="str">
        <f>IFERROR(__xludf.DUMMYFUNCTION("GOOGLETRANSLATE(A74,""zh-tw"",""es-MX"")"),"¡Recuperemos las fresas!")</f>
        <v>¡Recuperemos las fresas!</v>
      </c>
      <c r="J74" s="168" t="str">
        <f>IFERROR(__xludf.DUMMYFUNCTION("GOOGLETRANSLATE(B74,""zh-tw"",""es-MX"")"),"Equipo de tipo comando
(Ver espacios para habilidades)")</f>
        <v>Equipo de tipo comando
(Ver espacios para habilidades)</v>
      </c>
      <c r="K74" s="341" t="str">
        <f>IFERROR(__xludf.DUMMYFUNCTION("GOOGLETRANSLATE(A74,""zh-tw"",""KO"")"),"딸기를 다시 가져와!")</f>
        <v>딸기를 다시 가져와!</v>
      </c>
      <c r="L74" s="168" t="str">
        <f>IFERROR(__xludf.DUMMYFUNCTION("GOOGLETRANSLATE(B74,""zh-tw"",""KO"")"),"명령형 장비
(스킬 슬롯 참조)")</f>
        <v>명령형 장비
(스킬 슬롯 참조)</v>
      </c>
      <c r="M74" s="342" t="str">
        <f>IFERROR(__xludf.DUMMYFUNCTION("GOOGLETRANSLATE(A74,""zh-tw"",""ru"")"),"Верните клубнику!")</f>
        <v>Верните клубнику!</v>
      </c>
      <c r="N74" s="321" t="str">
        <f>IFERROR(__xludf.DUMMYFUNCTION("GOOGLETRANSLATE(B74,""zh-tw"",""ru"")"),"Командное снаряжение
(См. слоты навыков)")</f>
        <v>Командное снаряжение
(См. слоты навыков)</v>
      </c>
      <c r="O74" s="342" t="str">
        <f>IFERROR(__xludf.DUMMYFUNCTION("GOOGLETRANSLATE(A74,""zh-tw"",""de"")"),"Holt die Erdbeeren zurück!")</f>
        <v>Holt die Erdbeeren zurück!</v>
      </c>
      <c r="P74" s="321" t="str">
        <f>IFERROR(__xludf.DUMMYFUNCTION("GOOGLETRANSLATE(B74,""zh-tw"",""de"")"),"Ausrüstung vom Typ „Befehl“
(Siehe Fertigkeitsplätze)")</f>
        <v>Ausrüstung vom Typ „Befehl“
(Siehe Fertigkeitsplätze)</v>
      </c>
      <c r="Q74" s="343" t="s">
        <v>5468</v>
      </c>
      <c r="R74" s="344" t="s">
        <v>5469</v>
      </c>
      <c r="S74" s="17"/>
      <c r="T74" s="17"/>
      <c r="U74" s="17"/>
      <c r="V74" s="17"/>
      <c r="W74" s="17"/>
      <c r="X74" s="17"/>
      <c r="Y74" s="17"/>
      <c r="Z74" s="17"/>
    </row>
    <row r="75">
      <c r="A75" s="345" t="s">
        <v>4342</v>
      </c>
      <c r="B75" s="167" t="s">
        <v>5470</v>
      </c>
      <c r="C75" s="352" t="s">
        <v>5471</v>
      </c>
      <c r="D75" s="190" t="s">
        <v>5472</v>
      </c>
      <c r="E75" s="339" t="s">
        <v>4345</v>
      </c>
      <c r="F75" s="167" t="s">
        <v>5473</v>
      </c>
      <c r="G75" s="341" t="str">
        <f>IFERROR(__xludf.DUMMYFUNCTION("GOOGLETRANSLATE(A75,""zh-tw"",""zh"")"),"◉▽◉(蓝色)")</f>
        <v>◉▽◉(蓝色)</v>
      </c>
      <c r="H75" s="168" t="str">
        <f>IFERROR(__xludf.DUMMYFUNCTION("GOOGLETRANSLATE(B75,""zh-tw"",""zh"")"),"投掷攻击
遇水消失、会被击杀
幸运：10")</f>
        <v>投掷攻击
遇水消失、会被击杀
幸运：10</v>
      </c>
      <c r="I75" s="341" t="str">
        <f>IFERROR(__xludf.DUMMYFUNCTION("GOOGLETRANSLATE(A75,""zh-tw"",""es-MX"")"),"◉▽◉(azul)")</f>
        <v>◉▽◉(azul)</v>
      </c>
      <c r="J75" s="168" t="str">
        <f>IFERROR(__xludf.DUMMYFUNCTION("GOOGLETRANSLATE(B75,""zh-tw"",""es-MX"")"),"Ataque de lanzamiento
Desaparece en el agua y mata al objetivo.
Suerte: 10")</f>
        <v>Ataque de lanzamiento
Desaparece en el agua y mata al objetivo.
Suerte: 10</v>
      </c>
      <c r="K75" s="341" t="str">
        <f>IFERROR(__xludf.DUMMYFUNCTION("GOOGLETRANSLATE(A75,""zh-tw"",""KO"")"),"◉▽◉(파란색)")</f>
        <v>◉▽◉(파란색)</v>
      </c>
      <c r="L75" s="168" t="str">
        <f>IFERROR(__xludf.DUMMYFUNCTION("GOOGLETRANSLATE(B75,""zh-tw"",""KO"")"),"던지기 공격
물속으로 사라져 대상을 처치합니다.
행운: 10")</f>
        <v>던지기 공격
물속으로 사라져 대상을 처치합니다.
행운: 10</v>
      </c>
      <c r="M75" s="342" t="str">
        <f>IFERROR(__xludf.DUMMYFUNCTION("GOOGLETRANSLATE(A75,""zh-tw"",""ru"")"),"◉▽◉(синий)")</f>
        <v>◉▽◉(синий)</v>
      </c>
      <c r="N75" s="321" t="str">
        <f>IFERROR(__xludf.DUMMYFUNCTION("GOOGLETRANSLATE(B75,""zh-tw"",""ru"")"),"Бросок
Исчезает в воде, убивая цель
Удача: 10")</f>
        <v>Бросок
Исчезает в воде, убивая цель
Удача: 10</v>
      </c>
      <c r="O75" s="339" t="s">
        <v>4348</v>
      </c>
      <c r="P75" s="167" t="s">
        <v>5474</v>
      </c>
      <c r="Q75" s="343" t="s">
        <v>4351</v>
      </c>
      <c r="R75" s="344" t="s">
        <v>5475</v>
      </c>
      <c r="S75" s="17"/>
      <c r="T75" s="17"/>
      <c r="U75" s="17"/>
      <c r="V75" s="17"/>
      <c r="W75" s="17"/>
      <c r="X75" s="17"/>
      <c r="Y75" s="17"/>
      <c r="Z75" s="17"/>
    </row>
    <row r="76">
      <c r="A76" s="341" t="s">
        <v>4354</v>
      </c>
      <c r="B76" s="167" t="s">
        <v>5476</v>
      </c>
      <c r="C76" s="341" t="s">
        <v>4354</v>
      </c>
      <c r="D76" s="190" t="s">
        <v>5477</v>
      </c>
      <c r="E76" s="339" t="s">
        <v>4356</v>
      </c>
      <c r="F76" s="167" t="s">
        <v>5478</v>
      </c>
      <c r="G76" s="341" t="str">
        <f>IFERROR(__xludf.DUMMYFUNCTION("GOOGLETRANSLATE(A76,""zh-tw"",""zh"")"),"◉▽◉(紫色)")</f>
        <v>◉▽◉(紫色)</v>
      </c>
      <c r="H76" s="168" t="str">
        <f>IFERROR(__xludf.DUMMYFUNCTION("GOOGLETRANSLATE(B76,""zh-tw"",""zh"")"),"投掷攻击
遇水消失、会被击杀
幸运：20")</f>
        <v>投掷攻击
遇水消失、会被击杀
幸运：20</v>
      </c>
      <c r="I76" s="341" t="str">
        <f>IFERROR(__xludf.DUMMYFUNCTION("GOOGLETRANSLATE(A76,""zh-tw"",""es-MX"")"),"◉▽◉(morado)")</f>
        <v>◉▽◉(morado)</v>
      </c>
      <c r="J76" s="168" t="str">
        <f>IFERROR(__xludf.DUMMYFUNCTION("GOOGLETRANSLATE(B76,""zh-tw"",""es-MX"")"),"Ataque de lanzamiento
Desaparece en el agua y mata al objetivo.
Suerte: 20")</f>
        <v>Ataque de lanzamiento
Desaparece en el agua y mata al objetivo.
Suerte: 20</v>
      </c>
      <c r="K76" s="341" t="str">
        <f>IFERROR(__xludf.DUMMYFUNCTION("GOOGLETRANSLATE(A76,""zh-tw"",""KO"")"),"◉▽◉(보라색)")</f>
        <v>◉▽◉(보라색)</v>
      </c>
      <c r="L76" s="168" t="str">
        <f>IFERROR(__xludf.DUMMYFUNCTION("GOOGLETRANSLATE(B76,""zh-tw"",""KO"")"),"던지기 공격
물속으로 사라져 대상을 처치합니다.
행운: 20")</f>
        <v>던지기 공격
물속으로 사라져 대상을 처치합니다.
행운: 20</v>
      </c>
      <c r="M76" s="342" t="str">
        <f>IFERROR(__xludf.DUMMYFUNCTION("GOOGLETRANSLATE(A76,""zh-tw"",""ru"")"),"◉▽◉(фиолетовый)")</f>
        <v>◉▽◉(фиолетовый)</v>
      </c>
      <c r="N76" s="321" t="str">
        <f>IFERROR(__xludf.DUMMYFUNCTION("GOOGLETRANSLATE(B76,""zh-tw"",""ru"")"),"Бросок
Исчезает в воде, убивая цель
Удача: 20")</f>
        <v>Бросок
Исчезает в воде, убивая цель
Удача: 20</v>
      </c>
      <c r="O76" s="339" t="s">
        <v>4358</v>
      </c>
      <c r="P76" s="167" t="s">
        <v>5479</v>
      </c>
      <c r="Q76" s="358" t="s">
        <v>4360</v>
      </c>
      <c r="R76" s="344" t="s">
        <v>5480</v>
      </c>
      <c r="S76" s="17"/>
      <c r="T76" s="17"/>
      <c r="U76" s="17"/>
      <c r="V76" s="17"/>
      <c r="W76" s="17"/>
      <c r="X76" s="17"/>
      <c r="Y76" s="17"/>
      <c r="Z76" s="17"/>
    </row>
    <row r="77">
      <c r="A77" s="341" t="s">
        <v>5481</v>
      </c>
      <c r="B77" s="167" t="s">
        <v>5482</v>
      </c>
      <c r="C77" s="352" t="s">
        <v>5483</v>
      </c>
      <c r="D77" s="190" t="s">
        <v>5484</v>
      </c>
      <c r="E77" s="339" t="s">
        <v>5485</v>
      </c>
      <c r="F77" s="167" t="s">
        <v>5486</v>
      </c>
      <c r="G77" s="341" t="str">
        <f>IFERROR(__xludf.DUMMYFUNCTION("GOOGLETRANSLATE(A77,""zh-tw"",""zh"")"),"◉▽◉(粉色)")</f>
        <v>◉▽◉(粉色)</v>
      </c>
      <c r="H77" s="168" t="str">
        <f>IFERROR(__xludf.DUMMYFUNCTION("GOOGLETRANSLATE(B77,""zh-tw"",""zh"")"),"投掷攻击
遇水消失、会被击杀
幸运：40")</f>
        <v>投掷攻击
遇水消失、会被击杀
幸运：40</v>
      </c>
      <c r="I77" s="341" t="str">
        <f>IFERROR(__xludf.DUMMYFUNCTION("GOOGLETRANSLATE(A77,""zh-tw"",""es-MX"")"),"◉▽◉(Rosa)")</f>
        <v>◉▽◉(Rosa)</v>
      </c>
      <c r="J77" s="168" t="str">
        <f>IFERROR(__xludf.DUMMYFUNCTION("GOOGLETRANSLATE(B77,""zh-tw"",""es-MX"")"),"Ataque de lanzamiento
Desaparece en el agua y mata al objetivo.
Suerte: 40")</f>
        <v>Ataque de lanzamiento
Desaparece en el agua y mata al objetivo.
Suerte: 40</v>
      </c>
      <c r="K77" s="341" t="str">
        <f>IFERROR(__xludf.DUMMYFUNCTION("GOOGLETRANSLATE(A77,""zh-tw"",""KO"")"),"◉▽◉(분홍색)")</f>
        <v>◉▽◉(분홍색)</v>
      </c>
      <c r="L77" s="168" t="str">
        <f>IFERROR(__xludf.DUMMYFUNCTION("GOOGLETRANSLATE(B77,""zh-tw"",""KO"")"),"던지기 공격
물속으로 사라져 대상을 처치합니다.
행운: 40")</f>
        <v>던지기 공격
물속으로 사라져 대상을 처치합니다.
행운: 40</v>
      </c>
      <c r="M77" s="342" t="str">
        <f>IFERROR(__xludf.DUMMYFUNCTION("GOOGLETRANSLATE(A77,""zh-tw"",""ru"")"),"◉▽◉(Розовый)")</f>
        <v>◉▽◉(Розовый)</v>
      </c>
      <c r="N77" s="321" t="str">
        <f>IFERROR(__xludf.DUMMYFUNCTION("GOOGLETRANSLATE(B77,""zh-tw"",""ru"")"),"Бросок
Исчезает в воде, убивая цель
Удача: 40")</f>
        <v>Бросок
Исчезает в воде, убивая цель
Удача: 40</v>
      </c>
      <c r="O77" s="339" t="s">
        <v>5487</v>
      </c>
      <c r="P77" s="167" t="s">
        <v>5488</v>
      </c>
      <c r="Q77" s="358" t="s">
        <v>5489</v>
      </c>
      <c r="R77" s="344" t="s">
        <v>5490</v>
      </c>
      <c r="S77" s="17"/>
      <c r="T77" s="17"/>
      <c r="U77" s="17"/>
      <c r="V77" s="17"/>
      <c r="W77" s="17"/>
      <c r="X77" s="17"/>
      <c r="Y77" s="17"/>
      <c r="Z77" s="17"/>
    </row>
    <row r="78">
      <c r="A78" s="339" t="s">
        <v>5491</v>
      </c>
      <c r="B78" s="167" t="s">
        <v>5492</v>
      </c>
      <c r="C78" s="352" t="s">
        <v>5493</v>
      </c>
      <c r="D78" s="190" t="s">
        <v>5494</v>
      </c>
      <c r="E78" s="339" t="s">
        <v>5495</v>
      </c>
      <c r="F78" s="167" t="s">
        <v>5496</v>
      </c>
      <c r="G78" s="341" t="str">
        <f>IFERROR(__xludf.DUMMYFUNCTION("GOOGLETRANSLATE(A78,""zh-tw"",""zh"")"),"初号核心I~VII")</f>
        <v>初号核心I~VII</v>
      </c>
      <c r="H78" s="168"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41" t="str">
        <f>IFERROR(__xludf.DUMMYFUNCTION("GOOGLETRANSLATE(A78,""zh-tw"",""es-MX"")"),"Núcleo I~VII")</f>
        <v>Núcleo I~VII</v>
      </c>
      <c r="J78" s="168"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41" t="str">
        <f>IFERROR(__xludf.DUMMYFUNCTION("GOOGLETRANSLATE(A78,""zh-tw"",""KO"")"),"코어 I~VII")</f>
        <v>코어 I~VII</v>
      </c>
      <c r="L78" s="168"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42" t="str">
        <f>IFERROR(__xludf.DUMMYFUNCTION("GOOGLETRANSLATE(A78,""zh-tw"",""ru"")"),"Ядро I~VII")</f>
        <v>Ядро I~VII</v>
      </c>
      <c r="N78" s="321"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39" t="s">
        <v>5497</v>
      </c>
      <c r="P78" s="167" t="s">
        <v>5498</v>
      </c>
      <c r="Q78" s="343" t="s">
        <v>5495</v>
      </c>
      <c r="R78" s="344" t="s">
        <v>5499</v>
      </c>
      <c r="S78" s="17"/>
      <c r="T78" s="17"/>
      <c r="U78" s="17"/>
      <c r="V78" s="17"/>
      <c r="W78" s="17"/>
      <c r="X78" s="17"/>
      <c r="Y78" s="17"/>
      <c r="Z78" s="17"/>
    </row>
    <row r="79">
      <c r="A79" s="339" t="s">
        <v>5500</v>
      </c>
      <c r="B79" s="167" t="s">
        <v>5501</v>
      </c>
      <c r="C79" s="354"/>
      <c r="D79" s="353"/>
      <c r="E79" s="339" t="s">
        <v>5502</v>
      </c>
      <c r="F79" s="167" t="s">
        <v>5503</v>
      </c>
      <c r="G79" s="341" t="str">
        <f>IFERROR(__xludf.DUMMYFUNCTION("GOOGLETRANSLATE(A79,""zh-tw"",""zh"")"),"Ruika的万宝槌")</f>
        <v>Ruika的万宝槌</v>
      </c>
      <c r="H79" s="168" t="str">
        <f>IFERROR(__xludf.DUMMYFUNCTION("GOOGLETRANSLATE(B79,""zh-tw"",""zh"")"),"幸运：777
增加掉落率(作弊道具)")</f>
        <v>幸运：777
增加掉落率(作弊道具)</v>
      </c>
      <c r="I79" s="341" t="str">
        <f>IFERROR(__xludf.DUMMYFUNCTION("GOOGLETRANSLATE(A79,""zh-tw"",""es-MX"")"),"El martillo de Ruika")</f>
        <v>El martillo de Ruika</v>
      </c>
      <c r="J79" s="168" t="str">
        <f>IFERROR(__xludf.DUMMYFUNCTION("GOOGLETRANSLATE(B79,""zh-tw"",""es-MX"")"),"Suerte: 777 Aumenta la probabilidad de obtener objetos (objeto de trampa)")</f>
        <v>Suerte: 777 Aumenta la probabilidad de obtener objetos (objeto de trampa)</v>
      </c>
      <c r="K79" s="341" t="str">
        <f>IFERROR(__xludf.DUMMYFUNCTION("GOOGLETRANSLATE(A79,""zh-tw"",""KO"")"),"루이카의 망치")</f>
        <v>루이카의 망치</v>
      </c>
      <c r="L79" s="168" t="str">
        <f>IFERROR(__xludf.DUMMYFUNCTION("GOOGLETRANSLATE(B79,""zh-tw"",""KO"")"),"행운 : 777 (치트아이템) 드랍률 증가")</f>
        <v>행운 : 777 (치트아이템) 드랍률 증가</v>
      </c>
      <c r="M79" s="342" t="str">
        <f>IFERROR(__xludf.DUMMYFUNCTION("GOOGLETRANSLATE(A79,""zh-tw"",""ru"")"),"Молот Руики")</f>
        <v>Молот Руики</v>
      </c>
      <c r="N79" s="321" t="str">
        <f>IFERROR(__xludf.DUMMYFUNCTION("GOOGLETRANSLATE(B79,""zh-tw"",""ru"")"),"Удача: 777 Увеличивает шанс выпадения (чит-предмет)")</f>
        <v>Удача: 777 Увеличивает шанс выпадения (чит-предмет)</v>
      </c>
      <c r="O79" s="342" t="str">
        <f>IFERROR(__xludf.DUMMYFUNCTION("GOOGLETRANSLATE(A79,""zh-tw"",""de"")"),"Ruikas Hammer")</f>
        <v>Ruikas Hammer</v>
      </c>
      <c r="P79" s="321" t="str">
        <f>IFERROR(__xludf.DUMMYFUNCTION("GOOGLETRANSLATE(B79,""zh-tw"",""de"")"),"Glück: 777 Erhöht die Drop-Rate (Cheat-Gegenstand)")</f>
        <v>Glück: 777 Erhöht die Drop-Rate (Cheat-Gegenstand)</v>
      </c>
      <c r="Q79" s="355" t="s">
        <v>5504</v>
      </c>
      <c r="R79" s="329" t="s">
        <v>5505</v>
      </c>
      <c r="S79" s="17"/>
      <c r="T79" s="17"/>
      <c r="U79" s="17"/>
      <c r="V79" s="17"/>
      <c r="W79" s="17"/>
      <c r="X79" s="17"/>
      <c r="Y79" s="17"/>
      <c r="Z79" s="17"/>
    </row>
    <row r="80">
      <c r="A80" s="339" t="s">
        <v>5506</v>
      </c>
      <c r="B80" s="167" t="s">
        <v>5507</v>
      </c>
      <c r="C80" s="354"/>
      <c r="D80" s="353"/>
      <c r="E80" s="339" t="s">
        <v>5508</v>
      </c>
      <c r="F80" s="167" t="s">
        <v>5509</v>
      </c>
      <c r="G80" s="341" t="str">
        <f>IFERROR(__xludf.DUMMYFUNCTION("GOOGLETRANSLATE(A80,""zh-tw"",""zh"")"),"Mio的急救箱")</f>
        <v>Mio的急救箱</v>
      </c>
      <c r="H80" s="168" t="str">
        <f>IFERROR(__xludf.DUMMYFUNCTION("GOOGLETRANSLATE(B80,""zh-tw"",""zh"")"),"每秒回复血(作弊道具)")</f>
        <v>每秒回复血(作弊道具)</v>
      </c>
      <c r="I80" s="341" t="str">
        <f>IFERROR(__xludf.DUMMYFUNCTION("GOOGLETRANSLATE(A80,""zh-tw"",""es-MX"")"),"Botiquín de primeros auxilios de Mio")</f>
        <v>Botiquín de primeros auxilios de Mio</v>
      </c>
      <c r="J80" s="168" t="str">
        <f>IFERROR(__xludf.DUMMYFUNCTION("GOOGLETRANSLATE(B80,""zh-tw"",""es-MX"")"),"Regenera salud por segundo (objeto de trampa)")</f>
        <v>Regenera salud por segundo (objeto de trampa)</v>
      </c>
      <c r="K80" s="341" t="str">
        <f>IFERROR(__xludf.DUMMYFUNCTION("GOOGLETRANSLATE(A80,""zh-tw"",""KO"")"),"미오의 응급처치 키트")</f>
        <v>미오의 응급처치 키트</v>
      </c>
      <c r="L80" s="168" t="str">
        <f>IFERROR(__xludf.DUMMYFUNCTION("GOOGLETRANSLATE(B80,""zh-tw"",""KO"")"),"초당 체력 재생(치트 아이템)")</f>
        <v>초당 체력 재생(치트 아이템)</v>
      </c>
      <c r="M80" s="342" t="str">
        <f>IFERROR(__xludf.DUMMYFUNCTION("GOOGLETRANSLATE(A80,""zh-tw"",""ru"")"),"Аптечка первой помощи Мио")</f>
        <v>Аптечка первой помощи Мио</v>
      </c>
      <c r="N80" s="321" t="str">
        <f>IFERROR(__xludf.DUMMYFUNCTION("GOOGLETRANSLATE(B80,""zh-tw"",""ru"")"),"Восстанавливает здоровье каждую секунду (чит-предмет)")</f>
        <v>Восстанавливает здоровье каждую секунду (чит-предмет)</v>
      </c>
      <c r="O80" s="342" t="str">
        <f>IFERROR(__xludf.DUMMYFUNCTION("GOOGLETRANSLATE(A80,""zh-tw"",""de"")"),"Mios Erste-Hilfe-Set")</f>
        <v>Mios Erste-Hilfe-Set</v>
      </c>
      <c r="P80" s="321" t="str">
        <f>IFERROR(__xludf.DUMMYFUNCTION("GOOGLETRANSLATE(B80,""zh-tw"",""de"")"),"Regeneriert Gesundheit pro Sekunde (Cheat-Gegenstand)")</f>
        <v>Regeneriert Gesundheit pro Sekunde (Cheat-Gegenstand)</v>
      </c>
      <c r="Q80" s="355" t="s">
        <v>5510</v>
      </c>
      <c r="R80" s="329" t="s">
        <v>5511</v>
      </c>
      <c r="S80" s="17"/>
      <c r="T80" s="17"/>
      <c r="U80" s="17"/>
      <c r="V80" s="17"/>
      <c r="W80" s="17"/>
      <c r="X80" s="17"/>
      <c r="Y80" s="17"/>
      <c r="Z80" s="17"/>
    </row>
    <row r="81">
      <c r="A81" s="339" t="s">
        <v>5512</v>
      </c>
      <c r="B81" s="167" t="s">
        <v>5513</v>
      </c>
      <c r="C81" s="354"/>
      <c r="D81" s="353"/>
      <c r="E81" s="339" t="s">
        <v>5514</v>
      </c>
      <c r="F81" s="167" t="s">
        <v>5515</v>
      </c>
      <c r="G81" s="341" t="str">
        <f>IFERROR(__xludf.DUMMYFUNCTION("GOOGLETRANSLATE(A81,""zh-tw"",""zh"")"),"白湮的金手指")</f>
        <v>白湮的金手指</v>
      </c>
      <c r="H81" s="168" t="str">
        <f>IFERROR(__xludf.DUMMYFUNCTION("GOOGLETRANSLATE(B81,""zh-tw"",""zh"")"),"武器无消耗(作弊道具)")</f>
        <v>武器无消耗(作弊道具)</v>
      </c>
      <c r="I81" s="341" t="str">
        <f>IFERROR(__xludf.DUMMYFUNCTION("GOOGLETRANSLATE(A81,""zh-tw"",""es-MX"")"),"El dedo dorado de Bai Yan")</f>
        <v>El dedo dorado de Bai Yan</v>
      </c>
      <c r="J81" s="168" t="str">
        <f>IFERROR(__xludf.DUMMYFUNCTION("GOOGLETRANSLATE(B81,""zh-tw"",""es-MX"")"),"Las armas no tienen coste (objeto de trampa)")</f>
        <v>Las armas no tienen coste (objeto de trampa)</v>
      </c>
      <c r="K81" s="341" t="str">
        <f>IFERROR(__xludf.DUMMYFUNCTION("GOOGLETRANSLATE(A81,""zh-tw"",""KO"")"),"백연의 황금 손가락")</f>
        <v>백연의 황금 손가락</v>
      </c>
      <c r="L81" s="168" t="str">
        <f>IFERROR(__xludf.DUMMYFUNCTION("GOOGLETRANSLATE(B81,""zh-tw"",""KO"")"),"무기에는 비용이 없습니다(치트 아이템)")</f>
        <v>무기에는 비용이 없습니다(치트 아이템)</v>
      </c>
      <c r="M81" s="342" t="str">
        <f>IFERROR(__xludf.DUMMYFUNCTION("GOOGLETRANSLATE(A81,""zh-tw"",""ru"")"),"Золотой палец Бай Яня")</f>
        <v>Золотой палец Бай Яня</v>
      </c>
      <c r="N81" s="321" t="str">
        <f>IFERROR(__xludf.DUMMYFUNCTION("GOOGLETRANSLATE(B81,""zh-tw"",""ru"")"),"Оружие не имеет стоимости (чит-предмет)")</f>
        <v>Оружие не имеет стоимости (чит-предмет)</v>
      </c>
      <c r="O81" s="342" t="str">
        <f>IFERROR(__xludf.DUMMYFUNCTION("GOOGLETRANSLATE(A81,""zh-tw"",""de"")"),"Bai Yans goldener Finger")</f>
        <v>Bai Yans goldener Finger</v>
      </c>
      <c r="P81" s="321" t="str">
        <f>IFERROR(__xludf.DUMMYFUNCTION("GOOGLETRANSLATE(B81,""zh-tw"",""de"")"),"Waffen kosten nichts (Cheat-Gegenstand).")</f>
        <v>Waffen kosten nichts (Cheat-Gegenstand).</v>
      </c>
      <c r="Q81" s="355" t="s">
        <v>5516</v>
      </c>
      <c r="R81" s="329" t="s">
        <v>5517</v>
      </c>
      <c r="S81" s="17"/>
      <c r="T81" s="17"/>
      <c r="U81" s="17"/>
      <c r="V81" s="17"/>
      <c r="W81" s="17"/>
      <c r="X81" s="17"/>
      <c r="Y81" s="17"/>
      <c r="Z81" s="17"/>
    </row>
    <row r="82">
      <c r="A82" s="341"/>
      <c r="B82" s="168"/>
      <c r="C82" s="354"/>
      <c r="D82" s="353"/>
      <c r="E82" s="341"/>
      <c r="F82" s="168"/>
      <c r="G82" s="341"/>
      <c r="H82" s="168"/>
      <c r="I82" s="347"/>
      <c r="J82" s="187"/>
      <c r="K82" s="347"/>
      <c r="L82" s="187"/>
      <c r="M82" s="347"/>
      <c r="N82" s="187"/>
      <c r="O82" s="341"/>
      <c r="P82" s="168"/>
      <c r="Q82" s="343"/>
      <c r="R82" s="344"/>
      <c r="S82" s="17"/>
      <c r="T82" s="17"/>
      <c r="U82" s="17"/>
      <c r="V82" s="17"/>
      <c r="W82" s="17"/>
      <c r="X82" s="17"/>
      <c r="Y82" s="17"/>
      <c r="Z82" s="17"/>
    </row>
    <row r="83">
      <c r="A83" s="341"/>
      <c r="B83" s="168"/>
      <c r="C83" s="354"/>
      <c r="D83" s="353"/>
      <c r="E83" s="341"/>
      <c r="F83" s="168"/>
      <c r="G83" s="341"/>
      <c r="H83" s="168"/>
      <c r="I83" s="347"/>
      <c r="J83" s="187"/>
      <c r="K83" s="347"/>
      <c r="L83" s="187"/>
      <c r="M83" s="347"/>
      <c r="N83" s="187"/>
      <c r="O83" s="341"/>
      <c r="P83" s="168"/>
      <c r="Q83" s="343"/>
      <c r="R83" s="344"/>
      <c r="S83" s="17"/>
      <c r="T83" s="17"/>
      <c r="U83" s="17"/>
      <c r="V83" s="17"/>
      <c r="W83" s="17"/>
      <c r="X83" s="17"/>
      <c r="Y83" s="17"/>
      <c r="Z83" s="17"/>
    </row>
    <row r="84">
      <c r="A84" s="341"/>
      <c r="B84" s="168"/>
      <c r="C84" s="354"/>
      <c r="D84" s="353"/>
      <c r="E84" s="341"/>
      <c r="F84" s="168"/>
      <c r="G84" s="341"/>
      <c r="H84" s="168"/>
      <c r="I84" s="347"/>
      <c r="J84" s="187"/>
      <c r="K84" s="347"/>
      <c r="L84" s="187"/>
      <c r="M84" s="347"/>
      <c r="N84" s="187"/>
      <c r="O84" s="341"/>
      <c r="P84" s="168"/>
      <c r="Q84" s="343"/>
      <c r="R84" s="344"/>
      <c r="S84" s="17"/>
      <c r="T84" s="17"/>
      <c r="U84" s="17"/>
      <c r="V84" s="17"/>
      <c r="W84" s="17"/>
      <c r="X84" s="17"/>
      <c r="Y84" s="17"/>
      <c r="Z84" s="17"/>
    </row>
    <row r="85">
      <c r="A85" s="341"/>
      <c r="B85" s="168"/>
      <c r="C85" s="354"/>
      <c r="D85" s="353"/>
      <c r="E85" s="341"/>
      <c r="F85" s="168"/>
      <c r="G85" s="341"/>
      <c r="H85" s="168"/>
      <c r="I85" s="347"/>
      <c r="J85" s="187"/>
      <c r="K85" s="347"/>
      <c r="L85" s="187"/>
      <c r="M85" s="347"/>
      <c r="N85" s="187"/>
      <c r="O85" s="341"/>
      <c r="P85" s="168"/>
      <c r="Q85" s="343"/>
      <c r="R85" s="344"/>
      <c r="S85" s="17"/>
      <c r="T85" s="17"/>
      <c r="U85" s="17"/>
      <c r="V85" s="17"/>
      <c r="W85" s="17"/>
      <c r="X85" s="17"/>
      <c r="Y85" s="17"/>
      <c r="Z85" s="17"/>
    </row>
    <row r="86">
      <c r="A86" s="341"/>
      <c r="B86" s="168"/>
      <c r="C86" s="354"/>
      <c r="D86" s="353"/>
      <c r="E86" s="341"/>
      <c r="F86" s="168"/>
      <c r="G86" s="341"/>
      <c r="H86" s="168"/>
      <c r="I86" s="347"/>
      <c r="J86" s="187"/>
      <c r="K86" s="347"/>
      <c r="L86" s="187"/>
      <c r="M86" s="347"/>
      <c r="N86" s="187"/>
      <c r="O86" s="341"/>
      <c r="P86" s="168"/>
      <c r="Q86" s="343"/>
      <c r="R86" s="344"/>
      <c r="S86" s="17"/>
      <c r="T86" s="17"/>
      <c r="U86" s="17"/>
      <c r="V86" s="17"/>
      <c r="W86" s="17"/>
      <c r="X86" s="17"/>
      <c r="Y86" s="17"/>
      <c r="Z86" s="17"/>
    </row>
    <row r="87">
      <c r="A87" s="341"/>
      <c r="B87" s="168"/>
      <c r="C87" s="354"/>
      <c r="D87" s="353"/>
      <c r="E87" s="341"/>
      <c r="F87" s="168"/>
      <c r="G87" s="341"/>
      <c r="H87" s="168"/>
      <c r="I87" s="347"/>
      <c r="J87" s="187"/>
      <c r="K87" s="347"/>
      <c r="L87" s="187"/>
      <c r="M87" s="347"/>
      <c r="N87" s="187"/>
      <c r="O87" s="341"/>
      <c r="P87" s="168"/>
      <c r="Q87" s="343"/>
      <c r="R87" s="344"/>
      <c r="S87" s="17"/>
      <c r="T87" s="17"/>
      <c r="U87" s="17"/>
      <c r="V87" s="17"/>
      <c r="W87" s="17"/>
      <c r="X87" s="17"/>
      <c r="Y87" s="17"/>
      <c r="Z87" s="17"/>
    </row>
    <row r="88">
      <c r="A88" s="341"/>
      <c r="B88" s="168"/>
      <c r="C88" s="354"/>
      <c r="D88" s="353"/>
      <c r="E88" s="341"/>
      <c r="F88" s="168"/>
      <c r="G88" s="341"/>
      <c r="H88" s="168"/>
      <c r="I88" s="347"/>
      <c r="J88" s="187"/>
      <c r="K88" s="347"/>
      <c r="L88" s="187"/>
      <c r="M88" s="347"/>
      <c r="N88" s="187"/>
      <c r="O88" s="341"/>
      <c r="P88" s="168"/>
      <c r="Q88" s="343"/>
      <c r="R88" s="344"/>
      <c r="S88" s="17"/>
      <c r="T88" s="17"/>
      <c r="U88" s="17"/>
      <c r="V88" s="17"/>
      <c r="W88" s="17"/>
      <c r="X88" s="17"/>
      <c r="Y88" s="17"/>
      <c r="Z88" s="17"/>
    </row>
    <row r="89">
      <c r="A89" s="341"/>
      <c r="B89" s="362"/>
      <c r="C89" s="354"/>
      <c r="D89" s="353"/>
      <c r="E89" s="341"/>
      <c r="F89" s="168"/>
      <c r="G89" s="341"/>
      <c r="H89" s="168"/>
      <c r="I89" s="347"/>
      <c r="J89" s="187"/>
      <c r="K89" s="347"/>
      <c r="L89" s="187"/>
      <c r="M89" s="347"/>
      <c r="N89" s="187"/>
      <c r="O89" s="341"/>
      <c r="P89" s="168"/>
      <c r="Q89" s="343"/>
      <c r="R89" s="344"/>
      <c r="S89" s="17"/>
      <c r="T89" s="17"/>
      <c r="U89" s="17"/>
      <c r="V89" s="17"/>
      <c r="W89" s="17"/>
      <c r="X89" s="17"/>
      <c r="Y89" s="17"/>
      <c r="Z89" s="17"/>
    </row>
    <row r="90">
      <c r="A90" s="341"/>
      <c r="B90" s="168"/>
      <c r="C90" s="354"/>
      <c r="D90" s="353"/>
      <c r="E90" s="341"/>
      <c r="F90" s="168"/>
      <c r="G90" s="341"/>
      <c r="H90" s="168"/>
      <c r="I90" s="347"/>
      <c r="J90" s="187"/>
      <c r="K90" s="347"/>
      <c r="L90" s="187"/>
      <c r="M90" s="347"/>
      <c r="N90" s="187"/>
      <c r="O90" s="341"/>
      <c r="P90" s="168"/>
      <c r="Q90" s="343"/>
      <c r="R90" s="344"/>
      <c r="S90" s="17"/>
      <c r="T90" s="17"/>
      <c r="U90" s="17"/>
      <c r="V90" s="17"/>
      <c r="W90" s="17"/>
      <c r="X90" s="17"/>
      <c r="Y90" s="17"/>
      <c r="Z90" s="17"/>
    </row>
    <row r="91">
      <c r="A91" s="341"/>
      <c r="B91" s="168"/>
      <c r="C91" s="354"/>
      <c r="D91" s="353"/>
      <c r="E91" s="341"/>
      <c r="F91" s="168"/>
      <c r="G91" s="341"/>
      <c r="H91" s="168"/>
      <c r="I91" s="347"/>
      <c r="J91" s="187"/>
      <c r="K91" s="347"/>
      <c r="L91" s="187"/>
      <c r="M91" s="347"/>
      <c r="N91" s="187"/>
      <c r="O91" s="341"/>
      <c r="P91" s="168"/>
      <c r="Q91" s="343"/>
      <c r="R91" s="344"/>
      <c r="S91" s="17"/>
      <c r="T91" s="17"/>
      <c r="U91" s="17"/>
      <c r="V91" s="17"/>
      <c r="W91" s="17"/>
      <c r="X91" s="17"/>
      <c r="Y91" s="17"/>
      <c r="Z91" s="17"/>
    </row>
    <row r="92">
      <c r="A92" s="341"/>
      <c r="B92" s="168"/>
      <c r="C92" s="354"/>
      <c r="D92" s="353"/>
      <c r="E92" s="341"/>
      <c r="F92" s="168"/>
      <c r="G92" s="341"/>
      <c r="H92" s="168"/>
      <c r="I92" s="347"/>
      <c r="J92" s="187"/>
      <c r="K92" s="347"/>
      <c r="L92" s="187"/>
      <c r="M92" s="347"/>
      <c r="N92" s="187"/>
      <c r="O92" s="341"/>
      <c r="P92" s="168"/>
      <c r="Q92" s="343"/>
      <c r="R92" s="344"/>
      <c r="S92" s="17"/>
      <c r="T92" s="17"/>
      <c r="U92" s="17"/>
      <c r="V92" s="17"/>
      <c r="W92" s="17"/>
      <c r="X92" s="17"/>
      <c r="Y92" s="17"/>
      <c r="Z92" s="17"/>
    </row>
    <row r="93">
      <c r="A93" s="341"/>
      <c r="B93" s="168"/>
      <c r="C93" s="354"/>
      <c r="D93" s="353"/>
      <c r="E93" s="341"/>
      <c r="F93" s="168"/>
      <c r="G93" s="341"/>
      <c r="H93" s="168"/>
      <c r="I93" s="347"/>
      <c r="J93" s="187"/>
      <c r="K93" s="347"/>
      <c r="L93" s="187"/>
      <c r="M93" s="347"/>
      <c r="N93" s="187"/>
      <c r="O93" s="341"/>
      <c r="P93" s="168"/>
      <c r="Q93" s="343"/>
      <c r="R93" s="344"/>
      <c r="S93" s="17"/>
      <c r="T93" s="17"/>
      <c r="U93" s="17"/>
      <c r="V93" s="17"/>
      <c r="W93" s="17"/>
      <c r="X93" s="17"/>
      <c r="Y93" s="17"/>
      <c r="Z93" s="17"/>
    </row>
    <row r="94">
      <c r="A94" s="341"/>
      <c r="B94" s="168"/>
      <c r="C94" s="354"/>
      <c r="D94" s="353"/>
      <c r="E94" s="341"/>
      <c r="F94" s="168"/>
      <c r="G94" s="341"/>
      <c r="H94" s="168"/>
      <c r="I94" s="347"/>
      <c r="J94" s="187"/>
      <c r="K94" s="347"/>
      <c r="L94" s="187"/>
      <c r="M94" s="347"/>
      <c r="N94" s="187"/>
      <c r="O94" s="341"/>
      <c r="P94" s="168"/>
      <c r="Q94" s="343"/>
      <c r="R94" s="344"/>
      <c r="S94" s="17"/>
      <c r="T94" s="17"/>
      <c r="U94" s="17"/>
      <c r="V94" s="17"/>
      <c r="W94" s="17"/>
      <c r="X94" s="17"/>
      <c r="Y94" s="17"/>
      <c r="Z94" s="17"/>
    </row>
    <row r="95">
      <c r="A95" s="341"/>
      <c r="B95" s="168"/>
      <c r="C95" s="354"/>
      <c r="D95" s="353"/>
      <c r="E95" s="341"/>
      <c r="F95" s="168"/>
      <c r="G95" s="341"/>
      <c r="H95" s="168"/>
      <c r="I95" s="347"/>
      <c r="J95" s="187"/>
      <c r="K95" s="347"/>
      <c r="L95" s="187"/>
      <c r="M95" s="347"/>
      <c r="N95" s="187"/>
      <c r="O95" s="341"/>
      <c r="P95" s="168"/>
      <c r="Q95" s="343"/>
      <c r="R95" s="344"/>
      <c r="S95" s="17"/>
      <c r="T95" s="17"/>
      <c r="U95" s="17"/>
      <c r="V95" s="17"/>
      <c r="W95" s="17"/>
      <c r="X95" s="17"/>
      <c r="Y95" s="17"/>
      <c r="Z95" s="17"/>
    </row>
    <row r="96">
      <c r="A96" s="341"/>
      <c r="B96" s="168"/>
      <c r="C96" s="354"/>
      <c r="D96" s="353"/>
      <c r="E96" s="341"/>
      <c r="F96" s="168"/>
      <c r="G96" s="341"/>
      <c r="H96" s="168"/>
      <c r="I96" s="347"/>
      <c r="J96" s="187"/>
      <c r="K96" s="347"/>
      <c r="L96" s="187"/>
      <c r="M96" s="347"/>
      <c r="N96" s="187"/>
      <c r="O96" s="341"/>
      <c r="P96" s="168"/>
      <c r="Q96" s="343"/>
      <c r="R96" s="344"/>
      <c r="S96" s="17"/>
      <c r="T96" s="17"/>
      <c r="U96" s="17"/>
      <c r="V96" s="17"/>
      <c r="W96" s="17"/>
      <c r="X96" s="17"/>
      <c r="Y96" s="17"/>
      <c r="Z96" s="17"/>
    </row>
    <row r="97">
      <c r="A97" s="341"/>
      <c r="B97" s="168"/>
      <c r="C97" s="354"/>
      <c r="D97" s="353"/>
      <c r="E97" s="341"/>
      <c r="F97" s="168"/>
      <c r="G97" s="341"/>
      <c r="H97" s="168"/>
      <c r="I97" s="347"/>
      <c r="J97" s="187"/>
      <c r="K97" s="347"/>
      <c r="L97" s="187"/>
      <c r="M97" s="347"/>
      <c r="N97" s="187"/>
      <c r="O97" s="341"/>
      <c r="P97" s="168"/>
      <c r="Q97" s="343"/>
      <c r="R97" s="344"/>
      <c r="S97" s="17"/>
      <c r="T97" s="17"/>
      <c r="U97" s="17"/>
      <c r="V97" s="17"/>
      <c r="W97" s="17"/>
      <c r="X97" s="17"/>
      <c r="Y97" s="17"/>
      <c r="Z97" s="17"/>
    </row>
    <row r="98">
      <c r="A98" s="341"/>
      <c r="B98" s="168"/>
      <c r="C98" s="354"/>
      <c r="D98" s="353"/>
      <c r="E98" s="341"/>
      <c r="F98" s="168"/>
      <c r="G98" s="341"/>
      <c r="H98" s="168"/>
      <c r="I98" s="347"/>
      <c r="J98" s="187"/>
      <c r="K98" s="347"/>
      <c r="L98" s="187"/>
      <c r="M98" s="347"/>
      <c r="N98" s="187"/>
      <c r="O98" s="341"/>
      <c r="P98" s="168"/>
      <c r="Q98" s="343"/>
      <c r="R98" s="344"/>
      <c r="S98" s="17"/>
      <c r="T98" s="17"/>
      <c r="U98" s="17"/>
      <c r="V98" s="17"/>
      <c r="W98" s="17"/>
      <c r="X98" s="17"/>
      <c r="Y98" s="17"/>
      <c r="Z98" s="17"/>
    </row>
    <row r="99">
      <c r="A99" s="341"/>
      <c r="B99" s="168"/>
      <c r="C99" s="354"/>
      <c r="D99" s="353"/>
      <c r="E99" s="341"/>
      <c r="F99" s="168"/>
      <c r="G99" s="341"/>
      <c r="H99" s="168"/>
      <c r="I99" s="347"/>
      <c r="J99" s="187"/>
      <c r="K99" s="347"/>
      <c r="L99" s="187"/>
      <c r="M99" s="347"/>
      <c r="N99" s="187"/>
      <c r="O99" s="341"/>
      <c r="P99" s="168"/>
      <c r="Q99" s="343"/>
      <c r="R99" s="344"/>
      <c r="S99" s="17"/>
      <c r="T99" s="17"/>
      <c r="U99" s="17"/>
      <c r="V99" s="17"/>
      <c r="W99" s="17"/>
      <c r="X99" s="17"/>
      <c r="Y99" s="17"/>
      <c r="Z99" s="17"/>
    </row>
    <row r="100">
      <c r="A100" s="341"/>
      <c r="B100" s="168"/>
      <c r="C100" s="354"/>
      <c r="D100" s="353"/>
      <c r="E100" s="341"/>
      <c r="F100" s="168"/>
      <c r="G100" s="341"/>
      <c r="H100" s="168"/>
      <c r="I100" s="347"/>
      <c r="J100" s="187"/>
      <c r="K100" s="347"/>
      <c r="L100" s="187"/>
      <c r="M100" s="347"/>
      <c r="N100" s="187"/>
      <c r="O100" s="341"/>
      <c r="P100" s="168"/>
      <c r="Q100" s="343"/>
      <c r="R100" s="344"/>
      <c r="S100" s="17"/>
      <c r="T100" s="17"/>
      <c r="U100" s="17"/>
      <c r="V100" s="17"/>
      <c r="W100" s="17"/>
      <c r="X100" s="17"/>
      <c r="Y100" s="17"/>
      <c r="Z100" s="17"/>
    </row>
    <row r="101">
      <c r="A101" s="341"/>
      <c r="B101" s="168"/>
      <c r="C101" s="354"/>
      <c r="D101" s="353"/>
      <c r="E101" s="341"/>
      <c r="F101" s="168"/>
      <c r="G101" s="341"/>
      <c r="H101" s="168"/>
      <c r="I101" s="347"/>
      <c r="J101" s="187"/>
      <c r="K101" s="347"/>
      <c r="L101" s="187"/>
      <c r="M101" s="347"/>
      <c r="N101" s="187"/>
      <c r="O101" s="341"/>
      <c r="P101" s="168"/>
      <c r="Q101" s="343"/>
      <c r="R101" s="344"/>
      <c r="S101" s="17"/>
      <c r="T101" s="17"/>
      <c r="U101" s="17"/>
      <c r="V101" s="17"/>
      <c r="W101" s="17"/>
      <c r="X101" s="17"/>
      <c r="Y101" s="17"/>
      <c r="Z101" s="17"/>
    </row>
    <row r="102">
      <c r="A102" s="341"/>
      <c r="B102" s="168"/>
      <c r="C102" s="354"/>
      <c r="D102" s="353"/>
      <c r="E102" s="341"/>
      <c r="F102" s="168"/>
      <c r="G102" s="341"/>
      <c r="H102" s="168"/>
      <c r="I102" s="347"/>
      <c r="J102" s="187"/>
      <c r="K102" s="347"/>
      <c r="L102" s="187"/>
      <c r="M102" s="347"/>
      <c r="N102" s="187"/>
      <c r="O102" s="341"/>
      <c r="P102" s="168"/>
      <c r="Q102" s="343"/>
      <c r="R102" s="344"/>
      <c r="S102" s="17"/>
      <c r="T102" s="17"/>
      <c r="U102" s="17"/>
      <c r="V102" s="17"/>
      <c r="W102" s="17"/>
      <c r="X102" s="17"/>
      <c r="Y102" s="17"/>
      <c r="Z102" s="17"/>
    </row>
    <row r="103">
      <c r="A103" s="341"/>
      <c r="B103" s="168"/>
      <c r="C103" s="354"/>
      <c r="D103" s="353"/>
      <c r="E103" s="341"/>
      <c r="F103" s="168"/>
      <c r="G103" s="341"/>
      <c r="H103" s="168"/>
      <c r="I103" s="347"/>
      <c r="J103" s="187"/>
      <c r="K103" s="347"/>
      <c r="L103" s="187"/>
      <c r="M103" s="347"/>
      <c r="N103" s="187"/>
      <c r="O103" s="341"/>
      <c r="P103" s="168"/>
      <c r="Q103" s="343"/>
      <c r="R103" s="344"/>
      <c r="S103" s="17"/>
      <c r="T103" s="17"/>
      <c r="U103" s="17"/>
      <c r="V103" s="17"/>
      <c r="W103" s="17"/>
      <c r="X103" s="17"/>
      <c r="Y103" s="17"/>
      <c r="Z103" s="17"/>
    </row>
    <row r="104">
      <c r="A104" s="341"/>
      <c r="B104" s="168"/>
      <c r="C104" s="354"/>
      <c r="D104" s="353"/>
      <c r="E104" s="341"/>
      <c r="F104" s="168"/>
      <c r="G104" s="341"/>
      <c r="H104" s="168"/>
      <c r="I104" s="347"/>
      <c r="J104" s="187"/>
      <c r="K104" s="347"/>
      <c r="L104" s="187"/>
      <c r="M104" s="347"/>
      <c r="N104" s="187"/>
      <c r="O104" s="341"/>
      <c r="P104" s="168"/>
      <c r="Q104" s="343"/>
      <c r="R104" s="344"/>
      <c r="S104" s="17"/>
      <c r="T104" s="17"/>
      <c r="U104" s="17"/>
      <c r="V104" s="17"/>
      <c r="W104" s="17"/>
      <c r="X104" s="17"/>
      <c r="Y104" s="17"/>
      <c r="Z104" s="17"/>
    </row>
    <row r="105">
      <c r="A105" s="341"/>
      <c r="B105" s="168"/>
      <c r="C105" s="354"/>
      <c r="D105" s="353"/>
      <c r="E105" s="341"/>
      <c r="F105" s="168"/>
      <c r="G105" s="341"/>
      <c r="H105" s="168"/>
      <c r="I105" s="347"/>
      <c r="J105" s="187"/>
      <c r="K105" s="347"/>
      <c r="L105" s="187"/>
      <c r="M105" s="347"/>
      <c r="N105" s="187"/>
      <c r="O105" s="341"/>
      <c r="P105" s="168"/>
      <c r="Q105" s="343"/>
      <c r="R105" s="344"/>
      <c r="S105" s="17"/>
      <c r="T105" s="17"/>
      <c r="U105" s="17"/>
      <c r="V105" s="17"/>
      <c r="W105" s="17"/>
      <c r="X105" s="17"/>
      <c r="Y105" s="17"/>
      <c r="Z105" s="17"/>
    </row>
    <row r="106">
      <c r="A106" s="341"/>
      <c r="B106" s="168"/>
      <c r="C106" s="354"/>
      <c r="D106" s="353"/>
      <c r="E106" s="341"/>
      <c r="F106" s="168"/>
      <c r="G106" s="341"/>
      <c r="H106" s="168"/>
      <c r="I106" s="347"/>
      <c r="J106" s="187"/>
      <c r="K106" s="347"/>
      <c r="L106" s="187"/>
      <c r="M106" s="347"/>
      <c r="N106" s="187"/>
      <c r="O106" s="341"/>
      <c r="P106" s="168"/>
      <c r="Q106" s="343"/>
      <c r="R106" s="344"/>
      <c r="S106" s="17"/>
      <c r="T106" s="17"/>
      <c r="U106" s="17"/>
      <c r="V106" s="17"/>
      <c r="W106" s="17"/>
      <c r="X106" s="17"/>
      <c r="Y106" s="17"/>
      <c r="Z106" s="17"/>
    </row>
    <row r="107">
      <c r="A107" s="341"/>
      <c r="B107" s="168"/>
      <c r="C107" s="354"/>
      <c r="D107" s="353"/>
      <c r="E107" s="341"/>
      <c r="F107" s="168"/>
      <c r="G107" s="341"/>
      <c r="H107" s="168"/>
      <c r="I107" s="347"/>
      <c r="J107" s="187"/>
      <c r="K107" s="347"/>
      <c r="L107" s="187"/>
      <c r="M107" s="347"/>
      <c r="N107" s="187"/>
      <c r="O107" s="341"/>
      <c r="P107" s="168"/>
      <c r="Q107" s="343"/>
      <c r="R107" s="344"/>
      <c r="S107" s="17"/>
      <c r="T107" s="17"/>
      <c r="U107" s="17"/>
      <c r="V107" s="17"/>
      <c r="W107" s="17"/>
      <c r="X107" s="17"/>
      <c r="Y107" s="17"/>
      <c r="Z107" s="17"/>
    </row>
    <row r="108">
      <c r="A108" s="341"/>
      <c r="B108" s="168"/>
      <c r="C108" s="354"/>
      <c r="D108" s="353"/>
      <c r="E108" s="341"/>
      <c r="F108" s="168"/>
      <c r="G108" s="341"/>
      <c r="H108" s="168"/>
      <c r="I108" s="347"/>
      <c r="J108" s="187"/>
      <c r="K108" s="347"/>
      <c r="L108" s="187"/>
      <c r="M108" s="347"/>
      <c r="N108" s="187"/>
      <c r="O108" s="341"/>
      <c r="P108" s="168"/>
      <c r="Q108" s="343"/>
      <c r="R108" s="344"/>
      <c r="S108" s="17"/>
      <c r="T108" s="17"/>
      <c r="U108" s="17"/>
      <c r="V108" s="17"/>
      <c r="W108" s="17"/>
      <c r="X108" s="17"/>
      <c r="Y108" s="17"/>
      <c r="Z108" s="17"/>
    </row>
    <row r="109">
      <c r="A109" s="341"/>
      <c r="B109" s="168"/>
      <c r="C109" s="354"/>
      <c r="D109" s="353"/>
      <c r="E109" s="341"/>
      <c r="F109" s="168"/>
      <c r="G109" s="341"/>
      <c r="H109" s="168"/>
      <c r="I109" s="347"/>
      <c r="J109" s="187"/>
      <c r="K109" s="347"/>
      <c r="L109" s="187"/>
      <c r="M109" s="347"/>
      <c r="N109" s="187"/>
      <c r="O109" s="341"/>
      <c r="P109" s="168"/>
      <c r="Q109" s="343"/>
      <c r="R109" s="344"/>
      <c r="S109" s="17"/>
      <c r="T109" s="17"/>
      <c r="U109" s="17"/>
      <c r="V109" s="17"/>
      <c r="W109" s="17"/>
      <c r="X109" s="17"/>
      <c r="Y109" s="17"/>
      <c r="Z109" s="17"/>
    </row>
    <row r="110">
      <c r="A110" s="341"/>
      <c r="B110" s="168"/>
      <c r="C110" s="354"/>
      <c r="D110" s="353"/>
      <c r="E110" s="341"/>
      <c r="F110" s="168"/>
      <c r="G110" s="341"/>
      <c r="H110" s="168"/>
      <c r="I110" s="347"/>
      <c r="J110" s="187"/>
      <c r="K110" s="347"/>
      <c r="L110" s="187"/>
      <c r="M110" s="347"/>
      <c r="N110" s="187"/>
      <c r="O110" s="341"/>
      <c r="P110" s="168"/>
      <c r="Q110" s="343"/>
      <c r="R110" s="344"/>
      <c r="S110" s="17"/>
      <c r="T110" s="17"/>
      <c r="U110" s="17"/>
      <c r="V110" s="17"/>
      <c r="W110" s="17"/>
      <c r="X110" s="17"/>
      <c r="Y110" s="17"/>
      <c r="Z110" s="17"/>
    </row>
    <row r="111">
      <c r="A111" s="341"/>
      <c r="B111" s="168"/>
      <c r="C111" s="354"/>
      <c r="D111" s="353"/>
      <c r="E111" s="341"/>
      <c r="F111" s="168"/>
      <c r="G111" s="341"/>
      <c r="H111" s="168"/>
      <c r="I111" s="347"/>
      <c r="J111" s="187"/>
      <c r="K111" s="347"/>
      <c r="L111" s="187"/>
      <c r="M111" s="347"/>
      <c r="N111" s="187"/>
      <c r="O111" s="341"/>
      <c r="P111" s="168"/>
      <c r="Q111" s="343"/>
      <c r="R111" s="344"/>
      <c r="S111" s="17"/>
      <c r="T111" s="17"/>
      <c r="U111" s="17"/>
      <c r="V111" s="17"/>
      <c r="W111" s="17"/>
      <c r="X111" s="17"/>
      <c r="Y111" s="17"/>
      <c r="Z111" s="17"/>
    </row>
    <row r="112">
      <c r="A112" s="341"/>
      <c r="B112" s="168"/>
      <c r="C112" s="354"/>
      <c r="D112" s="353"/>
      <c r="E112" s="341"/>
      <c r="F112" s="168"/>
      <c r="G112" s="341"/>
      <c r="H112" s="168"/>
      <c r="I112" s="347"/>
      <c r="J112" s="187"/>
      <c r="K112" s="347"/>
      <c r="L112" s="187"/>
      <c r="M112" s="347"/>
      <c r="N112" s="187"/>
      <c r="O112" s="341"/>
      <c r="P112" s="168"/>
      <c r="Q112" s="343"/>
      <c r="R112" s="344"/>
      <c r="S112" s="17"/>
      <c r="T112" s="17"/>
      <c r="U112" s="17"/>
      <c r="V112" s="17"/>
      <c r="W112" s="17"/>
      <c r="X112" s="17"/>
      <c r="Y112" s="17"/>
      <c r="Z112" s="17"/>
    </row>
    <row r="113">
      <c r="A113" s="341"/>
      <c r="B113" s="168"/>
      <c r="C113" s="354"/>
      <c r="D113" s="353"/>
      <c r="E113" s="341"/>
      <c r="F113" s="168"/>
      <c r="G113" s="341"/>
      <c r="H113" s="168"/>
      <c r="I113" s="347"/>
      <c r="J113" s="187"/>
      <c r="K113" s="347"/>
      <c r="L113" s="187"/>
      <c r="M113" s="347"/>
      <c r="N113" s="187"/>
      <c r="O113" s="341"/>
      <c r="P113" s="168"/>
      <c r="Q113" s="343"/>
      <c r="R113" s="344"/>
      <c r="S113" s="17"/>
      <c r="T113" s="17"/>
      <c r="U113" s="17"/>
      <c r="V113" s="17"/>
      <c r="W113" s="17"/>
      <c r="X113" s="17"/>
      <c r="Y113" s="17"/>
      <c r="Z113" s="17"/>
    </row>
    <row r="114">
      <c r="A114" s="341"/>
      <c r="B114" s="168"/>
      <c r="C114" s="354"/>
      <c r="D114" s="353"/>
      <c r="E114" s="341"/>
      <c r="F114" s="168"/>
      <c r="G114" s="341"/>
      <c r="H114" s="168"/>
      <c r="I114" s="347"/>
      <c r="J114" s="187"/>
      <c r="K114" s="347"/>
      <c r="L114" s="187"/>
      <c r="M114" s="347"/>
      <c r="N114" s="187"/>
      <c r="O114" s="341"/>
      <c r="P114" s="168"/>
      <c r="Q114" s="343"/>
      <c r="R114" s="344"/>
      <c r="S114" s="17"/>
      <c r="T114" s="17"/>
      <c r="U114" s="17"/>
      <c r="V114" s="17"/>
      <c r="W114" s="17"/>
      <c r="X114" s="17"/>
      <c r="Y114" s="17"/>
      <c r="Z114" s="17"/>
    </row>
    <row r="115">
      <c r="A115" s="341"/>
      <c r="B115" s="168"/>
      <c r="C115" s="354"/>
      <c r="D115" s="353"/>
      <c r="E115" s="341"/>
      <c r="F115" s="168"/>
      <c r="G115" s="341"/>
      <c r="H115" s="168"/>
      <c r="I115" s="347"/>
      <c r="J115" s="187"/>
      <c r="K115" s="347"/>
      <c r="L115" s="187"/>
      <c r="M115" s="347"/>
      <c r="N115" s="187"/>
      <c r="O115" s="341"/>
      <c r="P115" s="168"/>
      <c r="Q115" s="343"/>
      <c r="R115" s="344"/>
      <c r="S115" s="17"/>
      <c r="T115" s="17"/>
      <c r="U115" s="17"/>
      <c r="V115" s="17"/>
      <c r="W115" s="17"/>
      <c r="X115" s="17"/>
      <c r="Y115" s="17"/>
      <c r="Z115" s="17"/>
    </row>
    <row r="116">
      <c r="A116" s="341"/>
      <c r="B116" s="168"/>
      <c r="C116" s="354"/>
      <c r="D116" s="353"/>
      <c r="E116" s="341"/>
      <c r="F116" s="168"/>
      <c r="G116" s="341"/>
      <c r="H116" s="168"/>
      <c r="I116" s="347"/>
      <c r="J116" s="187"/>
      <c r="K116" s="347"/>
      <c r="L116" s="187"/>
      <c r="M116" s="347"/>
      <c r="N116" s="187"/>
      <c r="O116" s="341"/>
      <c r="P116" s="168"/>
      <c r="Q116" s="343"/>
      <c r="R116" s="344"/>
      <c r="S116" s="17"/>
      <c r="T116" s="17"/>
      <c r="U116" s="17"/>
      <c r="V116" s="17"/>
      <c r="W116" s="17"/>
      <c r="X116" s="17"/>
      <c r="Y116" s="17"/>
      <c r="Z116" s="17"/>
    </row>
    <row r="117">
      <c r="A117" s="341"/>
      <c r="B117" s="168"/>
      <c r="C117" s="354"/>
      <c r="D117" s="353"/>
      <c r="E117" s="341"/>
      <c r="F117" s="168"/>
      <c r="G117" s="341"/>
      <c r="H117" s="168"/>
      <c r="I117" s="347"/>
      <c r="J117" s="187"/>
      <c r="K117" s="347"/>
      <c r="L117" s="187"/>
      <c r="M117" s="347"/>
      <c r="N117" s="187"/>
      <c r="O117" s="341"/>
      <c r="P117" s="168"/>
      <c r="Q117" s="343"/>
      <c r="R117" s="344"/>
      <c r="S117" s="17"/>
      <c r="T117" s="17"/>
      <c r="U117" s="17"/>
      <c r="V117" s="17"/>
      <c r="W117" s="17"/>
      <c r="X117" s="17"/>
      <c r="Y117" s="17"/>
      <c r="Z117" s="17"/>
    </row>
    <row r="118">
      <c r="A118" s="341"/>
      <c r="B118" s="168"/>
      <c r="C118" s="354"/>
      <c r="D118" s="353"/>
      <c r="E118" s="341"/>
      <c r="F118" s="168"/>
      <c r="G118" s="341"/>
      <c r="H118" s="168"/>
      <c r="I118" s="347"/>
      <c r="J118" s="187"/>
      <c r="K118" s="347"/>
      <c r="L118" s="187"/>
      <c r="M118" s="347"/>
      <c r="N118" s="187"/>
      <c r="O118" s="341"/>
      <c r="P118" s="168"/>
      <c r="Q118" s="343"/>
      <c r="R118" s="344"/>
      <c r="S118" s="17"/>
      <c r="T118" s="17"/>
      <c r="U118" s="17"/>
      <c r="V118" s="17"/>
      <c r="W118" s="17"/>
      <c r="X118" s="17"/>
      <c r="Y118" s="17"/>
      <c r="Z118" s="17"/>
    </row>
    <row r="119">
      <c r="A119" s="341"/>
      <c r="B119" s="168"/>
      <c r="C119" s="354"/>
      <c r="D119" s="353"/>
      <c r="E119" s="341"/>
      <c r="F119" s="168"/>
      <c r="G119" s="341"/>
      <c r="H119" s="168"/>
      <c r="I119" s="347"/>
      <c r="J119" s="187"/>
      <c r="K119" s="347"/>
      <c r="L119" s="187"/>
      <c r="M119" s="347"/>
      <c r="N119" s="187"/>
      <c r="O119" s="341"/>
      <c r="P119" s="168"/>
      <c r="Q119" s="343"/>
      <c r="R119" s="344"/>
      <c r="S119" s="17"/>
      <c r="T119" s="17"/>
      <c r="U119" s="17"/>
      <c r="V119" s="17"/>
      <c r="W119" s="17"/>
      <c r="X119" s="17"/>
      <c r="Y119" s="17"/>
      <c r="Z119" s="17"/>
    </row>
    <row r="120">
      <c r="A120" s="341"/>
      <c r="B120" s="168"/>
      <c r="C120" s="354"/>
      <c r="D120" s="353"/>
      <c r="E120" s="341"/>
      <c r="F120" s="168"/>
      <c r="G120" s="341"/>
      <c r="H120" s="168"/>
      <c r="I120" s="347"/>
      <c r="J120" s="187"/>
      <c r="K120" s="347"/>
      <c r="L120" s="187"/>
      <c r="M120" s="347"/>
      <c r="N120" s="187"/>
      <c r="O120" s="341"/>
      <c r="P120" s="168"/>
      <c r="Q120" s="343"/>
      <c r="R120" s="344"/>
      <c r="S120" s="17"/>
      <c r="T120" s="17"/>
      <c r="U120" s="17"/>
      <c r="V120" s="17"/>
      <c r="W120" s="17"/>
      <c r="X120" s="17"/>
      <c r="Y120" s="17"/>
      <c r="Z120" s="17"/>
    </row>
    <row r="121">
      <c r="A121" s="341"/>
      <c r="B121" s="168"/>
      <c r="C121" s="354"/>
      <c r="D121" s="353"/>
      <c r="E121" s="341"/>
      <c r="F121" s="168"/>
      <c r="G121" s="341"/>
      <c r="H121" s="168"/>
      <c r="I121" s="347"/>
      <c r="J121" s="187"/>
      <c r="K121" s="347"/>
      <c r="L121" s="187"/>
      <c r="M121" s="347"/>
      <c r="N121" s="187"/>
      <c r="O121" s="341"/>
      <c r="P121" s="168"/>
      <c r="Q121" s="343"/>
      <c r="R121" s="344"/>
      <c r="S121" s="17"/>
      <c r="T121" s="17"/>
      <c r="U121" s="17"/>
      <c r="V121" s="17"/>
      <c r="W121" s="17"/>
      <c r="X121" s="17"/>
      <c r="Y121" s="17"/>
      <c r="Z121" s="17"/>
    </row>
    <row r="122">
      <c r="A122" s="341"/>
      <c r="B122" s="168"/>
      <c r="C122" s="354"/>
      <c r="D122" s="353"/>
      <c r="E122" s="341"/>
      <c r="F122" s="168"/>
      <c r="G122" s="341"/>
      <c r="H122" s="168"/>
      <c r="I122" s="347"/>
      <c r="J122" s="187"/>
      <c r="K122" s="347"/>
      <c r="L122" s="187"/>
      <c r="M122" s="347"/>
      <c r="N122" s="187"/>
      <c r="O122" s="341"/>
      <c r="P122" s="168"/>
      <c r="Q122" s="343"/>
      <c r="R122" s="344"/>
      <c r="S122" s="17"/>
      <c r="T122" s="17"/>
      <c r="U122" s="17"/>
      <c r="V122" s="17"/>
      <c r="W122" s="17"/>
      <c r="X122" s="17"/>
      <c r="Y122" s="17"/>
      <c r="Z122" s="17"/>
    </row>
    <row r="123">
      <c r="A123" s="341"/>
      <c r="B123" s="168"/>
      <c r="C123" s="354"/>
      <c r="D123" s="353"/>
      <c r="E123" s="341"/>
      <c r="F123" s="168"/>
      <c r="G123" s="341"/>
      <c r="H123" s="168"/>
      <c r="I123" s="347"/>
      <c r="J123" s="187"/>
      <c r="K123" s="347"/>
      <c r="L123" s="187"/>
      <c r="M123" s="347"/>
      <c r="N123" s="187"/>
      <c r="O123" s="341"/>
      <c r="P123" s="168"/>
      <c r="Q123" s="343"/>
      <c r="R123" s="344"/>
      <c r="S123" s="17"/>
      <c r="T123" s="17"/>
      <c r="U123" s="17"/>
      <c r="V123" s="17"/>
      <c r="W123" s="17"/>
      <c r="X123" s="17"/>
      <c r="Y123" s="17"/>
      <c r="Z123" s="17"/>
    </row>
    <row r="124">
      <c r="A124" s="341"/>
      <c r="B124" s="168"/>
      <c r="C124" s="354"/>
      <c r="D124" s="353"/>
      <c r="E124" s="341"/>
      <c r="F124" s="168"/>
      <c r="G124" s="341"/>
      <c r="H124" s="168"/>
      <c r="I124" s="347"/>
      <c r="J124" s="187"/>
      <c r="K124" s="347"/>
      <c r="L124" s="187"/>
      <c r="M124" s="347"/>
      <c r="N124" s="187"/>
      <c r="O124" s="341"/>
      <c r="P124" s="168"/>
      <c r="Q124" s="343"/>
      <c r="R124" s="344"/>
      <c r="S124" s="17"/>
      <c r="T124" s="17"/>
      <c r="U124" s="17"/>
      <c r="V124" s="17"/>
      <c r="W124" s="17"/>
      <c r="X124" s="17"/>
      <c r="Y124" s="17"/>
      <c r="Z124" s="17"/>
    </row>
    <row r="125">
      <c r="A125" s="341"/>
      <c r="B125" s="168"/>
      <c r="C125" s="354"/>
      <c r="D125" s="353"/>
      <c r="E125" s="341"/>
      <c r="F125" s="168"/>
      <c r="G125" s="341"/>
      <c r="H125" s="168"/>
      <c r="I125" s="347"/>
      <c r="J125" s="187"/>
      <c r="K125" s="347"/>
      <c r="L125" s="187"/>
      <c r="M125" s="347"/>
      <c r="N125" s="187"/>
      <c r="O125" s="341"/>
      <c r="P125" s="168"/>
      <c r="Q125" s="343"/>
      <c r="R125" s="344"/>
      <c r="S125" s="17"/>
      <c r="T125" s="17"/>
      <c r="U125" s="17"/>
      <c r="V125" s="17"/>
      <c r="W125" s="17"/>
      <c r="X125" s="17"/>
      <c r="Y125" s="17"/>
      <c r="Z125" s="17"/>
    </row>
    <row r="126">
      <c r="A126" s="341"/>
      <c r="B126" s="168"/>
      <c r="C126" s="354"/>
      <c r="D126" s="353"/>
      <c r="E126" s="341"/>
      <c r="F126" s="168"/>
      <c r="G126" s="341"/>
      <c r="H126" s="168"/>
      <c r="I126" s="347"/>
      <c r="J126" s="187"/>
      <c r="K126" s="347"/>
      <c r="L126" s="187"/>
      <c r="M126" s="347"/>
      <c r="N126" s="187"/>
      <c r="O126" s="341"/>
      <c r="P126" s="168"/>
      <c r="Q126" s="343"/>
      <c r="R126" s="344"/>
      <c r="S126" s="17"/>
      <c r="T126" s="17"/>
      <c r="U126" s="17"/>
      <c r="V126" s="17"/>
      <c r="W126" s="17"/>
      <c r="X126" s="17"/>
      <c r="Y126" s="17"/>
      <c r="Z126" s="17"/>
    </row>
    <row r="127">
      <c r="A127" s="341"/>
      <c r="B127" s="168"/>
      <c r="C127" s="354"/>
      <c r="D127" s="353"/>
      <c r="E127" s="341"/>
      <c r="F127" s="168"/>
      <c r="G127" s="341"/>
      <c r="H127" s="168"/>
      <c r="I127" s="347"/>
      <c r="J127" s="187"/>
      <c r="K127" s="347"/>
      <c r="L127" s="187"/>
      <c r="M127" s="347"/>
      <c r="N127" s="187"/>
      <c r="O127" s="341"/>
      <c r="P127" s="168"/>
      <c r="Q127" s="343"/>
      <c r="R127" s="344"/>
      <c r="S127" s="17"/>
      <c r="T127" s="17"/>
      <c r="U127" s="17"/>
      <c r="V127" s="17"/>
      <c r="W127" s="17"/>
      <c r="X127" s="17"/>
      <c r="Y127" s="17"/>
      <c r="Z127" s="17"/>
    </row>
    <row r="128">
      <c r="A128" s="341"/>
      <c r="B128" s="168"/>
      <c r="C128" s="354"/>
      <c r="D128" s="353"/>
      <c r="E128" s="341"/>
      <c r="F128" s="168"/>
      <c r="G128" s="341"/>
      <c r="H128" s="168"/>
      <c r="I128" s="347"/>
      <c r="J128" s="187"/>
      <c r="K128" s="347"/>
      <c r="L128" s="187"/>
      <c r="M128" s="347"/>
      <c r="N128" s="187"/>
      <c r="O128" s="341"/>
      <c r="P128" s="168"/>
      <c r="Q128" s="363"/>
      <c r="R128" s="223"/>
      <c r="S128" s="17"/>
      <c r="T128" s="17"/>
      <c r="U128" s="17"/>
      <c r="V128" s="17"/>
      <c r="W128" s="17"/>
      <c r="X128" s="17"/>
      <c r="Y128" s="17"/>
      <c r="Z128" s="17"/>
    </row>
    <row r="129">
      <c r="A129" s="341"/>
      <c r="B129" s="168"/>
      <c r="C129" s="354"/>
      <c r="D129" s="353"/>
      <c r="E129" s="341"/>
      <c r="F129" s="168"/>
      <c r="G129" s="341"/>
      <c r="H129" s="168"/>
      <c r="I129" s="347"/>
      <c r="J129" s="187"/>
      <c r="K129" s="347"/>
      <c r="L129" s="187"/>
      <c r="M129" s="347"/>
      <c r="N129" s="187"/>
      <c r="O129" s="341"/>
      <c r="P129" s="168"/>
      <c r="Q129" s="363"/>
      <c r="R129" s="223"/>
      <c r="S129" s="17"/>
      <c r="T129" s="17"/>
      <c r="U129" s="17"/>
      <c r="V129" s="17"/>
      <c r="W129" s="17"/>
      <c r="X129" s="17"/>
      <c r="Y129" s="17"/>
      <c r="Z129" s="17"/>
    </row>
    <row r="130">
      <c r="A130" s="341"/>
      <c r="B130" s="168"/>
      <c r="C130" s="354"/>
      <c r="D130" s="353"/>
      <c r="E130" s="341"/>
      <c r="F130" s="168"/>
      <c r="G130" s="341"/>
      <c r="H130" s="168"/>
      <c r="I130" s="347"/>
      <c r="J130" s="187"/>
      <c r="K130" s="347"/>
      <c r="L130" s="187"/>
      <c r="M130" s="347"/>
      <c r="N130" s="187"/>
      <c r="O130" s="341"/>
      <c r="P130" s="168"/>
      <c r="Q130" s="363"/>
      <c r="R130" s="223"/>
      <c r="S130" s="17"/>
      <c r="T130" s="17"/>
      <c r="U130" s="17"/>
      <c r="V130" s="17"/>
      <c r="W130" s="17"/>
      <c r="X130" s="17"/>
      <c r="Y130" s="17"/>
      <c r="Z130" s="17"/>
    </row>
    <row r="131">
      <c r="A131" s="341"/>
      <c r="B131" s="168"/>
      <c r="C131" s="354"/>
      <c r="D131" s="353"/>
      <c r="E131" s="341"/>
      <c r="F131" s="168"/>
      <c r="G131" s="341"/>
      <c r="H131" s="168"/>
      <c r="I131" s="347"/>
      <c r="J131" s="187"/>
      <c r="K131" s="347"/>
      <c r="L131" s="187"/>
      <c r="M131" s="347"/>
      <c r="N131" s="187"/>
      <c r="O131" s="341"/>
      <c r="P131" s="168"/>
      <c r="Q131" s="363"/>
      <c r="R131" s="223"/>
      <c r="S131" s="17"/>
      <c r="T131" s="17"/>
      <c r="U131" s="17"/>
      <c r="V131" s="17"/>
      <c r="W131" s="17"/>
      <c r="X131" s="17"/>
      <c r="Y131" s="17"/>
      <c r="Z131" s="17"/>
    </row>
    <row r="132">
      <c r="A132" s="341"/>
      <c r="B132" s="168"/>
      <c r="C132" s="354"/>
      <c r="D132" s="353"/>
      <c r="E132" s="341"/>
      <c r="F132" s="168"/>
      <c r="G132" s="341"/>
      <c r="H132" s="168"/>
      <c r="I132" s="347"/>
      <c r="J132" s="187"/>
      <c r="K132" s="347"/>
      <c r="L132" s="187"/>
      <c r="M132" s="347"/>
      <c r="N132" s="187"/>
      <c r="O132" s="341"/>
      <c r="P132" s="168"/>
      <c r="Q132" s="363"/>
      <c r="R132" s="223"/>
      <c r="S132" s="17"/>
      <c r="T132" s="17"/>
      <c r="U132" s="17"/>
      <c r="V132" s="17"/>
      <c r="W132" s="17"/>
      <c r="X132" s="17"/>
      <c r="Y132" s="17"/>
      <c r="Z132" s="17"/>
    </row>
    <row r="133">
      <c r="A133" s="341"/>
      <c r="B133" s="168"/>
      <c r="C133" s="354"/>
      <c r="D133" s="353"/>
      <c r="E133" s="341"/>
      <c r="F133" s="168"/>
      <c r="G133" s="341"/>
      <c r="H133" s="168"/>
      <c r="I133" s="347"/>
      <c r="J133" s="187"/>
      <c r="K133" s="347"/>
      <c r="L133" s="187"/>
      <c r="M133" s="347"/>
      <c r="N133" s="187"/>
      <c r="O133" s="341"/>
      <c r="P133" s="168"/>
      <c r="Q133" s="363"/>
      <c r="R133" s="223"/>
      <c r="S133" s="17"/>
      <c r="T133" s="17"/>
      <c r="U133" s="17"/>
      <c r="V133" s="17"/>
      <c r="W133" s="17"/>
      <c r="X133" s="17"/>
      <c r="Y133" s="17"/>
      <c r="Z133" s="17"/>
    </row>
    <row r="134">
      <c r="A134" s="341"/>
      <c r="B134" s="168"/>
      <c r="C134" s="354"/>
      <c r="D134" s="353"/>
      <c r="E134" s="341"/>
      <c r="F134" s="168"/>
      <c r="G134" s="341"/>
      <c r="H134" s="168"/>
      <c r="I134" s="347"/>
      <c r="J134" s="187"/>
      <c r="K134" s="347"/>
      <c r="L134" s="187"/>
      <c r="M134" s="347"/>
      <c r="N134" s="187"/>
      <c r="O134" s="341"/>
      <c r="P134" s="168"/>
      <c r="Q134" s="363"/>
      <c r="R134" s="223"/>
      <c r="S134" s="17"/>
      <c r="T134" s="17"/>
      <c r="U134" s="17"/>
      <c r="V134" s="17"/>
      <c r="W134" s="17"/>
      <c r="X134" s="17"/>
      <c r="Y134" s="17"/>
      <c r="Z134" s="17"/>
    </row>
    <row r="135">
      <c r="A135" s="341"/>
      <c r="B135" s="168"/>
      <c r="C135" s="354"/>
      <c r="D135" s="353"/>
      <c r="E135" s="341"/>
      <c r="F135" s="168"/>
      <c r="G135" s="341"/>
      <c r="H135" s="168"/>
      <c r="I135" s="347"/>
      <c r="J135" s="187"/>
      <c r="K135" s="347"/>
      <c r="L135" s="187"/>
      <c r="M135" s="347"/>
      <c r="N135" s="187"/>
      <c r="O135" s="341"/>
      <c r="P135" s="168"/>
      <c r="Q135" s="363"/>
      <c r="R135" s="223"/>
      <c r="S135" s="17"/>
      <c r="T135" s="17"/>
      <c r="U135" s="17"/>
      <c r="V135" s="17"/>
      <c r="W135" s="17"/>
      <c r="X135" s="17"/>
      <c r="Y135" s="17"/>
      <c r="Z135" s="17"/>
    </row>
    <row r="136">
      <c r="A136" s="341"/>
      <c r="B136" s="168"/>
      <c r="C136" s="354"/>
      <c r="D136" s="353"/>
      <c r="E136" s="341"/>
      <c r="F136" s="168"/>
      <c r="G136" s="341"/>
      <c r="H136" s="168"/>
      <c r="I136" s="347"/>
      <c r="J136" s="187"/>
      <c r="K136" s="347"/>
      <c r="L136" s="187"/>
      <c r="M136" s="347"/>
      <c r="N136" s="187"/>
      <c r="O136" s="341"/>
      <c r="P136" s="168"/>
      <c r="Q136" s="363"/>
      <c r="R136" s="223"/>
      <c r="S136" s="17"/>
      <c r="T136" s="17"/>
      <c r="U136" s="17"/>
      <c r="V136" s="17"/>
      <c r="W136" s="17"/>
      <c r="X136" s="17"/>
      <c r="Y136" s="17"/>
      <c r="Z136" s="17"/>
    </row>
    <row r="137">
      <c r="A137" s="341"/>
      <c r="B137" s="168"/>
      <c r="C137" s="354"/>
      <c r="D137" s="353"/>
      <c r="E137" s="341"/>
      <c r="F137" s="168"/>
      <c r="G137" s="341"/>
      <c r="H137" s="168"/>
      <c r="I137" s="347"/>
      <c r="J137" s="187"/>
      <c r="K137" s="347"/>
      <c r="L137" s="187"/>
      <c r="M137" s="347"/>
      <c r="N137" s="187"/>
      <c r="O137" s="341"/>
      <c r="P137" s="168"/>
      <c r="Q137" s="363"/>
      <c r="R137" s="223"/>
      <c r="S137" s="17"/>
      <c r="T137" s="17"/>
      <c r="U137" s="17"/>
      <c r="V137" s="17"/>
      <c r="W137" s="17"/>
      <c r="X137" s="17"/>
      <c r="Y137" s="17"/>
      <c r="Z137" s="17"/>
    </row>
    <row r="138">
      <c r="A138" s="341"/>
      <c r="B138" s="168"/>
      <c r="C138" s="354"/>
      <c r="D138" s="353"/>
      <c r="E138" s="341"/>
      <c r="F138" s="168"/>
      <c r="G138" s="341"/>
      <c r="H138" s="168"/>
      <c r="I138" s="347"/>
      <c r="J138" s="187"/>
      <c r="K138" s="347"/>
      <c r="L138" s="187"/>
      <c r="M138" s="347"/>
      <c r="N138" s="187"/>
      <c r="O138" s="341"/>
      <c r="P138" s="168"/>
      <c r="Q138" s="363"/>
      <c r="R138" s="223"/>
      <c r="S138" s="17"/>
      <c r="T138" s="17"/>
      <c r="U138" s="17"/>
      <c r="V138" s="17"/>
      <c r="W138" s="17"/>
      <c r="X138" s="17"/>
      <c r="Y138" s="17"/>
      <c r="Z138" s="17"/>
    </row>
    <row r="139">
      <c r="A139" s="341"/>
      <c r="B139" s="168"/>
      <c r="C139" s="354"/>
      <c r="D139" s="353"/>
      <c r="E139" s="341"/>
      <c r="F139" s="168"/>
      <c r="G139" s="341"/>
      <c r="H139" s="168"/>
      <c r="I139" s="347"/>
      <c r="J139" s="187"/>
      <c r="K139" s="347"/>
      <c r="L139" s="187"/>
      <c r="M139" s="347"/>
      <c r="N139" s="187"/>
      <c r="O139" s="341"/>
      <c r="P139" s="168"/>
      <c r="Q139" s="363"/>
      <c r="R139" s="223"/>
      <c r="S139" s="17"/>
      <c r="T139" s="17"/>
      <c r="U139" s="17"/>
      <c r="V139" s="17"/>
      <c r="W139" s="17"/>
      <c r="X139" s="17"/>
      <c r="Y139" s="17"/>
      <c r="Z139" s="17"/>
    </row>
    <row r="140">
      <c r="A140" s="341"/>
      <c r="B140" s="168"/>
      <c r="C140" s="354"/>
      <c r="D140" s="353"/>
      <c r="E140" s="341"/>
      <c r="F140" s="168"/>
      <c r="G140" s="341"/>
      <c r="H140" s="168"/>
      <c r="I140" s="347"/>
      <c r="J140" s="187"/>
      <c r="K140" s="347"/>
      <c r="L140" s="187"/>
      <c r="M140" s="347"/>
      <c r="N140" s="187"/>
      <c r="O140" s="341"/>
      <c r="P140" s="168"/>
      <c r="Q140" s="363"/>
      <c r="R140" s="223"/>
      <c r="S140" s="17"/>
      <c r="T140" s="17"/>
      <c r="U140" s="17"/>
      <c r="V140" s="17"/>
      <c r="W140" s="17"/>
      <c r="X140" s="17"/>
      <c r="Y140" s="17"/>
      <c r="Z140" s="17"/>
    </row>
    <row r="141">
      <c r="A141" s="341"/>
      <c r="B141" s="168"/>
      <c r="C141" s="354"/>
      <c r="D141" s="353"/>
      <c r="E141" s="341"/>
      <c r="F141" s="168"/>
      <c r="G141" s="341"/>
      <c r="H141" s="168"/>
      <c r="I141" s="347"/>
      <c r="J141" s="187"/>
      <c r="K141" s="347"/>
      <c r="L141" s="187"/>
      <c r="M141" s="347"/>
      <c r="N141" s="187"/>
      <c r="O141" s="341"/>
      <c r="P141" s="168"/>
      <c r="Q141" s="363"/>
      <c r="R141" s="223"/>
      <c r="S141" s="17"/>
      <c r="T141" s="17"/>
      <c r="U141" s="17"/>
      <c r="V141" s="17"/>
      <c r="W141" s="17"/>
      <c r="X141" s="17"/>
      <c r="Y141" s="17"/>
      <c r="Z141" s="17"/>
    </row>
    <row r="142">
      <c r="A142" s="341"/>
      <c r="B142" s="168"/>
      <c r="C142" s="354"/>
      <c r="D142" s="353"/>
      <c r="E142" s="341"/>
      <c r="F142" s="168"/>
      <c r="G142" s="341"/>
      <c r="H142" s="168"/>
      <c r="I142" s="347"/>
      <c r="J142" s="187"/>
      <c r="K142" s="347"/>
      <c r="L142" s="187"/>
      <c r="M142" s="347"/>
      <c r="N142" s="187"/>
      <c r="O142" s="341"/>
      <c r="P142" s="168"/>
      <c r="Q142" s="363"/>
      <c r="R142" s="223"/>
      <c r="S142" s="17"/>
      <c r="T142" s="17"/>
      <c r="U142" s="17"/>
      <c r="V142" s="17"/>
      <c r="W142" s="17"/>
      <c r="X142" s="17"/>
      <c r="Y142" s="17"/>
      <c r="Z142" s="17"/>
    </row>
    <row r="143">
      <c r="A143" s="341"/>
      <c r="B143" s="168"/>
      <c r="C143" s="354"/>
      <c r="D143" s="353"/>
      <c r="E143" s="341"/>
      <c r="F143" s="168"/>
      <c r="G143" s="341"/>
      <c r="H143" s="168"/>
      <c r="I143" s="347"/>
      <c r="J143" s="187"/>
      <c r="K143" s="347"/>
      <c r="L143" s="187"/>
      <c r="M143" s="347"/>
      <c r="N143" s="187"/>
      <c r="O143" s="341"/>
      <c r="P143" s="168"/>
      <c r="Q143" s="363"/>
      <c r="R143" s="223"/>
      <c r="S143" s="17"/>
      <c r="T143" s="17"/>
      <c r="U143" s="17"/>
      <c r="V143" s="17"/>
      <c r="W143" s="17"/>
      <c r="X143" s="17"/>
      <c r="Y143" s="17"/>
      <c r="Z143" s="17"/>
    </row>
    <row r="144">
      <c r="A144" s="341"/>
      <c r="B144" s="168"/>
      <c r="C144" s="354"/>
      <c r="D144" s="353"/>
      <c r="E144" s="341"/>
      <c r="F144" s="168"/>
      <c r="G144" s="341"/>
      <c r="H144" s="168"/>
      <c r="I144" s="347"/>
      <c r="J144" s="187"/>
      <c r="K144" s="347"/>
      <c r="L144" s="187"/>
      <c r="M144" s="347"/>
      <c r="N144" s="187"/>
      <c r="O144" s="341"/>
      <c r="P144" s="168"/>
      <c r="Q144" s="363"/>
      <c r="R144" s="223"/>
      <c r="S144" s="17"/>
      <c r="T144" s="17"/>
      <c r="U144" s="17"/>
      <c r="V144" s="17"/>
      <c r="W144" s="17"/>
      <c r="X144" s="17"/>
      <c r="Y144" s="17"/>
      <c r="Z144" s="17"/>
    </row>
    <row r="145">
      <c r="A145" s="341"/>
      <c r="B145" s="168"/>
      <c r="C145" s="354"/>
      <c r="D145" s="353"/>
      <c r="E145" s="341"/>
      <c r="F145" s="168"/>
      <c r="G145" s="341"/>
      <c r="H145" s="168"/>
      <c r="I145" s="347"/>
      <c r="J145" s="187"/>
      <c r="K145" s="347"/>
      <c r="L145" s="187"/>
      <c r="M145" s="347"/>
      <c r="N145" s="187"/>
      <c r="O145" s="341"/>
      <c r="P145" s="168"/>
      <c r="Q145" s="363"/>
      <c r="R145" s="223"/>
      <c r="S145" s="17"/>
      <c r="T145" s="17"/>
      <c r="U145" s="17"/>
      <c r="V145" s="17"/>
      <c r="W145" s="17"/>
      <c r="X145" s="17"/>
      <c r="Y145" s="17"/>
      <c r="Z145" s="17"/>
    </row>
    <row r="146">
      <c r="A146" s="341"/>
      <c r="B146" s="168"/>
      <c r="C146" s="354"/>
      <c r="D146" s="353"/>
      <c r="E146" s="341"/>
      <c r="F146" s="168"/>
      <c r="G146" s="341"/>
      <c r="H146" s="168"/>
      <c r="I146" s="347"/>
      <c r="J146" s="187"/>
      <c r="K146" s="347"/>
      <c r="L146" s="187"/>
      <c r="M146" s="347"/>
      <c r="N146" s="187"/>
      <c r="O146" s="341"/>
      <c r="P146" s="168"/>
      <c r="Q146" s="363"/>
      <c r="R146" s="223"/>
      <c r="S146" s="17"/>
      <c r="T146" s="17"/>
      <c r="U146" s="17"/>
      <c r="V146" s="17"/>
      <c r="W146" s="17"/>
      <c r="X146" s="17"/>
      <c r="Y146" s="17"/>
      <c r="Z146" s="17"/>
    </row>
    <row r="147">
      <c r="A147" s="341"/>
      <c r="B147" s="168"/>
      <c r="C147" s="354"/>
      <c r="D147" s="353"/>
      <c r="E147" s="341"/>
      <c r="F147" s="168"/>
      <c r="G147" s="341"/>
      <c r="H147" s="168"/>
      <c r="I147" s="347"/>
      <c r="J147" s="187"/>
      <c r="K147" s="347"/>
      <c r="L147" s="187"/>
      <c r="M147" s="347"/>
      <c r="N147" s="187"/>
      <c r="O147" s="341"/>
      <c r="P147" s="168"/>
      <c r="Q147" s="363"/>
      <c r="R147" s="223"/>
      <c r="S147" s="17"/>
      <c r="T147" s="17"/>
      <c r="U147" s="17"/>
      <c r="V147" s="17"/>
      <c r="W147" s="17"/>
      <c r="X147" s="17"/>
      <c r="Y147" s="17"/>
      <c r="Z147" s="17"/>
    </row>
    <row r="148">
      <c r="A148" s="341"/>
      <c r="B148" s="168"/>
      <c r="C148" s="354"/>
      <c r="D148" s="353"/>
      <c r="E148" s="341"/>
      <c r="F148" s="168"/>
      <c r="G148" s="341"/>
      <c r="H148" s="168"/>
      <c r="I148" s="347"/>
      <c r="J148" s="187"/>
      <c r="K148" s="347"/>
      <c r="L148" s="187"/>
      <c r="M148" s="347"/>
      <c r="N148" s="187"/>
      <c r="O148" s="341"/>
      <c r="P148" s="168"/>
      <c r="Q148" s="363"/>
      <c r="R148" s="223"/>
      <c r="S148" s="17"/>
      <c r="T148" s="17"/>
      <c r="U148" s="17"/>
      <c r="V148" s="17"/>
      <c r="W148" s="17"/>
      <c r="X148" s="17"/>
      <c r="Y148" s="17"/>
      <c r="Z148" s="17"/>
    </row>
    <row r="149">
      <c r="A149" s="341"/>
      <c r="B149" s="168"/>
      <c r="C149" s="354"/>
      <c r="D149" s="353"/>
      <c r="E149" s="341"/>
      <c r="F149" s="168"/>
      <c r="G149" s="341"/>
      <c r="H149" s="168"/>
      <c r="I149" s="347"/>
      <c r="J149" s="187"/>
      <c r="K149" s="347"/>
      <c r="L149" s="187"/>
      <c r="M149" s="347"/>
      <c r="N149" s="187"/>
      <c r="O149" s="341"/>
      <c r="P149" s="168"/>
      <c r="Q149" s="363"/>
      <c r="R149" s="223"/>
      <c r="S149" s="17"/>
      <c r="T149" s="17"/>
      <c r="U149" s="17"/>
      <c r="V149" s="17"/>
      <c r="W149" s="17"/>
      <c r="X149" s="17"/>
      <c r="Y149" s="17"/>
      <c r="Z149" s="17"/>
    </row>
    <row r="150">
      <c r="A150" s="341"/>
      <c r="B150" s="168"/>
      <c r="C150" s="354"/>
      <c r="D150" s="353"/>
      <c r="E150" s="341"/>
      <c r="F150" s="168"/>
      <c r="G150" s="341"/>
      <c r="H150" s="168"/>
      <c r="I150" s="347"/>
      <c r="J150" s="187"/>
      <c r="K150" s="347"/>
      <c r="L150" s="187"/>
      <c r="M150" s="347"/>
      <c r="N150" s="187"/>
      <c r="O150" s="341"/>
      <c r="P150" s="168"/>
      <c r="Q150" s="363"/>
      <c r="R150" s="223"/>
      <c r="S150" s="17"/>
      <c r="T150" s="17"/>
      <c r="U150" s="17"/>
      <c r="V150" s="17"/>
      <c r="W150" s="17"/>
      <c r="X150" s="17"/>
      <c r="Y150" s="17"/>
      <c r="Z150" s="17"/>
    </row>
    <row r="151">
      <c r="A151" s="341"/>
      <c r="B151" s="168"/>
      <c r="C151" s="354"/>
      <c r="D151" s="353"/>
      <c r="E151" s="341"/>
      <c r="F151" s="168"/>
      <c r="G151" s="341"/>
      <c r="H151" s="168"/>
      <c r="I151" s="347"/>
      <c r="J151" s="187"/>
      <c r="K151" s="347"/>
      <c r="L151" s="187"/>
      <c r="M151" s="347"/>
      <c r="N151" s="187"/>
      <c r="O151" s="341"/>
      <c r="P151" s="168"/>
      <c r="Q151" s="363"/>
      <c r="R151" s="223"/>
      <c r="S151" s="17"/>
      <c r="T151" s="17"/>
      <c r="U151" s="17"/>
      <c r="V151" s="17"/>
      <c r="W151" s="17"/>
      <c r="X151" s="17"/>
      <c r="Y151" s="17"/>
      <c r="Z151" s="17"/>
    </row>
    <row r="152">
      <c r="A152" s="341"/>
      <c r="B152" s="168"/>
      <c r="C152" s="354"/>
      <c r="D152" s="353"/>
      <c r="E152" s="341"/>
      <c r="F152" s="168"/>
      <c r="G152" s="341"/>
      <c r="H152" s="168"/>
      <c r="I152" s="347"/>
      <c r="J152" s="187"/>
      <c r="K152" s="347"/>
      <c r="L152" s="187"/>
      <c r="M152" s="347"/>
      <c r="N152" s="187"/>
      <c r="O152" s="341"/>
      <c r="P152" s="168"/>
      <c r="Q152" s="363"/>
      <c r="R152" s="223"/>
      <c r="S152" s="17"/>
      <c r="T152" s="17"/>
      <c r="U152" s="17"/>
      <c r="V152" s="17"/>
      <c r="W152" s="17"/>
      <c r="X152" s="17"/>
      <c r="Y152" s="17"/>
      <c r="Z152" s="17"/>
    </row>
    <row r="153">
      <c r="A153" s="341"/>
      <c r="B153" s="168"/>
      <c r="C153" s="354"/>
      <c r="D153" s="353"/>
      <c r="E153" s="341"/>
      <c r="F153" s="168"/>
      <c r="G153" s="341"/>
      <c r="H153" s="168"/>
      <c r="I153" s="347"/>
      <c r="J153" s="187"/>
      <c r="K153" s="347"/>
      <c r="L153" s="187"/>
      <c r="M153" s="347"/>
      <c r="N153" s="187"/>
      <c r="O153" s="341"/>
      <c r="P153" s="168"/>
      <c r="Q153" s="363"/>
      <c r="R153" s="223"/>
      <c r="S153" s="17"/>
      <c r="T153" s="17"/>
      <c r="U153" s="17"/>
      <c r="V153" s="17"/>
      <c r="W153" s="17"/>
      <c r="X153" s="17"/>
      <c r="Y153" s="17"/>
      <c r="Z153" s="17"/>
    </row>
    <row r="154">
      <c r="A154" s="341"/>
      <c r="B154" s="168"/>
      <c r="C154" s="354"/>
      <c r="D154" s="353"/>
      <c r="E154" s="341"/>
      <c r="F154" s="168"/>
      <c r="G154" s="341"/>
      <c r="H154" s="168"/>
      <c r="I154" s="347"/>
      <c r="J154" s="187"/>
      <c r="K154" s="347"/>
      <c r="L154" s="187"/>
      <c r="M154" s="347"/>
      <c r="N154" s="187"/>
      <c r="O154" s="341"/>
      <c r="P154" s="168"/>
      <c r="Q154" s="363"/>
      <c r="R154" s="223"/>
      <c r="S154" s="17"/>
      <c r="T154" s="17"/>
      <c r="U154" s="17"/>
      <c r="V154" s="17"/>
      <c r="W154" s="17"/>
      <c r="X154" s="17"/>
      <c r="Y154" s="17"/>
      <c r="Z154" s="17"/>
    </row>
    <row r="155">
      <c r="A155" s="341"/>
      <c r="B155" s="168"/>
      <c r="C155" s="354"/>
      <c r="D155" s="353"/>
      <c r="E155" s="341"/>
      <c r="F155" s="168"/>
      <c r="G155" s="341"/>
      <c r="H155" s="168"/>
      <c r="I155" s="347"/>
      <c r="J155" s="187"/>
      <c r="K155" s="347"/>
      <c r="L155" s="187"/>
      <c r="M155" s="347"/>
      <c r="N155" s="187"/>
      <c r="O155" s="341"/>
      <c r="P155" s="168"/>
      <c r="Q155" s="363"/>
      <c r="R155" s="223"/>
      <c r="S155" s="17"/>
      <c r="T155" s="17"/>
      <c r="U155" s="17"/>
      <c r="V155" s="17"/>
      <c r="W155" s="17"/>
      <c r="X155" s="17"/>
      <c r="Y155" s="17"/>
      <c r="Z155" s="17"/>
    </row>
    <row r="156">
      <c r="A156" s="341"/>
      <c r="B156" s="168"/>
      <c r="C156" s="354"/>
      <c r="D156" s="353"/>
      <c r="E156" s="341"/>
      <c r="F156" s="168"/>
      <c r="G156" s="341"/>
      <c r="H156" s="168"/>
      <c r="I156" s="347"/>
      <c r="J156" s="187"/>
      <c r="K156" s="347"/>
      <c r="L156" s="187"/>
      <c r="M156" s="347"/>
      <c r="N156" s="187"/>
      <c r="O156" s="341"/>
      <c r="P156" s="168"/>
      <c r="Q156" s="363"/>
      <c r="R156" s="223"/>
      <c r="S156" s="17"/>
      <c r="T156" s="17"/>
      <c r="U156" s="17"/>
      <c r="V156" s="17"/>
      <c r="W156" s="17"/>
      <c r="X156" s="17"/>
      <c r="Y156" s="17"/>
      <c r="Z156" s="17"/>
    </row>
    <row r="157">
      <c r="A157" s="341"/>
      <c r="B157" s="168"/>
      <c r="C157" s="354"/>
      <c r="D157" s="353"/>
      <c r="E157" s="341"/>
      <c r="F157" s="168"/>
      <c r="G157" s="341"/>
      <c r="H157" s="168"/>
      <c r="I157" s="347"/>
      <c r="J157" s="187"/>
      <c r="K157" s="347"/>
      <c r="L157" s="187"/>
      <c r="M157" s="347"/>
      <c r="N157" s="187"/>
      <c r="O157" s="341"/>
      <c r="P157" s="168"/>
      <c r="Q157" s="363"/>
      <c r="R157" s="223"/>
      <c r="S157" s="17"/>
      <c r="T157" s="17"/>
      <c r="U157" s="17"/>
      <c r="V157" s="17"/>
      <c r="W157" s="17"/>
      <c r="X157" s="17"/>
      <c r="Y157" s="17"/>
      <c r="Z157" s="17"/>
    </row>
    <row r="158">
      <c r="A158" s="341"/>
      <c r="B158" s="168"/>
      <c r="C158" s="354"/>
      <c r="D158" s="353"/>
      <c r="E158" s="341"/>
      <c r="F158" s="168"/>
      <c r="G158" s="341"/>
      <c r="H158" s="168"/>
      <c r="I158" s="347"/>
      <c r="J158" s="187"/>
      <c r="K158" s="347"/>
      <c r="L158" s="187"/>
      <c r="M158" s="347"/>
      <c r="N158" s="187"/>
      <c r="O158" s="341"/>
      <c r="P158" s="168"/>
      <c r="Q158" s="363"/>
      <c r="R158" s="223"/>
      <c r="S158" s="17"/>
      <c r="T158" s="17"/>
      <c r="U158" s="17"/>
      <c r="V158" s="17"/>
      <c r="W158" s="17"/>
      <c r="X158" s="17"/>
      <c r="Y158" s="17"/>
      <c r="Z158" s="17"/>
    </row>
    <row r="159">
      <c r="A159" s="341"/>
      <c r="B159" s="168"/>
      <c r="C159" s="354"/>
      <c r="D159" s="353"/>
      <c r="E159" s="341"/>
      <c r="F159" s="168"/>
      <c r="G159" s="341"/>
      <c r="H159" s="168"/>
      <c r="I159" s="347"/>
      <c r="J159" s="187"/>
      <c r="K159" s="347"/>
      <c r="L159" s="187"/>
      <c r="M159" s="347"/>
      <c r="N159" s="187"/>
      <c r="O159" s="341"/>
      <c r="P159" s="168"/>
      <c r="Q159" s="363"/>
      <c r="R159" s="223"/>
      <c r="S159" s="17"/>
      <c r="T159" s="17"/>
      <c r="U159" s="17"/>
      <c r="V159" s="17"/>
      <c r="W159" s="17"/>
      <c r="X159" s="17"/>
      <c r="Y159" s="17"/>
      <c r="Z159" s="17"/>
    </row>
    <row r="160">
      <c r="A160" s="341"/>
      <c r="B160" s="168"/>
      <c r="C160" s="354"/>
      <c r="D160" s="353"/>
      <c r="E160" s="341"/>
      <c r="F160" s="168"/>
      <c r="G160" s="341"/>
      <c r="H160" s="168"/>
      <c r="I160" s="347"/>
      <c r="J160" s="187"/>
      <c r="K160" s="347"/>
      <c r="L160" s="187"/>
      <c r="M160" s="347"/>
      <c r="N160" s="187"/>
      <c r="O160" s="341"/>
      <c r="P160" s="168"/>
      <c r="Q160" s="363"/>
      <c r="R160" s="223"/>
      <c r="S160" s="17"/>
      <c r="T160" s="17"/>
      <c r="U160" s="17"/>
      <c r="V160" s="17"/>
      <c r="W160" s="17"/>
      <c r="X160" s="17"/>
      <c r="Y160" s="17"/>
      <c r="Z160" s="17"/>
    </row>
    <row r="161">
      <c r="A161" s="341"/>
      <c r="B161" s="168"/>
      <c r="C161" s="354"/>
      <c r="D161" s="353"/>
      <c r="E161" s="341"/>
      <c r="F161" s="168"/>
      <c r="G161" s="341"/>
      <c r="H161" s="168"/>
      <c r="I161" s="347"/>
      <c r="J161" s="187"/>
      <c r="K161" s="347"/>
      <c r="L161" s="187"/>
      <c r="M161" s="347"/>
      <c r="N161" s="187"/>
      <c r="O161" s="341"/>
      <c r="P161" s="168"/>
      <c r="Q161" s="363"/>
      <c r="R161" s="223"/>
      <c r="S161" s="17"/>
      <c r="T161" s="17"/>
      <c r="U161" s="17"/>
      <c r="V161" s="17"/>
      <c r="W161" s="17"/>
      <c r="X161" s="17"/>
      <c r="Y161" s="17"/>
      <c r="Z161" s="17"/>
    </row>
    <row r="162">
      <c r="A162" s="341"/>
      <c r="B162" s="168"/>
      <c r="C162" s="354"/>
      <c r="D162" s="353"/>
      <c r="E162" s="341"/>
      <c r="F162" s="168"/>
      <c r="G162" s="341"/>
      <c r="H162" s="168"/>
      <c r="I162" s="347"/>
      <c r="J162" s="187"/>
      <c r="K162" s="347"/>
      <c r="L162" s="187"/>
      <c r="M162" s="347"/>
      <c r="N162" s="187"/>
      <c r="O162" s="341"/>
      <c r="P162" s="168"/>
      <c r="Q162" s="363"/>
      <c r="R162" s="223"/>
      <c r="S162" s="17"/>
      <c r="T162" s="17"/>
      <c r="U162" s="17"/>
      <c r="V162" s="17"/>
      <c r="W162" s="17"/>
      <c r="X162" s="17"/>
      <c r="Y162" s="17"/>
      <c r="Z162" s="17"/>
    </row>
    <row r="163">
      <c r="A163" s="341"/>
      <c r="B163" s="168"/>
      <c r="C163" s="354"/>
      <c r="D163" s="353"/>
      <c r="E163" s="341"/>
      <c r="F163" s="168"/>
      <c r="G163" s="341"/>
      <c r="H163" s="168"/>
      <c r="I163" s="347"/>
      <c r="J163" s="187"/>
      <c r="K163" s="347"/>
      <c r="L163" s="187"/>
      <c r="M163" s="347"/>
      <c r="N163" s="187"/>
      <c r="O163" s="341"/>
      <c r="P163" s="168"/>
      <c r="Q163" s="363"/>
      <c r="R163" s="223"/>
      <c r="S163" s="17"/>
      <c r="T163" s="17"/>
      <c r="U163" s="17"/>
      <c r="V163" s="17"/>
      <c r="W163" s="17"/>
      <c r="X163" s="17"/>
      <c r="Y163" s="17"/>
      <c r="Z163" s="17"/>
    </row>
    <row r="164">
      <c r="A164" s="341"/>
      <c r="B164" s="168"/>
      <c r="C164" s="354"/>
      <c r="D164" s="353"/>
      <c r="E164" s="341"/>
      <c r="F164" s="168"/>
      <c r="G164" s="341"/>
      <c r="H164" s="168"/>
      <c r="I164" s="347"/>
      <c r="J164" s="187"/>
      <c r="K164" s="347"/>
      <c r="L164" s="187"/>
      <c r="M164" s="347"/>
      <c r="N164" s="187"/>
      <c r="O164" s="341"/>
      <c r="P164" s="168"/>
      <c r="Q164" s="363"/>
      <c r="R164" s="223"/>
      <c r="S164" s="17"/>
      <c r="T164" s="17"/>
      <c r="U164" s="17"/>
      <c r="V164" s="17"/>
      <c r="W164" s="17"/>
      <c r="X164" s="17"/>
      <c r="Y164" s="17"/>
      <c r="Z164" s="17"/>
    </row>
    <row r="165">
      <c r="A165" s="341"/>
      <c r="B165" s="168"/>
      <c r="C165" s="354"/>
      <c r="D165" s="353"/>
      <c r="E165" s="341"/>
      <c r="F165" s="168"/>
      <c r="G165" s="341"/>
      <c r="H165" s="168"/>
      <c r="I165" s="347"/>
      <c r="J165" s="187"/>
      <c r="K165" s="347"/>
      <c r="L165" s="187"/>
      <c r="M165" s="347"/>
      <c r="N165" s="187"/>
      <c r="O165" s="341"/>
      <c r="P165" s="168"/>
      <c r="Q165" s="363"/>
      <c r="R165" s="223"/>
      <c r="S165" s="17"/>
      <c r="T165" s="17"/>
      <c r="U165" s="17"/>
      <c r="V165" s="17"/>
      <c r="W165" s="17"/>
      <c r="X165" s="17"/>
      <c r="Y165" s="17"/>
      <c r="Z165" s="17"/>
    </row>
    <row r="166">
      <c r="A166" s="341"/>
      <c r="B166" s="168"/>
      <c r="C166" s="354"/>
      <c r="D166" s="353"/>
      <c r="E166" s="341"/>
      <c r="F166" s="168"/>
      <c r="G166" s="341"/>
      <c r="H166" s="168"/>
      <c r="I166" s="347"/>
      <c r="J166" s="187"/>
      <c r="K166" s="347"/>
      <c r="L166" s="187"/>
      <c r="M166" s="347"/>
      <c r="N166" s="187"/>
      <c r="O166" s="341"/>
      <c r="P166" s="168"/>
      <c r="Q166" s="363"/>
      <c r="R166" s="223"/>
      <c r="S166" s="17"/>
      <c r="T166" s="17"/>
      <c r="U166" s="17"/>
      <c r="V166" s="17"/>
      <c r="W166" s="17"/>
      <c r="X166" s="17"/>
      <c r="Y166" s="17"/>
      <c r="Z166" s="17"/>
    </row>
    <row r="167">
      <c r="A167" s="341"/>
      <c r="B167" s="168"/>
      <c r="C167" s="354"/>
      <c r="D167" s="353"/>
      <c r="E167" s="341"/>
      <c r="F167" s="168"/>
      <c r="G167" s="341"/>
      <c r="H167" s="168"/>
      <c r="I167" s="347"/>
      <c r="J167" s="187"/>
      <c r="K167" s="347"/>
      <c r="L167" s="187"/>
      <c r="M167" s="347"/>
      <c r="N167" s="187"/>
      <c r="O167" s="341"/>
      <c r="P167" s="168"/>
      <c r="Q167" s="363"/>
      <c r="R167" s="223"/>
      <c r="S167" s="17"/>
      <c r="T167" s="17"/>
      <c r="U167" s="17"/>
      <c r="V167" s="17"/>
      <c r="W167" s="17"/>
      <c r="X167" s="17"/>
      <c r="Y167" s="17"/>
      <c r="Z167" s="17"/>
    </row>
    <row r="168">
      <c r="A168" s="341"/>
      <c r="B168" s="168"/>
      <c r="C168" s="354"/>
      <c r="D168" s="353"/>
      <c r="E168" s="341"/>
      <c r="F168" s="168"/>
      <c r="G168" s="341"/>
      <c r="H168" s="168"/>
      <c r="I168" s="347"/>
      <c r="J168" s="187"/>
      <c r="K168" s="347"/>
      <c r="L168" s="187"/>
      <c r="M168" s="347"/>
      <c r="N168" s="187"/>
      <c r="O168" s="341"/>
      <c r="P168" s="168"/>
      <c r="Q168" s="363"/>
      <c r="R168" s="223"/>
      <c r="S168" s="17"/>
      <c r="T168" s="17"/>
      <c r="U168" s="17"/>
      <c r="V168" s="17"/>
      <c r="W168" s="17"/>
      <c r="X168" s="17"/>
      <c r="Y168" s="17"/>
      <c r="Z168" s="17"/>
    </row>
    <row r="169">
      <c r="A169" s="341"/>
      <c r="B169" s="168"/>
      <c r="C169" s="354"/>
      <c r="D169" s="353"/>
      <c r="E169" s="341"/>
      <c r="F169" s="168"/>
      <c r="G169" s="341"/>
      <c r="H169" s="168"/>
      <c r="I169" s="347"/>
      <c r="J169" s="187"/>
      <c r="K169" s="347"/>
      <c r="L169" s="187"/>
      <c r="M169" s="347"/>
      <c r="N169" s="187"/>
      <c r="O169" s="341"/>
      <c r="P169" s="168"/>
      <c r="Q169" s="363"/>
      <c r="R169" s="223"/>
      <c r="S169" s="17"/>
      <c r="T169" s="17"/>
      <c r="U169" s="17"/>
      <c r="V169" s="17"/>
      <c r="W169" s="17"/>
      <c r="X169" s="17"/>
      <c r="Y169" s="17"/>
      <c r="Z169" s="17"/>
    </row>
    <row r="170">
      <c r="A170" s="341"/>
      <c r="B170" s="168"/>
      <c r="C170" s="354"/>
      <c r="D170" s="353"/>
      <c r="E170" s="341"/>
      <c r="F170" s="168"/>
      <c r="G170" s="341"/>
      <c r="H170" s="168"/>
      <c r="I170" s="347"/>
      <c r="J170" s="187"/>
      <c r="K170" s="347"/>
      <c r="L170" s="187"/>
      <c r="M170" s="347"/>
      <c r="N170" s="187"/>
      <c r="O170" s="341"/>
      <c r="P170" s="168"/>
      <c r="Q170" s="363"/>
      <c r="R170" s="223"/>
      <c r="S170" s="17"/>
      <c r="T170" s="17"/>
      <c r="U170" s="17"/>
      <c r="V170" s="17"/>
      <c r="W170" s="17"/>
      <c r="X170" s="17"/>
      <c r="Y170" s="17"/>
      <c r="Z170" s="17"/>
    </row>
    <row r="171">
      <c r="A171" s="341"/>
      <c r="B171" s="168"/>
      <c r="C171" s="354"/>
      <c r="D171" s="353"/>
      <c r="E171" s="341"/>
      <c r="F171" s="168"/>
      <c r="G171" s="341"/>
      <c r="H171" s="168"/>
      <c r="I171" s="347"/>
      <c r="J171" s="187"/>
      <c r="K171" s="347"/>
      <c r="L171" s="187"/>
      <c r="M171" s="347"/>
      <c r="N171" s="187"/>
      <c r="O171" s="341"/>
      <c r="P171" s="168"/>
      <c r="Q171" s="363"/>
      <c r="R171" s="223"/>
      <c r="S171" s="17"/>
      <c r="T171" s="17"/>
      <c r="U171" s="17"/>
      <c r="V171" s="17"/>
      <c r="W171" s="17"/>
      <c r="X171" s="17"/>
      <c r="Y171" s="17"/>
      <c r="Z171" s="17"/>
    </row>
    <row r="172">
      <c r="A172" s="341"/>
      <c r="B172" s="168"/>
      <c r="C172" s="354"/>
      <c r="D172" s="353"/>
      <c r="E172" s="341"/>
      <c r="F172" s="168"/>
      <c r="G172" s="341"/>
      <c r="H172" s="168"/>
      <c r="I172" s="347"/>
      <c r="J172" s="187"/>
      <c r="K172" s="347"/>
      <c r="L172" s="187"/>
      <c r="M172" s="347"/>
      <c r="N172" s="187"/>
      <c r="O172" s="341"/>
      <c r="P172" s="168"/>
      <c r="Q172" s="363"/>
      <c r="R172" s="223"/>
      <c r="S172" s="17"/>
      <c r="T172" s="17"/>
      <c r="U172" s="17"/>
      <c r="V172" s="17"/>
      <c r="W172" s="17"/>
      <c r="X172" s="17"/>
      <c r="Y172" s="17"/>
      <c r="Z172" s="17"/>
    </row>
    <row r="173">
      <c r="A173" s="341"/>
      <c r="B173" s="168"/>
      <c r="C173" s="354"/>
      <c r="D173" s="353"/>
      <c r="E173" s="341"/>
      <c r="F173" s="168"/>
      <c r="G173" s="341"/>
      <c r="H173" s="168"/>
      <c r="I173" s="347"/>
      <c r="J173" s="187"/>
      <c r="K173" s="347"/>
      <c r="L173" s="187"/>
      <c r="M173" s="347"/>
      <c r="N173" s="187"/>
      <c r="O173" s="341"/>
      <c r="P173" s="168"/>
      <c r="Q173" s="363"/>
      <c r="R173" s="223"/>
      <c r="S173" s="17"/>
      <c r="T173" s="17"/>
      <c r="U173" s="17"/>
      <c r="V173" s="17"/>
      <c r="W173" s="17"/>
      <c r="X173" s="17"/>
      <c r="Y173" s="17"/>
      <c r="Z173" s="17"/>
    </row>
    <row r="174">
      <c r="A174" s="341"/>
      <c r="B174" s="168"/>
      <c r="C174" s="354"/>
      <c r="D174" s="353"/>
      <c r="E174" s="341"/>
      <c r="F174" s="168"/>
      <c r="G174" s="341"/>
      <c r="H174" s="168"/>
      <c r="I174" s="347"/>
      <c r="J174" s="187"/>
      <c r="K174" s="347"/>
      <c r="L174" s="187"/>
      <c r="M174" s="347"/>
      <c r="N174" s="187"/>
      <c r="O174" s="341"/>
      <c r="P174" s="168"/>
      <c r="Q174" s="363"/>
      <c r="R174" s="223"/>
      <c r="S174" s="17"/>
      <c r="T174" s="17"/>
      <c r="U174" s="17"/>
      <c r="V174" s="17"/>
      <c r="W174" s="17"/>
      <c r="X174" s="17"/>
      <c r="Y174" s="17"/>
      <c r="Z174" s="17"/>
    </row>
    <row r="175">
      <c r="A175" s="341"/>
      <c r="B175" s="168"/>
      <c r="C175" s="354"/>
      <c r="D175" s="353"/>
      <c r="E175" s="341"/>
      <c r="F175" s="168"/>
      <c r="G175" s="341"/>
      <c r="H175" s="168"/>
      <c r="I175" s="347"/>
      <c r="J175" s="187"/>
      <c r="K175" s="347"/>
      <c r="L175" s="187"/>
      <c r="M175" s="347"/>
      <c r="N175" s="187"/>
      <c r="O175" s="341"/>
      <c r="P175" s="168"/>
      <c r="Q175" s="363"/>
      <c r="R175" s="223"/>
      <c r="S175" s="17"/>
      <c r="T175" s="17"/>
      <c r="U175" s="17"/>
      <c r="V175" s="17"/>
      <c r="W175" s="17"/>
      <c r="X175" s="17"/>
      <c r="Y175" s="17"/>
      <c r="Z175" s="17"/>
    </row>
    <row r="176">
      <c r="A176" s="341"/>
      <c r="B176" s="168"/>
      <c r="C176" s="354"/>
      <c r="D176" s="353"/>
      <c r="E176" s="341"/>
      <c r="F176" s="168"/>
      <c r="G176" s="341"/>
      <c r="H176" s="168"/>
      <c r="I176" s="347"/>
      <c r="J176" s="187"/>
      <c r="K176" s="347"/>
      <c r="L176" s="187"/>
      <c r="M176" s="347"/>
      <c r="N176" s="187"/>
      <c r="O176" s="341"/>
      <c r="P176" s="168"/>
      <c r="Q176" s="363"/>
      <c r="R176" s="223"/>
      <c r="S176" s="17"/>
      <c r="T176" s="17"/>
      <c r="U176" s="17"/>
      <c r="V176" s="17"/>
      <c r="W176" s="17"/>
      <c r="X176" s="17"/>
      <c r="Y176" s="17"/>
      <c r="Z176" s="17"/>
    </row>
    <row r="177">
      <c r="A177" s="341"/>
      <c r="B177" s="168"/>
      <c r="C177" s="354"/>
      <c r="D177" s="353"/>
      <c r="E177" s="341"/>
      <c r="F177" s="168"/>
      <c r="G177" s="341"/>
      <c r="H177" s="168"/>
      <c r="I177" s="347"/>
      <c r="J177" s="187"/>
      <c r="K177" s="347"/>
      <c r="L177" s="187"/>
      <c r="M177" s="347"/>
      <c r="N177" s="187"/>
      <c r="O177" s="341"/>
      <c r="P177" s="168"/>
      <c r="Q177" s="363"/>
      <c r="R177" s="223"/>
      <c r="S177" s="17"/>
      <c r="T177" s="17"/>
      <c r="U177" s="17"/>
      <c r="V177" s="17"/>
      <c r="W177" s="17"/>
      <c r="X177" s="17"/>
      <c r="Y177" s="17"/>
      <c r="Z177" s="17"/>
    </row>
    <row r="178">
      <c r="A178" s="341"/>
      <c r="B178" s="168"/>
      <c r="C178" s="354"/>
      <c r="D178" s="353"/>
      <c r="E178" s="341"/>
      <c r="F178" s="168"/>
      <c r="G178" s="341"/>
      <c r="H178" s="168"/>
      <c r="I178" s="347"/>
      <c r="J178" s="187"/>
      <c r="K178" s="347"/>
      <c r="L178" s="187"/>
      <c r="M178" s="347"/>
      <c r="N178" s="187"/>
      <c r="O178" s="341"/>
      <c r="P178" s="168"/>
      <c r="Q178" s="363"/>
      <c r="R178" s="223"/>
      <c r="S178" s="17"/>
      <c r="T178" s="17"/>
      <c r="U178" s="17"/>
      <c r="V178" s="17"/>
      <c r="W178" s="17"/>
      <c r="X178" s="17"/>
      <c r="Y178" s="17"/>
      <c r="Z178" s="17"/>
    </row>
    <row r="179">
      <c r="A179" s="341"/>
      <c r="B179" s="168"/>
      <c r="C179" s="354"/>
      <c r="D179" s="353"/>
      <c r="E179" s="341"/>
      <c r="F179" s="168"/>
      <c r="G179" s="341"/>
      <c r="H179" s="168"/>
      <c r="I179" s="347"/>
      <c r="J179" s="187"/>
      <c r="K179" s="347"/>
      <c r="L179" s="187"/>
      <c r="M179" s="347"/>
      <c r="N179" s="187"/>
      <c r="O179" s="341"/>
      <c r="P179" s="168"/>
      <c r="Q179" s="363"/>
      <c r="R179" s="223"/>
      <c r="S179" s="17"/>
      <c r="T179" s="17"/>
      <c r="U179" s="17"/>
      <c r="V179" s="17"/>
      <c r="W179" s="17"/>
      <c r="X179" s="17"/>
      <c r="Y179" s="17"/>
      <c r="Z179" s="17"/>
    </row>
    <row r="180">
      <c r="A180" s="341"/>
      <c r="B180" s="168"/>
      <c r="C180" s="354"/>
      <c r="D180" s="353"/>
      <c r="E180" s="341"/>
      <c r="F180" s="168"/>
      <c r="G180" s="341"/>
      <c r="H180" s="168"/>
      <c r="I180" s="347"/>
      <c r="J180" s="187"/>
      <c r="K180" s="347"/>
      <c r="L180" s="187"/>
      <c r="M180" s="347"/>
      <c r="N180" s="187"/>
      <c r="O180" s="341"/>
      <c r="P180" s="168"/>
      <c r="Q180" s="363"/>
      <c r="R180" s="223"/>
      <c r="S180" s="17"/>
      <c r="T180" s="17"/>
      <c r="U180" s="17"/>
      <c r="V180" s="17"/>
      <c r="W180" s="17"/>
      <c r="X180" s="17"/>
      <c r="Y180" s="17"/>
      <c r="Z180" s="17"/>
    </row>
    <row r="181">
      <c r="A181" s="341"/>
      <c r="B181" s="168"/>
      <c r="C181" s="354"/>
      <c r="D181" s="353"/>
      <c r="E181" s="341"/>
      <c r="F181" s="168"/>
      <c r="G181" s="341"/>
      <c r="H181" s="168"/>
      <c r="I181" s="347"/>
      <c r="J181" s="187"/>
      <c r="K181" s="347"/>
      <c r="L181" s="187"/>
      <c r="M181" s="347"/>
      <c r="N181" s="187"/>
      <c r="O181" s="341"/>
      <c r="P181" s="168"/>
      <c r="Q181" s="363"/>
      <c r="R181" s="223"/>
      <c r="S181" s="17"/>
      <c r="T181" s="17"/>
      <c r="U181" s="17"/>
      <c r="V181" s="17"/>
      <c r="W181" s="17"/>
      <c r="X181" s="17"/>
      <c r="Y181" s="17"/>
      <c r="Z181" s="17"/>
    </row>
    <row r="182">
      <c r="A182" s="341"/>
      <c r="B182" s="168"/>
      <c r="C182" s="354"/>
      <c r="D182" s="353"/>
      <c r="E182" s="341"/>
      <c r="F182" s="168"/>
      <c r="G182" s="341"/>
      <c r="H182" s="168"/>
      <c r="I182" s="347"/>
      <c r="J182" s="187"/>
      <c r="K182" s="347"/>
      <c r="L182" s="187"/>
      <c r="M182" s="347"/>
      <c r="N182" s="187"/>
      <c r="O182" s="341"/>
      <c r="P182" s="168"/>
      <c r="Q182" s="363"/>
      <c r="R182" s="223"/>
      <c r="S182" s="17"/>
      <c r="T182" s="17"/>
      <c r="U182" s="17"/>
      <c r="V182" s="17"/>
      <c r="W182" s="17"/>
      <c r="X182" s="17"/>
      <c r="Y182" s="17"/>
      <c r="Z182" s="17"/>
    </row>
    <row r="183">
      <c r="A183" s="341"/>
      <c r="B183" s="168"/>
      <c r="C183" s="354"/>
      <c r="D183" s="353"/>
      <c r="E183" s="341"/>
      <c r="F183" s="168"/>
      <c r="G183" s="341"/>
      <c r="H183" s="168"/>
      <c r="I183" s="347"/>
      <c r="J183" s="187"/>
      <c r="K183" s="347"/>
      <c r="L183" s="187"/>
      <c r="M183" s="347"/>
      <c r="N183" s="187"/>
      <c r="O183" s="341"/>
      <c r="P183" s="168"/>
      <c r="Q183" s="363"/>
      <c r="R183" s="223"/>
      <c r="S183" s="17"/>
      <c r="T183" s="17"/>
      <c r="U183" s="17"/>
      <c r="V183" s="17"/>
      <c r="W183" s="17"/>
      <c r="X183" s="17"/>
      <c r="Y183" s="17"/>
      <c r="Z183" s="17"/>
    </row>
    <row r="184">
      <c r="A184" s="341"/>
      <c r="B184" s="168"/>
      <c r="C184" s="354"/>
      <c r="D184" s="353"/>
      <c r="E184" s="341"/>
      <c r="F184" s="168"/>
      <c r="G184" s="341"/>
      <c r="H184" s="168"/>
      <c r="I184" s="347"/>
      <c r="J184" s="187"/>
      <c r="K184" s="347"/>
      <c r="L184" s="187"/>
      <c r="M184" s="347"/>
      <c r="N184" s="187"/>
      <c r="O184" s="341"/>
      <c r="P184" s="168"/>
      <c r="Q184" s="363"/>
      <c r="R184" s="223"/>
      <c r="S184" s="17"/>
      <c r="T184" s="17"/>
      <c r="U184" s="17"/>
      <c r="V184" s="17"/>
      <c r="W184" s="17"/>
      <c r="X184" s="17"/>
      <c r="Y184" s="17"/>
      <c r="Z184" s="17"/>
    </row>
    <row r="185">
      <c r="A185" s="341"/>
      <c r="B185" s="168"/>
      <c r="C185" s="354"/>
      <c r="D185" s="353"/>
      <c r="E185" s="341"/>
      <c r="F185" s="168"/>
      <c r="G185" s="341"/>
      <c r="H185" s="168"/>
      <c r="I185" s="347"/>
      <c r="J185" s="187"/>
      <c r="K185" s="347"/>
      <c r="L185" s="187"/>
      <c r="M185" s="347"/>
      <c r="N185" s="187"/>
      <c r="O185" s="341"/>
      <c r="P185" s="168"/>
      <c r="Q185" s="363"/>
      <c r="R185" s="223"/>
      <c r="S185" s="17"/>
      <c r="T185" s="17"/>
      <c r="U185" s="17"/>
      <c r="V185" s="17"/>
      <c r="W185" s="17"/>
      <c r="X185" s="17"/>
      <c r="Y185" s="17"/>
      <c r="Z185" s="17"/>
    </row>
    <row r="186">
      <c r="A186" s="341"/>
      <c r="B186" s="168"/>
      <c r="C186" s="354"/>
      <c r="D186" s="353"/>
      <c r="E186" s="341"/>
      <c r="F186" s="168"/>
      <c r="G186" s="341"/>
      <c r="H186" s="168"/>
      <c r="I186" s="347"/>
      <c r="J186" s="187"/>
      <c r="K186" s="347"/>
      <c r="L186" s="187"/>
      <c r="M186" s="347"/>
      <c r="N186" s="187"/>
      <c r="O186" s="341"/>
      <c r="P186" s="168"/>
      <c r="Q186" s="363"/>
      <c r="R186" s="223"/>
      <c r="S186" s="17"/>
      <c r="T186" s="17"/>
      <c r="U186" s="17"/>
      <c r="V186" s="17"/>
      <c r="W186" s="17"/>
      <c r="X186" s="17"/>
      <c r="Y186" s="17"/>
      <c r="Z186" s="17"/>
    </row>
    <row r="187">
      <c r="A187" s="341"/>
      <c r="B187" s="168"/>
      <c r="C187" s="354"/>
      <c r="D187" s="353"/>
      <c r="E187" s="341"/>
      <c r="F187" s="168"/>
      <c r="G187" s="341"/>
      <c r="H187" s="168"/>
      <c r="I187" s="347"/>
      <c r="J187" s="187"/>
      <c r="K187" s="347"/>
      <c r="L187" s="187"/>
      <c r="M187" s="347"/>
      <c r="N187" s="187"/>
      <c r="O187" s="341"/>
      <c r="P187" s="168"/>
      <c r="Q187" s="363"/>
      <c r="R187" s="223"/>
      <c r="S187" s="17"/>
      <c r="T187" s="17"/>
      <c r="U187" s="17"/>
      <c r="V187" s="17"/>
      <c r="W187" s="17"/>
      <c r="X187" s="17"/>
      <c r="Y187" s="17"/>
      <c r="Z187" s="17"/>
    </row>
    <row r="188">
      <c r="A188" s="341"/>
      <c r="B188" s="168"/>
      <c r="C188" s="354"/>
      <c r="D188" s="353"/>
      <c r="E188" s="341"/>
      <c r="F188" s="168"/>
      <c r="G188" s="341"/>
      <c r="H188" s="168"/>
      <c r="I188" s="347"/>
      <c r="J188" s="187"/>
      <c r="K188" s="347"/>
      <c r="L188" s="187"/>
      <c r="M188" s="347"/>
      <c r="N188" s="187"/>
      <c r="O188" s="341"/>
      <c r="P188" s="168"/>
      <c r="Q188" s="363"/>
      <c r="R188" s="223"/>
      <c r="S188" s="17"/>
      <c r="T188" s="17"/>
      <c r="U188" s="17"/>
      <c r="V188" s="17"/>
      <c r="W188" s="17"/>
      <c r="X188" s="17"/>
      <c r="Y188" s="17"/>
      <c r="Z188" s="17"/>
    </row>
    <row r="189">
      <c r="A189" s="341"/>
      <c r="B189" s="168"/>
      <c r="C189" s="354"/>
      <c r="D189" s="353"/>
      <c r="E189" s="341"/>
      <c r="F189" s="168"/>
      <c r="G189" s="341"/>
      <c r="H189" s="168"/>
      <c r="I189" s="347"/>
      <c r="J189" s="187"/>
      <c r="K189" s="347"/>
      <c r="L189" s="187"/>
      <c r="M189" s="347"/>
      <c r="N189" s="187"/>
      <c r="O189" s="341"/>
      <c r="P189" s="168"/>
      <c r="Q189" s="363"/>
      <c r="R189" s="223"/>
      <c r="S189" s="17"/>
      <c r="T189" s="17"/>
      <c r="U189" s="17"/>
      <c r="V189" s="17"/>
      <c r="W189" s="17"/>
      <c r="X189" s="17"/>
      <c r="Y189" s="17"/>
      <c r="Z189" s="17"/>
    </row>
    <row r="190">
      <c r="A190" s="341"/>
      <c r="B190" s="168"/>
      <c r="C190" s="354"/>
      <c r="D190" s="353"/>
      <c r="E190" s="341"/>
      <c r="F190" s="168"/>
      <c r="G190" s="341"/>
      <c r="H190" s="168"/>
      <c r="I190" s="347"/>
      <c r="J190" s="187"/>
      <c r="K190" s="347"/>
      <c r="L190" s="187"/>
      <c r="M190" s="347"/>
      <c r="N190" s="187"/>
      <c r="O190" s="341"/>
      <c r="P190" s="168"/>
      <c r="Q190" s="363"/>
      <c r="R190" s="223"/>
      <c r="S190" s="17"/>
      <c r="T190" s="17"/>
      <c r="U190" s="17"/>
      <c r="V190" s="17"/>
      <c r="W190" s="17"/>
      <c r="X190" s="17"/>
      <c r="Y190" s="17"/>
      <c r="Z190" s="17"/>
    </row>
    <row r="191">
      <c r="A191" s="341"/>
      <c r="B191" s="168"/>
      <c r="C191" s="354"/>
      <c r="D191" s="353"/>
      <c r="E191" s="341"/>
      <c r="F191" s="168"/>
      <c r="G191" s="341"/>
      <c r="H191" s="168"/>
      <c r="I191" s="347"/>
      <c r="J191" s="187"/>
      <c r="K191" s="347"/>
      <c r="L191" s="187"/>
      <c r="M191" s="347"/>
      <c r="N191" s="187"/>
      <c r="O191" s="341"/>
      <c r="P191" s="168"/>
      <c r="Q191" s="363"/>
      <c r="R191" s="223"/>
      <c r="S191" s="17"/>
      <c r="T191" s="17"/>
      <c r="U191" s="17"/>
      <c r="V191" s="17"/>
      <c r="W191" s="17"/>
      <c r="X191" s="17"/>
      <c r="Y191" s="17"/>
      <c r="Z191" s="17"/>
    </row>
    <row r="192">
      <c r="A192" s="341"/>
      <c r="B192" s="168"/>
      <c r="C192" s="354"/>
      <c r="D192" s="353"/>
      <c r="E192" s="341"/>
      <c r="F192" s="168"/>
      <c r="G192" s="341"/>
      <c r="H192" s="168"/>
      <c r="I192" s="347"/>
      <c r="J192" s="187"/>
      <c r="K192" s="347"/>
      <c r="L192" s="187"/>
      <c r="M192" s="347"/>
      <c r="N192" s="187"/>
      <c r="O192" s="341"/>
      <c r="P192" s="168"/>
      <c r="Q192" s="363"/>
      <c r="R192" s="223"/>
      <c r="S192" s="17"/>
      <c r="T192" s="17"/>
      <c r="U192" s="17"/>
      <c r="V192" s="17"/>
      <c r="W192" s="17"/>
      <c r="X192" s="17"/>
      <c r="Y192" s="17"/>
      <c r="Z192" s="17"/>
    </row>
    <row r="193">
      <c r="A193" s="341"/>
      <c r="B193" s="168"/>
      <c r="C193" s="354"/>
      <c r="D193" s="353"/>
      <c r="E193" s="341"/>
      <c r="F193" s="168"/>
      <c r="G193" s="341"/>
      <c r="H193" s="168"/>
      <c r="I193" s="347"/>
      <c r="J193" s="187"/>
      <c r="K193" s="347"/>
      <c r="L193" s="187"/>
      <c r="M193" s="347"/>
      <c r="N193" s="187"/>
      <c r="O193" s="341"/>
      <c r="P193" s="168"/>
      <c r="Q193" s="363"/>
      <c r="R193" s="223"/>
      <c r="S193" s="17"/>
      <c r="T193" s="17"/>
      <c r="U193" s="17"/>
      <c r="V193" s="17"/>
      <c r="W193" s="17"/>
      <c r="X193" s="17"/>
      <c r="Y193" s="17"/>
      <c r="Z193" s="17"/>
    </row>
    <row r="194">
      <c r="A194" s="341"/>
      <c r="B194" s="168"/>
      <c r="C194" s="354"/>
      <c r="D194" s="353"/>
      <c r="E194" s="341"/>
      <c r="F194" s="168"/>
      <c r="G194" s="341"/>
      <c r="H194" s="168"/>
      <c r="I194" s="347"/>
      <c r="J194" s="187"/>
      <c r="K194" s="347"/>
      <c r="L194" s="187"/>
      <c r="M194" s="347"/>
      <c r="N194" s="187"/>
      <c r="O194" s="341"/>
      <c r="P194" s="168"/>
      <c r="Q194" s="363"/>
      <c r="R194" s="223"/>
      <c r="S194" s="17"/>
      <c r="T194" s="17"/>
      <c r="U194" s="17"/>
      <c r="V194" s="17"/>
      <c r="W194" s="17"/>
      <c r="X194" s="17"/>
      <c r="Y194" s="17"/>
      <c r="Z194" s="17"/>
    </row>
    <row r="195">
      <c r="A195" s="341"/>
      <c r="B195" s="168"/>
      <c r="C195" s="354"/>
      <c r="D195" s="353"/>
      <c r="E195" s="341"/>
      <c r="F195" s="168"/>
      <c r="G195" s="341"/>
      <c r="H195" s="168"/>
      <c r="I195" s="347"/>
      <c r="J195" s="187"/>
      <c r="K195" s="347"/>
      <c r="L195" s="187"/>
      <c r="M195" s="347"/>
      <c r="N195" s="187"/>
      <c r="O195" s="341"/>
      <c r="P195" s="168"/>
      <c r="Q195" s="363"/>
      <c r="R195" s="223"/>
      <c r="S195" s="17"/>
      <c r="T195" s="17"/>
      <c r="U195" s="17"/>
      <c r="V195" s="17"/>
      <c r="W195" s="17"/>
      <c r="X195" s="17"/>
      <c r="Y195" s="17"/>
      <c r="Z195" s="17"/>
    </row>
    <row r="196">
      <c r="A196" s="341"/>
      <c r="B196" s="168"/>
      <c r="C196" s="354"/>
      <c r="D196" s="353"/>
      <c r="E196" s="341"/>
      <c r="F196" s="168"/>
      <c r="G196" s="341"/>
      <c r="H196" s="168"/>
      <c r="I196" s="347"/>
      <c r="J196" s="187"/>
      <c r="K196" s="347"/>
      <c r="L196" s="187"/>
      <c r="M196" s="347"/>
      <c r="N196" s="187"/>
      <c r="O196" s="341"/>
      <c r="P196" s="168"/>
      <c r="Q196" s="363"/>
      <c r="R196" s="223"/>
      <c r="S196" s="17"/>
      <c r="T196" s="17"/>
      <c r="U196" s="17"/>
      <c r="V196" s="17"/>
      <c r="W196" s="17"/>
      <c r="X196" s="17"/>
      <c r="Y196" s="17"/>
      <c r="Z196" s="17"/>
    </row>
    <row r="197">
      <c r="A197" s="341"/>
      <c r="B197" s="168"/>
      <c r="C197" s="354"/>
      <c r="D197" s="353"/>
      <c r="E197" s="341"/>
      <c r="F197" s="168"/>
      <c r="G197" s="341"/>
      <c r="H197" s="168"/>
      <c r="I197" s="347"/>
      <c r="J197" s="187"/>
      <c r="K197" s="347"/>
      <c r="L197" s="187"/>
      <c r="M197" s="347"/>
      <c r="N197" s="187"/>
      <c r="O197" s="341"/>
      <c r="P197" s="168"/>
      <c r="Q197" s="363"/>
      <c r="R197" s="223"/>
      <c r="S197" s="17"/>
      <c r="T197" s="17"/>
      <c r="U197" s="17"/>
      <c r="V197" s="17"/>
      <c r="W197" s="17"/>
      <c r="X197" s="17"/>
      <c r="Y197" s="17"/>
      <c r="Z197" s="17"/>
    </row>
    <row r="198">
      <c r="A198" s="341"/>
      <c r="B198" s="168"/>
      <c r="C198" s="354"/>
      <c r="D198" s="353"/>
      <c r="E198" s="341"/>
      <c r="F198" s="168"/>
      <c r="G198" s="341"/>
      <c r="H198" s="168"/>
      <c r="I198" s="347"/>
      <c r="J198" s="187"/>
      <c r="K198" s="347"/>
      <c r="L198" s="187"/>
      <c r="M198" s="347"/>
      <c r="N198" s="187"/>
      <c r="O198" s="341"/>
      <c r="P198" s="168"/>
      <c r="Q198" s="363"/>
      <c r="R198" s="223"/>
      <c r="S198" s="17"/>
      <c r="T198" s="17"/>
      <c r="U198" s="17"/>
      <c r="V198" s="17"/>
      <c r="W198" s="17"/>
      <c r="X198" s="17"/>
      <c r="Y198" s="17"/>
      <c r="Z198" s="17"/>
    </row>
    <row r="199">
      <c r="A199" s="341"/>
      <c r="B199" s="168"/>
      <c r="C199" s="354"/>
      <c r="D199" s="353"/>
      <c r="E199" s="341"/>
      <c r="F199" s="168"/>
      <c r="G199" s="341"/>
      <c r="H199" s="168"/>
      <c r="I199" s="347"/>
      <c r="J199" s="187"/>
      <c r="K199" s="347"/>
      <c r="L199" s="187"/>
      <c r="M199" s="347"/>
      <c r="N199" s="187"/>
      <c r="O199" s="341"/>
      <c r="P199" s="168"/>
      <c r="Q199" s="363"/>
      <c r="R199" s="223"/>
      <c r="S199" s="17"/>
      <c r="T199" s="17"/>
      <c r="U199" s="17"/>
      <c r="V199" s="17"/>
      <c r="W199" s="17"/>
      <c r="X199" s="17"/>
      <c r="Y199" s="17"/>
      <c r="Z199" s="17"/>
    </row>
    <row r="200">
      <c r="A200" s="341"/>
      <c r="B200" s="168"/>
      <c r="C200" s="354"/>
      <c r="D200" s="353"/>
      <c r="E200" s="341"/>
      <c r="F200" s="168"/>
      <c r="G200" s="341"/>
      <c r="H200" s="168"/>
      <c r="I200" s="347"/>
      <c r="J200" s="187"/>
      <c r="K200" s="347"/>
      <c r="L200" s="187"/>
      <c r="M200" s="347"/>
      <c r="N200" s="187"/>
      <c r="O200" s="341"/>
      <c r="P200" s="168"/>
      <c r="Q200" s="363"/>
      <c r="R200" s="223"/>
      <c r="S200" s="17"/>
      <c r="T200" s="17"/>
      <c r="U200" s="17"/>
      <c r="V200" s="17"/>
      <c r="W200" s="17"/>
      <c r="X200" s="17"/>
      <c r="Y200" s="17"/>
      <c r="Z200" s="17"/>
    </row>
    <row r="201">
      <c r="A201" s="341"/>
      <c r="B201" s="168"/>
      <c r="C201" s="354"/>
      <c r="D201" s="353"/>
      <c r="E201" s="341"/>
      <c r="F201" s="168"/>
      <c r="G201" s="341"/>
      <c r="H201" s="168"/>
      <c r="I201" s="347"/>
      <c r="J201" s="187"/>
      <c r="K201" s="347"/>
      <c r="L201" s="187"/>
      <c r="M201" s="347"/>
      <c r="N201" s="187"/>
      <c r="O201" s="341"/>
      <c r="P201" s="168"/>
      <c r="Q201" s="363"/>
      <c r="R201" s="223"/>
      <c r="S201" s="17"/>
      <c r="T201" s="17"/>
      <c r="U201" s="17"/>
      <c r="V201" s="17"/>
      <c r="W201" s="17"/>
      <c r="X201" s="17"/>
      <c r="Y201" s="17"/>
      <c r="Z201" s="17"/>
    </row>
    <row r="202">
      <c r="A202" s="341"/>
      <c r="B202" s="168"/>
      <c r="C202" s="354"/>
      <c r="D202" s="353"/>
      <c r="E202" s="341"/>
      <c r="F202" s="168"/>
      <c r="G202" s="341"/>
      <c r="H202" s="168"/>
      <c r="I202" s="347"/>
      <c r="J202" s="187"/>
      <c r="K202" s="347"/>
      <c r="L202" s="187"/>
      <c r="M202" s="347"/>
      <c r="N202" s="187"/>
      <c r="O202" s="341"/>
      <c r="P202" s="168"/>
      <c r="Q202" s="363"/>
      <c r="R202" s="223"/>
      <c r="S202" s="17"/>
      <c r="T202" s="17"/>
      <c r="U202" s="17"/>
      <c r="V202" s="17"/>
      <c r="W202" s="17"/>
      <c r="X202" s="17"/>
      <c r="Y202" s="17"/>
      <c r="Z202" s="17"/>
    </row>
    <row r="203">
      <c r="A203" s="341"/>
      <c r="B203" s="168"/>
      <c r="C203" s="354"/>
      <c r="D203" s="353"/>
      <c r="E203" s="341"/>
      <c r="F203" s="168"/>
      <c r="G203" s="341"/>
      <c r="H203" s="168"/>
      <c r="I203" s="347"/>
      <c r="J203" s="187"/>
      <c r="K203" s="347"/>
      <c r="L203" s="187"/>
      <c r="M203" s="347"/>
      <c r="N203" s="187"/>
      <c r="O203" s="341"/>
      <c r="P203" s="168"/>
      <c r="Q203" s="363"/>
      <c r="R203" s="223"/>
      <c r="S203" s="17"/>
      <c r="T203" s="17"/>
      <c r="U203" s="17"/>
      <c r="V203" s="17"/>
      <c r="W203" s="17"/>
      <c r="X203" s="17"/>
      <c r="Y203" s="17"/>
      <c r="Z203" s="17"/>
    </row>
    <row r="204">
      <c r="A204" s="341"/>
      <c r="B204" s="168"/>
      <c r="C204" s="354"/>
      <c r="D204" s="353"/>
      <c r="E204" s="341"/>
      <c r="F204" s="168"/>
      <c r="G204" s="341"/>
      <c r="H204" s="168"/>
      <c r="I204" s="347"/>
      <c r="J204" s="187"/>
      <c r="K204" s="347"/>
      <c r="L204" s="187"/>
      <c r="M204" s="347"/>
      <c r="N204" s="187"/>
      <c r="O204" s="341"/>
      <c r="P204" s="168"/>
      <c r="Q204" s="363"/>
      <c r="R204" s="223"/>
      <c r="S204" s="17"/>
      <c r="T204" s="17"/>
      <c r="U204" s="17"/>
      <c r="V204" s="17"/>
      <c r="W204" s="17"/>
      <c r="X204" s="17"/>
      <c r="Y204" s="17"/>
      <c r="Z204" s="17"/>
    </row>
    <row r="205">
      <c r="A205" s="341"/>
      <c r="B205" s="168"/>
      <c r="C205" s="354"/>
      <c r="D205" s="353"/>
      <c r="E205" s="341"/>
      <c r="F205" s="168"/>
      <c r="G205" s="341"/>
      <c r="H205" s="168"/>
      <c r="I205" s="347"/>
      <c r="J205" s="187"/>
      <c r="K205" s="347"/>
      <c r="L205" s="187"/>
      <c r="M205" s="347"/>
      <c r="N205" s="187"/>
      <c r="O205" s="341"/>
      <c r="P205" s="168"/>
      <c r="Q205" s="363"/>
      <c r="R205" s="223"/>
      <c r="S205" s="17"/>
      <c r="T205" s="17"/>
      <c r="U205" s="17"/>
      <c r="V205" s="17"/>
      <c r="W205" s="17"/>
      <c r="X205" s="17"/>
      <c r="Y205" s="17"/>
      <c r="Z205" s="17"/>
    </row>
    <row r="206">
      <c r="A206" s="341"/>
      <c r="B206" s="168"/>
      <c r="C206" s="354"/>
      <c r="D206" s="353"/>
      <c r="E206" s="341"/>
      <c r="F206" s="168"/>
      <c r="G206" s="341"/>
      <c r="H206" s="168"/>
      <c r="I206" s="347"/>
      <c r="J206" s="187"/>
      <c r="K206" s="347"/>
      <c r="L206" s="187"/>
      <c r="M206" s="347"/>
      <c r="N206" s="187"/>
      <c r="O206" s="341"/>
      <c r="P206" s="168"/>
      <c r="Q206" s="363"/>
      <c r="R206" s="223"/>
      <c r="S206" s="17"/>
      <c r="T206" s="17"/>
      <c r="U206" s="17"/>
      <c r="V206" s="17"/>
      <c r="W206" s="17"/>
      <c r="X206" s="17"/>
      <c r="Y206" s="17"/>
      <c r="Z206" s="17"/>
    </row>
    <row r="207">
      <c r="A207" s="341"/>
      <c r="B207" s="168"/>
      <c r="C207" s="354"/>
      <c r="D207" s="353"/>
      <c r="E207" s="341"/>
      <c r="F207" s="168"/>
      <c r="G207" s="341"/>
      <c r="H207" s="168"/>
      <c r="I207" s="347"/>
      <c r="J207" s="187"/>
      <c r="K207" s="347"/>
      <c r="L207" s="187"/>
      <c r="M207" s="347"/>
      <c r="N207" s="187"/>
      <c r="O207" s="341"/>
      <c r="P207" s="168"/>
      <c r="Q207" s="363"/>
      <c r="R207" s="223"/>
      <c r="S207" s="17"/>
      <c r="T207" s="17"/>
      <c r="U207" s="17"/>
      <c r="V207" s="17"/>
      <c r="W207" s="17"/>
      <c r="X207" s="17"/>
      <c r="Y207" s="17"/>
      <c r="Z207" s="17"/>
    </row>
    <row r="208">
      <c r="A208" s="341"/>
      <c r="B208" s="168"/>
      <c r="C208" s="354"/>
      <c r="D208" s="353"/>
      <c r="E208" s="341"/>
      <c r="F208" s="168"/>
      <c r="G208" s="341"/>
      <c r="H208" s="168"/>
      <c r="I208" s="347"/>
      <c r="J208" s="187"/>
      <c r="K208" s="347"/>
      <c r="L208" s="187"/>
      <c r="M208" s="347"/>
      <c r="N208" s="187"/>
      <c r="O208" s="341"/>
      <c r="P208" s="168"/>
      <c r="Q208" s="363"/>
      <c r="R208" s="223"/>
      <c r="S208" s="17"/>
      <c r="T208" s="17"/>
      <c r="U208" s="17"/>
      <c r="V208" s="17"/>
      <c r="W208" s="17"/>
      <c r="X208" s="17"/>
      <c r="Y208" s="17"/>
      <c r="Z208" s="17"/>
    </row>
    <row r="209">
      <c r="A209" s="341"/>
      <c r="B209" s="168"/>
      <c r="C209" s="354"/>
      <c r="D209" s="353"/>
      <c r="E209" s="341"/>
      <c r="F209" s="168"/>
      <c r="G209" s="341"/>
      <c r="H209" s="168"/>
      <c r="I209" s="347"/>
      <c r="J209" s="187"/>
      <c r="K209" s="347"/>
      <c r="L209" s="187"/>
      <c r="M209" s="347"/>
      <c r="N209" s="187"/>
      <c r="O209" s="341"/>
      <c r="P209" s="168"/>
      <c r="Q209" s="363"/>
      <c r="R209" s="223"/>
      <c r="S209" s="17"/>
      <c r="T209" s="17"/>
      <c r="U209" s="17"/>
      <c r="V209" s="17"/>
      <c r="W209" s="17"/>
      <c r="X209" s="17"/>
      <c r="Y209" s="17"/>
      <c r="Z209" s="17"/>
    </row>
    <row r="210">
      <c r="A210" s="341"/>
      <c r="B210" s="168"/>
      <c r="C210" s="354"/>
      <c r="D210" s="353"/>
      <c r="E210" s="341"/>
      <c r="F210" s="168"/>
      <c r="G210" s="341"/>
      <c r="H210" s="168"/>
      <c r="I210" s="347"/>
      <c r="J210" s="187"/>
      <c r="K210" s="347"/>
      <c r="L210" s="187"/>
      <c r="M210" s="347"/>
      <c r="N210" s="187"/>
      <c r="O210" s="341"/>
      <c r="P210" s="168"/>
      <c r="Q210" s="363"/>
      <c r="R210" s="223"/>
      <c r="S210" s="17"/>
      <c r="T210" s="17"/>
      <c r="U210" s="17"/>
      <c r="V210" s="17"/>
      <c r="W210" s="17"/>
      <c r="X210" s="17"/>
      <c r="Y210" s="17"/>
      <c r="Z210" s="17"/>
    </row>
    <row r="211">
      <c r="A211" s="341"/>
      <c r="B211" s="168"/>
      <c r="C211" s="354"/>
      <c r="D211" s="353"/>
      <c r="E211" s="341"/>
      <c r="F211" s="168"/>
      <c r="G211" s="341"/>
      <c r="H211" s="168"/>
      <c r="I211" s="347"/>
      <c r="J211" s="187"/>
      <c r="K211" s="347"/>
      <c r="L211" s="187"/>
      <c r="M211" s="347"/>
      <c r="N211" s="187"/>
      <c r="O211" s="341"/>
      <c r="P211" s="168"/>
      <c r="Q211" s="363"/>
      <c r="R211" s="223"/>
      <c r="S211" s="17"/>
      <c r="T211" s="17"/>
      <c r="U211" s="17"/>
      <c r="V211" s="17"/>
      <c r="W211" s="17"/>
      <c r="X211" s="17"/>
      <c r="Y211" s="17"/>
      <c r="Z211" s="17"/>
    </row>
    <row r="212">
      <c r="A212" s="341"/>
      <c r="B212" s="168"/>
      <c r="C212" s="354"/>
      <c r="D212" s="353"/>
      <c r="E212" s="341"/>
      <c r="F212" s="168"/>
      <c r="G212" s="341"/>
      <c r="H212" s="168"/>
      <c r="I212" s="347"/>
      <c r="J212" s="187"/>
      <c r="K212" s="347"/>
      <c r="L212" s="187"/>
      <c r="M212" s="347"/>
      <c r="N212" s="187"/>
      <c r="O212" s="341"/>
      <c r="P212" s="168"/>
      <c r="Q212" s="363"/>
      <c r="R212" s="223"/>
      <c r="S212" s="17"/>
      <c r="T212" s="17"/>
      <c r="U212" s="17"/>
      <c r="V212" s="17"/>
      <c r="W212" s="17"/>
      <c r="X212" s="17"/>
      <c r="Y212" s="17"/>
      <c r="Z212" s="17"/>
    </row>
    <row r="213">
      <c r="A213" s="341"/>
      <c r="B213" s="168"/>
      <c r="C213" s="354"/>
      <c r="D213" s="353"/>
      <c r="E213" s="341"/>
      <c r="F213" s="168"/>
      <c r="G213" s="341"/>
      <c r="H213" s="168"/>
      <c r="I213" s="347"/>
      <c r="J213" s="187"/>
      <c r="K213" s="347"/>
      <c r="L213" s="187"/>
      <c r="M213" s="347"/>
      <c r="N213" s="187"/>
      <c r="O213" s="341"/>
      <c r="P213" s="168"/>
      <c r="Q213" s="363"/>
      <c r="R213" s="223"/>
      <c r="S213" s="17"/>
      <c r="T213" s="17"/>
      <c r="U213" s="17"/>
      <c r="V213" s="17"/>
      <c r="W213" s="17"/>
      <c r="X213" s="17"/>
      <c r="Y213" s="17"/>
      <c r="Z213" s="17"/>
    </row>
    <row r="214">
      <c r="A214" s="341"/>
      <c r="B214" s="168"/>
      <c r="C214" s="354"/>
      <c r="D214" s="353"/>
      <c r="E214" s="341"/>
      <c r="F214" s="168"/>
      <c r="G214" s="341"/>
      <c r="H214" s="168"/>
      <c r="I214" s="347"/>
      <c r="J214" s="187"/>
      <c r="K214" s="347"/>
      <c r="L214" s="187"/>
      <c r="M214" s="347"/>
      <c r="N214" s="187"/>
      <c r="O214" s="341"/>
      <c r="P214" s="168"/>
      <c r="Q214" s="363"/>
      <c r="R214" s="223"/>
      <c r="S214" s="17"/>
      <c r="T214" s="17"/>
      <c r="U214" s="17"/>
      <c r="V214" s="17"/>
      <c r="W214" s="17"/>
      <c r="X214" s="17"/>
      <c r="Y214" s="17"/>
      <c r="Z214" s="17"/>
    </row>
    <row r="215">
      <c r="A215" s="341"/>
      <c r="B215" s="168"/>
      <c r="C215" s="354"/>
      <c r="D215" s="353"/>
      <c r="E215" s="341"/>
      <c r="F215" s="168"/>
      <c r="G215" s="341"/>
      <c r="H215" s="168"/>
      <c r="I215" s="347"/>
      <c r="J215" s="187"/>
      <c r="K215" s="347"/>
      <c r="L215" s="187"/>
      <c r="M215" s="347"/>
      <c r="N215" s="187"/>
      <c r="O215" s="341"/>
      <c r="P215" s="168"/>
      <c r="Q215" s="363"/>
      <c r="R215" s="223"/>
      <c r="S215" s="17"/>
      <c r="T215" s="17"/>
      <c r="U215" s="17"/>
      <c r="V215" s="17"/>
      <c r="W215" s="17"/>
      <c r="X215" s="17"/>
      <c r="Y215" s="17"/>
      <c r="Z215" s="17"/>
    </row>
    <row r="216">
      <c r="A216" s="341"/>
      <c r="B216" s="168"/>
      <c r="C216" s="354"/>
      <c r="D216" s="353"/>
      <c r="E216" s="341"/>
      <c r="F216" s="168"/>
      <c r="G216" s="341"/>
      <c r="H216" s="168"/>
      <c r="I216" s="347"/>
      <c r="J216" s="187"/>
      <c r="K216" s="347"/>
      <c r="L216" s="187"/>
      <c r="M216" s="347"/>
      <c r="N216" s="187"/>
      <c r="O216" s="341"/>
      <c r="P216" s="168"/>
      <c r="Q216" s="363"/>
      <c r="R216" s="223"/>
      <c r="S216" s="17"/>
      <c r="T216" s="17"/>
      <c r="U216" s="17"/>
      <c r="V216" s="17"/>
      <c r="W216" s="17"/>
      <c r="X216" s="17"/>
      <c r="Y216" s="17"/>
      <c r="Z216" s="17"/>
    </row>
    <row r="217">
      <c r="A217" s="341"/>
      <c r="B217" s="168"/>
      <c r="C217" s="354"/>
      <c r="D217" s="353"/>
      <c r="E217" s="341"/>
      <c r="F217" s="168"/>
      <c r="G217" s="341"/>
      <c r="H217" s="168"/>
      <c r="I217" s="347"/>
      <c r="J217" s="187"/>
      <c r="K217" s="347"/>
      <c r="L217" s="187"/>
      <c r="M217" s="347"/>
      <c r="N217" s="187"/>
      <c r="O217" s="341"/>
      <c r="P217" s="168"/>
      <c r="Q217" s="363"/>
      <c r="R217" s="223"/>
      <c r="S217" s="17"/>
      <c r="T217" s="17"/>
      <c r="U217" s="17"/>
      <c r="V217" s="17"/>
      <c r="W217" s="17"/>
      <c r="X217" s="17"/>
      <c r="Y217" s="17"/>
      <c r="Z217" s="17"/>
    </row>
    <row r="218">
      <c r="A218" s="341"/>
      <c r="B218" s="168"/>
      <c r="C218" s="354"/>
      <c r="D218" s="353"/>
      <c r="E218" s="341"/>
      <c r="F218" s="168"/>
      <c r="G218" s="341"/>
      <c r="H218" s="168"/>
      <c r="I218" s="347"/>
      <c r="J218" s="187"/>
      <c r="K218" s="347"/>
      <c r="L218" s="187"/>
      <c r="M218" s="347"/>
      <c r="N218" s="187"/>
      <c r="O218" s="341"/>
      <c r="P218" s="168"/>
      <c r="Q218" s="363"/>
      <c r="R218" s="223"/>
      <c r="S218" s="17"/>
      <c r="T218" s="17"/>
      <c r="U218" s="17"/>
      <c r="V218" s="17"/>
      <c r="W218" s="17"/>
      <c r="X218" s="17"/>
      <c r="Y218" s="17"/>
      <c r="Z218" s="17"/>
    </row>
    <row r="219">
      <c r="A219" s="341"/>
      <c r="B219" s="168"/>
      <c r="C219" s="354"/>
      <c r="D219" s="353"/>
      <c r="E219" s="341"/>
      <c r="F219" s="168"/>
      <c r="G219" s="341"/>
      <c r="H219" s="168"/>
      <c r="I219" s="347"/>
      <c r="J219" s="187"/>
      <c r="K219" s="347"/>
      <c r="L219" s="187"/>
      <c r="M219" s="347"/>
      <c r="N219" s="187"/>
      <c r="O219" s="341"/>
      <c r="P219" s="168"/>
      <c r="Q219" s="363"/>
      <c r="R219" s="223"/>
      <c r="S219" s="17"/>
      <c r="T219" s="17"/>
      <c r="U219" s="17"/>
      <c r="V219" s="17"/>
      <c r="W219" s="17"/>
      <c r="X219" s="17"/>
      <c r="Y219" s="17"/>
      <c r="Z219" s="17"/>
    </row>
    <row r="220">
      <c r="A220" s="341"/>
      <c r="B220" s="168"/>
      <c r="C220" s="354"/>
      <c r="D220" s="353"/>
      <c r="E220" s="341"/>
      <c r="F220" s="168"/>
      <c r="G220" s="341"/>
      <c r="H220" s="168"/>
      <c r="I220" s="347"/>
      <c r="J220" s="187"/>
      <c r="K220" s="347"/>
      <c r="L220" s="187"/>
      <c r="M220" s="347"/>
      <c r="N220" s="187"/>
      <c r="O220" s="341"/>
      <c r="P220" s="168"/>
      <c r="Q220" s="363"/>
      <c r="R220" s="223"/>
      <c r="S220" s="17"/>
      <c r="T220" s="17"/>
      <c r="U220" s="17"/>
      <c r="V220" s="17"/>
      <c r="W220" s="17"/>
      <c r="X220" s="17"/>
      <c r="Y220" s="17"/>
      <c r="Z220" s="17"/>
    </row>
    <row r="221">
      <c r="A221" s="341"/>
      <c r="B221" s="168"/>
      <c r="C221" s="354"/>
      <c r="D221" s="353"/>
      <c r="E221" s="341"/>
      <c r="F221" s="168"/>
      <c r="G221" s="341"/>
      <c r="H221" s="168"/>
      <c r="I221" s="347"/>
      <c r="J221" s="187"/>
      <c r="K221" s="347"/>
      <c r="L221" s="187"/>
      <c r="M221" s="347"/>
      <c r="N221" s="187"/>
      <c r="O221" s="341"/>
      <c r="P221" s="168"/>
      <c r="Q221" s="363"/>
      <c r="R221" s="223"/>
      <c r="S221" s="17"/>
      <c r="T221" s="17"/>
      <c r="U221" s="17"/>
      <c r="V221" s="17"/>
      <c r="W221" s="17"/>
      <c r="X221" s="17"/>
      <c r="Y221" s="17"/>
      <c r="Z221" s="17"/>
    </row>
    <row r="222">
      <c r="A222" s="341"/>
      <c r="B222" s="168"/>
      <c r="C222" s="354"/>
      <c r="D222" s="353"/>
      <c r="E222" s="341"/>
      <c r="F222" s="168"/>
      <c r="G222" s="341"/>
      <c r="H222" s="168"/>
      <c r="I222" s="347"/>
      <c r="J222" s="187"/>
      <c r="K222" s="347"/>
      <c r="L222" s="187"/>
      <c r="M222" s="347"/>
      <c r="N222" s="187"/>
      <c r="O222" s="341"/>
      <c r="P222" s="168"/>
      <c r="Q222" s="363"/>
      <c r="R222" s="223"/>
      <c r="S222" s="17"/>
      <c r="T222" s="17"/>
      <c r="U222" s="17"/>
      <c r="V222" s="17"/>
      <c r="W222" s="17"/>
      <c r="X222" s="17"/>
      <c r="Y222" s="17"/>
      <c r="Z222" s="17"/>
    </row>
    <row r="223">
      <c r="A223" s="341"/>
      <c r="B223" s="168"/>
      <c r="C223" s="354"/>
      <c r="D223" s="353"/>
      <c r="E223" s="341"/>
      <c r="F223" s="168"/>
      <c r="G223" s="341"/>
      <c r="H223" s="168"/>
      <c r="I223" s="347"/>
      <c r="J223" s="187"/>
      <c r="K223" s="347"/>
      <c r="L223" s="187"/>
      <c r="M223" s="347"/>
      <c r="N223" s="187"/>
      <c r="O223" s="341"/>
      <c r="P223" s="168"/>
      <c r="Q223" s="363"/>
      <c r="R223" s="223"/>
      <c r="S223" s="17"/>
      <c r="T223" s="17"/>
      <c r="U223" s="17"/>
      <c r="V223" s="17"/>
      <c r="W223" s="17"/>
      <c r="X223" s="17"/>
      <c r="Y223" s="17"/>
      <c r="Z223" s="17"/>
    </row>
    <row r="224">
      <c r="A224" s="341"/>
      <c r="B224" s="168"/>
      <c r="C224" s="354"/>
      <c r="D224" s="353"/>
      <c r="E224" s="341"/>
      <c r="F224" s="168"/>
      <c r="G224" s="341"/>
      <c r="H224" s="168"/>
      <c r="I224" s="347"/>
      <c r="J224" s="187"/>
      <c r="K224" s="347"/>
      <c r="L224" s="187"/>
      <c r="M224" s="347"/>
      <c r="N224" s="187"/>
      <c r="O224" s="341"/>
      <c r="P224" s="168"/>
      <c r="Q224" s="363"/>
      <c r="R224" s="223"/>
      <c r="S224" s="17"/>
      <c r="T224" s="17"/>
      <c r="U224" s="17"/>
      <c r="V224" s="17"/>
      <c r="W224" s="17"/>
      <c r="X224" s="17"/>
      <c r="Y224" s="17"/>
      <c r="Z224" s="17"/>
    </row>
    <row r="225">
      <c r="A225" s="341"/>
      <c r="B225" s="168"/>
      <c r="C225" s="354"/>
      <c r="D225" s="353"/>
      <c r="E225" s="341"/>
      <c r="F225" s="168"/>
      <c r="G225" s="341"/>
      <c r="H225" s="168"/>
      <c r="I225" s="347"/>
      <c r="J225" s="187"/>
      <c r="K225" s="347"/>
      <c r="L225" s="187"/>
      <c r="M225" s="347"/>
      <c r="N225" s="187"/>
      <c r="O225" s="341"/>
      <c r="P225" s="168"/>
      <c r="Q225" s="363"/>
      <c r="R225" s="223"/>
      <c r="S225" s="17"/>
      <c r="T225" s="17"/>
      <c r="U225" s="17"/>
      <c r="V225" s="17"/>
      <c r="W225" s="17"/>
      <c r="X225" s="17"/>
      <c r="Y225" s="17"/>
      <c r="Z225" s="17"/>
    </row>
    <row r="226">
      <c r="A226" s="341"/>
      <c r="B226" s="168"/>
      <c r="C226" s="354"/>
      <c r="D226" s="353"/>
      <c r="E226" s="341"/>
      <c r="F226" s="168"/>
      <c r="G226" s="341"/>
      <c r="H226" s="168"/>
      <c r="I226" s="347"/>
      <c r="J226" s="187"/>
      <c r="K226" s="347"/>
      <c r="L226" s="187"/>
      <c r="M226" s="347"/>
      <c r="N226" s="187"/>
      <c r="O226" s="341"/>
      <c r="P226" s="168"/>
      <c r="Q226" s="363"/>
      <c r="R226" s="223"/>
      <c r="S226" s="17"/>
      <c r="T226" s="17"/>
      <c r="U226" s="17"/>
      <c r="V226" s="17"/>
      <c r="W226" s="17"/>
      <c r="X226" s="17"/>
      <c r="Y226" s="17"/>
      <c r="Z226" s="17"/>
    </row>
    <row r="227">
      <c r="A227" s="341"/>
      <c r="B227" s="168"/>
      <c r="C227" s="354"/>
      <c r="D227" s="353"/>
      <c r="E227" s="341"/>
      <c r="F227" s="168"/>
      <c r="G227" s="341"/>
      <c r="H227" s="168"/>
      <c r="I227" s="347"/>
      <c r="J227" s="187"/>
      <c r="K227" s="347"/>
      <c r="L227" s="187"/>
      <c r="M227" s="347"/>
      <c r="N227" s="187"/>
      <c r="O227" s="341"/>
      <c r="P227" s="168"/>
      <c r="Q227" s="363"/>
      <c r="R227" s="223"/>
      <c r="S227" s="17"/>
      <c r="T227" s="17"/>
      <c r="U227" s="17"/>
      <c r="V227" s="17"/>
      <c r="W227" s="17"/>
      <c r="X227" s="17"/>
      <c r="Y227" s="17"/>
      <c r="Z227" s="17"/>
    </row>
    <row r="228">
      <c r="A228" s="341"/>
      <c r="B228" s="168"/>
      <c r="C228" s="354"/>
      <c r="D228" s="353"/>
      <c r="E228" s="341"/>
      <c r="F228" s="168"/>
      <c r="G228" s="341"/>
      <c r="H228" s="168"/>
      <c r="I228" s="347"/>
      <c r="J228" s="187"/>
      <c r="K228" s="347"/>
      <c r="L228" s="187"/>
      <c r="M228" s="347"/>
      <c r="N228" s="187"/>
      <c r="O228" s="341"/>
      <c r="P228" s="168"/>
      <c r="Q228" s="363"/>
      <c r="R228" s="223"/>
      <c r="S228" s="17"/>
      <c r="T228" s="17"/>
      <c r="U228" s="17"/>
      <c r="V228" s="17"/>
      <c r="W228" s="17"/>
      <c r="X228" s="17"/>
      <c r="Y228" s="17"/>
      <c r="Z228" s="17"/>
    </row>
    <row r="229">
      <c r="A229" s="341"/>
      <c r="B229" s="168"/>
      <c r="C229" s="354"/>
      <c r="D229" s="353"/>
      <c r="E229" s="341"/>
      <c r="F229" s="168"/>
      <c r="G229" s="341"/>
      <c r="H229" s="168"/>
      <c r="I229" s="347"/>
      <c r="J229" s="187"/>
      <c r="K229" s="347"/>
      <c r="L229" s="187"/>
      <c r="M229" s="347"/>
      <c r="N229" s="187"/>
      <c r="O229" s="341"/>
      <c r="P229" s="168"/>
      <c r="Q229" s="363"/>
      <c r="R229" s="223"/>
      <c r="S229" s="17"/>
      <c r="T229" s="17"/>
      <c r="U229" s="17"/>
      <c r="V229" s="17"/>
      <c r="W229" s="17"/>
      <c r="X229" s="17"/>
      <c r="Y229" s="17"/>
      <c r="Z229" s="17"/>
    </row>
    <row r="230">
      <c r="A230" s="341"/>
      <c r="B230" s="168"/>
      <c r="C230" s="354"/>
      <c r="D230" s="353"/>
      <c r="E230" s="341"/>
      <c r="F230" s="168"/>
      <c r="G230" s="341"/>
      <c r="H230" s="168"/>
      <c r="I230" s="347"/>
      <c r="J230" s="187"/>
      <c r="K230" s="347"/>
      <c r="L230" s="187"/>
      <c r="M230" s="347"/>
      <c r="N230" s="187"/>
      <c r="O230" s="341"/>
      <c r="P230" s="168"/>
      <c r="Q230" s="363"/>
      <c r="R230" s="223"/>
      <c r="S230" s="17"/>
      <c r="T230" s="17"/>
      <c r="U230" s="17"/>
      <c r="V230" s="17"/>
      <c r="W230" s="17"/>
      <c r="X230" s="17"/>
      <c r="Y230" s="17"/>
      <c r="Z230" s="17"/>
    </row>
    <row r="231">
      <c r="A231" s="341"/>
      <c r="B231" s="168"/>
      <c r="C231" s="354"/>
      <c r="D231" s="353"/>
      <c r="E231" s="341"/>
      <c r="F231" s="168"/>
      <c r="G231" s="341"/>
      <c r="H231" s="168"/>
      <c r="I231" s="347"/>
      <c r="J231" s="187"/>
      <c r="K231" s="347"/>
      <c r="L231" s="187"/>
      <c r="M231" s="347"/>
      <c r="N231" s="187"/>
      <c r="O231" s="341"/>
      <c r="P231" s="168"/>
      <c r="Q231" s="363"/>
      <c r="R231" s="223"/>
      <c r="S231" s="17"/>
      <c r="T231" s="17"/>
      <c r="U231" s="17"/>
      <c r="V231" s="17"/>
      <c r="W231" s="17"/>
      <c r="X231" s="17"/>
      <c r="Y231" s="17"/>
      <c r="Z231" s="17"/>
    </row>
    <row r="232">
      <c r="A232" s="341"/>
      <c r="B232" s="168"/>
      <c r="C232" s="354"/>
      <c r="D232" s="353"/>
      <c r="E232" s="341"/>
      <c r="F232" s="168"/>
      <c r="G232" s="341"/>
      <c r="H232" s="168"/>
      <c r="I232" s="347"/>
      <c r="J232" s="187"/>
      <c r="K232" s="347"/>
      <c r="L232" s="187"/>
      <c r="M232" s="347"/>
      <c r="N232" s="187"/>
      <c r="O232" s="341"/>
      <c r="P232" s="168"/>
      <c r="Q232" s="363"/>
      <c r="R232" s="223"/>
      <c r="S232" s="17"/>
      <c r="T232" s="17"/>
      <c r="U232" s="17"/>
      <c r="V232" s="17"/>
      <c r="W232" s="17"/>
      <c r="X232" s="17"/>
      <c r="Y232" s="17"/>
      <c r="Z232" s="17"/>
    </row>
    <row r="233">
      <c r="A233" s="341"/>
      <c r="B233" s="168"/>
      <c r="C233" s="354"/>
      <c r="D233" s="353"/>
      <c r="E233" s="341"/>
      <c r="F233" s="168"/>
      <c r="G233" s="341"/>
      <c r="H233" s="168"/>
      <c r="I233" s="347"/>
      <c r="J233" s="187"/>
      <c r="K233" s="347"/>
      <c r="L233" s="187"/>
      <c r="M233" s="347"/>
      <c r="N233" s="187"/>
      <c r="O233" s="341"/>
      <c r="P233" s="168"/>
      <c r="Q233" s="363"/>
      <c r="R233" s="223"/>
      <c r="S233" s="17"/>
      <c r="T233" s="17"/>
      <c r="U233" s="17"/>
      <c r="V233" s="17"/>
      <c r="W233" s="17"/>
      <c r="X233" s="17"/>
      <c r="Y233" s="17"/>
      <c r="Z233" s="17"/>
    </row>
    <row r="234">
      <c r="A234" s="341"/>
      <c r="B234" s="168"/>
      <c r="C234" s="354"/>
      <c r="D234" s="353"/>
      <c r="E234" s="341"/>
      <c r="F234" s="168"/>
      <c r="G234" s="341"/>
      <c r="H234" s="168"/>
      <c r="I234" s="347"/>
      <c r="J234" s="187"/>
      <c r="K234" s="347"/>
      <c r="L234" s="187"/>
      <c r="M234" s="347"/>
      <c r="N234" s="187"/>
      <c r="O234" s="341"/>
      <c r="P234" s="168"/>
      <c r="Q234" s="363"/>
      <c r="R234" s="223"/>
      <c r="S234" s="17"/>
      <c r="T234" s="17"/>
      <c r="U234" s="17"/>
      <c r="V234" s="17"/>
      <c r="W234" s="17"/>
      <c r="X234" s="17"/>
      <c r="Y234" s="17"/>
      <c r="Z234" s="17"/>
    </row>
    <row r="235">
      <c r="A235" s="341"/>
      <c r="B235" s="168"/>
      <c r="C235" s="354"/>
      <c r="D235" s="353"/>
      <c r="E235" s="341"/>
      <c r="F235" s="168"/>
      <c r="G235" s="341"/>
      <c r="H235" s="168"/>
      <c r="I235" s="347"/>
      <c r="J235" s="187"/>
      <c r="K235" s="347"/>
      <c r="L235" s="187"/>
      <c r="M235" s="347"/>
      <c r="N235" s="187"/>
      <c r="O235" s="341"/>
      <c r="P235" s="168"/>
      <c r="Q235" s="363"/>
      <c r="R235" s="223"/>
      <c r="S235" s="17"/>
      <c r="T235" s="17"/>
      <c r="U235" s="17"/>
      <c r="V235" s="17"/>
      <c r="W235" s="17"/>
      <c r="X235" s="17"/>
      <c r="Y235" s="17"/>
      <c r="Z235" s="17"/>
    </row>
    <row r="236">
      <c r="A236" s="341"/>
      <c r="B236" s="168"/>
      <c r="C236" s="354"/>
      <c r="D236" s="353"/>
      <c r="E236" s="341"/>
      <c r="F236" s="168"/>
      <c r="G236" s="341"/>
      <c r="H236" s="168"/>
      <c r="I236" s="347"/>
      <c r="J236" s="187"/>
      <c r="K236" s="347"/>
      <c r="L236" s="187"/>
      <c r="M236" s="347"/>
      <c r="N236" s="187"/>
      <c r="O236" s="341"/>
      <c r="P236" s="168"/>
      <c r="Q236" s="363"/>
      <c r="R236" s="223"/>
      <c r="S236" s="17"/>
      <c r="T236" s="17"/>
      <c r="U236" s="17"/>
      <c r="V236" s="17"/>
      <c r="W236" s="17"/>
      <c r="X236" s="17"/>
      <c r="Y236" s="17"/>
      <c r="Z236" s="17"/>
    </row>
    <row r="237">
      <c r="A237" s="341"/>
      <c r="B237" s="168"/>
      <c r="C237" s="354"/>
      <c r="D237" s="353"/>
      <c r="E237" s="341"/>
      <c r="F237" s="168"/>
      <c r="G237" s="341"/>
      <c r="H237" s="168"/>
      <c r="I237" s="347"/>
      <c r="J237" s="187"/>
      <c r="K237" s="347"/>
      <c r="L237" s="187"/>
      <c r="M237" s="347"/>
      <c r="N237" s="187"/>
      <c r="O237" s="341"/>
      <c r="P237" s="168"/>
      <c r="Q237" s="363"/>
      <c r="R237" s="223"/>
      <c r="S237" s="17"/>
      <c r="T237" s="17"/>
      <c r="U237" s="17"/>
      <c r="V237" s="17"/>
      <c r="W237" s="17"/>
      <c r="X237" s="17"/>
      <c r="Y237" s="17"/>
      <c r="Z237" s="17"/>
    </row>
    <row r="238">
      <c r="A238" s="341"/>
      <c r="B238" s="168"/>
      <c r="C238" s="354"/>
      <c r="D238" s="353"/>
      <c r="E238" s="341"/>
      <c r="F238" s="168"/>
      <c r="G238" s="341"/>
      <c r="H238" s="168"/>
      <c r="I238" s="347"/>
      <c r="J238" s="187"/>
      <c r="K238" s="347"/>
      <c r="L238" s="187"/>
      <c r="M238" s="347"/>
      <c r="N238" s="187"/>
      <c r="O238" s="341"/>
      <c r="P238" s="168"/>
      <c r="Q238" s="363"/>
      <c r="R238" s="223"/>
      <c r="S238" s="17"/>
      <c r="T238" s="17"/>
      <c r="U238" s="17"/>
      <c r="V238" s="17"/>
      <c r="W238" s="17"/>
      <c r="X238" s="17"/>
      <c r="Y238" s="17"/>
      <c r="Z238" s="17"/>
    </row>
    <row r="239">
      <c r="A239" s="341"/>
      <c r="B239" s="168"/>
      <c r="C239" s="354"/>
      <c r="D239" s="353"/>
      <c r="E239" s="341"/>
      <c r="F239" s="168"/>
      <c r="G239" s="341"/>
      <c r="H239" s="168"/>
      <c r="I239" s="347"/>
      <c r="J239" s="187"/>
      <c r="K239" s="347"/>
      <c r="L239" s="187"/>
      <c r="M239" s="347"/>
      <c r="N239" s="187"/>
      <c r="O239" s="341"/>
      <c r="P239" s="168"/>
      <c r="Q239" s="363"/>
      <c r="R239" s="223"/>
      <c r="S239" s="17"/>
      <c r="T239" s="17"/>
      <c r="U239" s="17"/>
      <c r="V239" s="17"/>
      <c r="W239" s="17"/>
      <c r="X239" s="17"/>
      <c r="Y239" s="17"/>
      <c r="Z239" s="17"/>
    </row>
    <row r="240">
      <c r="A240" s="341"/>
      <c r="B240" s="168"/>
      <c r="C240" s="354"/>
      <c r="D240" s="353"/>
      <c r="E240" s="341"/>
      <c r="F240" s="168"/>
      <c r="G240" s="341"/>
      <c r="H240" s="168"/>
      <c r="I240" s="347"/>
      <c r="J240" s="187"/>
      <c r="K240" s="347"/>
      <c r="L240" s="187"/>
      <c r="M240" s="347"/>
      <c r="N240" s="187"/>
      <c r="O240" s="341"/>
      <c r="P240" s="168"/>
      <c r="Q240" s="363"/>
      <c r="R240" s="223"/>
      <c r="S240" s="17"/>
      <c r="T240" s="17"/>
      <c r="U240" s="17"/>
      <c r="V240" s="17"/>
      <c r="W240" s="17"/>
      <c r="X240" s="17"/>
      <c r="Y240" s="17"/>
      <c r="Z240" s="17"/>
    </row>
    <row r="241">
      <c r="A241" s="341"/>
      <c r="B241" s="168"/>
      <c r="C241" s="354"/>
      <c r="D241" s="353"/>
      <c r="E241" s="341"/>
      <c r="F241" s="168"/>
      <c r="G241" s="341"/>
      <c r="H241" s="168"/>
      <c r="I241" s="347"/>
      <c r="J241" s="187"/>
      <c r="K241" s="347"/>
      <c r="L241" s="187"/>
      <c r="M241" s="347"/>
      <c r="N241" s="187"/>
      <c r="O241" s="341"/>
      <c r="P241" s="168"/>
      <c r="Q241" s="363"/>
      <c r="R241" s="223"/>
      <c r="S241" s="17"/>
      <c r="T241" s="17"/>
      <c r="U241" s="17"/>
      <c r="V241" s="17"/>
      <c r="W241" s="17"/>
      <c r="X241" s="17"/>
      <c r="Y241" s="17"/>
      <c r="Z241" s="17"/>
    </row>
    <row r="242">
      <c r="A242" s="341"/>
      <c r="B242" s="168"/>
      <c r="C242" s="354"/>
      <c r="D242" s="353"/>
      <c r="E242" s="341"/>
      <c r="F242" s="168"/>
      <c r="G242" s="341"/>
      <c r="H242" s="168"/>
      <c r="I242" s="347"/>
      <c r="J242" s="187"/>
      <c r="K242" s="347"/>
      <c r="L242" s="187"/>
      <c r="M242" s="347"/>
      <c r="N242" s="187"/>
      <c r="O242" s="341"/>
      <c r="P242" s="168"/>
      <c r="Q242" s="363"/>
      <c r="R242" s="223"/>
      <c r="S242" s="17"/>
      <c r="T242" s="17"/>
      <c r="U242" s="17"/>
      <c r="V242" s="17"/>
      <c r="W242" s="17"/>
      <c r="X242" s="17"/>
      <c r="Y242" s="17"/>
      <c r="Z242" s="17"/>
    </row>
    <row r="243">
      <c r="A243" s="341"/>
      <c r="B243" s="168"/>
      <c r="C243" s="354"/>
      <c r="D243" s="353"/>
      <c r="E243" s="341"/>
      <c r="F243" s="168"/>
      <c r="G243" s="341"/>
      <c r="H243" s="168"/>
      <c r="I243" s="347"/>
      <c r="J243" s="187"/>
      <c r="K243" s="347"/>
      <c r="L243" s="187"/>
      <c r="M243" s="347"/>
      <c r="N243" s="187"/>
      <c r="O243" s="341"/>
      <c r="P243" s="168"/>
      <c r="Q243" s="363"/>
      <c r="R243" s="223"/>
      <c r="S243" s="17"/>
      <c r="T243" s="17"/>
      <c r="U243" s="17"/>
      <c r="V243" s="17"/>
      <c r="W243" s="17"/>
      <c r="X243" s="17"/>
      <c r="Y243" s="17"/>
      <c r="Z243" s="17"/>
    </row>
    <row r="244">
      <c r="A244" s="341"/>
      <c r="B244" s="168"/>
      <c r="C244" s="354"/>
      <c r="D244" s="353"/>
      <c r="E244" s="341"/>
      <c r="F244" s="168"/>
      <c r="G244" s="341"/>
      <c r="H244" s="168"/>
      <c r="I244" s="347"/>
      <c r="J244" s="187"/>
      <c r="K244" s="347"/>
      <c r="L244" s="187"/>
      <c r="M244" s="347"/>
      <c r="N244" s="187"/>
      <c r="O244" s="341"/>
      <c r="P244" s="168"/>
      <c r="Q244" s="363"/>
      <c r="R244" s="223"/>
      <c r="S244" s="17"/>
      <c r="T244" s="17"/>
      <c r="U244" s="17"/>
      <c r="V244" s="17"/>
      <c r="W244" s="17"/>
      <c r="X244" s="17"/>
      <c r="Y244" s="17"/>
      <c r="Z244" s="17"/>
    </row>
    <row r="245">
      <c r="A245" s="341"/>
      <c r="B245" s="168"/>
      <c r="C245" s="354"/>
      <c r="D245" s="353"/>
      <c r="E245" s="341"/>
      <c r="F245" s="168"/>
      <c r="G245" s="341"/>
      <c r="H245" s="168"/>
      <c r="I245" s="347"/>
      <c r="J245" s="187"/>
      <c r="K245" s="347"/>
      <c r="L245" s="187"/>
      <c r="M245" s="347"/>
      <c r="N245" s="187"/>
      <c r="O245" s="341"/>
      <c r="P245" s="168"/>
      <c r="Q245" s="363"/>
      <c r="R245" s="223"/>
      <c r="S245" s="17"/>
      <c r="T245" s="17"/>
      <c r="U245" s="17"/>
      <c r="V245" s="17"/>
      <c r="W245" s="17"/>
      <c r="X245" s="17"/>
      <c r="Y245" s="17"/>
      <c r="Z245" s="17"/>
    </row>
    <row r="246">
      <c r="A246" s="341"/>
      <c r="B246" s="168"/>
      <c r="C246" s="354"/>
      <c r="D246" s="353"/>
      <c r="E246" s="341"/>
      <c r="F246" s="168"/>
      <c r="G246" s="341"/>
      <c r="H246" s="168"/>
      <c r="I246" s="347"/>
      <c r="J246" s="187"/>
      <c r="K246" s="347"/>
      <c r="L246" s="187"/>
      <c r="M246" s="347"/>
      <c r="N246" s="187"/>
      <c r="O246" s="341"/>
      <c r="P246" s="168"/>
      <c r="Q246" s="363"/>
      <c r="R246" s="223"/>
      <c r="S246" s="17"/>
      <c r="T246" s="17"/>
      <c r="U246" s="17"/>
      <c r="V246" s="17"/>
      <c r="W246" s="17"/>
      <c r="X246" s="17"/>
      <c r="Y246" s="17"/>
      <c r="Z246" s="17"/>
    </row>
    <row r="247">
      <c r="A247" s="341"/>
      <c r="B247" s="168"/>
      <c r="C247" s="354"/>
      <c r="D247" s="353"/>
      <c r="E247" s="341"/>
      <c r="F247" s="168"/>
      <c r="G247" s="341"/>
      <c r="H247" s="168"/>
      <c r="I247" s="347"/>
      <c r="J247" s="187"/>
      <c r="K247" s="347"/>
      <c r="L247" s="187"/>
      <c r="M247" s="347"/>
      <c r="N247" s="187"/>
      <c r="O247" s="341"/>
      <c r="P247" s="168"/>
      <c r="Q247" s="363"/>
      <c r="R247" s="223"/>
      <c r="S247" s="17"/>
      <c r="T247" s="17"/>
      <c r="U247" s="17"/>
      <c r="V247" s="17"/>
      <c r="W247" s="17"/>
      <c r="X247" s="17"/>
      <c r="Y247" s="17"/>
      <c r="Z247" s="17"/>
    </row>
    <row r="248">
      <c r="A248" s="341"/>
      <c r="B248" s="168"/>
      <c r="C248" s="354"/>
      <c r="D248" s="353"/>
      <c r="E248" s="341"/>
      <c r="F248" s="168"/>
      <c r="G248" s="341"/>
      <c r="H248" s="168"/>
      <c r="I248" s="347"/>
      <c r="J248" s="187"/>
      <c r="K248" s="347"/>
      <c r="L248" s="187"/>
      <c r="M248" s="347"/>
      <c r="N248" s="187"/>
      <c r="O248" s="341"/>
      <c r="P248" s="168"/>
      <c r="Q248" s="363"/>
      <c r="R248" s="223"/>
      <c r="S248" s="17"/>
      <c r="T248" s="17"/>
      <c r="U248" s="17"/>
      <c r="V248" s="17"/>
      <c r="W248" s="17"/>
      <c r="X248" s="17"/>
      <c r="Y248" s="17"/>
      <c r="Z248" s="17"/>
    </row>
    <row r="249">
      <c r="A249" s="341"/>
      <c r="B249" s="168"/>
      <c r="C249" s="354"/>
      <c r="D249" s="353"/>
      <c r="E249" s="341"/>
      <c r="F249" s="168"/>
      <c r="G249" s="341"/>
      <c r="H249" s="168"/>
      <c r="I249" s="347"/>
      <c r="J249" s="187"/>
      <c r="K249" s="347"/>
      <c r="L249" s="187"/>
      <c r="M249" s="347"/>
      <c r="N249" s="187"/>
      <c r="O249" s="341"/>
      <c r="P249" s="168"/>
      <c r="Q249" s="363"/>
      <c r="R249" s="223"/>
      <c r="S249" s="17"/>
      <c r="T249" s="17"/>
      <c r="U249" s="17"/>
      <c r="V249" s="17"/>
      <c r="W249" s="17"/>
      <c r="X249" s="17"/>
      <c r="Y249" s="17"/>
      <c r="Z249" s="17"/>
    </row>
    <row r="250">
      <c r="A250" s="341"/>
      <c r="B250" s="168"/>
      <c r="C250" s="354"/>
      <c r="D250" s="353"/>
      <c r="E250" s="341"/>
      <c r="F250" s="168"/>
      <c r="G250" s="341"/>
      <c r="H250" s="168"/>
      <c r="I250" s="347"/>
      <c r="J250" s="187"/>
      <c r="K250" s="347"/>
      <c r="L250" s="187"/>
      <c r="M250" s="347"/>
      <c r="N250" s="187"/>
      <c r="O250" s="341"/>
      <c r="P250" s="168"/>
      <c r="Q250" s="363"/>
      <c r="R250" s="223"/>
      <c r="S250" s="17"/>
      <c r="T250" s="17"/>
      <c r="U250" s="17"/>
      <c r="V250" s="17"/>
      <c r="W250" s="17"/>
      <c r="X250" s="17"/>
      <c r="Y250" s="17"/>
      <c r="Z250" s="17"/>
    </row>
    <row r="251">
      <c r="A251" s="341"/>
      <c r="B251" s="168"/>
      <c r="C251" s="354"/>
      <c r="D251" s="353"/>
      <c r="E251" s="341"/>
      <c r="F251" s="168"/>
      <c r="G251" s="341"/>
      <c r="H251" s="168"/>
      <c r="I251" s="347"/>
      <c r="J251" s="187"/>
      <c r="K251" s="347"/>
      <c r="L251" s="187"/>
      <c r="M251" s="347"/>
      <c r="N251" s="187"/>
      <c r="O251" s="341"/>
      <c r="P251" s="168"/>
      <c r="Q251" s="363"/>
      <c r="R251" s="223"/>
      <c r="S251" s="17"/>
      <c r="T251" s="17"/>
      <c r="U251" s="17"/>
      <c r="V251" s="17"/>
      <c r="W251" s="17"/>
      <c r="X251" s="17"/>
      <c r="Y251" s="17"/>
      <c r="Z251" s="17"/>
    </row>
    <row r="252">
      <c r="A252" s="341"/>
      <c r="B252" s="168"/>
      <c r="C252" s="354"/>
      <c r="D252" s="353"/>
      <c r="E252" s="341"/>
      <c r="F252" s="168"/>
      <c r="G252" s="341"/>
      <c r="H252" s="168"/>
      <c r="I252" s="347"/>
      <c r="J252" s="187"/>
      <c r="K252" s="347"/>
      <c r="L252" s="187"/>
      <c r="M252" s="347"/>
      <c r="N252" s="187"/>
      <c r="O252" s="341"/>
      <c r="P252" s="168"/>
      <c r="Q252" s="363"/>
      <c r="R252" s="223"/>
      <c r="S252" s="17"/>
      <c r="T252" s="17"/>
      <c r="U252" s="17"/>
      <c r="V252" s="17"/>
      <c r="W252" s="17"/>
      <c r="X252" s="17"/>
      <c r="Y252" s="17"/>
      <c r="Z252" s="17"/>
    </row>
    <row r="253">
      <c r="A253" s="341"/>
      <c r="B253" s="168"/>
      <c r="C253" s="354"/>
      <c r="D253" s="353"/>
      <c r="E253" s="341"/>
      <c r="F253" s="168"/>
      <c r="G253" s="341"/>
      <c r="H253" s="168"/>
      <c r="I253" s="347"/>
      <c r="J253" s="187"/>
      <c r="K253" s="347"/>
      <c r="L253" s="187"/>
      <c r="M253" s="347"/>
      <c r="N253" s="187"/>
      <c r="O253" s="341"/>
      <c r="P253" s="168"/>
      <c r="Q253" s="363"/>
      <c r="R253" s="223"/>
      <c r="S253" s="17"/>
      <c r="T253" s="17"/>
      <c r="U253" s="17"/>
      <c r="V253" s="17"/>
      <c r="W253" s="17"/>
      <c r="X253" s="17"/>
      <c r="Y253" s="17"/>
      <c r="Z253" s="17"/>
    </row>
    <row r="254">
      <c r="A254" s="341"/>
      <c r="B254" s="168"/>
      <c r="C254" s="354"/>
      <c r="D254" s="353"/>
      <c r="E254" s="341"/>
      <c r="F254" s="168"/>
      <c r="G254" s="341"/>
      <c r="H254" s="168"/>
      <c r="I254" s="347"/>
      <c r="J254" s="187"/>
      <c r="K254" s="347"/>
      <c r="L254" s="187"/>
      <c r="M254" s="347"/>
      <c r="N254" s="187"/>
      <c r="O254" s="341"/>
      <c r="P254" s="168"/>
      <c r="Q254" s="363"/>
      <c r="R254" s="223"/>
      <c r="S254" s="17"/>
      <c r="T254" s="17"/>
      <c r="U254" s="17"/>
      <c r="V254" s="17"/>
      <c r="W254" s="17"/>
      <c r="X254" s="17"/>
      <c r="Y254" s="17"/>
      <c r="Z254" s="17"/>
    </row>
    <row r="255">
      <c r="A255" s="341"/>
      <c r="B255" s="168"/>
      <c r="C255" s="354"/>
      <c r="D255" s="353"/>
      <c r="E255" s="341"/>
      <c r="F255" s="168"/>
      <c r="G255" s="341"/>
      <c r="H255" s="168"/>
      <c r="I255" s="347"/>
      <c r="J255" s="187"/>
      <c r="K255" s="347"/>
      <c r="L255" s="187"/>
      <c r="M255" s="347"/>
      <c r="N255" s="187"/>
      <c r="O255" s="341"/>
      <c r="P255" s="168"/>
      <c r="Q255" s="363"/>
      <c r="R255" s="223"/>
      <c r="S255" s="17"/>
      <c r="T255" s="17"/>
      <c r="U255" s="17"/>
      <c r="V255" s="17"/>
      <c r="W255" s="17"/>
      <c r="X255" s="17"/>
      <c r="Y255" s="17"/>
      <c r="Z255" s="17"/>
    </row>
    <row r="256">
      <c r="A256" s="341"/>
      <c r="B256" s="168"/>
      <c r="C256" s="354"/>
      <c r="D256" s="353"/>
      <c r="E256" s="341"/>
      <c r="F256" s="168"/>
      <c r="G256" s="341"/>
      <c r="H256" s="168"/>
      <c r="I256" s="347"/>
      <c r="J256" s="187"/>
      <c r="K256" s="347"/>
      <c r="L256" s="187"/>
      <c r="M256" s="347"/>
      <c r="N256" s="187"/>
      <c r="O256" s="341"/>
      <c r="P256" s="168"/>
      <c r="Q256" s="363"/>
      <c r="R256" s="223"/>
      <c r="S256" s="17"/>
      <c r="T256" s="17"/>
      <c r="U256" s="17"/>
      <c r="V256" s="17"/>
      <c r="W256" s="17"/>
      <c r="X256" s="17"/>
      <c r="Y256" s="17"/>
      <c r="Z256" s="17"/>
    </row>
    <row r="257">
      <c r="A257" s="341"/>
      <c r="B257" s="168"/>
      <c r="C257" s="354"/>
      <c r="D257" s="353"/>
      <c r="E257" s="341"/>
      <c r="F257" s="168"/>
      <c r="G257" s="341"/>
      <c r="H257" s="168"/>
      <c r="I257" s="347"/>
      <c r="J257" s="187"/>
      <c r="K257" s="347"/>
      <c r="L257" s="187"/>
      <c r="M257" s="347"/>
      <c r="N257" s="187"/>
      <c r="O257" s="341"/>
      <c r="P257" s="168"/>
      <c r="Q257" s="363"/>
      <c r="R257" s="223"/>
      <c r="S257" s="17"/>
      <c r="T257" s="17"/>
      <c r="U257" s="17"/>
      <c r="V257" s="17"/>
      <c r="W257" s="17"/>
      <c r="X257" s="17"/>
      <c r="Y257" s="17"/>
      <c r="Z257" s="17"/>
    </row>
    <row r="258">
      <c r="A258" s="341"/>
      <c r="B258" s="168"/>
      <c r="C258" s="354"/>
      <c r="D258" s="353"/>
      <c r="E258" s="341"/>
      <c r="F258" s="168"/>
      <c r="G258" s="341"/>
      <c r="H258" s="168"/>
      <c r="I258" s="347"/>
      <c r="J258" s="187"/>
      <c r="K258" s="347"/>
      <c r="L258" s="187"/>
      <c r="M258" s="347"/>
      <c r="N258" s="187"/>
      <c r="O258" s="341"/>
      <c r="P258" s="168"/>
      <c r="Q258" s="363"/>
      <c r="R258" s="223"/>
      <c r="S258" s="17"/>
      <c r="T258" s="17"/>
      <c r="U258" s="17"/>
      <c r="V258" s="17"/>
      <c r="W258" s="17"/>
      <c r="X258" s="17"/>
      <c r="Y258" s="17"/>
      <c r="Z258" s="17"/>
    </row>
    <row r="259">
      <c r="A259" s="341"/>
      <c r="B259" s="168"/>
      <c r="C259" s="354"/>
      <c r="D259" s="353"/>
      <c r="E259" s="341"/>
      <c r="F259" s="168"/>
      <c r="G259" s="341"/>
      <c r="H259" s="168"/>
      <c r="I259" s="347"/>
      <c r="J259" s="187"/>
      <c r="K259" s="347"/>
      <c r="L259" s="187"/>
      <c r="M259" s="347"/>
      <c r="N259" s="187"/>
      <c r="O259" s="341"/>
      <c r="P259" s="168"/>
      <c r="Q259" s="363"/>
      <c r="R259" s="223"/>
      <c r="S259" s="17"/>
      <c r="T259" s="17"/>
      <c r="U259" s="17"/>
      <c r="V259" s="17"/>
      <c r="W259" s="17"/>
      <c r="X259" s="17"/>
      <c r="Y259" s="17"/>
      <c r="Z259" s="17"/>
    </row>
    <row r="260">
      <c r="A260" s="341"/>
      <c r="B260" s="168"/>
      <c r="C260" s="354"/>
      <c r="D260" s="353"/>
      <c r="E260" s="341"/>
      <c r="F260" s="168"/>
      <c r="G260" s="341"/>
      <c r="H260" s="168"/>
      <c r="I260" s="347"/>
      <c r="J260" s="187"/>
      <c r="K260" s="347"/>
      <c r="L260" s="187"/>
      <c r="M260" s="347"/>
      <c r="N260" s="187"/>
      <c r="O260" s="341"/>
      <c r="P260" s="168"/>
      <c r="Q260" s="363"/>
      <c r="R260" s="223"/>
      <c r="S260" s="17"/>
      <c r="T260" s="17"/>
      <c r="U260" s="17"/>
      <c r="V260" s="17"/>
      <c r="W260" s="17"/>
      <c r="X260" s="17"/>
      <c r="Y260" s="17"/>
      <c r="Z260" s="17"/>
    </row>
    <row r="261">
      <c r="A261" s="341"/>
      <c r="B261" s="168"/>
      <c r="C261" s="354"/>
      <c r="D261" s="353"/>
      <c r="E261" s="341"/>
      <c r="F261" s="168"/>
      <c r="G261" s="341"/>
      <c r="H261" s="168"/>
      <c r="I261" s="347"/>
      <c r="J261" s="187"/>
      <c r="K261" s="347"/>
      <c r="L261" s="187"/>
      <c r="M261" s="347"/>
      <c r="N261" s="187"/>
      <c r="O261" s="341"/>
      <c r="P261" s="168"/>
      <c r="Q261" s="363"/>
      <c r="R261" s="223"/>
      <c r="S261" s="17"/>
      <c r="T261" s="17"/>
      <c r="U261" s="17"/>
      <c r="V261" s="17"/>
      <c r="W261" s="17"/>
      <c r="X261" s="17"/>
      <c r="Y261" s="17"/>
      <c r="Z261" s="17"/>
    </row>
    <row r="262">
      <c r="A262" s="341"/>
      <c r="B262" s="168"/>
      <c r="C262" s="354"/>
      <c r="D262" s="353"/>
      <c r="E262" s="341"/>
      <c r="F262" s="168"/>
      <c r="G262" s="341"/>
      <c r="H262" s="168"/>
      <c r="I262" s="347"/>
      <c r="J262" s="187"/>
      <c r="K262" s="347"/>
      <c r="L262" s="187"/>
      <c r="M262" s="347"/>
      <c r="N262" s="187"/>
      <c r="O262" s="341"/>
      <c r="P262" s="168"/>
      <c r="Q262" s="363"/>
      <c r="R262" s="223"/>
      <c r="S262" s="17"/>
      <c r="T262" s="17"/>
      <c r="U262" s="17"/>
      <c r="V262" s="17"/>
      <c r="W262" s="17"/>
      <c r="X262" s="17"/>
      <c r="Y262" s="17"/>
      <c r="Z262" s="17"/>
    </row>
    <row r="263">
      <c r="A263" s="341"/>
      <c r="B263" s="168"/>
      <c r="C263" s="354"/>
      <c r="D263" s="353"/>
      <c r="E263" s="341"/>
      <c r="F263" s="168"/>
      <c r="G263" s="341"/>
      <c r="H263" s="168"/>
      <c r="I263" s="347"/>
      <c r="J263" s="187"/>
      <c r="K263" s="347"/>
      <c r="L263" s="187"/>
      <c r="M263" s="347"/>
      <c r="N263" s="187"/>
      <c r="O263" s="341"/>
      <c r="P263" s="168"/>
      <c r="Q263" s="363"/>
      <c r="R263" s="223"/>
      <c r="S263" s="17"/>
      <c r="T263" s="17"/>
      <c r="U263" s="17"/>
      <c r="V263" s="17"/>
      <c r="W263" s="17"/>
      <c r="X263" s="17"/>
      <c r="Y263" s="17"/>
      <c r="Z263" s="17"/>
    </row>
    <row r="264">
      <c r="A264" s="341"/>
      <c r="B264" s="168"/>
      <c r="C264" s="354"/>
      <c r="D264" s="353"/>
      <c r="E264" s="341"/>
      <c r="F264" s="168"/>
      <c r="G264" s="341"/>
      <c r="H264" s="168"/>
      <c r="I264" s="347"/>
      <c r="J264" s="187"/>
      <c r="K264" s="347"/>
      <c r="L264" s="187"/>
      <c r="M264" s="347"/>
      <c r="N264" s="187"/>
      <c r="O264" s="341"/>
      <c r="P264" s="168"/>
      <c r="Q264" s="363"/>
      <c r="R264" s="223"/>
      <c r="S264" s="17"/>
      <c r="T264" s="17"/>
      <c r="U264" s="17"/>
      <c r="V264" s="17"/>
      <c r="W264" s="17"/>
      <c r="X264" s="17"/>
      <c r="Y264" s="17"/>
      <c r="Z264" s="17"/>
    </row>
    <row r="265">
      <c r="A265" s="341"/>
      <c r="B265" s="168"/>
      <c r="C265" s="354"/>
      <c r="D265" s="353"/>
      <c r="E265" s="341"/>
      <c r="F265" s="168"/>
      <c r="G265" s="341"/>
      <c r="H265" s="168"/>
      <c r="I265" s="347"/>
      <c r="J265" s="187"/>
      <c r="K265" s="347"/>
      <c r="L265" s="187"/>
      <c r="M265" s="347"/>
      <c r="N265" s="187"/>
      <c r="O265" s="341"/>
      <c r="P265" s="168"/>
      <c r="Q265" s="363"/>
      <c r="R265" s="223"/>
      <c r="S265" s="17"/>
      <c r="T265" s="17"/>
      <c r="U265" s="17"/>
      <c r="V265" s="17"/>
      <c r="W265" s="17"/>
      <c r="X265" s="17"/>
      <c r="Y265" s="17"/>
      <c r="Z265" s="17"/>
    </row>
    <row r="266">
      <c r="A266" s="341"/>
      <c r="B266" s="168"/>
      <c r="C266" s="354"/>
      <c r="D266" s="353"/>
      <c r="E266" s="341"/>
      <c r="F266" s="168"/>
      <c r="G266" s="341"/>
      <c r="H266" s="168"/>
      <c r="I266" s="347"/>
      <c r="J266" s="187"/>
      <c r="K266" s="347"/>
      <c r="L266" s="187"/>
      <c r="M266" s="347"/>
      <c r="N266" s="187"/>
      <c r="O266" s="341"/>
      <c r="P266" s="168"/>
      <c r="Q266" s="363"/>
      <c r="R266" s="223"/>
      <c r="S266" s="17"/>
      <c r="T266" s="17"/>
      <c r="U266" s="17"/>
      <c r="V266" s="17"/>
      <c r="W266" s="17"/>
      <c r="X266" s="17"/>
      <c r="Y266" s="17"/>
      <c r="Z266" s="17"/>
    </row>
    <row r="267">
      <c r="A267" s="341"/>
      <c r="B267" s="168"/>
      <c r="C267" s="354"/>
      <c r="D267" s="353"/>
      <c r="E267" s="341"/>
      <c r="F267" s="168"/>
      <c r="G267" s="341"/>
      <c r="H267" s="168"/>
      <c r="I267" s="347"/>
      <c r="J267" s="187"/>
      <c r="K267" s="347"/>
      <c r="L267" s="187"/>
      <c r="M267" s="347"/>
      <c r="N267" s="187"/>
      <c r="O267" s="341"/>
      <c r="P267" s="168"/>
      <c r="Q267" s="363"/>
      <c r="R267" s="223"/>
      <c r="S267" s="17"/>
      <c r="T267" s="17"/>
      <c r="U267" s="17"/>
      <c r="V267" s="17"/>
      <c r="W267" s="17"/>
      <c r="X267" s="17"/>
      <c r="Y267" s="17"/>
      <c r="Z267" s="17"/>
    </row>
    <row r="268">
      <c r="A268" s="341"/>
      <c r="B268" s="168"/>
      <c r="C268" s="354"/>
      <c r="D268" s="353"/>
      <c r="E268" s="341"/>
      <c r="F268" s="168"/>
      <c r="G268" s="341"/>
      <c r="H268" s="168"/>
      <c r="I268" s="347"/>
      <c r="J268" s="187"/>
      <c r="K268" s="347"/>
      <c r="L268" s="187"/>
      <c r="M268" s="347"/>
      <c r="N268" s="187"/>
      <c r="O268" s="341"/>
      <c r="P268" s="168"/>
      <c r="Q268" s="363"/>
      <c r="R268" s="223"/>
      <c r="S268" s="17"/>
      <c r="T268" s="17"/>
      <c r="U268" s="17"/>
      <c r="V268" s="17"/>
      <c r="W268" s="17"/>
      <c r="X268" s="17"/>
      <c r="Y268" s="17"/>
      <c r="Z268" s="17"/>
    </row>
    <row r="269">
      <c r="A269" s="341"/>
      <c r="B269" s="168"/>
      <c r="C269" s="354"/>
      <c r="D269" s="353"/>
      <c r="E269" s="341"/>
      <c r="F269" s="168"/>
      <c r="G269" s="341"/>
      <c r="H269" s="168"/>
      <c r="I269" s="347"/>
      <c r="J269" s="187"/>
      <c r="K269" s="347"/>
      <c r="L269" s="187"/>
      <c r="M269" s="347"/>
      <c r="N269" s="187"/>
      <c r="O269" s="341"/>
      <c r="P269" s="168"/>
      <c r="Q269" s="363"/>
      <c r="R269" s="223"/>
      <c r="S269" s="17"/>
      <c r="T269" s="17"/>
      <c r="U269" s="17"/>
      <c r="V269" s="17"/>
      <c r="W269" s="17"/>
      <c r="X269" s="17"/>
      <c r="Y269" s="17"/>
      <c r="Z269" s="17"/>
    </row>
    <row r="270">
      <c r="A270" s="341"/>
      <c r="B270" s="168"/>
      <c r="C270" s="354"/>
      <c r="D270" s="353"/>
      <c r="E270" s="341"/>
      <c r="F270" s="168"/>
      <c r="G270" s="341"/>
      <c r="H270" s="168"/>
      <c r="I270" s="347"/>
      <c r="J270" s="187"/>
      <c r="K270" s="347"/>
      <c r="L270" s="187"/>
      <c r="M270" s="347"/>
      <c r="N270" s="187"/>
      <c r="O270" s="341"/>
      <c r="P270" s="168"/>
      <c r="Q270" s="363"/>
      <c r="R270" s="223"/>
      <c r="S270" s="17"/>
      <c r="T270" s="17"/>
      <c r="U270" s="17"/>
      <c r="V270" s="17"/>
      <c r="W270" s="17"/>
      <c r="X270" s="17"/>
      <c r="Y270" s="17"/>
      <c r="Z270" s="17"/>
    </row>
    <row r="271">
      <c r="A271" s="341"/>
      <c r="B271" s="168"/>
      <c r="C271" s="354"/>
      <c r="D271" s="353"/>
      <c r="E271" s="341"/>
      <c r="F271" s="168"/>
      <c r="G271" s="341"/>
      <c r="H271" s="168"/>
      <c r="I271" s="347"/>
      <c r="J271" s="187"/>
      <c r="K271" s="347"/>
      <c r="L271" s="187"/>
      <c r="M271" s="347"/>
      <c r="N271" s="187"/>
      <c r="O271" s="341"/>
      <c r="P271" s="168"/>
      <c r="Q271" s="363"/>
      <c r="R271" s="223"/>
      <c r="S271" s="17"/>
      <c r="T271" s="17"/>
      <c r="U271" s="17"/>
      <c r="V271" s="17"/>
      <c r="W271" s="17"/>
      <c r="X271" s="17"/>
      <c r="Y271" s="17"/>
      <c r="Z271" s="17"/>
    </row>
    <row r="272">
      <c r="A272" s="341"/>
      <c r="B272" s="168"/>
      <c r="C272" s="354"/>
      <c r="D272" s="353"/>
      <c r="E272" s="341"/>
      <c r="F272" s="168"/>
      <c r="G272" s="341"/>
      <c r="H272" s="168"/>
      <c r="I272" s="347"/>
      <c r="J272" s="187"/>
      <c r="K272" s="347"/>
      <c r="L272" s="187"/>
      <c r="M272" s="347"/>
      <c r="N272" s="187"/>
      <c r="O272" s="341"/>
      <c r="P272" s="168"/>
      <c r="Q272" s="363"/>
      <c r="R272" s="223"/>
      <c r="S272" s="17"/>
      <c r="T272" s="17"/>
      <c r="U272" s="17"/>
      <c r="V272" s="17"/>
      <c r="W272" s="17"/>
      <c r="X272" s="17"/>
      <c r="Y272" s="17"/>
      <c r="Z272" s="17"/>
    </row>
    <row r="273">
      <c r="A273" s="341"/>
      <c r="B273" s="168"/>
      <c r="C273" s="354"/>
      <c r="D273" s="353"/>
      <c r="E273" s="341"/>
      <c r="F273" s="168"/>
      <c r="G273" s="341"/>
      <c r="H273" s="168"/>
      <c r="I273" s="347"/>
      <c r="J273" s="187"/>
      <c r="K273" s="347"/>
      <c r="L273" s="187"/>
      <c r="M273" s="347"/>
      <c r="N273" s="187"/>
      <c r="O273" s="341"/>
      <c r="P273" s="168"/>
      <c r="Q273" s="363"/>
      <c r="R273" s="223"/>
      <c r="S273" s="17"/>
      <c r="T273" s="17"/>
      <c r="U273" s="17"/>
      <c r="V273" s="17"/>
      <c r="W273" s="17"/>
      <c r="X273" s="17"/>
      <c r="Y273" s="17"/>
      <c r="Z273" s="17"/>
    </row>
    <row r="274">
      <c r="A274" s="341"/>
      <c r="B274" s="168"/>
      <c r="C274" s="354"/>
      <c r="D274" s="353"/>
      <c r="E274" s="341"/>
      <c r="F274" s="168"/>
      <c r="G274" s="341"/>
      <c r="H274" s="168"/>
      <c r="I274" s="347"/>
      <c r="J274" s="187"/>
      <c r="K274" s="347"/>
      <c r="L274" s="187"/>
      <c r="M274" s="347"/>
      <c r="N274" s="187"/>
      <c r="O274" s="341"/>
      <c r="P274" s="168"/>
      <c r="Q274" s="363"/>
      <c r="R274" s="223"/>
      <c r="S274" s="17"/>
      <c r="T274" s="17"/>
      <c r="U274" s="17"/>
      <c r="V274" s="17"/>
      <c r="W274" s="17"/>
      <c r="X274" s="17"/>
      <c r="Y274" s="17"/>
      <c r="Z274" s="17"/>
    </row>
    <row r="275">
      <c r="A275" s="341"/>
      <c r="B275" s="168"/>
      <c r="C275" s="354"/>
      <c r="D275" s="353"/>
      <c r="E275" s="341"/>
      <c r="F275" s="168"/>
      <c r="G275" s="341"/>
      <c r="H275" s="168"/>
      <c r="I275" s="347"/>
      <c r="J275" s="187"/>
      <c r="K275" s="347"/>
      <c r="L275" s="187"/>
      <c r="M275" s="347"/>
      <c r="N275" s="187"/>
      <c r="O275" s="341"/>
      <c r="P275" s="168"/>
      <c r="Q275" s="363"/>
      <c r="R275" s="223"/>
      <c r="S275" s="17"/>
      <c r="T275" s="17"/>
      <c r="U275" s="17"/>
      <c r="V275" s="17"/>
      <c r="W275" s="17"/>
      <c r="X275" s="17"/>
      <c r="Y275" s="17"/>
      <c r="Z275" s="17"/>
    </row>
    <row r="276">
      <c r="A276" s="341"/>
      <c r="B276" s="168"/>
      <c r="C276" s="354"/>
      <c r="D276" s="353"/>
      <c r="E276" s="341"/>
      <c r="F276" s="168"/>
      <c r="G276" s="341"/>
      <c r="H276" s="168"/>
      <c r="I276" s="347"/>
      <c r="J276" s="187"/>
      <c r="K276" s="347"/>
      <c r="L276" s="187"/>
      <c r="M276" s="347"/>
      <c r="N276" s="187"/>
      <c r="O276" s="341"/>
      <c r="P276" s="168"/>
      <c r="Q276" s="363"/>
      <c r="R276" s="223"/>
      <c r="S276" s="17"/>
      <c r="T276" s="17"/>
      <c r="U276" s="17"/>
      <c r="V276" s="17"/>
      <c r="W276" s="17"/>
      <c r="X276" s="17"/>
      <c r="Y276" s="17"/>
      <c r="Z276" s="17"/>
    </row>
    <row r="277">
      <c r="A277" s="341"/>
      <c r="B277" s="168"/>
      <c r="C277" s="354"/>
      <c r="D277" s="353"/>
      <c r="E277" s="341"/>
      <c r="F277" s="168"/>
      <c r="G277" s="341"/>
      <c r="H277" s="168"/>
      <c r="I277" s="347"/>
      <c r="J277" s="187"/>
      <c r="K277" s="347"/>
      <c r="L277" s="187"/>
      <c r="M277" s="347"/>
      <c r="N277" s="187"/>
      <c r="O277" s="341"/>
      <c r="P277" s="168"/>
      <c r="Q277" s="363"/>
      <c r="R277" s="223"/>
      <c r="S277" s="17"/>
      <c r="T277" s="17"/>
      <c r="U277" s="17"/>
      <c r="V277" s="17"/>
      <c r="W277" s="17"/>
      <c r="X277" s="17"/>
      <c r="Y277" s="17"/>
      <c r="Z277" s="17"/>
    </row>
    <row r="278">
      <c r="A278" s="341"/>
      <c r="B278" s="168"/>
      <c r="C278" s="354"/>
      <c r="D278" s="353"/>
      <c r="E278" s="341"/>
      <c r="F278" s="168"/>
      <c r="G278" s="341"/>
      <c r="H278" s="168"/>
      <c r="I278" s="347"/>
      <c r="J278" s="187"/>
      <c r="K278" s="347"/>
      <c r="L278" s="187"/>
      <c r="M278" s="347"/>
      <c r="N278" s="187"/>
      <c r="O278" s="341"/>
      <c r="P278" s="168"/>
      <c r="Q278" s="363"/>
      <c r="R278" s="223"/>
      <c r="S278" s="17"/>
      <c r="T278" s="17"/>
      <c r="U278" s="17"/>
      <c r="V278" s="17"/>
      <c r="W278" s="17"/>
      <c r="X278" s="17"/>
      <c r="Y278" s="17"/>
      <c r="Z278" s="17"/>
    </row>
    <row r="279">
      <c r="A279" s="341"/>
      <c r="B279" s="168"/>
      <c r="C279" s="354"/>
      <c r="D279" s="353"/>
      <c r="E279" s="341"/>
      <c r="F279" s="168"/>
      <c r="G279" s="341"/>
      <c r="H279" s="168"/>
      <c r="I279" s="347"/>
      <c r="J279" s="187"/>
      <c r="K279" s="347"/>
      <c r="L279" s="187"/>
      <c r="M279" s="347"/>
      <c r="N279" s="187"/>
      <c r="O279" s="341"/>
      <c r="P279" s="168"/>
      <c r="Q279" s="363"/>
      <c r="R279" s="223"/>
      <c r="S279" s="17"/>
      <c r="T279" s="17"/>
      <c r="U279" s="17"/>
      <c r="V279" s="17"/>
      <c r="W279" s="17"/>
      <c r="X279" s="17"/>
      <c r="Y279" s="17"/>
      <c r="Z279" s="17"/>
    </row>
    <row r="280">
      <c r="A280" s="341"/>
      <c r="B280" s="168"/>
      <c r="C280" s="354"/>
      <c r="D280" s="353"/>
      <c r="E280" s="341"/>
      <c r="F280" s="168"/>
      <c r="G280" s="341"/>
      <c r="H280" s="168"/>
      <c r="I280" s="347"/>
      <c r="J280" s="187"/>
      <c r="K280" s="347"/>
      <c r="L280" s="187"/>
      <c r="M280" s="347"/>
      <c r="N280" s="187"/>
      <c r="O280" s="341"/>
      <c r="P280" s="168"/>
      <c r="Q280" s="363"/>
      <c r="R280" s="223"/>
      <c r="S280" s="17"/>
      <c r="T280" s="17"/>
      <c r="U280" s="17"/>
      <c r="V280" s="17"/>
      <c r="W280" s="17"/>
      <c r="X280" s="17"/>
      <c r="Y280" s="17"/>
      <c r="Z280" s="17"/>
    </row>
    <row r="281">
      <c r="A281" s="341"/>
      <c r="B281" s="168"/>
      <c r="C281" s="354"/>
      <c r="D281" s="353"/>
      <c r="E281" s="341"/>
      <c r="F281" s="168"/>
      <c r="G281" s="341"/>
      <c r="H281" s="168"/>
      <c r="I281" s="347"/>
      <c r="J281" s="187"/>
      <c r="K281" s="347"/>
      <c r="L281" s="187"/>
      <c r="M281" s="347"/>
      <c r="N281" s="187"/>
      <c r="O281" s="341"/>
      <c r="P281" s="168"/>
      <c r="Q281" s="363"/>
      <c r="R281" s="223"/>
      <c r="S281" s="17"/>
      <c r="T281" s="17"/>
      <c r="U281" s="17"/>
      <c r="V281" s="17"/>
      <c r="W281" s="17"/>
      <c r="X281" s="17"/>
      <c r="Y281" s="17"/>
      <c r="Z281" s="17"/>
    </row>
    <row r="282">
      <c r="A282" s="341"/>
      <c r="B282" s="168"/>
      <c r="C282" s="354"/>
      <c r="D282" s="353"/>
      <c r="E282" s="341"/>
      <c r="F282" s="168"/>
      <c r="G282" s="341"/>
      <c r="H282" s="168"/>
      <c r="I282" s="347"/>
      <c r="J282" s="187"/>
      <c r="K282" s="347"/>
      <c r="L282" s="187"/>
      <c r="M282" s="347"/>
      <c r="N282" s="187"/>
      <c r="O282" s="341"/>
      <c r="P282" s="168"/>
      <c r="Q282" s="363"/>
      <c r="R282" s="223"/>
      <c r="S282" s="17"/>
      <c r="T282" s="17"/>
      <c r="U282" s="17"/>
      <c r="V282" s="17"/>
      <c r="W282" s="17"/>
      <c r="X282" s="17"/>
      <c r="Y282" s="17"/>
      <c r="Z282" s="17"/>
    </row>
    <row r="283">
      <c r="A283" s="341"/>
      <c r="B283" s="168"/>
      <c r="C283" s="354"/>
      <c r="D283" s="353"/>
      <c r="E283" s="341"/>
      <c r="F283" s="168"/>
      <c r="G283" s="341"/>
      <c r="H283" s="168"/>
      <c r="I283" s="347"/>
      <c r="J283" s="187"/>
      <c r="K283" s="347"/>
      <c r="L283" s="187"/>
      <c r="M283" s="347"/>
      <c r="N283" s="187"/>
      <c r="O283" s="341"/>
      <c r="P283" s="168"/>
      <c r="Q283" s="363"/>
      <c r="R283" s="223"/>
      <c r="S283" s="17"/>
      <c r="T283" s="17"/>
      <c r="U283" s="17"/>
      <c r="V283" s="17"/>
      <c r="W283" s="17"/>
      <c r="X283" s="17"/>
      <c r="Y283" s="17"/>
      <c r="Z283" s="17"/>
    </row>
    <row r="284">
      <c r="A284" s="341"/>
      <c r="B284" s="168"/>
      <c r="C284" s="354"/>
      <c r="D284" s="353"/>
      <c r="E284" s="341"/>
      <c r="F284" s="168"/>
      <c r="G284" s="341"/>
      <c r="H284" s="168"/>
      <c r="I284" s="347"/>
      <c r="J284" s="187"/>
      <c r="K284" s="347"/>
      <c r="L284" s="187"/>
      <c r="M284" s="347"/>
      <c r="N284" s="187"/>
      <c r="O284" s="341"/>
      <c r="P284" s="168"/>
      <c r="Q284" s="363"/>
      <c r="R284" s="223"/>
      <c r="S284" s="17"/>
      <c r="T284" s="17"/>
      <c r="U284" s="17"/>
      <c r="V284" s="17"/>
      <c r="W284" s="17"/>
      <c r="X284" s="17"/>
      <c r="Y284" s="17"/>
      <c r="Z284" s="17"/>
    </row>
    <row r="285">
      <c r="A285" s="341"/>
      <c r="B285" s="168"/>
      <c r="C285" s="354"/>
      <c r="D285" s="353"/>
      <c r="E285" s="341"/>
      <c r="F285" s="168"/>
      <c r="G285" s="341"/>
      <c r="H285" s="168"/>
      <c r="I285" s="347"/>
      <c r="J285" s="187"/>
      <c r="K285" s="347"/>
      <c r="L285" s="187"/>
      <c r="M285" s="347"/>
      <c r="N285" s="187"/>
      <c r="O285" s="341"/>
      <c r="P285" s="168"/>
      <c r="Q285" s="363"/>
      <c r="R285" s="223"/>
      <c r="S285" s="17"/>
      <c r="T285" s="17"/>
      <c r="U285" s="17"/>
      <c r="V285" s="17"/>
      <c r="W285" s="17"/>
      <c r="X285" s="17"/>
      <c r="Y285" s="17"/>
      <c r="Z285" s="17"/>
    </row>
    <row r="286">
      <c r="A286" s="341"/>
      <c r="B286" s="168"/>
      <c r="C286" s="354"/>
      <c r="D286" s="353"/>
      <c r="E286" s="341"/>
      <c r="F286" s="168"/>
      <c r="G286" s="341"/>
      <c r="H286" s="168"/>
      <c r="I286" s="347"/>
      <c r="J286" s="187"/>
      <c r="K286" s="347"/>
      <c r="L286" s="187"/>
      <c r="M286" s="347"/>
      <c r="N286" s="187"/>
      <c r="O286" s="341"/>
      <c r="P286" s="168"/>
      <c r="Q286" s="363"/>
      <c r="R286" s="223"/>
      <c r="S286" s="17"/>
      <c r="T286" s="17"/>
      <c r="U286" s="17"/>
      <c r="V286" s="17"/>
      <c r="W286" s="17"/>
      <c r="X286" s="17"/>
      <c r="Y286" s="17"/>
      <c r="Z286" s="17"/>
    </row>
    <row r="287">
      <c r="A287" s="341"/>
      <c r="B287" s="168"/>
      <c r="C287" s="354"/>
      <c r="D287" s="353"/>
      <c r="E287" s="341"/>
      <c r="F287" s="168"/>
      <c r="G287" s="341"/>
      <c r="H287" s="168"/>
      <c r="I287" s="347"/>
      <c r="J287" s="187"/>
      <c r="K287" s="347"/>
      <c r="L287" s="187"/>
      <c r="M287" s="347"/>
      <c r="N287" s="187"/>
      <c r="O287" s="341"/>
      <c r="P287" s="168"/>
      <c r="Q287" s="363"/>
      <c r="R287" s="223"/>
      <c r="S287" s="17"/>
      <c r="T287" s="17"/>
      <c r="U287" s="17"/>
      <c r="V287" s="17"/>
      <c r="W287" s="17"/>
      <c r="X287" s="17"/>
      <c r="Y287" s="17"/>
      <c r="Z287" s="17"/>
    </row>
    <row r="288">
      <c r="A288" s="341"/>
      <c r="B288" s="168"/>
      <c r="C288" s="354"/>
      <c r="D288" s="353"/>
      <c r="E288" s="341"/>
      <c r="F288" s="168"/>
      <c r="G288" s="341"/>
      <c r="H288" s="168"/>
      <c r="I288" s="347"/>
      <c r="J288" s="187"/>
      <c r="K288" s="347"/>
      <c r="L288" s="187"/>
      <c r="M288" s="347"/>
      <c r="N288" s="187"/>
      <c r="O288" s="341"/>
      <c r="P288" s="168"/>
      <c r="Q288" s="363"/>
      <c r="R288" s="223"/>
      <c r="S288" s="17"/>
      <c r="T288" s="17"/>
      <c r="U288" s="17"/>
      <c r="V288" s="17"/>
      <c r="W288" s="17"/>
      <c r="X288" s="17"/>
      <c r="Y288" s="17"/>
      <c r="Z288" s="17"/>
    </row>
    <row r="289">
      <c r="A289" s="341"/>
      <c r="B289" s="168"/>
      <c r="C289" s="354"/>
      <c r="D289" s="353"/>
      <c r="E289" s="341"/>
      <c r="F289" s="168"/>
      <c r="G289" s="341"/>
      <c r="H289" s="168"/>
      <c r="I289" s="347"/>
      <c r="J289" s="187"/>
      <c r="K289" s="347"/>
      <c r="L289" s="187"/>
      <c r="M289" s="347"/>
      <c r="N289" s="187"/>
      <c r="O289" s="341"/>
      <c r="P289" s="168"/>
      <c r="Q289" s="363"/>
      <c r="R289" s="223"/>
      <c r="S289" s="17"/>
      <c r="T289" s="17"/>
      <c r="U289" s="17"/>
      <c r="V289" s="17"/>
      <c r="W289" s="17"/>
      <c r="X289" s="17"/>
      <c r="Y289" s="17"/>
      <c r="Z289" s="17"/>
    </row>
    <row r="290">
      <c r="A290" s="341"/>
      <c r="B290" s="168"/>
      <c r="C290" s="354"/>
      <c r="D290" s="353"/>
      <c r="E290" s="341"/>
      <c r="F290" s="168"/>
      <c r="G290" s="341"/>
      <c r="H290" s="168"/>
      <c r="I290" s="347"/>
      <c r="J290" s="187"/>
      <c r="K290" s="347"/>
      <c r="L290" s="187"/>
      <c r="M290" s="347"/>
      <c r="N290" s="187"/>
      <c r="O290" s="341"/>
      <c r="P290" s="168"/>
      <c r="Q290" s="363"/>
      <c r="R290" s="223"/>
      <c r="S290" s="17"/>
      <c r="T290" s="17"/>
      <c r="U290" s="17"/>
      <c r="V290" s="17"/>
      <c r="W290" s="17"/>
      <c r="X290" s="17"/>
      <c r="Y290" s="17"/>
      <c r="Z290" s="17"/>
    </row>
    <row r="291">
      <c r="A291" s="341"/>
      <c r="B291" s="168"/>
      <c r="C291" s="354"/>
      <c r="D291" s="353"/>
      <c r="E291" s="341"/>
      <c r="F291" s="168"/>
      <c r="G291" s="341"/>
      <c r="H291" s="168"/>
      <c r="I291" s="347"/>
      <c r="J291" s="187"/>
      <c r="K291" s="347"/>
      <c r="L291" s="187"/>
      <c r="M291" s="347"/>
      <c r="N291" s="187"/>
      <c r="O291" s="341"/>
      <c r="P291" s="168"/>
      <c r="Q291" s="363"/>
      <c r="R291" s="223"/>
      <c r="S291" s="17"/>
      <c r="T291" s="17"/>
      <c r="U291" s="17"/>
      <c r="V291" s="17"/>
      <c r="W291" s="17"/>
      <c r="X291" s="17"/>
      <c r="Y291" s="17"/>
      <c r="Z291" s="17"/>
    </row>
    <row r="292">
      <c r="A292" s="341"/>
      <c r="B292" s="168"/>
      <c r="C292" s="354"/>
      <c r="D292" s="353"/>
      <c r="E292" s="341"/>
      <c r="F292" s="168"/>
      <c r="G292" s="341"/>
      <c r="H292" s="168"/>
      <c r="I292" s="347"/>
      <c r="J292" s="187"/>
      <c r="K292" s="347"/>
      <c r="L292" s="187"/>
      <c r="M292" s="347"/>
      <c r="N292" s="187"/>
      <c r="O292" s="341"/>
      <c r="P292" s="168"/>
      <c r="Q292" s="363"/>
      <c r="R292" s="223"/>
      <c r="S292" s="17"/>
      <c r="T292" s="17"/>
      <c r="U292" s="17"/>
      <c r="V292" s="17"/>
      <c r="W292" s="17"/>
      <c r="X292" s="17"/>
      <c r="Y292" s="17"/>
      <c r="Z292" s="17"/>
    </row>
    <row r="293">
      <c r="A293" s="341"/>
      <c r="B293" s="168"/>
      <c r="C293" s="354"/>
      <c r="D293" s="353"/>
      <c r="E293" s="341"/>
      <c r="F293" s="168"/>
      <c r="G293" s="341"/>
      <c r="H293" s="168"/>
      <c r="I293" s="347"/>
      <c r="J293" s="187"/>
      <c r="K293" s="347"/>
      <c r="L293" s="187"/>
      <c r="M293" s="347"/>
      <c r="N293" s="187"/>
      <c r="O293" s="341"/>
      <c r="P293" s="168"/>
      <c r="Q293" s="363"/>
      <c r="R293" s="223"/>
      <c r="S293" s="17"/>
      <c r="T293" s="17"/>
      <c r="U293" s="17"/>
      <c r="V293" s="17"/>
      <c r="W293" s="17"/>
      <c r="X293" s="17"/>
      <c r="Y293" s="17"/>
      <c r="Z293" s="17"/>
    </row>
    <row r="294">
      <c r="A294" s="341"/>
      <c r="B294" s="168"/>
      <c r="C294" s="354"/>
      <c r="D294" s="353"/>
      <c r="E294" s="341"/>
      <c r="F294" s="168"/>
      <c r="G294" s="341"/>
      <c r="H294" s="168"/>
      <c r="I294" s="347"/>
      <c r="J294" s="187"/>
      <c r="K294" s="347"/>
      <c r="L294" s="187"/>
      <c r="M294" s="347"/>
      <c r="N294" s="187"/>
      <c r="O294" s="341"/>
      <c r="P294" s="168"/>
      <c r="Q294" s="363"/>
      <c r="R294" s="223"/>
      <c r="S294" s="17"/>
      <c r="T294" s="17"/>
      <c r="U294" s="17"/>
      <c r="V294" s="17"/>
      <c r="W294" s="17"/>
      <c r="X294" s="17"/>
      <c r="Y294" s="17"/>
      <c r="Z294" s="17"/>
    </row>
    <row r="295">
      <c r="A295" s="341"/>
      <c r="B295" s="168"/>
      <c r="C295" s="354"/>
      <c r="D295" s="353"/>
      <c r="E295" s="341"/>
      <c r="F295" s="168"/>
      <c r="G295" s="341"/>
      <c r="H295" s="168"/>
      <c r="I295" s="347"/>
      <c r="J295" s="187"/>
      <c r="K295" s="347"/>
      <c r="L295" s="187"/>
      <c r="M295" s="347"/>
      <c r="N295" s="187"/>
      <c r="O295" s="341"/>
      <c r="P295" s="168"/>
      <c r="Q295" s="363"/>
      <c r="R295" s="223"/>
      <c r="S295" s="17"/>
      <c r="T295" s="17"/>
      <c r="U295" s="17"/>
      <c r="V295" s="17"/>
      <c r="W295" s="17"/>
      <c r="X295" s="17"/>
      <c r="Y295" s="17"/>
      <c r="Z295" s="17"/>
    </row>
    <row r="296">
      <c r="A296" s="341"/>
      <c r="B296" s="168"/>
      <c r="C296" s="354"/>
      <c r="D296" s="353"/>
      <c r="E296" s="341"/>
      <c r="F296" s="168"/>
      <c r="G296" s="341"/>
      <c r="H296" s="168"/>
      <c r="I296" s="347"/>
      <c r="J296" s="187"/>
      <c r="K296" s="347"/>
      <c r="L296" s="187"/>
      <c r="M296" s="347"/>
      <c r="N296" s="187"/>
      <c r="O296" s="341"/>
      <c r="P296" s="168"/>
      <c r="Q296" s="363"/>
      <c r="R296" s="223"/>
      <c r="S296" s="17"/>
      <c r="T296" s="17"/>
      <c r="U296" s="17"/>
      <c r="V296" s="17"/>
      <c r="W296" s="17"/>
      <c r="X296" s="17"/>
      <c r="Y296" s="17"/>
      <c r="Z296" s="17"/>
    </row>
    <row r="297">
      <c r="A297" s="341"/>
      <c r="B297" s="168"/>
      <c r="C297" s="354"/>
      <c r="D297" s="353"/>
      <c r="E297" s="341"/>
      <c r="F297" s="168"/>
      <c r="G297" s="341"/>
      <c r="H297" s="168"/>
      <c r="I297" s="347"/>
      <c r="J297" s="187"/>
      <c r="K297" s="347"/>
      <c r="L297" s="187"/>
      <c r="M297" s="347"/>
      <c r="N297" s="187"/>
      <c r="O297" s="341"/>
      <c r="P297" s="168"/>
      <c r="Q297" s="363"/>
      <c r="R297" s="223"/>
      <c r="S297" s="17"/>
      <c r="T297" s="17"/>
      <c r="U297" s="17"/>
      <c r="V297" s="17"/>
      <c r="W297" s="17"/>
      <c r="X297" s="17"/>
      <c r="Y297" s="17"/>
      <c r="Z297" s="17"/>
    </row>
    <row r="298">
      <c r="A298" s="341"/>
      <c r="B298" s="168"/>
      <c r="C298" s="354"/>
      <c r="D298" s="353"/>
      <c r="E298" s="341"/>
      <c r="F298" s="168"/>
      <c r="G298" s="341"/>
      <c r="H298" s="168"/>
      <c r="I298" s="347"/>
      <c r="J298" s="187"/>
      <c r="K298" s="347"/>
      <c r="L298" s="187"/>
      <c r="M298" s="347"/>
      <c r="N298" s="187"/>
      <c r="O298" s="341"/>
      <c r="P298" s="168"/>
      <c r="Q298" s="363"/>
      <c r="R298" s="223"/>
      <c r="S298" s="17"/>
      <c r="T298" s="17"/>
      <c r="U298" s="17"/>
      <c r="V298" s="17"/>
      <c r="W298" s="17"/>
      <c r="X298" s="17"/>
      <c r="Y298" s="17"/>
      <c r="Z298" s="17"/>
    </row>
    <row r="299">
      <c r="A299" s="341"/>
      <c r="B299" s="168"/>
      <c r="C299" s="354"/>
      <c r="D299" s="353"/>
      <c r="E299" s="341"/>
      <c r="F299" s="168"/>
      <c r="G299" s="341"/>
      <c r="H299" s="168"/>
      <c r="I299" s="347"/>
      <c r="J299" s="187"/>
      <c r="K299" s="347"/>
      <c r="L299" s="187"/>
      <c r="M299" s="347"/>
      <c r="N299" s="187"/>
      <c r="O299" s="341"/>
      <c r="P299" s="168"/>
      <c r="Q299" s="363"/>
      <c r="R299" s="223"/>
      <c r="S299" s="17"/>
      <c r="T299" s="17"/>
      <c r="U299" s="17"/>
      <c r="V299" s="17"/>
      <c r="W299" s="17"/>
      <c r="X299" s="17"/>
      <c r="Y299" s="17"/>
      <c r="Z299" s="17"/>
    </row>
    <row r="300">
      <c r="A300" s="341"/>
      <c r="B300" s="168"/>
      <c r="C300" s="354"/>
      <c r="D300" s="353"/>
      <c r="E300" s="341"/>
      <c r="F300" s="168"/>
      <c r="G300" s="341"/>
      <c r="H300" s="168"/>
      <c r="I300" s="347"/>
      <c r="J300" s="187"/>
      <c r="K300" s="347"/>
      <c r="L300" s="187"/>
      <c r="M300" s="347"/>
      <c r="N300" s="187"/>
      <c r="O300" s="341"/>
      <c r="P300" s="168"/>
      <c r="Q300" s="363"/>
      <c r="R300" s="223"/>
      <c r="S300" s="17"/>
      <c r="T300" s="17"/>
      <c r="U300" s="17"/>
      <c r="V300" s="17"/>
      <c r="W300" s="17"/>
      <c r="X300" s="17"/>
      <c r="Y300" s="17"/>
      <c r="Z300" s="17"/>
    </row>
    <row r="301">
      <c r="A301" s="341"/>
      <c r="B301" s="168"/>
      <c r="C301" s="354"/>
      <c r="D301" s="353"/>
      <c r="E301" s="341"/>
      <c r="F301" s="168"/>
      <c r="G301" s="341"/>
      <c r="H301" s="168"/>
      <c r="I301" s="347"/>
      <c r="J301" s="187"/>
      <c r="K301" s="347"/>
      <c r="L301" s="187"/>
      <c r="M301" s="347"/>
      <c r="N301" s="187"/>
      <c r="O301" s="341"/>
      <c r="P301" s="168"/>
      <c r="Q301" s="363"/>
      <c r="R301" s="223"/>
      <c r="S301" s="17"/>
      <c r="T301" s="17"/>
      <c r="U301" s="17"/>
      <c r="V301" s="17"/>
      <c r="W301" s="17"/>
      <c r="X301" s="17"/>
      <c r="Y301" s="17"/>
      <c r="Z301" s="17"/>
    </row>
    <row r="302">
      <c r="A302" s="341"/>
      <c r="B302" s="168"/>
      <c r="C302" s="354"/>
      <c r="D302" s="353"/>
      <c r="E302" s="341"/>
      <c r="F302" s="168"/>
      <c r="G302" s="341"/>
      <c r="H302" s="168"/>
      <c r="I302" s="347"/>
      <c r="J302" s="187"/>
      <c r="K302" s="347"/>
      <c r="L302" s="187"/>
      <c r="M302" s="347"/>
      <c r="N302" s="187"/>
      <c r="O302" s="341"/>
      <c r="P302" s="168"/>
      <c r="Q302" s="363"/>
      <c r="R302" s="223"/>
      <c r="S302" s="17"/>
      <c r="T302" s="17"/>
      <c r="U302" s="17"/>
      <c r="V302" s="17"/>
      <c r="W302" s="17"/>
      <c r="X302" s="17"/>
      <c r="Y302" s="17"/>
      <c r="Z302" s="17"/>
    </row>
    <row r="303">
      <c r="A303" s="341"/>
      <c r="B303" s="168"/>
      <c r="C303" s="354"/>
      <c r="D303" s="353"/>
      <c r="E303" s="341"/>
      <c r="F303" s="168"/>
      <c r="G303" s="341"/>
      <c r="H303" s="168"/>
      <c r="I303" s="347"/>
      <c r="J303" s="187"/>
      <c r="K303" s="347"/>
      <c r="L303" s="187"/>
      <c r="M303" s="347"/>
      <c r="N303" s="187"/>
      <c r="O303" s="341"/>
      <c r="P303" s="168"/>
      <c r="Q303" s="363"/>
      <c r="R303" s="223"/>
      <c r="S303" s="17"/>
      <c r="T303" s="17"/>
      <c r="U303" s="17"/>
      <c r="V303" s="17"/>
      <c r="W303" s="17"/>
      <c r="X303" s="17"/>
      <c r="Y303" s="17"/>
      <c r="Z303" s="17"/>
    </row>
    <row r="304">
      <c r="A304" s="341"/>
      <c r="B304" s="168"/>
      <c r="C304" s="354"/>
      <c r="D304" s="353"/>
      <c r="E304" s="341"/>
      <c r="F304" s="168"/>
      <c r="G304" s="341"/>
      <c r="H304" s="168"/>
      <c r="I304" s="347"/>
      <c r="J304" s="187"/>
      <c r="K304" s="347"/>
      <c r="L304" s="187"/>
      <c r="M304" s="347"/>
      <c r="N304" s="187"/>
      <c r="O304" s="341"/>
      <c r="P304" s="168"/>
      <c r="Q304" s="363"/>
      <c r="R304" s="223"/>
      <c r="S304" s="17"/>
      <c r="T304" s="17"/>
      <c r="U304" s="17"/>
      <c r="V304" s="17"/>
      <c r="W304" s="17"/>
      <c r="X304" s="17"/>
      <c r="Y304" s="17"/>
      <c r="Z304" s="17"/>
    </row>
    <row r="305">
      <c r="A305" s="341"/>
      <c r="B305" s="168"/>
      <c r="C305" s="354"/>
      <c r="D305" s="353"/>
      <c r="E305" s="341"/>
      <c r="F305" s="168"/>
      <c r="G305" s="341"/>
      <c r="H305" s="168"/>
      <c r="I305" s="347"/>
      <c r="J305" s="187"/>
      <c r="K305" s="347"/>
      <c r="L305" s="187"/>
      <c r="M305" s="347"/>
      <c r="N305" s="187"/>
      <c r="O305" s="341"/>
      <c r="P305" s="168"/>
      <c r="Q305" s="363"/>
      <c r="R305" s="223"/>
      <c r="S305" s="17"/>
      <c r="T305" s="17"/>
      <c r="U305" s="17"/>
      <c r="V305" s="17"/>
      <c r="W305" s="17"/>
      <c r="X305" s="17"/>
      <c r="Y305" s="17"/>
      <c r="Z305" s="17"/>
    </row>
    <row r="306">
      <c r="A306" s="341"/>
      <c r="B306" s="168"/>
      <c r="C306" s="354"/>
      <c r="D306" s="353"/>
      <c r="E306" s="341"/>
      <c r="F306" s="168"/>
      <c r="G306" s="341"/>
      <c r="H306" s="168"/>
      <c r="I306" s="347"/>
      <c r="J306" s="187"/>
      <c r="K306" s="347"/>
      <c r="L306" s="187"/>
      <c r="M306" s="347"/>
      <c r="N306" s="187"/>
      <c r="O306" s="341"/>
      <c r="P306" s="168"/>
      <c r="Q306" s="363"/>
      <c r="R306" s="223"/>
      <c r="S306" s="17"/>
      <c r="T306" s="17"/>
      <c r="U306" s="17"/>
      <c r="V306" s="17"/>
      <c r="W306" s="17"/>
      <c r="X306" s="17"/>
      <c r="Y306" s="17"/>
      <c r="Z306" s="17"/>
    </row>
    <row r="307">
      <c r="A307" s="341"/>
      <c r="B307" s="168"/>
      <c r="C307" s="354"/>
      <c r="D307" s="353"/>
      <c r="E307" s="341"/>
      <c r="F307" s="168"/>
      <c r="G307" s="341"/>
      <c r="H307" s="168"/>
      <c r="I307" s="347"/>
      <c r="J307" s="187"/>
      <c r="K307" s="347"/>
      <c r="L307" s="187"/>
      <c r="M307" s="347"/>
      <c r="N307" s="187"/>
      <c r="O307" s="341"/>
      <c r="P307" s="168"/>
      <c r="Q307" s="363"/>
      <c r="R307" s="223"/>
      <c r="S307" s="17"/>
      <c r="T307" s="17"/>
      <c r="U307" s="17"/>
      <c r="V307" s="17"/>
      <c r="W307" s="17"/>
      <c r="X307" s="17"/>
      <c r="Y307" s="17"/>
      <c r="Z307" s="17"/>
    </row>
    <row r="308">
      <c r="A308" s="341"/>
      <c r="B308" s="168"/>
      <c r="C308" s="354"/>
      <c r="D308" s="353"/>
      <c r="E308" s="341"/>
      <c r="F308" s="168"/>
      <c r="G308" s="341"/>
      <c r="H308" s="168"/>
      <c r="I308" s="347"/>
      <c r="J308" s="187"/>
      <c r="K308" s="347"/>
      <c r="L308" s="187"/>
      <c r="M308" s="347"/>
      <c r="N308" s="187"/>
      <c r="O308" s="341"/>
      <c r="P308" s="168"/>
      <c r="Q308" s="363"/>
      <c r="R308" s="223"/>
      <c r="S308" s="17"/>
      <c r="T308" s="17"/>
      <c r="U308" s="17"/>
      <c r="V308" s="17"/>
      <c r="W308" s="17"/>
      <c r="X308" s="17"/>
      <c r="Y308" s="17"/>
      <c r="Z308" s="17"/>
    </row>
    <row r="309">
      <c r="A309" s="341"/>
      <c r="B309" s="168"/>
      <c r="C309" s="354"/>
      <c r="D309" s="353"/>
      <c r="E309" s="341"/>
      <c r="F309" s="168"/>
      <c r="G309" s="341"/>
      <c r="H309" s="168"/>
      <c r="I309" s="347"/>
      <c r="J309" s="187"/>
      <c r="K309" s="347"/>
      <c r="L309" s="187"/>
      <c r="M309" s="347"/>
      <c r="N309" s="187"/>
      <c r="O309" s="341"/>
      <c r="P309" s="168"/>
      <c r="Q309" s="363"/>
      <c r="R309" s="223"/>
      <c r="S309" s="17"/>
      <c r="T309" s="17"/>
      <c r="U309" s="17"/>
      <c r="V309" s="17"/>
      <c r="W309" s="17"/>
      <c r="X309" s="17"/>
      <c r="Y309" s="17"/>
      <c r="Z309" s="17"/>
    </row>
    <row r="310">
      <c r="A310" s="341"/>
      <c r="B310" s="168"/>
      <c r="C310" s="354"/>
      <c r="D310" s="353"/>
      <c r="E310" s="341"/>
      <c r="F310" s="168"/>
      <c r="G310" s="341"/>
      <c r="H310" s="168"/>
      <c r="I310" s="347"/>
      <c r="J310" s="187"/>
      <c r="K310" s="347"/>
      <c r="L310" s="187"/>
      <c r="M310" s="347"/>
      <c r="N310" s="187"/>
      <c r="O310" s="341"/>
      <c r="P310" s="168"/>
      <c r="Q310" s="363"/>
      <c r="R310" s="223"/>
      <c r="S310" s="17"/>
      <c r="T310" s="17"/>
      <c r="U310" s="17"/>
      <c r="V310" s="17"/>
      <c r="W310" s="17"/>
      <c r="X310" s="17"/>
      <c r="Y310" s="17"/>
      <c r="Z310" s="17"/>
    </row>
    <row r="311">
      <c r="A311" s="341"/>
      <c r="B311" s="168"/>
      <c r="C311" s="354"/>
      <c r="D311" s="353"/>
      <c r="E311" s="341"/>
      <c r="F311" s="168"/>
      <c r="G311" s="341"/>
      <c r="H311" s="168"/>
      <c r="I311" s="347"/>
      <c r="J311" s="187"/>
      <c r="K311" s="347"/>
      <c r="L311" s="187"/>
      <c r="M311" s="347"/>
      <c r="N311" s="187"/>
      <c r="O311" s="341"/>
      <c r="P311" s="168"/>
      <c r="Q311" s="363"/>
      <c r="R311" s="223"/>
      <c r="S311" s="17"/>
      <c r="T311" s="17"/>
      <c r="U311" s="17"/>
      <c r="V311" s="17"/>
      <c r="W311" s="17"/>
      <c r="X311" s="17"/>
      <c r="Y311" s="17"/>
      <c r="Z311" s="17"/>
    </row>
    <row r="312">
      <c r="A312" s="341"/>
      <c r="B312" s="168"/>
      <c r="C312" s="354"/>
      <c r="D312" s="353"/>
      <c r="E312" s="341"/>
      <c r="F312" s="168"/>
      <c r="G312" s="341"/>
      <c r="H312" s="168"/>
      <c r="I312" s="347"/>
      <c r="J312" s="187"/>
      <c r="K312" s="347"/>
      <c r="L312" s="187"/>
      <c r="M312" s="347"/>
      <c r="N312" s="187"/>
      <c r="O312" s="341"/>
      <c r="P312" s="168"/>
      <c r="Q312" s="363"/>
      <c r="R312" s="223"/>
      <c r="S312" s="17"/>
      <c r="T312" s="17"/>
      <c r="U312" s="17"/>
      <c r="V312" s="17"/>
      <c r="W312" s="17"/>
      <c r="X312" s="17"/>
      <c r="Y312" s="17"/>
      <c r="Z312" s="17"/>
    </row>
    <row r="313">
      <c r="A313" s="341"/>
      <c r="B313" s="168"/>
      <c r="C313" s="354"/>
      <c r="D313" s="353"/>
      <c r="E313" s="341"/>
      <c r="F313" s="168"/>
      <c r="G313" s="341"/>
      <c r="H313" s="168"/>
      <c r="I313" s="347"/>
      <c r="J313" s="187"/>
      <c r="K313" s="347"/>
      <c r="L313" s="187"/>
      <c r="M313" s="347"/>
      <c r="N313" s="187"/>
      <c r="O313" s="341"/>
      <c r="P313" s="168"/>
      <c r="Q313" s="363"/>
      <c r="R313" s="223"/>
      <c r="S313" s="17"/>
      <c r="T313" s="17"/>
      <c r="U313" s="17"/>
      <c r="V313" s="17"/>
      <c r="W313" s="17"/>
      <c r="X313" s="17"/>
      <c r="Y313" s="17"/>
      <c r="Z313" s="17"/>
    </row>
    <row r="314">
      <c r="A314" s="341"/>
      <c r="B314" s="168"/>
      <c r="C314" s="354"/>
      <c r="D314" s="353"/>
      <c r="E314" s="341"/>
      <c r="F314" s="168"/>
      <c r="G314" s="341"/>
      <c r="H314" s="168"/>
      <c r="I314" s="347"/>
      <c r="J314" s="187"/>
      <c r="K314" s="347"/>
      <c r="L314" s="187"/>
      <c r="M314" s="347"/>
      <c r="N314" s="187"/>
      <c r="O314" s="341"/>
      <c r="P314" s="168"/>
      <c r="Q314" s="363"/>
      <c r="R314" s="223"/>
      <c r="S314" s="17"/>
      <c r="T314" s="17"/>
      <c r="U314" s="17"/>
      <c r="V314" s="17"/>
      <c r="W314" s="17"/>
      <c r="X314" s="17"/>
      <c r="Y314" s="17"/>
      <c r="Z314" s="17"/>
    </row>
    <row r="315">
      <c r="A315" s="341"/>
      <c r="B315" s="168"/>
      <c r="C315" s="354"/>
      <c r="D315" s="353"/>
      <c r="E315" s="341"/>
      <c r="F315" s="168"/>
      <c r="G315" s="341"/>
      <c r="H315" s="168"/>
      <c r="I315" s="347"/>
      <c r="J315" s="187"/>
      <c r="K315" s="347"/>
      <c r="L315" s="187"/>
      <c r="M315" s="347"/>
      <c r="N315" s="187"/>
      <c r="O315" s="341"/>
      <c r="P315" s="168"/>
      <c r="Q315" s="363"/>
      <c r="R315" s="223"/>
      <c r="S315" s="17"/>
      <c r="T315" s="17"/>
      <c r="U315" s="17"/>
      <c r="V315" s="17"/>
      <c r="W315" s="17"/>
      <c r="X315" s="17"/>
      <c r="Y315" s="17"/>
      <c r="Z315" s="17"/>
    </row>
    <row r="316">
      <c r="A316" s="341"/>
      <c r="B316" s="168"/>
      <c r="C316" s="354"/>
      <c r="D316" s="353"/>
      <c r="E316" s="341"/>
      <c r="F316" s="168"/>
      <c r="G316" s="341"/>
      <c r="H316" s="168"/>
      <c r="I316" s="347"/>
      <c r="J316" s="187"/>
      <c r="K316" s="347"/>
      <c r="L316" s="187"/>
      <c r="M316" s="347"/>
      <c r="N316" s="187"/>
      <c r="O316" s="341"/>
      <c r="P316" s="168"/>
      <c r="Q316" s="363"/>
      <c r="R316" s="223"/>
      <c r="S316" s="17"/>
      <c r="T316" s="17"/>
      <c r="U316" s="17"/>
      <c r="V316" s="17"/>
      <c r="W316" s="17"/>
      <c r="X316" s="17"/>
      <c r="Y316" s="17"/>
      <c r="Z316" s="17"/>
    </row>
    <row r="317">
      <c r="A317" s="341"/>
      <c r="B317" s="168"/>
      <c r="C317" s="354"/>
      <c r="D317" s="353"/>
      <c r="E317" s="341"/>
      <c r="F317" s="168"/>
      <c r="G317" s="341"/>
      <c r="H317" s="168"/>
      <c r="I317" s="347"/>
      <c r="J317" s="187"/>
      <c r="K317" s="347"/>
      <c r="L317" s="187"/>
      <c r="M317" s="347"/>
      <c r="N317" s="187"/>
      <c r="O317" s="341"/>
      <c r="P317" s="168"/>
      <c r="Q317" s="363"/>
      <c r="R317" s="223"/>
      <c r="S317" s="17"/>
      <c r="T317" s="17"/>
      <c r="U317" s="17"/>
      <c r="V317" s="17"/>
      <c r="W317" s="17"/>
      <c r="X317" s="17"/>
      <c r="Y317" s="17"/>
      <c r="Z317" s="17"/>
    </row>
    <row r="318">
      <c r="A318" s="341"/>
      <c r="B318" s="168"/>
      <c r="C318" s="354"/>
      <c r="D318" s="353"/>
      <c r="E318" s="341"/>
      <c r="F318" s="168"/>
      <c r="G318" s="341"/>
      <c r="H318" s="168"/>
      <c r="I318" s="347"/>
      <c r="J318" s="187"/>
      <c r="K318" s="347"/>
      <c r="L318" s="187"/>
      <c r="M318" s="347"/>
      <c r="N318" s="187"/>
      <c r="O318" s="341"/>
      <c r="P318" s="168"/>
      <c r="Q318" s="363"/>
      <c r="R318" s="223"/>
      <c r="S318" s="17"/>
      <c r="T318" s="17"/>
      <c r="U318" s="17"/>
      <c r="V318" s="17"/>
      <c r="W318" s="17"/>
      <c r="X318" s="17"/>
      <c r="Y318" s="17"/>
      <c r="Z318" s="17"/>
    </row>
    <row r="319">
      <c r="A319" s="341"/>
      <c r="B319" s="168"/>
      <c r="C319" s="354"/>
      <c r="D319" s="353"/>
      <c r="E319" s="341"/>
      <c r="F319" s="168"/>
      <c r="G319" s="341"/>
      <c r="H319" s="168"/>
      <c r="I319" s="347"/>
      <c r="J319" s="187"/>
      <c r="K319" s="347"/>
      <c r="L319" s="187"/>
      <c r="M319" s="347"/>
      <c r="N319" s="187"/>
      <c r="O319" s="341"/>
      <c r="P319" s="168"/>
      <c r="Q319" s="363"/>
      <c r="R319" s="223"/>
      <c r="S319" s="17"/>
      <c r="T319" s="17"/>
      <c r="U319" s="17"/>
      <c r="V319" s="17"/>
      <c r="W319" s="17"/>
      <c r="X319" s="17"/>
      <c r="Y319" s="17"/>
      <c r="Z319" s="17"/>
    </row>
    <row r="320">
      <c r="A320" s="341"/>
      <c r="B320" s="168"/>
      <c r="C320" s="354"/>
      <c r="D320" s="353"/>
      <c r="E320" s="341"/>
      <c r="F320" s="168"/>
      <c r="G320" s="341"/>
      <c r="H320" s="168"/>
      <c r="I320" s="347"/>
      <c r="J320" s="187"/>
      <c r="K320" s="347"/>
      <c r="L320" s="187"/>
      <c r="M320" s="347"/>
      <c r="N320" s="187"/>
      <c r="O320" s="341"/>
      <c r="P320" s="168"/>
      <c r="Q320" s="363"/>
      <c r="R320" s="223"/>
      <c r="S320" s="17"/>
      <c r="T320" s="17"/>
      <c r="U320" s="17"/>
      <c r="V320" s="17"/>
      <c r="W320" s="17"/>
      <c r="X320" s="17"/>
      <c r="Y320" s="17"/>
      <c r="Z320" s="17"/>
    </row>
    <row r="321">
      <c r="A321" s="341"/>
      <c r="B321" s="168"/>
      <c r="C321" s="354"/>
      <c r="D321" s="353"/>
      <c r="E321" s="341"/>
      <c r="F321" s="168"/>
      <c r="G321" s="341"/>
      <c r="H321" s="168"/>
      <c r="I321" s="347"/>
      <c r="J321" s="187"/>
      <c r="K321" s="347"/>
      <c r="L321" s="187"/>
      <c r="M321" s="347"/>
      <c r="N321" s="187"/>
      <c r="O321" s="341"/>
      <c r="P321" s="168"/>
      <c r="Q321" s="363"/>
      <c r="R321" s="223"/>
      <c r="S321" s="17"/>
      <c r="T321" s="17"/>
      <c r="U321" s="17"/>
      <c r="V321" s="17"/>
      <c r="W321" s="17"/>
      <c r="X321" s="17"/>
      <c r="Y321" s="17"/>
      <c r="Z321" s="17"/>
    </row>
    <row r="322">
      <c r="A322" s="341"/>
      <c r="B322" s="168"/>
      <c r="C322" s="354"/>
      <c r="D322" s="353"/>
      <c r="E322" s="341"/>
      <c r="F322" s="168"/>
      <c r="G322" s="341"/>
      <c r="H322" s="168"/>
      <c r="I322" s="347"/>
      <c r="J322" s="187"/>
      <c r="K322" s="347"/>
      <c r="L322" s="187"/>
      <c r="M322" s="347"/>
      <c r="N322" s="187"/>
      <c r="O322" s="341"/>
      <c r="P322" s="168"/>
      <c r="Q322" s="363"/>
      <c r="R322" s="223"/>
      <c r="S322" s="17"/>
      <c r="T322" s="17"/>
      <c r="U322" s="17"/>
      <c r="V322" s="17"/>
      <c r="W322" s="17"/>
      <c r="X322" s="17"/>
      <c r="Y322" s="17"/>
      <c r="Z322" s="17"/>
    </row>
    <row r="323">
      <c r="A323" s="341"/>
      <c r="B323" s="168"/>
      <c r="C323" s="354"/>
      <c r="D323" s="353"/>
      <c r="E323" s="341"/>
      <c r="F323" s="168"/>
      <c r="G323" s="341"/>
      <c r="H323" s="168"/>
      <c r="I323" s="347"/>
      <c r="J323" s="187"/>
      <c r="K323" s="347"/>
      <c r="L323" s="187"/>
      <c r="M323" s="347"/>
      <c r="N323" s="187"/>
      <c r="O323" s="341"/>
      <c r="P323" s="168"/>
      <c r="Q323" s="363"/>
      <c r="R323" s="223"/>
      <c r="S323" s="17"/>
      <c r="T323" s="17"/>
      <c r="U323" s="17"/>
      <c r="V323" s="17"/>
      <c r="W323" s="17"/>
      <c r="X323" s="17"/>
      <c r="Y323" s="17"/>
      <c r="Z323" s="17"/>
    </row>
    <row r="324">
      <c r="A324" s="341"/>
      <c r="B324" s="168"/>
      <c r="C324" s="354"/>
      <c r="D324" s="353"/>
      <c r="E324" s="341"/>
      <c r="F324" s="168"/>
      <c r="G324" s="341"/>
      <c r="H324" s="168"/>
      <c r="I324" s="347"/>
      <c r="J324" s="187"/>
      <c r="K324" s="347"/>
      <c r="L324" s="187"/>
      <c r="M324" s="347"/>
      <c r="N324" s="187"/>
      <c r="O324" s="341"/>
      <c r="P324" s="168"/>
      <c r="Q324" s="363"/>
      <c r="R324" s="223"/>
      <c r="S324" s="17"/>
      <c r="T324" s="17"/>
      <c r="U324" s="17"/>
      <c r="V324" s="17"/>
      <c r="W324" s="17"/>
      <c r="X324" s="17"/>
      <c r="Y324" s="17"/>
      <c r="Z324" s="17"/>
    </row>
    <row r="325">
      <c r="A325" s="341"/>
      <c r="B325" s="168"/>
      <c r="C325" s="354"/>
      <c r="D325" s="353"/>
      <c r="E325" s="341"/>
      <c r="F325" s="168"/>
      <c r="G325" s="341"/>
      <c r="H325" s="168"/>
      <c r="I325" s="347"/>
      <c r="J325" s="187"/>
      <c r="K325" s="347"/>
      <c r="L325" s="187"/>
      <c r="M325" s="347"/>
      <c r="N325" s="187"/>
      <c r="O325" s="341"/>
      <c r="P325" s="168"/>
      <c r="Q325" s="363"/>
      <c r="R325" s="223"/>
      <c r="S325" s="17"/>
      <c r="T325" s="17"/>
      <c r="U325" s="17"/>
      <c r="V325" s="17"/>
      <c r="W325" s="17"/>
      <c r="X325" s="17"/>
      <c r="Y325" s="17"/>
      <c r="Z325" s="17"/>
    </row>
    <row r="326">
      <c r="A326" s="341"/>
      <c r="B326" s="168"/>
      <c r="C326" s="354"/>
      <c r="D326" s="353"/>
      <c r="E326" s="341"/>
      <c r="F326" s="168"/>
      <c r="G326" s="341"/>
      <c r="H326" s="168"/>
      <c r="I326" s="347"/>
      <c r="J326" s="187"/>
      <c r="K326" s="347"/>
      <c r="L326" s="187"/>
      <c r="M326" s="347"/>
      <c r="N326" s="187"/>
      <c r="O326" s="341"/>
      <c r="P326" s="168"/>
      <c r="Q326" s="363"/>
      <c r="R326" s="223"/>
      <c r="S326" s="17"/>
      <c r="T326" s="17"/>
      <c r="U326" s="17"/>
      <c r="V326" s="17"/>
      <c r="W326" s="17"/>
      <c r="X326" s="17"/>
      <c r="Y326" s="17"/>
      <c r="Z326" s="17"/>
    </row>
    <row r="327">
      <c r="A327" s="341"/>
      <c r="B327" s="168"/>
      <c r="C327" s="354"/>
      <c r="D327" s="353"/>
      <c r="E327" s="341"/>
      <c r="F327" s="168"/>
      <c r="G327" s="341"/>
      <c r="H327" s="168"/>
      <c r="I327" s="347"/>
      <c r="J327" s="187"/>
      <c r="K327" s="347"/>
      <c r="L327" s="187"/>
      <c r="M327" s="347"/>
      <c r="N327" s="187"/>
      <c r="O327" s="341"/>
      <c r="P327" s="168"/>
      <c r="Q327" s="363"/>
      <c r="R327" s="223"/>
      <c r="S327" s="17"/>
      <c r="T327" s="17"/>
      <c r="U327" s="17"/>
      <c r="V327" s="17"/>
      <c r="W327" s="17"/>
      <c r="X327" s="17"/>
      <c r="Y327" s="17"/>
      <c r="Z327" s="17"/>
    </row>
    <row r="328">
      <c r="A328" s="341"/>
      <c r="B328" s="168"/>
      <c r="C328" s="354"/>
      <c r="D328" s="353"/>
      <c r="E328" s="341"/>
      <c r="F328" s="168"/>
      <c r="G328" s="341"/>
      <c r="H328" s="168"/>
      <c r="I328" s="347"/>
      <c r="J328" s="187"/>
      <c r="K328" s="347"/>
      <c r="L328" s="187"/>
      <c r="M328" s="347"/>
      <c r="N328" s="187"/>
      <c r="O328" s="341"/>
      <c r="P328" s="168"/>
      <c r="Q328" s="363"/>
      <c r="R328" s="223"/>
      <c r="S328" s="17"/>
      <c r="T328" s="17"/>
      <c r="U328" s="17"/>
      <c r="V328" s="17"/>
      <c r="W328" s="17"/>
      <c r="X328" s="17"/>
      <c r="Y328" s="17"/>
      <c r="Z328" s="17"/>
    </row>
    <row r="329">
      <c r="A329" s="341"/>
      <c r="B329" s="168"/>
      <c r="C329" s="354"/>
      <c r="D329" s="353"/>
      <c r="E329" s="341"/>
      <c r="F329" s="168"/>
      <c r="G329" s="341"/>
      <c r="H329" s="168"/>
      <c r="I329" s="347"/>
      <c r="J329" s="187"/>
      <c r="K329" s="347"/>
      <c r="L329" s="187"/>
      <c r="M329" s="347"/>
      <c r="N329" s="187"/>
      <c r="O329" s="341"/>
      <c r="P329" s="168"/>
      <c r="Q329" s="363"/>
      <c r="R329" s="223"/>
      <c r="S329" s="17"/>
      <c r="T329" s="17"/>
      <c r="U329" s="17"/>
      <c r="V329" s="17"/>
      <c r="W329" s="17"/>
      <c r="X329" s="17"/>
      <c r="Y329" s="17"/>
      <c r="Z329" s="17"/>
    </row>
    <row r="330">
      <c r="A330" s="341"/>
      <c r="B330" s="168"/>
      <c r="C330" s="354"/>
      <c r="D330" s="353"/>
      <c r="E330" s="341"/>
      <c r="F330" s="168"/>
      <c r="G330" s="341"/>
      <c r="H330" s="168"/>
      <c r="I330" s="347"/>
      <c r="J330" s="187"/>
      <c r="K330" s="347"/>
      <c r="L330" s="187"/>
      <c r="M330" s="347"/>
      <c r="N330" s="187"/>
      <c r="O330" s="341"/>
      <c r="P330" s="168"/>
      <c r="Q330" s="363"/>
      <c r="R330" s="223"/>
      <c r="S330" s="17"/>
      <c r="T330" s="17"/>
      <c r="U330" s="17"/>
      <c r="V330" s="17"/>
      <c r="W330" s="17"/>
      <c r="X330" s="17"/>
      <c r="Y330" s="17"/>
      <c r="Z330" s="17"/>
    </row>
    <row r="331">
      <c r="A331" s="341"/>
      <c r="B331" s="168"/>
      <c r="C331" s="354"/>
      <c r="D331" s="353"/>
      <c r="E331" s="341"/>
      <c r="F331" s="168"/>
      <c r="G331" s="341"/>
      <c r="H331" s="168"/>
      <c r="I331" s="347"/>
      <c r="J331" s="187"/>
      <c r="K331" s="347"/>
      <c r="L331" s="187"/>
      <c r="M331" s="347"/>
      <c r="N331" s="187"/>
      <c r="O331" s="341"/>
      <c r="P331" s="168"/>
      <c r="Q331" s="363"/>
      <c r="R331" s="223"/>
      <c r="S331" s="17"/>
      <c r="T331" s="17"/>
      <c r="U331" s="17"/>
      <c r="V331" s="17"/>
      <c r="W331" s="17"/>
      <c r="X331" s="17"/>
      <c r="Y331" s="17"/>
      <c r="Z331" s="17"/>
    </row>
    <row r="332">
      <c r="A332" s="341"/>
      <c r="B332" s="168"/>
      <c r="C332" s="354"/>
      <c r="D332" s="353"/>
      <c r="E332" s="341"/>
      <c r="F332" s="168"/>
      <c r="G332" s="341"/>
      <c r="H332" s="168"/>
      <c r="I332" s="347"/>
      <c r="J332" s="187"/>
      <c r="K332" s="347"/>
      <c r="L332" s="187"/>
      <c r="M332" s="347"/>
      <c r="N332" s="187"/>
      <c r="O332" s="341"/>
      <c r="P332" s="168"/>
      <c r="Q332" s="363"/>
      <c r="R332" s="223"/>
      <c r="S332" s="17"/>
      <c r="T332" s="17"/>
      <c r="U332" s="17"/>
      <c r="V332" s="17"/>
      <c r="W332" s="17"/>
      <c r="X332" s="17"/>
      <c r="Y332" s="17"/>
      <c r="Z332" s="17"/>
    </row>
    <row r="333">
      <c r="A333" s="341"/>
      <c r="B333" s="168"/>
      <c r="C333" s="354"/>
      <c r="D333" s="353"/>
      <c r="E333" s="341"/>
      <c r="F333" s="168"/>
      <c r="G333" s="341"/>
      <c r="H333" s="168"/>
      <c r="I333" s="347"/>
      <c r="J333" s="187"/>
      <c r="K333" s="347"/>
      <c r="L333" s="187"/>
      <c r="M333" s="347"/>
      <c r="N333" s="187"/>
      <c r="O333" s="341"/>
      <c r="P333" s="168"/>
      <c r="Q333" s="363"/>
      <c r="R333" s="223"/>
      <c r="S333" s="17"/>
      <c r="T333" s="17"/>
      <c r="U333" s="17"/>
      <c r="V333" s="17"/>
      <c r="W333" s="17"/>
      <c r="X333" s="17"/>
      <c r="Y333" s="17"/>
      <c r="Z333" s="17"/>
    </row>
    <row r="334">
      <c r="A334" s="341"/>
      <c r="B334" s="168"/>
      <c r="C334" s="354"/>
      <c r="D334" s="353"/>
      <c r="E334" s="341"/>
      <c r="F334" s="168"/>
      <c r="G334" s="341"/>
      <c r="H334" s="168"/>
      <c r="I334" s="347"/>
      <c r="J334" s="187"/>
      <c r="K334" s="347"/>
      <c r="L334" s="187"/>
      <c r="M334" s="347"/>
      <c r="N334" s="187"/>
      <c r="O334" s="341"/>
      <c r="P334" s="168"/>
      <c r="Q334" s="363"/>
      <c r="R334" s="223"/>
      <c r="S334" s="17"/>
      <c r="T334" s="17"/>
      <c r="U334" s="17"/>
      <c r="V334" s="17"/>
      <c r="W334" s="17"/>
      <c r="X334" s="17"/>
      <c r="Y334" s="17"/>
      <c r="Z334" s="17"/>
    </row>
    <row r="335">
      <c r="A335" s="341"/>
      <c r="B335" s="168"/>
      <c r="C335" s="354"/>
      <c r="D335" s="353"/>
      <c r="E335" s="341"/>
      <c r="F335" s="168"/>
      <c r="G335" s="341"/>
      <c r="H335" s="168"/>
      <c r="I335" s="347"/>
      <c r="J335" s="187"/>
      <c r="K335" s="347"/>
      <c r="L335" s="187"/>
      <c r="M335" s="347"/>
      <c r="N335" s="187"/>
      <c r="O335" s="341"/>
      <c r="P335" s="168"/>
      <c r="Q335" s="363"/>
      <c r="R335" s="223"/>
      <c r="S335" s="17"/>
      <c r="T335" s="17"/>
      <c r="U335" s="17"/>
      <c r="V335" s="17"/>
      <c r="W335" s="17"/>
      <c r="X335" s="17"/>
      <c r="Y335" s="17"/>
      <c r="Z335" s="17"/>
    </row>
    <row r="336">
      <c r="A336" s="341"/>
      <c r="B336" s="168"/>
      <c r="C336" s="354"/>
      <c r="D336" s="353"/>
      <c r="E336" s="341"/>
      <c r="F336" s="168"/>
      <c r="G336" s="341"/>
      <c r="H336" s="168"/>
      <c r="I336" s="347"/>
      <c r="J336" s="187"/>
      <c r="K336" s="347"/>
      <c r="L336" s="187"/>
      <c r="M336" s="347"/>
      <c r="N336" s="187"/>
      <c r="O336" s="341"/>
      <c r="P336" s="168"/>
      <c r="Q336" s="363"/>
      <c r="R336" s="223"/>
      <c r="S336" s="17"/>
      <c r="T336" s="17"/>
      <c r="U336" s="17"/>
      <c r="V336" s="17"/>
      <c r="W336" s="17"/>
      <c r="X336" s="17"/>
      <c r="Y336" s="17"/>
      <c r="Z336" s="17"/>
    </row>
    <row r="337">
      <c r="A337" s="341"/>
      <c r="B337" s="168"/>
      <c r="C337" s="354"/>
      <c r="D337" s="353"/>
      <c r="E337" s="341"/>
      <c r="F337" s="168"/>
      <c r="G337" s="341"/>
      <c r="H337" s="168"/>
      <c r="I337" s="347"/>
      <c r="J337" s="187"/>
      <c r="K337" s="347"/>
      <c r="L337" s="187"/>
      <c r="M337" s="347"/>
      <c r="N337" s="187"/>
      <c r="O337" s="341"/>
      <c r="P337" s="168"/>
      <c r="Q337" s="363"/>
      <c r="R337" s="223"/>
      <c r="S337" s="17"/>
      <c r="T337" s="17"/>
      <c r="U337" s="17"/>
      <c r="V337" s="17"/>
      <c r="W337" s="17"/>
      <c r="X337" s="17"/>
      <c r="Y337" s="17"/>
      <c r="Z337" s="17"/>
    </row>
    <row r="338">
      <c r="A338" s="341"/>
      <c r="B338" s="168"/>
      <c r="C338" s="354"/>
      <c r="D338" s="353"/>
      <c r="E338" s="341"/>
      <c r="F338" s="168"/>
      <c r="G338" s="341"/>
      <c r="H338" s="168"/>
      <c r="I338" s="347"/>
      <c r="J338" s="187"/>
      <c r="K338" s="347"/>
      <c r="L338" s="187"/>
      <c r="M338" s="347"/>
      <c r="N338" s="187"/>
      <c r="O338" s="341"/>
      <c r="P338" s="168"/>
      <c r="Q338" s="363"/>
      <c r="R338" s="223"/>
      <c r="S338" s="17"/>
      <c r="T338" s="17"/>
      <c r="U338" s="17"/>
      <c r="V338" s="17"/>
      <c r="W338" s="17"/>
      <c r="X338" s="17"/>
      <c r="Y338" s="17"/>
      <c r="Z338" s="17"/>
    </row>
    <row r="339">
      <c r="A339" s="341"/>
      <c r="B339" s="168"/>
      <c r="C339" s="354"/>
      <c r="D339" s="353"/>
      <c r="E339" s="341"/>
      <c r="F339" s="168"/>
      <c r="G339" s="341"/>
      <c r="H339" s="168"/>
      <c r="I339" s="347"/>
      <c r="J339" s="187"/>
      <c r="K339" s="347"/>
      <c r="L339" s="187"/>
      <c r="M339" s="347"/>
      <c r="N339" s="187"/>
      <c r="O339" s="341"/>
      <c r="P339" s="168"/>
      <c r="Q339" s="363"/>
      <c r="R339" s="223"/>
      <c r="S339" s="17"/>
      <c r="T339" s="17"/>
      <c r="U339" s="17"/>
      <c r="V339" s="17"/>
      <c r="W339" s="17"/>
      <c r="X339" s="17"/>
      <c r="Y339" s="17"/>
      <c r="Z339" s="17"/>
    </row>
    <row r="340">
      <c r="A340" s="341"/>
      <c r="B340" s="168"/>
      <c r="C340" s="354"/>
      <c r="D340" s="353"/>
      <c r="E340" s="341"/>
      <c r="F340" s="168"/>
      <c r="G340" s="341"/>
      <c r="H340" s="168"/>
      <c r="I340" s="347"/>
      <c r="J340" s="187"/>
      <c r="K340" s="347"/>
      <c r="L340" s="187"/>
      <c r="M340" s="347"/>
      <c r="N340" s="187"/>
      <c r="O340" s="341"/>
      <c r="P340" s="168"/>
      <c r="Q340" s="363"/>
      <c r="R340" s="223"/>
      <c r="S340" s="17"/>
      <c r="T340" s="17"/>
      <c r="U340" s="17"/>
      <c r="V340" s="17"/>
      <c r="W340" s="17"/>
      <c r="X340" s="17"/>
      <c r="Y340" s="17"/>
      <c r="Z340" s="17"/>
    </row>
    <row r="341">
      <c r="A341" s="341"/>
      <c r="B341" s="168"/>
      <c r="C341" s="354"/>
      <c r="D341" s="353"/>
      <c r="E341" s="341"/>
      <c r="F341" s="168"/>
      <c r="G341" s="341"/>
      <c r="H341" s="168"/>
      <c r="I341" s="347"/>
      <c r="J341" s="187"/>
      <c r="K341" s="347"/>
      <c r="L341" s="187"/>
      <c r="M341" s="347"/>
      <c r="N341" s="187"/>
      <c r="O341" s="341"/>
      <c r="P341" s="168"/>
      <c r="Q341" s="363"/>
      <c r="R341" s="223"/>
      <c r="S341" s="17"/>
      <c r="T341" s="17"/>
      <c r="U341" s="17"/>
      <c r="V341" s="17"/>
      <c r="W341" s="17"/>
      <c r="X341" s="17"/>
      <c r="Y341" s="17"/>
      <c r="Z341" s="17"/>
    </row>
    <row r="342">
      <c r="A342" s="341"/>
      <c r="B342" s="168"/>
      <c r="C342" s="354"/>
      <c r="D342" s="353"/>
      <c r="E342" s="341"/>
      <c r="F342" s="168"/>
      <c r="G342" s="341"/>
      <c r="H342" s="168"/>
      <c r="I342" s="347"/>
      <c r="J342" s="187"/>
      <c r="K342" s="347"/>
      <c r="L342" s="187"/>
      <c r="M342" s="347"/>
      <c r="N342" s="187"/>
      <c r="O342" s="341"/>
      <c r="P342" s="168"/>
      <c r="Q342" s="363"/>
      <c r="R342" s="223"/>
      <c r="S342" s="17"/>
      <c r="T342" s="17"/>
      <c r="U342" s="17"/>
      <c r="V342" s="17"/>
      <c r="W342" s="17"/>
      <c r="X342" s="17"/>
      <c r="Y342" s="17"/>
      <c r="Z342" s="17"/>
    </row>
    <row r="343">
      <c r="A343" s="341"/>
      <c r="B343" s="168"/>
      <c r="C343" s="354"/>
      <c r="D343" s="353"/>
      <c r="E343" s="341"/>
      <c r="F343" s="168"/>
      <c r="G343" s="341"/>
      <c r="H343" s="168"/>
      <c r="I343" s="347"/>
      <c r="J343" s="187"/>
      <c r="K343" s="347"/>
      <c r="L343" s="187"/>
      <c r="M343" s="347"/>
      <c r="N343" s="187"/>
      <c r="O343" s="341"/>
      <c r="P343" s="168"/>
      <c r="Q343" s="363"/>
      <c r="R343" s="223"/>
      <c r="S343" s="17"/>
      <c r="T343" s="17"/>
      <c r="U343" s="17"/>
      <c r="V343" s="17"/>
      <c r="W343" s="17"/>
      <c r="X343" s="17"/>
      <c r="Y343" s="17"/>
      <c r="Z343" s="17"/>
    </row>
    <row r="344">
      <c r="A344" s="341"/>
      <c r="B344" s="168"/>
      <c r="C344" s="354"/>
      <c r="D344" s="353"/>
      <c r="E344" s="341"/>
      <c r="F344" s="168"/>
      <c r="G344" s="341"/>
      <c r="H344" s="168"/>
      <c r="I344" s="347"/>
      <c r="J344" s="187"/>
      <c r="K344" s="347"/>
      <c r="L344" s="187"/>
      <c r="M344" s="347"/>
      <c r="N344" s="187"/>
      <c r="O344" s="341"/>
      <c r="P344" s="168"/>
      <c r="Q344" s="363"/>
      <c r="R344" s="223"/>
      <c r="S344" s="17"/>
      <c r="T344" s="17"/>
      <c r="U344" s="17"/>
      <c r="V344" s="17"/>
      <c r="W344" s="17"/>
      <c r="X344" s="17"/>
      <c r="Y344" s="17"/>
      <c r="Z344" s="17"/>
    </row>
    <row r="345">
      <c r="A345" s="341"/>
      <c r="B345" s="168"/>
      <c r="C345" s="354"/>
      <c r="D345" s="353"/>
      <c r="E345" s="341"/>
      <c r="F345" s="168"/>
      <c r="G345" s="341"/>
      <c r="H345" s="168"/>
      <c r="I345" s="347"/>
      <c r="J345" s="187"/>
      <c r="K345" s="347"/>
      <c r="L345" s="187"/>
      <c r="M345" s="347"/>
      <c r="N345" s="187"/>
      <c r="O345" s="341"/>
      <c r="P345" s="168"/>
      <c r="Q345" s="363"/>
      <c r="R345" s="223"/>
      <c r="S345" s="17"/>
      <c r="T345" s="17"/>
      <c r="U345" s="17"/>
      <c r="V345" s="17"/>
      <c r="W345" s="17"/>
      <c r="X345" s="17"/>
      <c r="Y345" s="17"/>
      <c r="Z345" s="17"/>
    </row>
    <row r="346">
      <c r="A346" s="341"/>
      <c r="B346" s="168"/>
      <c r="C346" s="354"/>
      <c r="D346" s="353"/>
      <c r="E346" s="341"/>
      <c r="F346" s="168"/>
      <c r="G346" s="341"/>
      <c r="H346" s="168"/>
      <c r="I346" s="347"/>
      <c r="J346" s="187"/>
      <c r="K346" s="347"/>
      <c r="L346" s="187"/>
      <c r="M346" s="347"/>
      <c r="N346" s="187"/>
      <c r="O346" s="341"/>
      <c r="P346" s="168"/>
      <c r="Q346" s="363"/>
      <c r="R346" s="223"/>
      <c r="S346" s="17"/>
      <c r="T346" s="17"/>
      <c r="U346" s="17"/>
      <c r="V346" s="17"/>
      <c r="W346" s="17"/>
      <c r="X346" s="17"/>
      <c r="Y346" s="17"/>
      <c r="Z346" s="17"/>
    </row>
    <row r="347">
      <c r="A347" s="341"/>
      <c r="B347" s="168"/>
      <c r="C347" s="354"/>
      <c r="D347" s="353"/>
      <c r="E347" s="341"/>
      <c r="F347" s="168"/>
      <c r="G347" s="341"/>
      <c r="H347" s="168"/>
      <c r="I347" s="347"/>
      <c r="J347" s="187"/>
      <c r="K347" s="347"/>
      <c r="L347" s="187"/>
      <c r="M347" s="347"/>
      <c r="N347" s="187"/>
      <c r="O347" s="341"/>
      <c r="P347" s="168"/>
      <c r="Q347" s="363"/>
      <c r="R347" s="223"/>
      <c r="S347" s="17"/>
      <c r="T347" s="17"/>
      <c r="U347" s="17"/>
      <c r="V347" s="17"/>
      <c r="W347" s="17"/>
      <c r="X347" s="17"/>
      <c r="Y347" s="17"/>
      <c r="Z347" s="17"/>
    </row>
    <row r="348">
      <c r="A348" s="341"/>
      <c r="B348" s="168"/>
      <c r="C348" s="354"/>
      <c r="D348" s="353"/>
      <c r="E348" s="341"/>
      <c r="F348" s="168"/>
      <c r="G348" s="341"/>
      <c r="H348" s="168"/>
      <c r="I348" s="347"/>
      <c r="J348" s="187"/>
      <c r="K348" s="347"/>
      <c r="L348" s="187"/>
      <c r="M348" s="347"/>
      <c r="N348" s="187"/>
      <c r="O348" s="341"/>
      <c r="P348" s="168"/>
      <c r="Q348" s="363"/>
      <c r="R348" s="223"/>
      <c r="S348" s="17"/>
      <c r="T348" s="17"/>
      <c r="U348" s="17"/>
      <c r="V348" s="17"/>
      <c r="W348" s="17"/>
      <c r="X348" s="17"/>
      <c r="Y348" s="17"/>
      <c r="Z348" s="17"/>
    </row>
    <row r="349">
      <c r="A349" s="341"/>
      <c r="B349" s="168"/>
      <c r="C349" s="354"/>
      <c r="D349" s="353"/>
      <c r="E349" s="341"/>
      <c r="F349" s="168"/>
      <c r="G349" s="341"/>
      <c r="H349" s="168"/>
      <c r="I349" s="347"/>
      <c r="J349" s="187"/>
      <c r="K349" s="347"/>
      <c r="L349" s="187"/>
      <c r="M349" s="347"/>
      <c r="N349" s="187"/>
      <c r="O349" s="341"/>
      <c r="P349" s="168"/>
      <c r="Q349" s="363"/>
      <c r="R349" s="223"/>
      <c r="S349" s="17"/>
      <c r="T349" s="17"/>
      <c r="U349" s="17"/>
      <c r="V349" s="17"/>
      <c r="W349" s="17"/>
      <c r="X349" s="17"/>
      <c r="Y349" s="17"/>
      <c r="Z349" s="17"/>
    </row>
    <row r="350">
      <c r="A350" s="341"/>
      <c r="B350" s="168"/>
      <c r="C350" s="354"/>
      <c r="D350" s="353"/>
      <c r="E350" s="341"/>
      <c r="F350" s="168"/>
      <c r="G350" s="341"/>
      <c r="H350" s="168"/>
      <c r="I350" s="347"/>
      <c r="J350" s="187"/>
      <c r="K350" s="347"/>
      <c r="L350" s="187"/>
      <c r="M350" s="347"/>
      <c r="N350" s="187"/>
      <c r="O350" s="341"/>
      <c r="P350" s="168"/>
      <c r="Q350" s="363"/>
      <c r="R350" s="223"/>
      <c r="S350" s="17"/>
      <c r="T350" s="17"/>
      <c r="U350" s="17"/>
      <c r="V350" s="17"/>
      <c r="W350" s="17"/>
      <c r="X350" s="17"/>
      <c r="Y350" s="17"/>
      <c r="Z350" s="17"/>
    </row>
    <row r="351">
      <c r="A351" s="341"/>
      <c r="B351" s="168"/>
      <c r="C351" s="354"/>
      <c r="D351" s="353"/>
      <c r="E351" s="341"/>
      <c r="F351" s="168"/>
      <c r="G351" s="341"/>
      <c r="H351" s="168"/>
      <c r="I351" s="347"/>
      <c r="J351" s="187"/>
      <c r="K351" s="347"/>
      <c r="L351" s="187"/>
      <c r="M351" s="347"/>
      <c r="N351" s="187"/>
      <c r="O351" s="341"/>
      <c r="P351" s="168"/>
      <c r="Q351" s="363"/>
      <c r="R351" s="223"/>
      <c r="S351" s="17"/>
      <c r="T351" s="17"/>
      <c r="U351" s="17"/>
      <c r="V351" s="17"/>
      <c r="W351" s="17"/>
      <c r="X351" s="17"/>
      <c r="Y351" s="17"/>
      <c r="Z351" s="17"/>
    </row>
    <row r="352">
      <c r="A352" s="341"/>
      <c r="B352" s="168"/>
      <c r="C352" s="354"/>
      <c r="D352" s="353"/>
      <c r="E352" s="341"/>
      <c r="F352" s="168"/>
      <c r="G352" s="341"/>
      <c r="H352" s="168"/>
      <c r="I352" s="347"/>
      <c r="J352" s="187"/>
      <c r="K352" s="347"/>
      <c r="L352" s="187"/>
      <c r="M352" s="347"/>
      <c r="N352" s="187"/>
      <c r="O352" s="341"/>
      <c r="P352" s="168"/>
      <c r="Q352" s="363"/>
      <c r="R352" s="223"/>
      <c r="S352" s="17"/>
      <c r="T352" s="17"/>
      <c r="U352" s="17"/>
      <c r="V352" s="17"/>
      <c r="W352" s="17"/>
      <c r="X352" s="17"/>
      <c r="Y352" s="17"/>
      <c r="Z352" s="17"/>
    </row>
    <row r="353">
      <c r="A353" s="341"/>
      <c r="B353" s="168"/>
      <c r="C353" s="354"/>
      <c r="D353" s="353"/>
      <c r="E353" s="341"/>
      <c r="F353" s="168"/>
      <c r="G353" s="341"/>
      <c r="H353" s="168"/>
      <c r="I353" s="347"/>
      <c r="J353" s="187"/>
      <c r="K353" s="347"/>
      <c r="L353" s="187"/>
      <c r="M353" s="347"/>
      <c r="N353" s="187"/>
      <c r="O353" s="341"/>
      <c r="P353" s="168"/>
      <c r="Q353" s="363"/>
      <c r="R353" s="223"/>
      <c r="S353" s="17"/>
      <c r="T353" s="17"/>
      <c r="U353" s="17"/>
      <c r="V353" s="17"/>
      <c r="W353" s="17"/>
      <c r="X353" s="17"/>
      <c r="Y353" s="17"/>
      <c r="Z353" s="17"/>
    </row>
    <row r="354">
      <c r="A354" s="341"/>
      <c r="B354" s="168"/>
      <c r="C354" s="354"/>
      <c r="D354" s="353"/>
      <c r="E354" s="341"/>
      <c r="F354" s="168"/>
      <c r="G354" s="341"/>
      <c r="H354" s="168"/>
      <c r="I354" s="347"/>
      <c r="J354" s="187"/>
      <c r="K354" s="347"/>
      <c r="L354" s="187"/>
      <c r="M354" s="347"/>
      <c r="N354" s="187"/>
      <c r="O354" s="341"/>
      <c r="P354" s="168"/>
      <c r="Q354" s="363"/>
      <c r="R354" s="223"/>
      <c r="S354" s="17"/>
      <c r="T354" s="17"/>
      <c r="U354" s="17"/>
      <c r="V354" s="17"/>
      <c r="W354" s="17"/>
      <c r="X354" s="17"/>
      <c r="Y354" s="17"/>
      <c r="Z354" s="17"/>
    </row>
    <row r="355">
      <c r="A355" s="341"/>
      <c r="B355" s="168"/>
      <c r="C355" s="354"/>
      <c r="D355" s="353"/>
      <c r="E355" s="341"/>
      <c r="F355" s="168"/>
      <c r="G355" s="341"/>
      <c r="H355" s="168"/>
      <c r="I355" s="347"/>
      <c r="J355" s="187"/>
      <c r="K355" s="347"/>
      <c r="L355" s="187"/>
      <c r="M355" s="347"/>
      <c r="N355" s="187"/>
      <c r="O355" s="341"/>
      <c r="P355" s="168"/>
      <c r="Q355" s="363"/>
      <c r="R355" s="223"/>
      <c r="S355" s="17"/>
      <c r="T355" s="17"/>
      <c r="U355" s="17"/>
      <c r="V355" s="17"/>
      <c r="W355" s="17"/>
      <c r="X355" s="17"/>
      <c r="Y355" s="17"/>
      <c r="Z355" s="17"/>
    </row>
    <row r="356">
      <c r="A356" s="341"/>
      <c r="B356" s="168"/>
      <c r="C356" s="354"/>
      <c r="D356" s="353"/>
      <c r="E356" s="341"/>
      <c r="F356" s="168"/>
      <c r="G356" s="341"/>
      <c r="H356" s="168"/>
      <c r="I356" s="347"/>
      <c r="J356" s="187"/>
      <c r="K356" s="347"/>
      <c r="L356" s="187"/>
      <c r="M356" s="347"/>
      <c r="N356" s="187"/>
      <c r="O356" s="341"/>
      <c r="P356" s="168"/>
      <c r="Q356" s="363"/>
      <c r="R356" s="223"/>
      <c r="S356" s="17"/>
      <c r="T356" s="17"/>
      <c r="U356" s="17"/>
      <c r="V356" s="17"/>
      <c r="W356" s="17"/>
      <c r="X356" s="17"/>
      <c r="Y356" s="17"/>
      <c r="Z356" s="17"/>
    </row>
    <row r="357">
      <c r="A357" s="341"/>
      <c r="B357" s="168"/>
      <c r="C357" s="354"/>
      <c r="D357" s="353"/>
      <c r="E357" s="341"/>
      <c r="F357" s="168"/>
      <c r="G357" s="341"/>
      <c r="H357" s="168"/>
      <c r="I357" s="347"/>
      <c r="J357" s="187"/>
      <c r="K357" s="347"/>
      <c r="L357" s="187"/>
      <c r="M357" s="347"/>
      <c r="N357" s="187"/>
      <c r="O357" s="341"/>
      <c r="P357" s="168"/>
      <c r="Q357" s="363"/>
      <c r="R357" s="223"/>
      <c r="S357" s="17"/>
      <c r="T357" s="17"/>
      <c r="U357" s="17"/>
      <c r="V357" s="17"/>
      <c r="W357" s="17"/>
      <c r="X357" s="17"/>
      <c r="Y357" s="17"/>
      <c r="Z357" s="17"/>
    </row>
    <row r="358">
      <c r="A358" s="341"/>
      <c r="B358" s="168"/>
      <c r="C358" s="354"/>
      <c r="D358" s="353"/>
      <c r="E358" s="341"/>
      <c r="F358" s="168"/>
      <c r="G358" s="341"/>
      <c r="H358" s="168"/>
      <c r="I358" s="347"/>
      <c r="J358" s="187"/>
      <c r="K358" s="347"/>
      <c r="L358" s="187"/>
      <c r="M358" s="347"/>
      <c r="N358" s="187"/>
      <c r="O358" s="341"/>
      <c r="P358" s="168"/>
      <c r="Q358" s="363"/>
      <c r="R358" s="223"/>
      <c r="S358" s="17"/>
      <c r="T358" s="17"/>
      <c r="U358" s="17"/>
      <c r="V358" s="17"/>
      <c r="W358" s="17"/>
      <c r="X358" s="17"/>
      <c r="Y358" s="17"/>
      <c r="Z358" s="17"/>
    </row>
    <row r="359">
      <c r="A359" s="341"/>
      <c r="B359" s="168"/>
      <c r="C359" s="354"/>
      <c r="D359" s="353"/>
      <c r="E359" s="341"/>
      <c r="F359" s="168"/>
      <c r="G359" s="341"/>
      <c r="H359" s="168"/>
      <c r="I359" s="347"/>
      <c r="J359" s="187"/>
      <c r="K359" s="347"/>
      <c r="L359" s="187"/>
      <c r="M359" s="347"/>
      <c r="N359" s="187"/>
      <c r="O359" s="341"/>
      <c r="P359" s="168"/>
      <c r="Q359" s="363"/>
      <c r="R359" s="223"/>
      <c r="S359" s="17"/>
      <c r="T359" s="17"/>
      <c r="U359" s="17"/>
      <c r="V359" s="17"/>
      <c r="W359" s="17"/>
      <c r="X359" s="17"/>
      <c r="Y359" s="17"/>
      <c r="Z359" s="17"/>
    </row>
    <row r="360">
      <c r="A360" s="341"/>
      <c r="B360" s="168"/>
      <c r="C360" s="354"/>
      <c r="D360" s="353"/>
      <c r="E360" s="341"/>
      <c r="F360" s="168"/>
      <c r="G360" s="341"/>
      <c r="H360" s="168"/>
      <c r="I360" s="347"/>
      <c r="J360" s="187"/>
      <c r="K360" s="347"/>
      <c r="L360" s="187"/>
      <c r="M360" s="347"/>
      <c r="N360" s="187"/>
      <c r="O360" s="341"/>
      <c r="P360" s="168"/>
      <c r="Q360" s="363"/>
      <c r="R360" s="223"/>
      <c r="S360" s="17"/>
      <c r="T360" s="17"/>
      <c r="U360" s="17"/>
      <c r="V360" s="17"/>
      <c r="W360" s="17"/>
      <c r="X360" s="17"/>
      <c r="Y360" s="17"/>
      <c r="Z360" s="17"/>
    </row>
    <row r="361">
      <c r="A361" s="341"/>
      <c r="B361" s="168"/>
      <c r="C361" s="354"/>
      <c r="D361" s="353"/>
      <c r="E361" s="341"/>
      <c r="F361" s="168"/>
      <c r="G361" s="341"/>
      <c r="H361" s="168"/>
      <c r="I361" s="347"/>
      <c r="J361" s="187"/>
      <c r="K361" s="347"/>
      <c r="L361" s="187"/>
      <c r="M361" s="347"/>
      <c r="N361" s="187"/>
      <c r="O361" s="341"/>
      <c r="P361" s="168"/>
      <c r="Q361" s="363"/>
      <c r="R361" s="223"/>
      <c r="S361" s="17"/>
      <c r="T361" s="17"/>
      <c r="U361" s="17"/>
      <c r="V361" s="17"/>
      <c r="W361" s="17"/>
      <c r="X361" s="17"/>
      <c r="Y361" s="17"/>
      <c r="Z361" s="17"/>
    </row>
    <row r="362">
      <c r="A362" s="341"/>
      <c r="B362" s="168"/>
      <c r="C362" s="354"/>
      <c r="D362" s="353"/>
      <c r="E362" s="341"/>
      <c r="F362" s="168"/>
      <c r="G362" s="341"/>
      <c r="H362" s="168"/>
      <c r="I362" s="347"/>
      <c r="J362" s="187"/>
      <c r="K362" s="347"/>
      <c r="L362" s="187"/>
      <c r="M362" s="347"/>
      <c r="N362" s="187"/>
      <c r="O362" s="341"/>
      <c r="P362" s="168"/>
      <c r="Q362" s="363"/>
      <c r="R362" s="223"/>
      <c r="S362" s="17"/>
      <c r="T362" s="17"/>
      <c r="U362" s="17"/>
      <c r="V362" s="17"/>
      <c r="W362" s="17"/>
      <c r="X362" s="17"/>
      <c r="Y362" s="17"/>
      <c r="Z362" s="17"/>
    </row>
    <row r="363">
      <c r="A363" s="341"/>
      <c r="B363" s="168"/>
      <c r="C363" s="354"/>
      <c r="D363" s="353"/>
      <c r="E363" s="341"/>
      <c r="F363" s="168"/>
      <c r="G363" s="341"/>
      <c r="H363" s="168"/>
      <c r="I363" s="347"/>
      <c r="J363" s="187"/>
      <c r="K363" s="347"/>
      <c r="L363" s="187"/>
      <c r="M363" s="347"/>
      <c r="N363" s="187"/>
      <c r="O363" s="341"/>
      <c r="P363" s="168"/>
      <c r="Q363" s="363"/>
      <c r="R363" s="223"/>
      <c r="S363" s="17"/>
      <c r="T363" s="17"/>
      <c r="U363" s="17"/>
      <c r="V363" s="17"/>
      <c r="W363" s="17"/>
      <c r="X363" s="17"/>
      <c r="Y363" s="17"/>
      <c r="Z363" s="17"/>
    </row>
    <row r="364">
      <c r="A364" s="341"/>
      <c r="B364" s="168"/>
      <c r="C364" s="354"/>
      <c r="D364" s="353"/>
      <c r="E364" s="341"/>
      <c r="F364" s="168"/>
      <c r="G364" s="341"/>
      <c r="H364" s="168"/>
      <c r="I364" s="347"/>
      <c r="J364" s="187"/>
      <c r="K364" s="347"/>
      <c r="L364" s="187"/>
      <c r="M364" s="347"/>
      <c r="N364" s="187"/>
      <c r="O364" s="341"/>
      <c r="P364" s="168"/>
      <c r="Q364" s="363"/>
      <c r="R364" s="223"/>
      <c r="S364" s="17"/>
      <c r="T364" s="17"/>
      <c r="U364" s="17"/>
      <c r="V364" s="17"/>
      <c r="W364" s="17"/>
      <c r="X364" s="17"/>
      <c r="Y364" s="17"/>
      <c r="Z364" s="17"/>
    </row>
    <row r="365">
      <c r="A365" s="341"/>
      <c r="B365" s="168"/>
      <c r="C365" s="354"/>
      <c r="D365" s="353"/>
      <c r="E365" s="341"/>
      <c r="F365" s="168"/>
      <c r="G365" s="341"/>
      <c r="H365" s="168"/>
      <c r="I365" s="347"/>
      <c r="J365" s="187"/>
      <c r="K365" s="347"/>
      <c r="L365" s="187"/>
      <c r="M365" s="347"/>
      <c r="N365" s="187"/>
      <c r="O365" s="341"/>
      <c r="P365" s="168"/>
      <c r="Q365" s="363"/>
      <c r="R365" s="223"/>
      <c r="S365" s="17"/>
      <c r="T365" s="17"/>
      <c r="U365" s="17"/>
      <c r="V365" s="17"/>
      <c r="W365" s="17"/>
      <c r="X365" s="17"/>
      <c r="Y365" s="17"/>
      <c r="Z365" s="17"/>
    </row>
    <row r="366">
      <c r="A366" s="341"/>
      <c r="B366" s="168"/>
      <c r="C366" s="354"/>
      <c r="D366" s="353"/>
      <c r="E366" s="341"/>
      <c r="F366" s="168"/>
      <c r="G366" s="341"/>
      <c r="H366" s="168"/>
      <c r="I366" s="347"/>
      <c r="J366" s="187"/>
      <c r="K366" s="347"/>
      <c r="L366" s="187"/>
      <c r="M366" s="347"/>
      <c r="N366" s="187"/>
      <c r="O366" s="341"/>
      <c r="P366" s="168"/>
      <c r="Q366" s="363"/>
      <c r="R366" s="223"/>
      <c r="S366" s="17"/>
      <c r="T366" s="17"/>
      <c r="U366" s="17"/>
      <c r="V366" s="17"/>
      <c r="W366" s="17"/>
      <c r="X366" s="17"/>
      <c r="Y366" s="17"/>
      <c r="Z366" s="17"/>
    </row>
    <row r="367">
      <c r="A367" s="341"/>
      <c r="B367" s="168"/>
      <c r="C367" s="354"/>
      <c r="D367" s="353"/>
      <c r="E367" s="341"/>
      <c r="F367" s="168"/>
      <c r="G367" s="341"/>
      <c r="H367" s="168"/>
      <c r="I367" s="347"/>
      <c r="J367" s="187"/>
      <c r="K367" s="347"/>
      <c r="L367" s="187"/>
      <c r="M367" s="347"/>
      <c r="N367" s="187"/>
      <c r="O367" s="341"/>
      <c r="P367" s="168"/>
      <c r="Q367" s="363"/>
      <c r="R367" s="223"/>
      <c r="S367" s="17"/>
      <c r="T367" s="17"/>
      <c r="U367" s="17"/>
      <c r="V367" s="17"/>
      <c r="W367" s="17"/>
      <c r="X367" s="17"/>
      <c r="Y367" s="17"/>
      <c r="Z367" s="17"/>
    </row>
    <row r="368">
      <c r="A368" s="341"/>
      <c r="B368" s="168"/>
      <c r="C368" s="354"/>
      <c r="D368" s="353"/>
      <c r="E368" s="341"/>
      <c r="F368" s="168"/>
      <c r="G368" s="341"/>
      <c r="H368" s="168"/>
      <c r="I368" s="347"/>
      <c r="J368" s="187"/>
      <c r="K368" s="347"/>
      <c r="L368" s="187"/>
      <c r="M368" s="347"/>
      <c r="N368" s="187"/>
      <c r="O368" s="341"/>
      <c r="P368" s="168"/>
      <c r="Q368" s="363"/>
      <c r="R368" s="223"/>
      <c r="S368" s="17"/>
      <c r="T368" s="17"/>
      <c r="U368" s="17"/>
      <c r="V368" s="17"/>
      <c r="W368" s="17"/>
      <c r="X368" s="17"/>
      <c r="Y368" s="17"/>
      <c r="Z368" s="17"/>
    </row>
    <row r="369">
      <c r="A369" s="341"/>
      <c r="B369" s="168"/>
      <c r="C369" s="354"/>
      <c r="D369" s="353"/>
      <c r="E369" s="341"/>
      <c r="F369" s="168"/>
      <c r="G369" s="341"/>
      <c r="H369" s="168"/>
      <c r="I369" s="347"/>
      <c r="J369" s="187"/>
      <c r="K369" s="347"/>
      <c r="L369" s="187"/>
      <c r="M369" s="347"/>
      <c r="N369" s="187"/>
      <c r="O369" s="341"/>
      <c r="P369" s="168"/>
      <c r="Q369" s="363"/>
      <c r="R369" s="223"/>
      <c r="S369" s="17"/>
      <c r="T369" s="17"/>
      <c r="U369" s="17"/>
      <c r="V369" s="17"/>
      <c r="W369" s="17"/>
      <c r="X369" s="17"/>
      <c r="Y369" s="17"/>
      <c r="Z369" s="17"/>
    </row>
    <row r="370">
      <c r="A370" s="341"/>
      <c r="B370" s="168"/>
      <c r="C370" s="354"/>
      <c r="D370" s="353"/>
      <c r="E370" s="341"/>
      <c r="F370" s="168"/>
      <c r="G370" s="341"/>
      <c r="H370" s="168"/>
      <c r="I370" s="347"/>
      <c r="J370" s="187"/>
      <c r="K370" s="347"/>
      <c r="L370" s="187"/>
      <c r="M370" s="347"/>
      <c r="N370" s="187"/>
      <c r="O370" s="341"/>
      <c r="P370" s="168"/>
      <c r="Q370" s="363"/>
      <c r="R370" s="223"/>
      <c r="S370" s="17"/>
      <c r="T370" s="17"/>
      <c r="U370" s="17"/>
      <c r="V370" s="17"/>
      <c r="W370" s="17"/>
      <c r="X370" s="17"/>
      <c r="Y370" s="17"/>
      <c r="Z370" s="17"/>
    </row>
    <row r="371">
      <c r="A371" s="341"/>
      <c r="B371" s="168"/>
      <c r="C371" s="354"/>
      <c r="D371" s="353"/>
      <c r="E371" s="341"/>
      <c r="F371" s="168"/>
      <c r="G371" s="341"/>
      <c r="H371" s="168"/>
      <c r="I371" s="347"/>
      <c r="J371" s="187"/>
      <c r="K371" s="347"/>
      <c r="L371" s="187"/>
      <c r="M371" s="347"/>
      <c r="N371" s="187"/>
      <c r="O371" s="341"/>
      <c r="P371" s="168"/>
      <c r="Q371" s="363"/>
      <c r="R371" s="223"/>
      <c r="S371" s="17"/>
      <c r="T371" s="17"/>
      <c r="U371" s="17"/>
      <c r="V371" s="17"/>
      <c r="W371" s="17"/>
      <c r="X371" s="17"/>
      <c r="Y371" s="17"/>
      <c r="Z371" s="17"/>
    </row>
    <row r="372">
      <c r="A372" s="341"/>
      <c r="B372" s="168"/>
      <c r="C372" s="354"/>
      <c r="D372" s="353"/>
      <c r="E372" s="341"/>
      <c r="F372" s="168"/>
      <c r="G372" s="341"/>
      <c r="H372" s="168"/>
      <c r="I372" s="347"/>
      <c r="J372" s="187"/>
      <c r="K372" s="347"/>
      <c r="L372" s="187"/>
      <c r="M372" s="347"/>
      <c r="N372" s="187"/>
      <c r="O372" s="341"/>
      <c r="P372" s="168"/>
      <c r="Q372" s="363"/>
      <c r="R372" s="223"/>
      <c r="S372" s="17"/>
      <c r="T372" s="17"/>
      <c r="U372" s="17"/>
      <c r="V372" s="17"/>
      <c r="W372" s="17"/>
      <c r="X372" s="17"/>
      <c r="Y372" s="17"/>
      <c r="Z372" s="17"/>
    </row>
    <row r="373">
      <c r="A373" s="341"/>
      <c r="B373" s="168"/>
      <c r="C373" s="354"/>
      <c r="D373" s="353"/>
      <c r="E373" s="341"/>
      <c r="F373" s="168"/>
      <c r="G373" s="341"/>
      <c r="H373" s="168"/>
      <c r="I373" s="347"/>
      <c r="J373" s="187"/>
      <c r="K373" s="347"/>
      <c r="L373" s="187"/>
      <c r="M373" s="347"/>
      <c r="N373" s="187"/>
      <c r="O373" s="341"/>
      <c r="P373" s="168"/>
      <c r="Q373" s="363"/>
      <c r="R373" s="223"/>
      <c r="S373" s="17"/>
      <c r="T373" s="17"/>
      <c r="U373" s="17"/>
      <c r="V373" s="17"/>
      <c r="W373" s="17"/>
      <c r="X373" s="17"/>
      <c r="Y373" s="17"/>
      <c r="Z373" s="17"/>
    </row>
    <row r="374">
      <c r="A374" s="341"/>
      <c r="B374" s="168"/>
      <c r="C374" s="354"/>
      <c r="D374" s="353"/>
      <c r="E374" s="341"/>
      <c r="F374" s="168"/>
      <c r="G374" s="341"/>
      <c r="H374" s="168"/>
      <c r="I374" s="347"/>
      <c r="J374" s="187"/>
      <c r="K374" s="347"/>
      <c r="L374" s="187"/>
      <c r="M374" s="347"/>
      <c r="N374" s="187"/>
      <c r="O374" s="341"/>
      <c r="P374" s="168"/>
      <c r="Q374" s="363"/>
      <c r="R374" s="223"/>
      <c r="S374" s="17"/>
      <c r="T374" s="17"/>
      <c r="U374" s="17"/>
      <c r="V374" s="17"/>
      <c r="W374" s="17"/>
      <c r="X374" s="17"/>
      <c r="Y374" s="17"/>
      <c r="Z374" s="17"/>
    </row>
    <row r="375">
      <c r="A375" s="341"/>
      <c r="B375" s="168"/>
      <c r="C375" s="354"/>
      <c r="D375" s="353"/>
      <c r="E375" s="341"/>
      <c r="F375" s="168"/>
      <c r="G375" s="341"/>
      <c r="H375" s="168"/>
      <c r="I375" s="347"/>
      <c r="J375" s="187"/>
      <c r="K375" s="347"/>
      <c r="L375" s="187"/>
      <c r="M375" s="347"/>
      <c r="N375" s="187"/>
      <c r="O375" s="341"/>
      <c r="P375" s="168"/>
      <c r="Q375" s="363"/>
      <c r="R375" s="223"/>
      <c r="S375" s="17"/>
      <c r="T375" s="17"/>
      <c r="U375" s="17"/>
      <c r="V375" s="17"/>
      <c r="W375" s="17"/>
      <c r="X375" s="17"/>
      <c r="Y375" s="17"/>
      <c r="Z375" s="17"/>
    </row>
    <row r="376">
      <c r="A376" s="341"/>
      <c r="B376" s="168"/>
      <c r="C376" s="354"/>
      <c r="D376" s="353"/>
      <c r="E376" s="341"/>
      <c r="F376" s="168"/>
      <c r="G376" s="341"/>
      <c r="H376" s="168"/>
      <c r="I376" s="347"/>
      <c r="J376" s="187"/>
      <c r="K376" s="347"/>
      <c r="L376" s="187"/>
      <c r="M376" s="347"/>
      <c r="N376" s="187"/>
      <c r="O376" s="341"/>
      <c r="P376" s="168"/>
      <c r="Q376" s="363"/>
      <c r="R376" s="223"/>
      <c r="S376" s="17"/>
      <c r="T376" s="17"/>
      <c r="U376" s="17"/>
      <c r="V376" s="17"/>
      <c r="W376" s="17"/>
      <c r="X376" s="17"/>
      <c r="Y376" s="17"/>
      <c r="Z376" s="17"/>
    </row>
    <row r="377">
      <c r="A377" s="341"/>
      <c r="B377" s="168"/>
      <c r="C377" s="354"/>
      <c r="D377" s="353"/>
      <c r="E377" s="341"/>
      <c r="F377" s="168"/>
      <c r="G377" s="341"/>
      <c r="H377" s="168"/>
      <c r="I377" s="347"/>
      <c r="J377" s="187"/>
      <c r="K377" s="347"/>
      <c r="L377" s="187"/>
      <c r="M377" s="347"/>
      <c r="N377" s="187"/>
      <c r="O377" s="341"/>
      <c r="P377" s="168"/>
      <c r="Q377" s="363"/>
      <c r="R377" s="223"/>
      <c r="S377" s="17"/>
      <c r="T377" s="17"/>
      <c r="U377" s="17"/>
      <c r="V377" s="17"/>
      <c r="W377" s="17"/>
      <c r="X377" s="17"/>
      <c r="Y377" s="17"/>
      <c r="Z377" s="17"/>
    </row>
    <row r="378">
      <c r="A378" s="341"/>
      <c r="B378" s="168"/>
      <c r="C378" s="354"/>
      <c r="D378" s="353"/>
      <c r="E378" s="341"/>
      <c r="F378" s="168"/>
      <c r="G378" s="341"/>
      <c r="H378" s="168"/>
      <c r="I378" s="347"/>
      <c r="J378" s="187"/>
      <c r="K378" s="347"/>
      <c r="L378" s="187"/>
      <c r="M378" s="347"/>
      <c r="N378" s="187"/>
      <c r="O378" s="341"/>
      <c r="P378" s="168"/>
      <c r="Q378" s="363"/>
      <c r="R378" s="223"/>
      <c r="S378" s="17"/>
      <c r="T378" s="17"/>
      <c r="U378" s="17"/>
      <c r="V378" s="17"/>
      <c r="W378" s="17"/>
      <c r="X378" s="17"/>
      <c r="Y378" s="17"/>
      <c r="Z378" s="17"/>
    </row>
    <row r="379">
      <c r="A379" s="341"/>
      <c r="B379" s="168"/>
      <c r="C379" s="354"/>
      <c r="D379" s="353"/>
      <c r="E379" s="341"/>
      <c r="F379" s="168"/>
      <c r="G379" s="341"/>
      <c r="H379" s="168"/>
      <c r="I379" s="347"/>
      <c r="J379" s="187"/>
      <c r="K379" s="347"/>
      <c r="L379" s="187"/>
      <c r="M379" s="347"/>
      <c r="N379" s="187"/>
      <c r="O379" s="341"/>
      <c r="P379" s="168"/>
      <c r="Q379" s="363"/>
      <c r="R379" s="223"/>
      <c r="S379" s="17"/>
      <c r="T379" s="17"/>
      <c r="U379" s="17"/>
      <c r="V379" s="17"/>
      <c r="W379" s="17"/>
      <c r="X379" s="17"/>
      <c r="Y379" s="17"/>
      <c r="Z379" s="17"/>
    </row>
    <row r="380">
      <c r="A380" s="341"/>
      <c r="B380" s="168"/>
      <c r="C380" s="354"/>
      <c r="D380" s="353"/>
      <c r="E380" s="341"/>
      <c r="F380" s="168"/>
      <c r="G380" s="341"/>
      <c r="H380" s="168"/>
      <c r="I380" s="347"/>
      <c r="J380" s="187"/>
      <c r="K380" s="347"/>
      <c r="L380" s="187"/>
      <c r="M380" s="347"/>
      <c r="N380" s="187"/>
      <c r="O380" s="341"/>
      <c r="P380" s="168"/>
      <c r="Q380" s="363"/>
      <c r="R380" s="223"/>
      <c r="S380" s="17"/>
      <c r="T380" s="17"/>
      <c r="U380" s="17"/>
      <c r="V380" s="17"/>
      <c r="W380" s="17"/>
      <c r="X380" s="17"/>
      <c r="Y380" s="17"/>
      <c r="Z380" s="17"/>
    </row>
    <row r="381">
      <c r="A381" s="341"/>
      <c r="B381" s="168"/>
      <c r="C381" s="354"/>
      <c r="D381" s="353"/>
      <c r="E381" s="341"/>
      <c r="F381" s="168"/>
      <c r="G381" s="341"/>
      <c r="H381" s="168"/>
      <c r="I381" s="347"/>
      <c r="J381" s="187"/>
      <c r="K381" s="347"/>
      <c r="L381" s="187"/>
      <c r="M381" s="347"/>
      <c r="N381" s="187"/>
      <c r="O381" s="341"/>
      <c r="P381" s="168"/>
      <c r="Q381" s="363"/>
      <c r="R381" s="223"/>
      <c r="S381" s="17"/>
      <c r="T381" s="17"/>
      <c r="U381" s="17"/>
      <c r="V381" s="17"/>
      <c r="W381" s="17"/>
      <c r="X381" s="17"/>
      <c r="Y381" s="17"/>
      <c r="Z381" s="17"/>
    </row>
    <row r="382">
      <c r="A382" s="341"/>
      <c r="B382" s="168"/>
      <c r="C382" s="354"/>
      <c r="D382" s="353"/>
      <c r="E382" s="341"/>
      <c r="F382" s="168"/>
      <c r="G382" s="341"/>
      <c r="H382" s="168"/>
      <c r="I382" s="347"/>
      <c r="J382" s="187"/>
      <c r="K382" s="347"/>
      <c r="L382" s="187"/>
      <c r="M382" s="347"/>
      <c r="N382" s="187"/>
      <c r="O382" s="341"/>
      <c r="P382" s="168"/>
      <c r="Q382" s="363"/>
      <c r="R382" s="223"/>
      <c r="S382" s="17"/>
      <c r="T382" s="17"/>
      <c r="U382" s="17"/>
      <c r="V382" s="17"/>
      <c r="W382" s="17"/>
      <c r="X382" s="17"/>
      <c r="Y382" s="17"/>
      <c r="Z382" s="17"/>
    </row>
    <row r="383">
      <c r="A383" s="341"/>
      <c r="B383" s="168"/>
      <c r="C383" s="354"/>
      <c r="D383" s="353"/>
      <c r="E383" s="341"/>
      <c r="F383" s="168"/>
      <c r="G383" s="341"/>
      <c r="H383" s="168"/>
      <c r="I383" s="347"/>
      <c r="J383" s="187"/>
      <c r="K383" s="347"/>
      <c r="L383" s="187"/>
      <c r="M383" s="347"/>
      <c r="N383" s="187"/>
      <c r="O383" s="341"/>
      <c r="P383" s="168"/>
      <c r="Q383" s="363"/>
      <c r="R383" s="223"/>
      <c r="S383" s="17"/>
      <c r="T383" s="17"/>
      <c r="U383" s="17"/>
      <c r="V383" s="17"/>
      <c r="W383" s="17"/>
      <c r="X383" s="17"/>
      <c r="Y383" s="17"/>
      <c r="Z383" s="17"/>
    </row>
    <row r="384">
      <c r="A384" s="341"/>
      <c r="B384" s="168"/>
      <c r="C384" s="354"/>
      <c r="D384" s="353"/>
      <c r="E384" s="341"/>
      <c r="F384" s="168"/>
      <c r="G384" s="341"/>
      <c r="H384" s="168"/>
      <c r="I384" s="347"/>
      <c r="J384" s="187"/>
      <c r="K384" s="347"/>
      <c r="L384" s="187"/>
      <c r="M384" s="347"/>
      <c r="N384" s="187"/>
      <c r="O384" s="341"/>
      <c r="P384" s="168"/>
      <c r="Q384" s="363"/>
      <c r="R384" s="223"/>
      <c r="S384" s="17"/>
      <c r="T384" s="17"/>
      <c r="U384" s="17"/>
      <c r="V384" s="17"/>
      <c r="W384" s="17"/>
      <c r="X384" s="17"/>
      <c r="Y384" s="17"/>
      <c r="Z384" s="17"/>
    </row>
    <row r="385">
      <c r="A385" s="341"/>
      <c r="B385" s="168"/>
      <c r="C385" s="354"/>
      <c r="D385" s="353"/>
      <c r="E385" s="341"/>
      <c r="F385" s="168"/>
      <c r="G385" s="341"/>
      <c r="H385" s="168"/>
      <c r="I385" s="347"/>
      <c r="J385" s="187"/>
      <c r="K385" s="347"/>
      <c r="L385" s="187"/>
      <c r="M385" s="347"/>
      <c r="N385" s="187"/>
      <c r="O385" s="341"/>
      <c r="P385" s="168"/>
      <c r="Q385" s="363"/>
      <c r="R385" s="223"/>
      <c r="S385" s="17"/>
      <c r="T385" s="17"/>
      <c r="U385" s="17"/>
      <c r="V385" s="17"/>
      <c r="W385" s="17"/>
      <c r="X385" s="17"/>
      <c r="Y385" s="17"/>
      <c r="Z385" s="17"/>
    </row>
    <row r="386">
      <c r="A386" s="341"/>
      <c r="B386" s="168"/>
      <c r="C386" s="354"/>
      <c r="D386" s="353"/>
      <c r="E386" s="341"/>
      <c r="F386" s="168"/>
      <c r="G386" s="341"/>
      <c r="H386" s="168"/>
      <c r="I386" s="347"/>
      <c r="J386" s="187"/>
      <c r="K386" s="347"/>
      <c r="L386" s="187"/>
      <c r="M386" s="347"/>
      <c r="N386" s="187"/>
      <c r="O386" s="341"/>
      <c r="P386" s="168"/>
      <c r="Q386" s="363"/>
      <c r="R386" s="223"/>
      <c r="S386" s="17"/>
      <c r="T386" s="17"/>
      <c r="U386" s="17"/>
      <c r="V386" s="17"/>
      <c r="W386" s="17"/>
      <c r="X386" s="17"/>
      <c r="Y386" s="17"/>
      <c r="Z386" s="17"/>
    </row>
    <row r="387">
      <c r="A387" s="341"/>
      <c r="B387" s="168"/>
      <c r="C387" s="354"/>
      <c r="D387" s="353"/>
      <c r="E387" s="341"/>
      <c r="F387" s="168"/>
      <c r="G387" s="341"/>
      <c r="H387" s="168"/>
      <c r="I387" s="347"/>
      <c r="J387" s="187"/>
      <c r="K387" s="347"/>
      <c r="L387" s="187"/>
      <c r="M387" s="347"/>
      <c r="N387" s="187"/>
      <c r="O387" s="341"/>
      <c r="P387" s="168"/>
      <c r="Q387" s="363"/>
      <c r="R387" s="223"/>
      <c r="S387" s="17"/>
      <c r="T387" s="17"/>
      <c r="U387" s="17"/>
      <c r="V387" s="17"/>
      <c r="W387" s="17"/>
      <c r="X387" s="17"/>
      <c r="Y387" s="17"/>
      <c r="Z387" s="17"/>
    </row>
    <row r="388">
      <c r="A388" s="341"/>
      <c r="B388" s="168"/>
      <c r="C388" s="354"/>
      <c r="D388" s="353"/>
      <c r="E388" s="341"/>
      <c r="F388" s="168"/>
      <c r="G388" s="341"/>
      <c r="H388" s="168"/>
      <c r="I388" s="347"/>
      <c r="J388" s="187"/>
      <c r="K388" s="347"/>
      <c r="L388" s="187"/>
      <c r="M388" s="347"/>
      <c r="N388" s="187"/>
      <c r="O388" s="341"/>
      <c r="P388" s="168"/>
      <c r="Q388" s="363"/>
      <c r="R388" s="223"/>
      <c r="S388" s="17"/>
      <c r="T388" s="17"/>
      <c r="U388" s="17"/>
      <c r="V388" s="17"/>
      <c r="W388" s="17"/>
      <c r="X388" s="17"/>
      <c r="Y388" s="17"/>
      <c r="Z388" s="17"/>
    </row>
    <row r="389">
      <c r="A389" s="341"/>
      <c r="B389" s="168"/>
      <c r="C389" s="354"/>
      <c r="D389" s="353"/>
      <c r="E389" s="341"/>
      <c r="F389" s="168"/>
      <c r="G389" s="341"/>
      <c r="H389" s="168"/>
      <c r="I389" s="347"/>
      <c r="J389" s="187"/>
      <c r="K389" s="347"/>
      <c r="L389" s="187"/>
      <c r="M389" s="347"/>
      <c r="N389" s="187"/>
      <c r="O389" s="341"/>
      <c r="P389" s="168"/>
      <c r="Q389" s="363"/>
      <c r="R389" s="223"/>
      <c r="S389" s="17"/>
      <c r="T389" s="17"/>
      <c r="U389" s="17"/>
      <c r="V389" s="17"/>
      <c r="W389" s="17"/>
      <c r="X389" s="17"/>
      <c r="Y389" s="17"/>
      <c r="Z389" s="17"/>
    </row>
    <row r="390">
      <c r="A390" s="341"/>
      <c r="B390" s="168"/>
      <c r="C390" s="354"/>
      <c r="D390" s="353"/>
      <c r="E390" s="341"/>
      <c r="F390" s="168"/>
      <c r="G390" s="341"/>
      <c r="H390" s="168"/>
      <c r="I390" s="347"/>
      <c r="J390" s="187"/>
      <c r="K390" s="347"/>
      <c r="L390" s="187"/>
      <c r="M390" s="347"/>
      <c r="N390" s="187"/>
      <c r="O390" s="341"/>
      <c r="P390" s="168"/>
      <c r="Q390" s="363"/>
      <c r="R390" s="223"/>
      <c r="S390" s="17"/>
      <c r="T390" s="17"/>
      <c r="U390" s="17"/>
      <c r="V390" s="17"/>
      <c r="W390" s="17"/>
      <c r="X390" s="17"/>
      <c r="Y390" s="17"/>
      <c r="Z390" s="17"/>
    </row>
    <row r="391">
      <c r="A391" s="341"/>
      <c r="B391" s="168"/>
      <c r="C391" s="354"/>
      <c r="D391" s="353"/>
      <c r="E391" s="341"/>
      <c r="F391" s="168"/>
      <c r="G391" s="341"/>
      <c r="H391" s="168"/>
      <c r="I391" s="347"/>
      <c r="J391" s="187"/>
      <c r="K391" s="347"/>
      <c r="L391" s="187"/>
      <c r="M391" s="347"/>
      <c r="N391" s="187"/>
      <c r="O391" s="341"/>
      <c r="P391" s="168"/>
      <c r="Q391" s="363"/>
      <c r="R391" s="223"/>
      <c r="S391" s="17"/>
      <c r="T391" s="17"/>
      <c r="U391" s="17"/>
      <c r="V391" s="17"/>
      <c r="W391" s="17"/>
      <c r="X391" s="17"/>
      <c r="Y391" s="17"/>
      <c r="Z391" s="17"/>
    </row>
    <row r="392">
      <c r="A392" s="341"/>
      <c r="B392" s="168"/>
      <c r="C392" s="354"/>
      <c r="D392" s="353"/>
      <c r="E392" s="341"/>
      <c r="F392" s="168"/>
      <c r="G392" s="341"/>
      <c r="H392" s="168"/>
      <c r="I392" s="347"/>
      <c r="J392" s="187"/>
      <c r="K392" s="347"/>
      <c r="L392" s="187"/>
      <c r="M392" s="347"/>
      <c r="N392" s="187"/>
      <c r="O392" s="341"/>
      <c r="P392" s="168"/>
      <c r="Q392" s="363"/>
      <c r="R392" s="223"/>
      <c r="S392" s="17"/>
      <c r="T392" s="17"/>
      <c r="U392" s="17"/>
      <c r="V392" s="17"/>
      <c r="W392" s="17"/>
      <c r="X392" s="17"/>
      <c r="Y392" s="17"/>
      <c r="Z392" s="17"/>
    </row>
    <row r="393">
      <c r="A393" s="341"/>
      <c r="B393" s="168"/>
      <c r="C393" s="354"/>
      <c r="D393" s="353"/>
      <c r="E393" s="341"/>
      <c r="F393" s="168"/>
      <c r="G393" s="341"/>
      <c r="H393" s="168"/>
      <c r="I393" s="347"/>
      <c r="J393" s="187"/>
      <c r="K393" s="347"/>
      <c r="L393" s="187"/>
      <c r="M393" s="347"/>
      <c r="N393" s="187"/>
      <c r="O393" s="341"/>
      <c r="P393" s="168"/>
      <c r="Q393" s="363"/>
      <c r="R393" s="223"/>
      <c r="S393" s="17"/>
      <c r="T393" s="17"/>
      <c r="U393" s="17"/>
      <c r="V393" s="17"/>
      <c r="W393" s="17"/>
      <c r="X393" s="17"/>
      <c r="Y393" s="17"/>
      <c r="Z393" s="17"/>
    </row>
    <row r="394">
      <c r="A394" s="341"/>
      <c r="B394" s="168"/>
      <c r="C394" s="354"/>
      <c r="D394" s="353"/>
      <c r="E394" s="341"/>
      <c r="F394" s="168"/>
      <c r="G394" s="341"/>
      <c r="H394" s="168"/>
      <c r="I394" s="347"/>
      <c r="J394" s="187"/>
      <c r="K394" s="347"/>
      <c r="L394" s="187"/>
      <c r="M394" s="347"/>
      <c r="N394" s="187"/>
      <c r="O394" s="341"/>
      <c r="P394" s="168"/>
      <c r="Q394" s="363"/>
      <c r="R394" s="223"/>
      <c r="S394" s="17"/>
      <c r="T394" s="17"/>
      <c r="U394" s="17"/>
      <c r="V394" s="17"/>
      <c r="W394" s="17"/>
      <c r="X394" s="17"/>
      <c r="Y394" s="17"/>
      <c r="Z394" s="17"/>
    </row>
    <row r="395">
      <c r="A395" s="341"/>
      <c r="B395" s="168"/>
      <c r="C395" s="354"/>
      <c r="D395" s="353"/>
      <c r="E395" s="341"/>
      <c r="F395" s="168"/>
      <c r="G395" s="341"/>
      <c r="H395" s="168"/>
      <c r="I395" s="347"/>
      <c r="J395" s="187"/>
      <c r="K395" s="347"/>
      <c r="L395" s="187"/>
      <c r="M395" s="347"/>
      <c r="N395" s="187"/>
      <c r="O395" s="341"/>
      <c r="P395" s="168"/>
      <c r="Q395" s="363"/>
      <c r="R395" s="223"/>
      <c r="S395" s="17"/>
      <c r="T395" s="17"/>
      <c r="U395" s="17"/>
      <c r="V395" s="17"/>
      <c r="W395" s="17"/>
      <c r="X395" s="17"/>
      <c r="Y395" s="17"/>
      <c r="Z395" s="17"/>
    </row>
    <row r="396">
      <c r="A396" s="341"/>
      <c r="B396" s="168"/>
      <c r="C396" s="354"/>
      <c r="D396" s="353"/>
      <c r="E396" s="341"/>
      <c r="F396" s="168"/>
      <c r="G396" s="341"/>
      <c r="H396" s="168"/>
      <c r="I396" s="347"/>
      <c r="J396" s="187"/>
      <c r="K396" s="347"/>
      <c r="L396" s="187"/>
      <c r="M396" s="347"/>
      <c r="N396" s="187"/>
      <c r="O396" s="341"/>
      <c r="P396" s="168"/>
      <c r="Q396" s="363"/>
      <c r="R396" s="223"/>
      <c r="S396" s="17"/>
      <c r="T396" s="17"/>
      <c r="U396" s="17"/>
      <c r="V396" s="17"/>
      <c r="W396" s="17"/>
      <c r="X396" s="17"/>
      <c r="Y396" s="17"/>
      <c r="Z396" s="17"/>
    </row>
    <row r="397">
      <c r="A397" s="341"/>
      <c r="B397" s="168"/>
      <c r="C397" s="354"/>
      <c r="D397" s="353"/>
      <c r="E397" s="341"/>
      <c r="F397" s="168"/>
      <c r="G397" s="341"/>
      <c r="H397" s="168"/>
      <c r="I397" s="347"/>
      <c r="J397" s="187"/>
      <c r="K397" s="347"/>
      <c r="L397" s="187"/>
      <c r="M397" s="347"/>
      <c r="N397" s="187"/>
      <c r="O397" s="341"/>
      <c r="P397" s="168"/>
      <c r="Q397" s="363"/>
      <c r="R397" s="223"/>
      <c r="S397" s="17"/>
      <c r="T397" s="17"/>
      <c r="U397" s="17"/>
      <c r="V397" s="17"/>
      <c r="W397" s="17"/>
      <c r="X397" s="17"/>
      <c r="Y397" s="17"/>
      <c r="Z397" s="17"/>
    </row>
    <row r="398">
      <c r="A398" s="341"/>
      <c r="B398" s="168"/>
      <c r="C398" s="354"/>
      <c r="D398" s="353"/>
      <c r="E398" s="341"/>
      <c r="F398" s="168"/>
      <c r="G398" s="341"/>
      <c r="H398" s="168"/>
      <c r="I398" s="347"/>
      <c r="J398" s="187"/>
      <c r="K398" s="347"/>
      <c r="L398" s="187"/>
      <c r="M398" s="347"/>
      <c r="N398" s="187"/>
      <c r="O398" s="341"/>
      <c r="P398" s="168"/>
      <c r="Q398" s="363"/>
      <c r="R398" s="223"/>
      <c r="S398" s="17"/>
      <c r="T398" s="17"/>
      <c r="U398" s="17"/>
      <c r="V398" s="17"/>
      <c r="W398" s="17"/>
      <c r="X398" s="17"/>
      <c r="Y398" s="17"/>
      <c r="Z398" s="17"/>
    </row>
    <row r="399">
      <c r="A399" s="341"/>
      <c r="B399" s="168"/>
      <c r="C399" s="354"/>
      <c r="D399" s="353"/>
      <c r="E399" s="341"/>
      <c r="F399" s="168"/>
      <c r="G399" s="341"/>
      <c r="H399" s="168"/>
      <c r="I399" s="347"/>
      <c r="J399" s="187"/>
      <c r="K399" s="347"/>
      <c r="L399" s="187"/>
      <c r="M399" s="347"/>
      <c r="N399" s="187"/>
      <c r="O399" s="341"/>
      <c r="P399" s="168"/>
      <c r="Q399" s="363"/>
      <c r="R399" s="223"/>
      <c r="S399" s="17"/>
      <c r="T399" s="17"/>
      <c r="U399" s="17"/>
      <c r="V399" s="17"/>
      <c r="W399" s="17"/>
      <c r="X399" s="17"/>
      <c r="Y399" s="17"/>
      <c r="Z399" s="17"/>
    </row>
    <row r="400">
      <c r="A400" s="341"/>
      <c r="B400" s="168"/>
      <c r="C400" s="354"/>
      <c r="D400" s="353"/>
      <c r="E400" s="341"/>
      <c r="F400" s="168"/>
      <c r="G400" s="341"/>
      <c r="H400" s="168"/>
      <c r="I400" s="347"/>
      <c r="J400" s="187"/>
      <c r="K400" s="347"/>
      <c r="L400" s="187"/>
      <c r="M400" s="347"/>
      <c r="N400" s="187"/>
      <c r="O400" s="341"/>
      <c r="P400" s="168"/>
      <c r="Q400" s="363"/>
      <c r="R400" s="223"/>
      <c r="S400" s="17"/>
      <c r="T400" s="17"/>
      <c r="U400" s="17"/>
      <c r="V400" s="17"/>
      <c r="W400" s="17"/>
      <c r="X400" s="17"/>
      <c r="Y400" s="17"/>
      <c r="Z400" s="17"/>
    </row>
    <row r="401">
      <c r="A401" s="341"/>
      <c r="B401" s="168"/>
      <c r="C401" s="354"/>
      <c r="D401" s="353"/>
      <c r="E401" s="341"/>
      <c r="F401" s="168"/>
      <c r="G401" s="341"/>
      <c r="H401" s="168"/>
      <c r="I401" s="347"/>
      <c r="J401" s="187"/>
      <c r="K401" s="347"/>
      <c r="L401" s="187"/>
      <c r="M401" s="347"/>
      <c r="N401" s="187"/>
      <c r="O401" s="341"/>
      <c r="P401" s="168"/>
      <c r="Q401" s="363"/>
      <c r="R401" s="223"/>
      <c r="S401" s="17"/>
      <c r="T401" s="17"/>
      <c r="U401" s="17"/>
      <c r="V401" s="17"/>
      <c r="W401" s="17"/>
      <c r="X401" s="17"/>
      <c r="Y401" s="17"/>
      <c r="Z401" s="17"/>
    </row>
    <row r="402">
      <c r="A402" s="341"/>
      <c r="B402" s="168"/>
      <c r="C402" s="354"/>
      <c r="D402" s="353"/>
      <c r="E402" s="341"/>
      <c r="F402" s="168"/>
      <c r="G402" s="341"/>
      <c r="H402" s="168"/>
      <c r="I402" s="347"/>
      <c r="J402" s="187"/>
      <c r="K402" s="347"/>
      <c r="L402" s="187"/>
      <c r="M402" s="347"/>
      <c r="N402" s="187"/>
      <c r="O402" s="341"/>
      <c r="P402" s="168"/>
      <c r="Q402" s="363"/>
      <c r="R402" s="223"/>
      <c r="S402" s="17"/>
      <c r="T402" s="17"/>
      <c r="U402" s="17"/>
      <c r="V402" s="17"/>
      <c r="W402" s="17"/>
      <c r="X402" s="17"/>
      <c r="Y402" s="17"/>
      <c r="Z402" s="17"/>
    </row>
    <row r="403">
      <c r="A403" s="341"/>
      <c r="B403" s="168"/>
      <c r="C403" s="354"/>
      <c r="D403" s="353"/>
      <c r="E403" s="341"/>
      <c r="F403" s="168"/>
      <c r="G403" s="341"/>
      <c r="H403" s="168"/>
      <c r="I403" s="347"/>
      <c r="J403" s="187"/>
      <c r="K403" s="347"/>
      <c r="L403" s="187"/>
      <c r="M403" s="347"/>
      <c r="N403" s="187"/>
      <c r="O403" s="341"/>
      <c r="P403" s="168"/>
      <c r="Q403" s="363"/>
      <c r="R403" s="223"/>
      <c r="S403" s="17"/>
      <c r="T403" s="17"/>
      <c r="U403" s="17"/>
      <c r="V403" s="17"/>
      <c r="W403" s="17"/>
      <c r="X403" s="17"/>
      <c r="Y403" s="17"/>
      <c r="Z403" s="17"/>
    </row>
    <row r="404">
      <c r="A404" s="341"/>
      <c r="B404" s="168"/>
      <c r="C404" s="354"/>
      <c r="D404" s="353"/>
      <c r="E404" s="341"/>
      <c r="F404" s="168"/>
      <c r="G404" s="341"/>
      <c r="H404" s="168"/>
      <c r="I404" s="347"/>
      <c r="J404" s="187"/>
      <c r="K404" s="347"/>
      <c r="L404" s="187"/>
      <c r="M404" s="347"/>
      <c r="N404" s="187"/>
      <c r="O404" s="341"/>
      <c r="P404" s="168"/>
      <c r="Q404" s="363"/>
      <c r="R404" s="223"/>
      <c r="S404" s="17"/>
      <c r="T404" s="17"/>
      <c r="U404" s="17"/>
      <c r="V404" s="17"/>
      <c r="W404" s="17"/>
      <c r="X404" s="17"/>
      <c r="Y404" s="17"/>
      <c r="Z404" s="17"/>
    </row>
    <row r="405">
      <c r="A405" s="341"/>
      <c r="B405" s="168"/>
      <c r="C405" s="354"/>
      <c r="D405" s="353"/>
      <c r="E405" s="341"/>
      <c r="F405" s="168"/>
      <c r="G405" s="341"/>
      <c r="H405" s="168"/>
      <c r="I405" s="347"/>
      <c r="J405" s="187"/>
      <c r="K405" s="347"/>
      <c r="L405" s="187"/>
      <c r="M405" s="347"/>
      <c r="N405" s="187"/>
      <c r="O405" s="341"/>
      <c r="P405" s="168"/>
      <c r="Q405" s="363"/>
      <c r="R405" s="223"/>
      <c r="S405" s="17"/>
      <c r="T405" s="17"/>
      <c r="U405" s="17"/>
      <c r="V405" s="17"/>
      <c r="W405" s="17"/>
      <c r="X405" s="17"/>
      <c r="Y405" s="17"/>
      <c r="Z405" s="17"/>
    </row>
    <row r="406">
      <c r="A406" s="341"/>
      <c r="B406" s="168"/>
      <c r="C406" s="354"/>
      <c r="D406" s="353"/>
      <c r="E406" s="341"/>
      <c r="F406" s="168"/>
      <c r="G406" s="341"/>
      <c r="H406" s="168"/>
      <c r="I406" s="347"/>
      <c r="J406" s="187"/>
      <c r="K406" s="347"/>
      <c r="L406" s="187"/>
      <c r="M406" s="347"/>
      <c r="N406" s="187"/>
      <c r="O406" s="341"/>
      <c r="P406" s="168"/>
      <c r="Q406" s="363"/>
      <c r="R406" s="223"/>
      <c r="S406" s="17"/>
      <c r="T406" s="17"/>
      <c r="U406" s="17"/>
      <c r="V406" s="17"/>
      <c r="W406" s="17"/>
      <c r="X406" s="17"/>
      <c r="Y406" s="17"/>
      <c r="Z406" s="17"/>
    </row>
    <row r="407">
      <c r="A407" s="341"/>
      <c r="B407" s="168"/>
      <c r="C407" s="354"/>
      <c r="D407" s="353"/>
      <c r="E407" s="341"/>
      <c r="F407" s="168"/>
      <c r="G407" s="341"/>
      <c r="H407" s="168"/>
      <c r="I407" s="347"/>
      <c r="J407" s="187"/>
      <c r="K407" s="347"/>
      <c r="L407" s="187"/>
      <c r="M407" s="347"/>
      <c r="N407" s="187"/>
      <c r="O407" s="341"/>
      <c r="P407" s="168"/>
      <c r="Q407" s="363"/>
      <c r="R407" s="223"/>
      <c r="S407" s="17"/>
      <c r="T407" s="17"/>
      <c r="U407" s="17"/>
      <c r="V407" s="17"/>
      <c r="W407" s="17"/>
      <c r="X407" s="17"/>
      <c r="Y407" s="17"/>
      <c r="Z407" s="17"/>
    </row>
    <row r="408">
      <c r="A408" s="341"/>
      <c r="B408" s="168"/>
      <c r="C408" s="354"/>
      <c r="D408" s="353"/>
      <c r="E408" s="341"/>
      <c r="F408" s="168"/>
      <c r="G408" s="341"/>
      <c r="H408" s="168"/>
      <c r="I408" s="347"/>
      <c r="J408" s="187"/>
      <c r="K408" s="347"/>
      <c r="L408" s="187"/>
      <c r="M408" s="347"/>
      <c r="N408" s="187"/>
      <c r="O408" s="341"/>
      <c r="P408" s="168"/>
      <c r="Q408" s="363"/>
      <c r="R408" s="223"/>
      <c r="S408" s="17"/>
      <c r="T408" s="17"/>
      <c r="U408" s="17"/>
      <c r="V408" s="17"/>
      <c r="W408" s="17"/>
      <c r="X408" s="17"/>
      <c r="Y408" s="17"/>
      <c r="Z408" s="17"/>
    </row>
    <row r="409">
      <c r="A409" s="341"/>
      <c r="B409" s="168"/>
      <c r="C409" s="354"/>
      <c r="D409" s="353"/>
      <c r="E409" s="341"/>
      <c r="F409" s="168"/>
      <c r="G409" s="341"/>
      <c r="H409" s="168"/>
      <c r="I409" s="347"/>
      <c r="J409" s="187"/>
      <c r="K409" s="347"/>
      <c r="L409" s="187"/>
      <c r="M409" s="347"/>
      <c r="N409" s="187"/>
      <c r="O409" s="341"/>
      <c r="P409" s="168"/>
      <c r="Q409" s="363"/>
      <c r="R409" s="223"/>
      <c r="S409" s="17"/>
      <c r="T409" s="17"/>
      <c r="U409" s="17"/>
      <c r="V409" s="17"/>
      <c r="W409" s="17"/>
      <c r="X409" s="17"/>
      <c r="Y409" s="17"/>
      <c r="Z409" s="17"/>
    </row>
    <row r="410">
      <c r="A410" s="341"/>
      <c r="B410" s="168"/>
      <c r="C410" s="354"/>
      <c r="D410" s="353"/>
      <c r="E410" s="341"/>
      <c r="F410" s="168"/>
      <c r="G410" s="341"/>
      <c r="H410" s="168"/>
      <c r="I410" s="347"/>
      <c r="J410" s="187"/>
      <c r="K410" s="347"/>
      <c r="L410" s="187"/>
      <c r="M410" s="347"/>
      <c r="N410" s="187"/>
      <c r="O410" s="341"/>
      <c r="P410" s="168"/>
      <c r="Q410" s="363"/>
      <c r="R410" s="223"/>
      <c r="S410" s="17"/>
      <c r="T410" s="17"/>
      <c r="U410" s="17"/>
      <c r="V410" s="17"/>
      <c r="W410" s="17"/>
      <c r="X410" s="17"/>
      <c r="Y410" s="17"/>
      <c r="Z410" s="17"/>
    </row>
    <row r="411">
      <c r="A411" s="341"/>
      <c r="B411" s="168"/>
      <c r="C411" s="354"/>
      <c r="D411" s="353"/>
      <c r="E411" s="341"/>
      <c r="F411" s="168"/>
      <c r="G411" s="341"/>
      <c r="H411" s="168"/>
      <c r="I411" s="347"/>
      <c r="J411" s="187"/>
      <c r="K411" s="347"/>
      <c r="L411" s="187"/>
      <c r="M411" s="347"/>
      <c r="N411" s="187"/>
      <c r="O411" s="341"/>
      <c r="P411" s="168"/>
      <c r="Q411" s="363"/>
      <c r="R411" s="223"/>
      <c r="S411" s="17"/>
      <c r="T411" s="17"/>
      <c r="U411" s="17"/>
      <c r="V411" s="17"/>
      <c r="W411" s="17"/>
      <c r="X411" s="17"/>
      <c r="Y411" s="17"/>
      <c r="Z411" s="17"/>
    </row>
    <row r="412">
      <c r="A412" s="341"/>
      <c r="B412" s="168"/>
      <c r="C412" s="354"/>
      <c r="D412" s="353"/>
      <c r="E412" s="341"/>
      <c r="F412" s="168"/>
      <c r="G412" s="341"/>
      <c r="H412" s="168"/>
      <c r="I412" s="347"/>
      <c r="J412" s="187"/>
      <c r="K412" s="347"/>
      <c r="L412" s="187"/>
      <c r="M412" s="347"/>
      <c r="N412" s="187"/>
      <c r="O412" s="341"/>
      <c r="P412" s="168"/>
      <c r="Q412" s="363"/>
      <c r="R412" s="223"/>
      <c r="S412" s="17"/>
      <c r="T412" s="17"/>
      <c r="U412" s="17"/>
      <c r="V412" s="17"/>
      <c r="W412" s="17"/>
      <c r="X412" s="17"/>
      <c r="Y412" s="17"/>
      <c r="Z412" s="17"/>
    </row>
    <row r="413">
      <c r="A413" s="341"/>
      <c r="B413" s="168"/>
      <c r="C413" s="354"/>
      <c r="D413" s="353"/>
      <c r="E413" s="341"/>
      <c r="F413" s="168"/>
      <c r="G413" s="341"/>
      <c r="H413" s="168"/>
      <c r="I413" s="347"/>
      <c r="J413" s="187"/>
      <c r="K413" s="347"/>
      <c r="L413" s="187"/>
      <c r="M413" s="347"/>
      <c r="N413" s="187"/>
      <c r="O413" s="341"/>
      <c r="P413" s="168"/>
      <c r="Q413" s="363"/>
      <c r="R413" s="223"/>
      <c r="S413" s="17"/>
      <c r="T413" s="17"/>
      <c r="U413" s="17"/>
      <c r="V413" s="17"/>
      <c r="W413" s="17"/>
      <c r="X413" s="17"/>
      <c r="Y413" s="17"/>
      <c r="Z413" s="17"/>
    </row>
    <row r="414">
      <c r="A414" s="341"/>
      <c r="B414" s="168"/>
      <c r="C414" s="354"/>
      <c r="D414" s="353"/>
      <c r="E414" s="341"/>
      <c r="F414" s="168"/>
      <c r="G414" s="341"/>
      <c r="H414" s="168"/>
      <c r="I414" s="347"/>
      <c r="J414" s="187"/>
      <c r="K414" s="347"/>
      <c r="L414" s="187"/>
      <c r="M414" s="347"/>
      <c r="N414" s="187"/>
      <c r="O414" s="341"/>
      <c r="P414" s="168"/>
      <c r="Q414" s="363"/>
      <c r="R414" s="223"/>
      <c r="S414" s="17"/>
      <c r="T414" s="17"/>
      <c r="U414" s="17"/>
      <c r="V414" s="17"/>
      <c r="W414" s="17"/>
      <c r="X414" s="17"/>
      <c r="Y414" s="17"/>
      <c r="Z414" s="17"/>
    </row>
    <row r="415">
      <c r="A415" s="341"/>
      <c r="B415" s="168"/>
      <c r="C415" s="354"/>
      <c r="D415" s="353"/>
      <c r="E415" s="341"/>
      <c r="F415" s="168"/>
      <c r="G415" s="341"/>
      <c r="H415" s="168"/>
      <c r="I415" s="347"/>
      <c r="J415" s="187"/>
      <c r="K415" s="347"/>
      <c r="L415" s="187"/>
      <c r="M415" s="347"/>
      <c r="N415" s="187"/>
      <c r="O415" s="341"/>
      <c r="P415" s="168"/>
      <c r="Q415" s="363"/>
      <c r="R415" s="223"/>
      <c r="S415" s="17"/>
      <c r="T415" s="17"/>
      <c r="U415" s="17"/>
      <c r="V415" s="17"/>
      <c r="W415" s="17"/>
      <c r="X415" s="17"/>
      <c r="Y415" s="17"/>
      <c r="Z415" s="17"/>
    </row>
    <row r="416">
      <c r="A416" s="341"/>
      <c r="B416" s="168"/>
      <c r="C416" s="354"/>
      <c r="D416" s="353"/>
      <c r="E416" s="341"/>
      <c r="F416" s="168"/>
      <c r="G416" s="341"/>
      <c r="H416" s="168"/>
      <c r="I416" s="347"/>
      <c r="J416" s="187"/>
      <c r="K416" s="347"/>
      <c r="L416" s="187"/>
      <c r="M416" s="347"/>
      <c r="N416" s="187"/>
      <c r="O416" s="341"/>
      <c r="P416" s="168"/>
      <c r="Q416" s="363"/>
      <c r="R416" s="223"/>
      <c r="S416" s="17"/>
      <c r="T416" s="17"/>
      <c r="U416" s="17"/>
      <c r="V416" s="17"/>
      <c r="W416" s="17"/>
      <c r="X416" s="17"/>
      <c r="Y416" s="17"/>
      <c r="Z416" s="17"/>
    </row>
    <row r="417">
      <c r="A417" s="341"/>
      <c r="B417" s="168"/>
      <c r="C417" s="354"/>
      <c r="D417" s="353"/>
      <c r="E417" s="341"/>
      <c r="F417" s="168"/>
      <c r="G417" s="341"/>
      <c r="H417" s="168"/>
      <c r="I417" s="347"/>
      <c r="J417" s="187"/>
      <c r="K417" s="347"/>
      <c r="L417" s="187"/>
      <c r="M417" s="347"/>
      <c r="N417" s="187"/>
      <c r="O417" s="341"/>
      <c r="P417" s="168"/>
      <c r="Q417" s="363"/>
      <c r="R417" s="223"/>
      <c r="S417" s="17"/>
      <c r="T417" s="17"/>
      <c r="U417" s="17"/>
      <c r="V417" s="17"/>
      <c r="W417" s="17"/>
      <c r="X417" s="17"/>
      <c r="Y417" s="17"/>
      <c r="Z417" s="17"/>
    </row>
    <row r="418">
      <c r="A418" s="341"/>
      <c r="B418" s="168"/>
      <c r="C418" s="354"/>
      <c r="D418" s="353"/>
      <c r="E418" s="341"/>
      <c r="F418" s="168"/>
      <c r="G418" s="341"/>
      <c r="H418" s="168"/>
      <c r="I418" s="347"/>
      <c r="J418" s="187"/>
      <c r="K418" s="347"/>
      <c r="L418" s="187"/>
      <c r="M418" s="347"/>
      <c r="N418" s="187"/>
      <c r="O418" s="341"/>
      <c r="P418" s="168"/>
      <c r="Q418" s="363"/>
      <c r="R418" s="223"/>
      <c r="S418" s="17"/>
      <c r="T418" s="17"/>
      <c r="U418" s="17"/>
      <c r="V418" s="17"/>
      <c r="W418" s="17"/>
      <c r="X418" s="17"/>
      <c r="Y418" s="17"/>
      <c r="Z418" s="17"/>
    </row>
    <row r="419">
      <c r="A419" s="341"/>
      <c r="B419" s="168"/>
      <c r="C419" s="354"/>
      <c r="D419" s="353"/>
      <c r="E419" s="341"/>
      <c r="F419" s="168"/>
      <c r="G419" s="341"/>
      <c r="H419" s="168"/>
      <c r="I419" s="347"/>
      <c r="J419" s="187"/>
      <c r="K419" s="347"/>
      <c r="L419" s="187"/>
      <c r="M419" s="347"/>
      <c r="N419" s="187"/>
      <c r="O419" s="341"/>
      <c r="P419" s="168"/>
      <c r="Q419" s="363"/>
      <c r="R419" s="223"/>
      <c r="S419" s="17"/>
      <c r="T419" s="17"/>
      <c r="U419" s="17"/>
      <c r="V419" s="17"/>
      <c r="W419" s="17"/>
      <c r="X419" s="17"/>
      <c r="Y419" s="17"/>
      <c r="Z419" s="17"/>
    </row>
    <row r="420">
      <c r="A420" s="341"/>
      <c r="B420" s="168"/>
      <c r="C420" s="354"/>
      <c r="D420" s="353"/>
      <c r="E420" s="341"/>
      <c r="F420" s="168"/>
      <c r="G420" s="341"/>
      <c r="H420" s="168"/>
      <c r="I420" s="347"/>
      <c r="J420" s="187"/>
      <c r="K420" s="347"/>
      <c r="L420" s="187"/>
      <c r="M420" s="347"/>
      <c r="N420" s="187"/>
      <c r="O420" s="341"/>
      <c r="P420" s="168"/>
      <c r="Q420" s="363"/>
      <c r="R420" s="223"/>
      <c r="S420" s="17"/>
      <c r="T420" s="17"/>
      <c r="U420" s="17"/>
      <c r="V420" s="17"/>
      <c r="W420" s="17"/>
      <c r="X420" s="17"/>
      <c r="Y420" s="17"/>
      <c r="Z420" s="17"/>
    </row>
    <row r="421">
      <c r="A421" s="341"/>
      <c r="B421" s="168"/>
      <c r="C421" s="354"/>
      <c r="D421" s="353"/>
      <c r="E421" s="341"/>
      <c r="F421" s="168"/>
      <c r="G421" s="341"/>
      <c r="H421" s="168"/>
      <c r="I421" s="347"/>
      <c r="J421" s="187"/>
      <c r="K421" s="347"/>
      <c r="L421" s="187"/>
      <c r="M421" s="347"/>
      <c r="N421" s="187"/>
      <c r="O421" s="341"/>
      <c r="P421" s="168"/>
      <c r="Q421" s="363"/>
      <c r="R421" s="223"/>
      <c r="S421" s="17"/>
      <c r="T421" s="17"/>
      <c r="U421" s="17"/>
      <c r="V421" s="17"/>
      <c r="W421" s="17"/>
      <c r="X421" s="17"/>
      <c r="Y421" s="17"/>
      <c r="Z421" s="17"/>
    </row>
    <row r="422">
      <c r="A422" s="341"/>
      <c r="B422" s="168"/>
      <c r="C422" s="354"/>
      <c r="D422" s="353"/>
      <c r="E422" s="341"/>
      <c r="F422" s="168"/>
      <c r="G422" s="341"/>
      <c r="H422" s="168"/>
      <c r="I422" s="347"/>
      <c r="J422" s="187"/>
      <c r="K422" s="347"/>
      <c r="L422" s="187"/>
      <c r="M422" s="347"/>
      <c r="N422" s="187"/>
      <c r="O422" s="341"/>
      <c r="P422" s="168"/>
      <c r="Q422" s="363"/>
      <c r="R422" s="223"/>
      <c r="S422" s="17"/>
      <c r="T422" s="17"/>
      <c r="U422" s="17"/>
      <c r="V422" s="17"/>
      <c r="W422" s="17"/>
      <c r="X422" s="17"/>
      <c r="Y422" s="17"/>
      <c r="Z422" s="17"/>
    </row>
    <row r="423">
      <c r="A423" s="341"/>
      <c r="B423" s="168"/>
      <c r="C423" s="354"/>
      <c r="D423" s="353"/>
      <c r="E423" s="341"/>
      <c r="F423" s="168"/>
      <c r="G423" s="341"/>
      <c r="H423" s="168"/>
      <c r="I423" s="347"/>
      <c r="J423" s="187"/>
      <c r="K423" s="347"/>
      <c r="L423" s="187"/>
      <c r="M423" s="347"/>
      <c r="N423" s="187"/>
      <c r="O423" s="341"/>
      <c r="P423" s="168"/>
      <c r="Q423" s="363"/>
      <c r="R423" s="223"/>
      <c r="S423" s="17"/>
      <c r="T423" s="17"/>
      <c r="U423" s="17"/>
      <c r="V423" s="17"/>
      <c r="W423" s="17"/>
      <c r="X423" s="17"/>
      <c r="Y423" s="17"/>
      <c r="Z423" s="17"/>
    </row>
    <row r="424">
      <c r="A424" s="341"/>
      <c r="B424" s="168"/>
      <c r="C424" s="354"/>
      <c r="D424" s="353"/>
      <c r="E424" s="341"/>
      <c r="F424" s="168"/>
      <c r="G424" s="341"/>
      <c r="H424" s="168"/>
      <c r="I424" s="347"/>
      <c r="J424" s="187"/>
      <c r="K424" s="347"/>
      <c r="L424" s="187"/>
      <c r="M424" s="347"/>
      <c r="N424" s="187"/>
      <c r="O424" s="341"/>
      <c r="P424" s="168"/>
      <c r="Q424" s="363"/>
      <c r="R424" s="223"/>
      <c r="S424" s="17"/>
      <c r="T424" s="17"/>
      <c r="U424" s="17"/>
      <c r="V424" s="17"/>
      <c r="W424" s="17"/>
      <c r="X424" s="17"/>
      <c r="Y424" s="17"/>
      <c r="Z424" s="17"/>
    </row>
    <row r="425">
      <c r="A425" s="341"/>
      <c r="B425" s="168"/>
      <c r="C425" s="354"/>
      <c r="D425" s="353"/>
      <c r="E425" s="341"/>
      <c r="F425" s="168"/>
      <c r="G425" s="341"/>
      <c r="H425" s="168"/>
      <c r="I425" s="347"/>
      <c r="J425" s="187"/>
      <c r="K425" s="347"/>
      <c r="L425" s="187"/>
      <c r="M425" s="347"/>
      <c r="N425" s="187"/>
      <c r="O425" s="341"/>
      <c r="P425" s="168"/>
      <c r="Q425" s="363"/>
      <c r="R425" s="223"/>
      <c r="S425" s="17"/>
      <c r="T425" s="17"/>
      <c r="U425" s="17"/>
      <c r="V425" s="17"/>
      <c r="W425" s="17"/>
      <c r="X425" s="17"/>
      <c r="Y425" s="17"/>
      <c r="Z425" s="17"/>
    </row>
    <row r="426">
      <c r="A426" s="341"/>
      <c r="B426" s="168"/>
      <c r="C426" s="354"/>
      <c r="D426" s="353"/>
      <c r="E426" s="341"/>
      <c r="F426" s="168"/>
      <c r="G426" s="341"/>
      <c r="H426" s="168"/>
      <c r="I426" s="347"/>
      <c r="J426" s="187"/>
      <c r="K426" s="347"/>
      <c r="L426" s="187"/>
      <c r="M426" s="347"/>
      <c r="N426" s="187"/>
      <c r="O426" s="341"/>
      <c r="P426" s="168"/>
      <c r="Q426" s="363"/>
      <c r="R426" s="223"/>
      <c r="S426" s="17"/>
      <c r="T426" s="17"/>
      <c r="U426" s="17"/>
      <c r="V426" s="17"/>
      <c r="W426" s="17"/>
      <c r="X426" s="17"/>
      <c r="Y426" s="17"/>
      <c r="Z426" s="17"/>
    </row>
    <row r="427">
      <c r="A427" s="341"/>
      <c r="B427" s="168"/>
      <c r="C427" s="354"/>
      <c r="D427" s="353"/>
      <c r="E427" s="341"/>
      <c r="F427" s="168"/>
      <c r="G427" s="341"/>
      <c r="H427" s="168"/>
      <c r="I427" s="347"/>
      <c r="J427" s="187"/>
      <c r="K427" s="347"/>
      <c r="L427" s="187"/>
      <c r="M427" s="347"/>
      <c r="N427" s="187"/>
      <c r="O427" s="341"/>
      <c r="P427" s="168"/>
      <c r="Q427" s="363"/>
      <c r="R427" s="223"/>
      <c r="S427" s="17"/>
      <c r="T427" s="17"/>
      <c r="U427" s="17"/>
      <c r="V427" s="17"/>
      <c r="W427" s="17"/>
      <c r="X427" s="17"/>
      <c r="Y427" s="17"/>
      <c r="Z427" s="17"/>
    </row>
    <row r="428">
      <c r="A428" s="341"/>
      <c r="B428" s="168"/>
      <c r="C428" s="354"/>
      <c r="D428" s="353"/>
      <c r="E428" s="341"/>
      <c r="F428" s="168"/>
      <c r="G428" s="341"/>
      <c r="H428" s="168"/>
      <c r="I428" s="347"/>
      <c r="J428" s="187"/>
      <c r="K428" s="347"/>
      <c r="L428" s="187"/>
      <c r="M428" s="347"/>
      <c r="N428" s="187"/>
      <c r="O428" s="341"/>
      <c r="P428" s="168"/>
      <c r="Q428" s="363"/>
      <c r="R428" s="223"/>
      <c r="S428" s="17"/>
      <c r="T428" s="17"/>
      <c r="U428" s="17"/>
      <c r="V428" s="17"/>
      <c r="W428" s="17"/>
      <c r="X428" s="17"/>
      <c r="Y428" s="17"/>
      <c r="Z428" s="17"/>
    </row>
    <row r="429">
      <c r="A429" s="341"/>
      <c r="B429" s="168"/>
      <c r="C429" s="354"/>
      <c r="D429" s="353"/>
      <c r="E429" s="341"/>
      <c r="F429" s="168"/>
      <c r="G429" s="341"/>
      <c r="H429" s="168"/>
      <c r="I429" s="347"/>
      <c r="J429" s="187"/>
      <c r="K429" s="347"/>
      <c r="L429" s="187"/>
      <c r="M429" s="347"/>
      <c r="N429" s="187"/>
      <c r="O429" s="341"/>
      <c r="P429" s="168"/>
      <c r="Q429" s="363"/>
      <c r="R429" s="223"/>
      <c r="S429" s="17"/>
      <c r="T429" s="17"/>
      <c r="U429" s="17"/>
      <c r="V429" s="17"/>
      <c r="W429" s="17"/>
      <c r="X429" s="17"/>
      <c r="Y429" s="17"/>
      <c r="Z429" s="17"/>
    </row>
    <row r="430">
      <c r="A430" s="341"/>
      <c r="B430" s="168"/>
      <c r="C430" s="354"/>
      <c r="D430" s="353"/>
      <c r="E430" s="341"/>
      <c r="F430" s="168"/>
      <c r="G430" s="341"/>
      <c r="H430" s="168"/>
      <c r="I430" s="347"/>
      <c r="J430" s="187"/>
      <c r="K430" s="347"/>
      <c r="L430" s="187"/>
      <c r="M430" s="347"/>
      <c r="N430" s="187"/>
      <c r="O430" s="341"/>
      <c r="P430" s="168"/>
      <c r="Q430" s="363"/>
      <c r="R430" s="223"/>
      <c r="S430" s="17"/>
      <c r="T430" s="17"/>
      <c r="U430" s="17"/>
      <c r="V430" s="17"/>
      <c r="W430" s="17"/>
      <c r="X430" s="17"/>
      <c r="Y430" s="17"/>
      <c r="Z430" s="17"/>
    </row>
    <row r="431">
      <c r="A431" s="341"/>
      <c r="B431" s="168"/>
      <c r="C431" s="354"/>
      <c r="D431" s="353"/>
      <c r="E431" s="341"/>
      <c r="F431" s="168"/>
      <c r="G431" s="341"/>
      <c r="H431" s="168"/>
      <c r="I431" s="347"/>
      <c r="J431" s="187"/>
      <c r="K431" s="347"/>
      <c r="L431" s="187"/>
      <c r="M431" s="347"/>
      <c r="N431" s="187"/>
      <c r="O431" s="341"/>
      <c r="P431" s="168"/>
      <c r="Q431" s="363"/>
      <c r="R431" s="223"/>
      <c r="S431" s="17"/>
      <c r="T431" s="17"/>
      <c r="U431" s="17"/>
      <c r="V431" s="17"/>
      <c r="W431" s="17"/>
      <c r="X431" s="17"/>
      <c r="Y431" s="17"/>
      <c r="Z431" s="17"/>
    </row>
    <row r="432">
      <c r="A432" s="341"/>
      <c r="B432" s="168"/>
      <c r="C432" s="354"/>
      <c r="D432" s="353"/>
      <c r="E432" s="341"/>
      <c r="F432" s="168"/>
      <c r="G432" s="341"/>
      <c r="H432" s="168"/>
      <c r="I432" s="347"/>
      <c r="J432" s="187"/>
      <c r="K432" s="347"/>
      <c r="L432" s="187"/>
      <c r="M432" s="347"/>
      <c r="N432" s="187"/>
      <c r="O432" s="341"/>
      <c r="P432" s="168"/>
      <c r="Q432" s="363"/>
      <c r="R432" s="223"/>
      <c r="S432" s="17"/>
      <c r="T432" s="17"/>
      <c r="U432" s="17"/>
      <c r="V432" s="17"/>
      <c r="W432" s="17"/>
      <c r="X432" s="17"/>
      <c r="Y432" s="17"/>
      <c r="Z432" s="17"/>
    </row>
    <row r="433">
      <c r="A433" s="341"/>
      <c r="B433" s="168"/>
      <c r="C433" s="354"/>
      <c r="D433" s="353"/>
      <c r="E433" s="341"/>
      <c r="F433" s="168"/>
      <c r="G433" s="341"/>
      <c r="H433" s="168"/>
      <c r="I433" s="347"/>
      <c r="J433" s="187"/>
      <c r="K433" s="347"/>
      <c r="L433" s="187"/>
      <c r="M433" s="347"/>
      <c r="N433" s="187"/>
      <c r="O433" s="341"/>
      <c r="P433" s="168"/>
      <c r="Q433" s="363"/>
      <c r="R433" s="223"/>
      <c r="S433" s="17"/>
      <c r="T433" s="17"/>
      <c r="U433" s="17"/>
      <c r="V433" s="17"/>
      <c r="W433" s="17"/>
      <c r="X433" s="17"/>
      <c r="Y433" s="17"/>
      <c r="Z433" s="17"/>
    </row>
    <row r="434">
      <c r="A434" s="341"/>
      <c r="B434" s="168"/>
      <c r="C434" s="354"/>
      <c r="D434" s="353"/>
      <c r="E434" s="341"/>
      <c r="F434" s="168"/>
      <c r="G434" s="341"/>
      <c r="H434" s="168"/>
      <c r="I434" s="347"/>
      <c r="J434" s="187"/>
      <c r="K434" s="347"/>
      <c r="L434" s="187"/>
      <c r="M434" s="347"/>
      <c r="N434" s="187"/>
      <c r="O434" s="341"/>
      <c r="P434" s="168"/>
      <c r="Q434" s="363"/>
      <c r="R434" s="223"/>
      <c r="S434" s="17"/>
      <c r="T434" s="17"/>
      <c r="U434" s="17"/>
      <c r="V434" s="17"/>
      <c r="W434" s="17"/>
      <c r="X434" s="17"/>
      <c r="Y434" s="17"/>
      <c r="Z434" s="17"/>
    </row>
    <row r="435">
      <c r="A435" s="341"/>
      <c r="B435" s="168"/>
      <c r="C435" s="354"/>
      <c r="D435" s="353"/>
      <c r="E435" s="341"/>
      <c r="F435" s="168"/>
      <c r="G435" s="341"/>
      <c r="H435" s="168"/>
      <c r="I435" s="347"/>
      <c r="J435" s="187"/>
      <c r="K435" s="347"/>
      <c r="L435" s="187"/>
      <c r="M435" s="347"/>
      <c r="N435" s="187"/>
      <c r="O435" s="341"/>
      <c r="P435" s="168"/>
      <c r="Q435" s="363"/>
      <c r="R435" s="223"/>
      <c r="S435" s="17"/>
      <c r="T435" s="17"/>
      <c r="U435" s="17"/>
      <c r="V435" s="17"/>
      <c r="W435" s="17"/>
      <c r="X435" s="17"/>
      <c r="Y435" s="17"/>
      <c r="Z435" s="17"/>
    </row>
    <row r="436">
      <c r="A436" s="341"/>
      <c r="B436" s="168"/>
      <c r="C436" s="354"/>
      <c r="D436" s="353"/>
      <c r="E436" s="341"/>
      <c r="F436" s="168"/>
      <c r="G436" s="341"/>
      <c r="H436" s="168"/>
      <c r="I436" s="347"/>
      <c r="J436" s="187"/>
      <c r="K436" s="347"/>
      <c r="L436" s="187"/>
      <c r="M436" s="347"/>
      <c r="N436" s="187"/>
      <c r="O436" s="341"/>
      <c r="P436" s="168"/>
      <c r="Q436" s="363"/>
      <c r="R436" s="223"/>
      <c r="S436" s="17"/>
      <c r="T436" s="17"/>
      <c r="U436" s="17"/>
      <c r="V436" s="17"/>
      <c r="W436" s="17"/>
      <c r="X436" s="17"/>
      <c r="Y436" s="17"/>
      <c r="Z436" s="17"/>
    </row>
    <row r="437">
      <c r="A437" s="341"/>
      <c r="B437" s="168"/>
      <c r="C437" s="354"/>
      <c r="D437" s="353"/>
      <c r="E437" s="341"/>
      <c r="F437" s="168"/>
      <c r="G437" s="341"/>
      <c r="H437" s="168"/>
      <c r="I437" s="347"/>
      <c r="J437" s="187"/>
      <c r="K437" s="347"/>
      <c r="L437" s="187"/>
      <c r="M437" s="347"/>
      <c r="N437" s="187"/>
      <c r="O437" s="341"/>
      <c r="P437" s="168"/>
      <c r="Q437" s="363"/>
      <c r="R437" s="223"/>
      <c r="S437" s="17"/>
      <c r="T437" s="17"/>
      <c r="U437" s="17"/>
      <c r="V437" s="17"/>
      <c r="W437" s="17"/>
      <c r="X437" s="17"/>
      <c r="Y437" s="17"/>
      <c r="Z437" s="17"/>
    </row>
    <row r="438">
      <c r="A438" s="341"/>
      <c r="B438" s="168"/>
      <c r="C438" s="354"/>
      <c r="D438" s="353"/>
      <c r="E438" s="341"/>
      <c r="F438" s="168"/>
      <c r="G438" s="341"/>
      <c r="H438" s="168"/>
      <c r="I438" s="347"/>
      <c r="J438" s="187"/>
      <c r="K438" s="347"/>
      <c r="L438" s="187"/>
      <c r="M438" s="347"/>
      <c r="N438" s="187"/>
      <c r="O438" s="341"/>
      <c r="P438" s="168"/>
      <c r="Q438" s="363"/>
      <c r="R438" s="223"/>
      <c r="S438" s="17"/>
      <c r="T438" s="17"/>
      <c r="U438" s="17"/>
      <c r="V438" s="17"/>
      <c r="W438" s="17"/>
      <c r="X438" s="17"/>
      <c r="Y438" s="17"/>
      <c r="Z438" s="17"/>
    </row>
    <row r="439">
      <c r="A439" s="341"/>
      <c r="B439" s="168"/>
      <c r="C439" s="354"/>
      <c r="D439" s="353"/>
      <c r="E439" s="341"/>
      <c r="F439" s="168"/>
      <c r="G439" s="341"/>
      <c r="H439" s="168"/>
      <c r="I439" s="347"/>
      <c r="J439" s="187"/>
      <c r="K439" s="347"/>
      <c r="L439" s="187"/>
      <c r="M439" s="347"/>
      <c r="N439" s="187"/>
      <c r="O439" s="341"/>
      <c r="P439" s="168"/>
      <c r="Q439" s="363"/>
      <c r="R439" s="223"/>
      <c r="S439" s="17"/>
      <c r="T439" s="17"/>
      <c r="U439" s="17"/>
      <c r="V439" s="17"/>
      <c r="W439" s="17"/>
      <c r="X439" s="17"/>
      <c r="Y439" s="17"/>
      <c r="Z439" s="17"/>
    </row>
    <row r="440">
      <c r="A440" s="341"/>
      <c r="B440" s="168"/>
      <c r="C440" s="354"/>
      <c r="D440" s="353"/>
      <c r="E440" s="341"/>
      <c r="F440" s="168"/>
      <c r="G440" s="341"/>
      <c r="H440" s="168"/>
      <c r="I440" s="347"/>
      <c r="J440" s="187"/>
      <c r="K440" s="347"/>
      <c r="L440" s="187"/>
      <c r="M440" s="347"/>
      <c r="N440" s="187"/>
      <c r="O440" s="341"/>
      <c r="P440" s="168"/>
      <c r="Q440" s="363"/>
      <c r="R440" s="223"/>
      <c r="S440" s="17"/>
      <c r="T440" s="17"/>
      <c r="U440" s="17"/>
      <c r="V440" s="17"/>
      <c r="W440" s="17"/>
      <c r="X440" s="17"/>
      <c r="Y440" s="17"/>
      <c r="Z440" s="17"/>
    </row>
    <row r="441">
      <c r="A441" s="341"/>
      <c r="B441" s="168"/>
      <c r="C441" s="354"/>
      <c r="D441" s="353"/>
      <c r="E441" s="341"/>
      <c r="F441" s="168"/>
      <c r="G441" s="341"/>
      <c r="H441" s="168"/>
      <c r="I441" s="347"/>
      <c r="J441" s="187"/>
      <c r="K441" s="347"/>
      <c r="L441" s="187"/>
      <c r="M441" s="347"/>
      <c r="N441" s="187"/>
      <c r="O441" s="341"/>
      <c r="P441" s="168"/>
      <c r="Q441" s="363"/>
      <c r="R441" s="223"/>
      <c r="S441" s="17"/>
      <c r="T441" s="17"/>
      <c r="U441" s="17"/>
      <c r="V441" s="17"/>
      <c r="W441" s="17"/>
      <c r="X441" s="17"/>
      <c r="Y441" s="17"/>
      <c r="Z441" s="17"/>
    </row>
    <row r="442">
      <c r="A442" s="341"/>
      <c r="B442" s="168"/>
      <c r="C442" s="354"/>
      <c r="D442" s="353"/>
      <c r="E442" s="341"/>
      <c r="F442" s="168"/>
      <c r="G442" s="341"/>
      <c r="H442" s="168"/>
      <c r="I442" s="347"/>
      <c r="J442" s="187"/>
      <c r="K442" s="347"/>
      <c r="L442" s="187"/>
      <c r="M442" s="347"/>
      <c r="N442" s="187"/>
      <c r="O442" s="341"/>
      <c r="P442" s="168"/>
      <c r="Q442" s="363"/>
      <c r="R442" s="223"/>
      <c r="S442" s="17"/>
      <c r="T442" s="17"/>
      <c r="U442" s="17"/>
      <c r="V442" s="17"/>
      <c r="W442" s="17"/>
      <c r="X442" s="17"/>
      <c r="Y442" s="17"/>
      <c r="Z442" s="17"/>
    </row>
    <row r="443">
      <c r="A443" s="341"/>
      <c r="B443" s="168"/>
      <c r="C443" s="354"/>
      <c r="D443" s="353"/>
      <c r="E443" s="341"/>
      <c r="F443" s="168"/>
      <c r="G443" s="341"/>
      <c r="H443" s="168"/>
      <c r="I443" s="347"/>
      <c r="J443" s="187"/>
      <c r="K443" s="347"/>
      <c r="L443" s="187"/>
      <c r="M443" s="347"/>
      <c r="N443" s="187"/>
      <c r="O443" s="341"/>
      <c r="P443" s="168"/>
      <c r="Q443" s="363"/>
      <c r="R443" s="223"/>
      <c r="S443" s="17"/>
      <c r="T443" s="17"/>
      <c r="U443" s="17"/>
      <c r="V443" s="17"/>
      <c r="W443" s="17"/>
      <c r="X443" s="17"/>
      <c r="Y443" s="17"/>
      <c r="Z443" s="17"/>
    </row>
    <row r="444">
      <c r="A444" s="341"/>
      <c r="B444" s="168"/>
      <c r="C444" s="354"/>
      <c r="D444" s="353"/>
      <c r="E444" s="341"/>
      <c r="F444" s="168"/>
      <c r="G444" s="341"/>
      <c r="H444" s="168"/>
      <c r="I444" s="347"/>
      <c r="J444" s="187"/>
      <c r="K444" s="347"/>
      <c r="L444" s="187"/>
      <c r="M444" s="347"/>
      <c r="N444" s="187"/>
      <c r="O444" s="341"/>
      <c r="P444" s="168"/>
      <c r="Q444" s="363"/>
      <c r="R444" s="223"/>
      <c r="S444" s="17"/>
      <c r="T444" s="17"/>
      <c r="U444" s="17"/>
      <c r="V444" s="17"/>
      <c r="W444" s="17"/>
      <c r="X444" s="17"/>
      <c r="Y444" s="17"/>
      <c r="Z444" s="17"/>
    </row>
    <row r="445">
      <c r="A445" s="341"/>
      <c r="B445" s="168"/>
      <c r="C445" s="354"/>
      <c r="D445" s="353"/>
      <c r="E445" s="341"/>
      <c r="F445" s="168"/>
      <c r="G445" s="341"/>
      <c r="H445" s="168"/>
      <c r="I445" s="347"/>
      <c r="J445" s="187"/>
      <c r="K445" s="347"/>
      <c r="L445" s="187"/>
      <c r="M445" s="347"/>
      <c r="N445" s="187"/>
      <c r="O445" s="341"/>
      <c r="P445" s="168"/>
      <c r="Q445" s="363"/>
      <c r="R445" s="223"/>
      <c r="S445" s="17"/>
      <c r="T445" s="17"/>
      <c r="U445" s="17"/>
      <c r="V445" s="17"/>
      <c r="W445" s="17"/>
      <c r="X445" s="17"/>
      <c r="Y445" s="17"/>
      <c r="Z445" s="17"/>
    </row>
    <row r="446">
      <c r="A446" s="341"/>
      <c r="B446" s="168"/>
      <c r="C446" s="354"/>
      <c r="D446" s="353"/>
      <c r="E446" s="341"/>
      <c r="F446" s="168"/>
      <c r="G446" s="341"/>
      <c r="H446" s="168"/>
      <c r="I446" s="347"/>
      <c r="J446" s="187"/>
      <c r="K446" s="347"/>
      <c r="L446" s="187"/>
      <c r="M446" s="347"/>
      <c r="N446" s="187"/>
      <c r="O446" s="341"/>
      <c r="P446" s="168"/>
      <c r="Q446" s="363"/>
      <c r="R446" s="223"/>
      <c r="S446" s="17"/>
      <c r="T446" s="17"/>
      <c r="U446" s="17"/>
      <c r="V446" s="17"/>
      <c r="W446" s="17"/>
      <c r="X446" s="17"/>
      <c r="Y446" s="17"/>
      <c r="Z446" s="17"/>
    </row>
    <row r="447">
      <c r="A447" s="341"/>
      <c r="B447" s="168"/>
      <c r="C447" s="354"/>
      <c r="D447" s="353"/>
      <c r="E447" s="341"/>
      <c r="F447" s="168"/>
      <c r="G447" s="341"/>
      <c r="H447" s="168"/>
      <c r="I447" s="347"/>
      <c r="J447" s="187"/>
      <c r="K447" s="347"/>
      <c r="L447" s="187"/>
      <c r="M447" s="347"/>
      <c r="N447" s="187"/>
      <c r="O447" s="341"/>
      <c r="P447" s="168"/>
      <c r="Q447" s="363"/>
      <c r="R447" s="223"/>
      <c r="S447" s="17"/>
      <c r="T447" s="17"/>
      <c r="U447" s="17"/>
      <c r="V447" s="17"/>
      <c r="W447" s="17"/>
      <c r="X447" s="17"/>
      <c r="Y447" s="17"/>
      <c r="Z447" s="17"/>
    </row>
    <row r="448">
      <c r="A448" s="341"/>
      <c r="B448" s="168"/>
      <c r="C448" s="354"/>
      <c r="D448" s="353"/>
      <c r="E448" s="341"/>
      <c r="F448" s="168"/>
      <c r="G448" s="341"/>
      <c r="H448" s="168"/>
      <c r="I448" s="347"/>
      <c r="J448" s="187"/>
      <c r="K448" s="347"/>
      <c r="L448" s="187"/>
      <c r="M448" s="347"/>
      <c r="N448" s="187"/>
      <c r="O448" s="341"/>
      <c r="P448" s="168"/>
      <c r="Q448" s="363"/>
      <c r="R448" s="223"/>
      <c r="S448" s="17"/>
      <c r="T448" s="17"/>
      <c r="U448" s="17"/>
      <c r="V448" s="17"/>
      <c r="W448" s="17"/>
      <c r="X448" s="17"/>
      <c r="Y448" s="17"/>
      <c r="Z448" s="17"/>
    </row>
    <row r="449">
      <c r="A449" s="341"/>
      <c r="B449" s="168"/>
      <c r="C449" s="354"/>
      <c r="D449" s="353"/>
      <c r="E449" s="341"/>
      <c r="F449" s="168"/>
      <c r="G449" s="341"/>
      <c r="H449" s="168"/>
      <c r="I449" s="347"/>
      <c r="J449" s="187"/>
      <c r="K449" s="347"/>
      <c r="L449" s="187"/>
      <c r="M449" s="347"/>
      <c r="N449" s="187"/>
      <c r="O449" s="341"/>
      <c r="P449" s="168"/>
      <c r="Q449" s="363"/>
      <c r="R449" s="223"/>
      <c r="S449" s="17"/>
      <c r="T449" s="17"/>
      <c r="U449" s="17"/>
      <c r="V449" s="17"/>
      <c r="W449" s="17"/>
      <c r="X449" s="17"/>
      <c r="Y449" s="17"/>
      <c r="Z449" s="17"/>
    </row>
    <row r="450">
      <c r="A450" s="341"/>
      <c r="B450" s="168"/>
      <c r="C450" s="354"/>
      <c r="D450" s="353"/>
      <c r="E450" s="341"/>
      <c r="F450" s="168"/>
      <c r="G450" s="341"/>
      <c r="H450" s="168"/>
      <c r="I450" s="347"/>
      <c r="J450" s="187"/>
      <c r="K450" s="347"/>
      <c r="L450" s="187"/>
      <c r="M450" s="347"/>
      <c r="N450" s="187"/>
      <c r="O450" s="341"/>
      <c r="P450" s="168"/>
      <c r="Q450" s="363"/>
      <c r="R450" s="223"/>
      <c r="S450" s="17"/>
      <c r="T450" s="17"/>
      <c r="U450" s="17"/>
      <c r="V450" s="17"/>
      <c r="W450" s="17"/>
      <c r="X450" s="17"/>
      <c r="Y450" s="17"/>
      <c r="Z450" s="17"/>
    </row>
    <row r="451">
      <c r="A451" s="341"/>
      <c r="B451" s="168"/>
      <c r="C451" s="354"/>
      <c r="D451" s="353"/>
      <c r="E451" s="341"/>
      <c r="F451" s="168"/>
      <c r="G451" s="341"/>
      <c r="H451" s="168"/>
      <c r="I451" s="347"/>
      <c r="J451" s="187"/>
      <c r="K451" s="347"/>
      <c r="L451" s="187"/>
      <c r="M451" s="347"/>
      <c r="N451" s="187"/>
      <c r="O451" s="341"/>
      <c r="P451" s="168"/>
      <c r="Q451" s="363"/>
      <c r="R451" s="223"/>
      <c r="S451" s="17"/>
      <c r="T451" s="17"/>
      <c r="U451" s="17"/>
      <c r="V451" s="17"/>
      <c r="W451" s="17"/>
      <c r="X451" s="17"/>
      <c r="Y451" s="17"/>
      <c r="Z451" s="17"/>
    </row>
    <row r="452">
      <c r="A452" s="341"/>
      <c r="B452" s="168"/>
      <c r="C452" s="354"/>
      <c r="D452" s="353"/>
      <c r="E452" s="341"/>
      <c r="F452" s="168"/>
      <c r="G452" s="341"/>
      <c r="H452" s="168"/>
      <c r="I452" s="347"/>
      <c r="J452" s="187"/>
      <c r="K452" s="347"/>
      <c r="L452" s="187"/>
      <c r="M452" s="347"/>
      <c r="N452" s="187"/>
      <c r="O452" s="341"/>
      <c r="P452" s="168"/>
      <c r="Q452" s="363"/>
      <c r="R452" s="223"/>
      <c r="S452" s="17"/>
      <c r="T452" s="17"/>
      <c r="U452" s="17"/>
      <c r="V452" s="17"/>
      <c r="W452" s="17"/>
      <c r="X452" s="17"/>
      <c r="Y452" s="17"/>
      <c r="Z452" s="17"/>
    </row>
    <row r="453">
      <c r="A453" s="341"/>
      <c r="B453" s="168"/>
      <c r="C453" s="354"/>
      <c r="D453" s="353"/>
      <c r="E453" s="341"/>
      <c r="F453" s="168"/>
      <c r="G453" s="341"/>
      <c r="H453" s="168"/>
      <c r="I453" s="347"/>
      <c r="J453" s="187"/>
      <c r="K453" s="347"/>
      <c r="L453" s="187"/>
      <c r="M453" s="347"/>
      <c r="N453" s="187"/>
      <c r="O453" s="341"/>
      <c r="P453" s="168"/>
      <c r="Q453" s="363"/>
      <c r="R453" s="223"/>
      <c r="S453" s="17"/>
      <c r="T453" s="17"/>
      <c r="U453" s="17"/>
      <c r="V453" s="17"/>
      <c r="W453" s="17"/>
      <c r="X453" s="17"/>
      <c r="Y453" s="17"/>
      <c r="Z453" s="17"/>
    </row>
    <row r="454">
      <c r="A454" s="341"/>
      <c r="B454" s="168"/>
      <c r="C454" s="354"/>
      <c r="D454" s="353"/>
      <c r="E454" s="341"/>
      <c r="F454" s="168"/>
      <c r="G454" s="341"/>
      <c r="H454" s="168"/>
      <c r="I454" s="347"/>
      <c r="J454" s="187"/>
      <c r="K454" s="347"/>
      <c r="L454" s="187"/>
      <c r="M454" s="347"/>
      <c r="N454" s="187"/>
      <c r="O454" s="341"/>
      <c r="P454" s="168"/>
      <c r="Q454" s="363"/>
      <c r="R454" s="223"/>
      <c r="S454" s="17"/>
      <c r="T454" s="17"/>
      <c r="U454" s="17"/>
      <c r="V454" s="17"/>
      <c r="W454" s="17"/>
      <c r="X454" s="17"/>
      <c r="Y454" s="17"/>
      <c r="Z454" s="17"/>
    </row>
    <row r="455">
      <c r="A455" s="341"/>
      <c r="B455" s="168"/>
      <c r="C455" s="354"/>
      <c r="D455" s="353"/>
      <c r="E455" s="341"/>
      <c r="F455" s="168"/>
      <c r="G455" s="341"/>
      <c r="H455" s="168"/>
      <c r="I455" s="347"/>
      <c r="J455" s="187"/>
      <c r="K455" s="347"/>
      <c r="L455" s="187"/>
      <c r="M455" s="347"/>
      <c r="N455" s="187"/>
      <c r="O455" s="341"/>
      <c r="P455" s="168"/>
      <c r="Q455" s="363"/>
      <c r="R455" s="223"/>
      <c r="S455" s="17"/>
      <c r="T455" s="17"/>
      <c r="U455" s="17"/>
      <c r="V455" s="17"/>
      <c r="W455" s="17"/>
      <c r="X455" s="17"/>
      <c r="Y455" s="17"/>
      <c r="Z455" s="17"/>
    </row>
    <row r="456">
      <c r="A456" s="341"/>
      <c r="B456" s="168"/>
      <c r="C456" s="354"/>
      <c r="D456" s="353"/>
      <c r="E456" s="341"/>
      <c r="F456" s="168"/>
      <c r="G456" s="341"/>
      <c r="H456" s="168"/>
      <c r="I456" s="347"/>
      <c r="J456" s="187"/>
      <c r="K456" s="347"/>
      <c r="L456" s="187"/>
      <c r="M456" s="347"/>
      <c r="N456" s="187"/>
      <c r="O456" s="341"/>
      <c r="P456" s="168"/>
      <c r="Q456" s="363"/>
      <c r="R456" s="223"/>
      <c r="S456" s="17"/>
      <c r="T456" s="17"/>
      <c r="U456" s="17"/>
      <c r="V456" s="17"/>
      <c r="W456" s="17"/>
      <c r="X456" s="17"/>
      <c r="Y456" s="17"/>
      <c r="Z456" s="17"/>
    </row>
    <row r="457">
      <c r="A457" s="341"/>
      <c r="B457" s="168"/>
      <c r="C457" s="354"/>
      <c r="D457" s="353"/>
      <c r="E457" s="341"/>
      <c r="F457" s="168"/>
      <c r="G457" s="341"/>
      <c r="H457" s="168"/>
      <c r="I457" s="347"/>
      <c r="J457" s="187"/>
      <c r="K457" s="347"/>
      <c r="L457" s="187"/>
      <c r="M457" s="347"/>
      <c r="N457" s="187"/>
      <c r="O457" s="341"/>
      <c r="P457" s="168"/>
      <c r="Q457" s="363"/>
      <c r="R457" s="223"/>
      <c r="S457" s="17"/>
      <c r="T457" s="17"/>
      <c r="U457" s="17"/>
      <c r="V457" s="17"/>
      <c r="W457" s="17"/>
      <c r="X457" s="17"/>
      <c r="Y457" s="17"/>
      <c r="Z457" s="17"/>
    </row>
    <row r="458">
      <c r="A458" s="341"/>
      <c r="B458" s="168"/>
      <c r="C458" s="354"/>
      <c r="D458" s="353"/>
      <c r="E458" s="341"/>
      <c r="F458" s="168"/>
      <c r="G458" s="341"/>
      <c r="H458" s="168"/>
      <c r="I458" s="347"/>
      <c r="J458" s="187"/>
      <c r="K458" s="347"/>
      <c r="L458" s="187"/>
      <c r="M458" s="347"/>
      <c r="N458" s="187"/>
      <c r="O458" s="341"/>
      <c r="P458" s="168"/>
      <c r="Q458" s="363"/>
      <c r="R458" s="223"/>
      <c r="S458" s="17"/>
      <c r="T458" s="17"/>
      <c r="U458" s="17"/>
      <c r="V458" s="17"/>
      <c r="W458" s="17"/>
      <c r="X458" s="17"/>
      <c r="Y458" s="17"/>
      <c r="Z458" s="17"/>
    </row>
    <row r="459">
      <c r="A459" s="341"/>
      <c r="B459" s="168"/>
      <c r="C459" s="354"/>
      <c r="D459" s="353"/>
      <c r="E459" s="341"/>
      <c r="F459" s="168"/>
      <c r="G459" s="341"/>
      <c r="H459" s="168"/>
      <c r="I459" s="347"/>
      <c r="J459" s="187"/>
      <c r="K459" s="347"/>
      <c r="L459" s="187"/>
      <c r="M459" s="347"/>
      <c r="N459" s="187"/>
      <c r="O459" s="341"/>
      <c r="P459" s="168"/>
      <c r="Q459" s="363"/>
      <c r="R459" s="223"/>
      <c r="S459" s="17"/>
      <c r="T459" s="17"/>
      <c r="U459" s="17"/>
      <c r="V459" s="17"/>
      <c r="W459" s="17"/>
      <c r="X459" s="17"/>
      <c r="Y459" s="17"/>
      <c r="Z459" s="17"/>
    </row>
    <row r="460">
      <c r="A460" s="341"/>
      <c r="B460" s="168"/>
      <c r="C460" s="354"/>
      <c r="D460" s="353"/>
      <c r="E460" s="341"/>
      <c r="F460" s="168"/>
      <c r="G460" s="341"/>
      <c r="H460" s="168"/>
      <c r="I460" s="347"/>
      <c r="J460" s="187"/>
      <c r="K460" s="347"/>
      <c r="L460" s="187"/>
      <c r="M460" s="347"/>
      <c r="N460" s="187"/>
      <c r="O460" s="341"/>
      <c r="P460" s="168"/>
      <c r="Q460" s="363"/>
      <c r="R460" s="223"/>
      <c r="S460" s="17"/>
      <c r="T460" s="17"/>
      <c r="U460" s="17"/>
      <c r="V460" s="17"/>
      <c r="W460" s="17"/>
      <c r="X460" s="17"/>
      <c r="Y460" s="17"/>
      <c r="Z460" s="17"/>
    </row>
    <row r="461">
      <c r="A461" s="341"/>
      <c r="B461" s="168"/>
      <c r="C461" s="354"/>
      <c r="D461" s="353"/>
      <c r="E461" s="341"/>
      <c r="F461" s="168"/>
      <c r="G461" s="341"/>
      <c r="H461" s="168"/>
      <c r="I461" s="347"/>
      <c r="J461" s="187"/>
      <c r="K461" s="347"/>
      <c r="L461" s="187"/>
      <c r="M461" s="347"/>
      <c r="N461" s="187"/>
      <c r="O461" s="341"/>
      <c r="P461" s="168"/>
      <c r="Q461" s="363"/>
      <c r="R461" s="223"/>
      <c r="S461" s="17"/>
      <c r="T461" s="17"/>
      <c r="U461" s="17"/>
      <c r="V461" s="17"/>
      <c r="W461" s="17"/>
      <c r="X461" s="17"/>
      <c r="Y461" s="17"/>
      <c r="Z461" s="17"/>
    </row>
    <row r="462">
      <c r="A462" s="341"/>
      <c r="B462" s="168"/>
      <c r="C462" s="354"/>
      <c r="D462" s="353"/>
      <c r="E462" s="341"/>
      <c r="F462" s="168"/>
      <c r="G462" s="341"/>
      <c r="H462" s="168"/>
      <c r="I462" s="347"/>
      <c r="J462" s="187"/>
      <c r="K462" s="347"/>
      <c r="L462" s="187"/>
      <c r="M462" s="347"/>
      <c r="N462" s="187"/>
      <c r="O462" s="341"/>
      <c r="P462" s="168"/>
      <c r="Q462" s="363"/>
      <c r="R462" s="223"/>
      <c r="S462" s="17"/>
      <c r="T462" s="17"/>
      <c r="U462" s="17"/>
      <c r="V462" s="17"/>
      <c r="W462" s="17"/>
      <c r="X462" s="17"/>
      <c r="Y462" s="17"/>
      <c r="Z462" s="17"/>
    </row>
    <row r="463">
      <c r="A463" s="341"/>
      <c r="B463" s="168"/>
      <c r="C463" s="354"/>
      <c r="D463" s="353"/>
      <c r="E463" s="341"/>
      <c r="F463" s="168"/>
      <c r="G463" s="341"/>
      <c r="H463" s="168"/>
      <c r="I463" s="347"/>
      <c r="J463" s="187"/>
      <c r="K463" s="347"/>
      <c r="L463" s="187"/>
      <c r="M463" s="347"/>
      <c r="N463" s="187"/>
      <c r="O463" s="341"/>
      <c r="P463" s="168"/>
      <c r="Q463" s="363"/>
      <c r="R463" s="223"/>
      <c r="S463" s="17"/>
      <c r="T463" s="17"/>
      <c r="U463" s="17"/>
      <c r="V463" s="17"/>
      <c r="W463" s="17"/>
      <c r="X463" s="17"/>
      <c r="Y463" s="17"/>
      <c r="Z463" s="17"/>
    </row>
    <row r="464">
      <c r="A464" s="341"/>
      <c r="B464" s="168"/>
      <c r="C464" s="354"/>
      <c r="D464" s="353"/>
      <c r="E464" s="341"/>
      <c r="F464" s="168"/>
      <c r="G464" s="341"/>
      <c r="H464" s="168"/>
      <c r="I464" s="347"/>
      <c r="J464" s="187"/>
      <c r="K464" s="347"/>
      <c r="L464" s="187"/>
      <c r="M464" s="347"/>
      <c r="N464" s="187"/>
      <c r="O464" s="341"/>
      <c r="P464" s="168"/>
      <c r="Q464" s="363"/>
      <c r="R464" s="223"/>
      <c r="S464" s="17"/>
      <c r="T464" s="17"/>
      <c r="U464" s="17"/>
      <c r="V464" s="17"/>
      <c r="W464" s="17"/>
      <c r="X464" s="17"/>
      <c r="Y464" s="17"/>
      <c r="Z464" s="17"/>
    </row>
    <row r="465">
      <c r="A465" s="341"/>
      <c r="B465" s="168"/>
      <c r="C465" s="354"/>
      <c r="D465" s="353"/>
      <c r="E465" s="341"/>
      <c r="F465" s="168"/>
      <c r="G465" s="341"/>
      <c r="H465" s="168"/>
      <c r="I465" s="347"/>
      <c r="J465" s="187"/>
      <c r="K465" s="347"/>
      <c r="L465" s="187"/>
      <c r="M465" s="347"/>
      <c r="N465" s="187"/>
      <c r="O465" s="341"/>
      <c r="P465" s="168"/>
      <c r="Q465" s="363"/>
      <c r="R465" s="223"/>
      <c r="S465" s="17"/>
      <c r="T465" s="17"/>
      <c r="U465" s="17"/>
      <c r="V465" s="17"/>
      <c r="W465" s="17"/>
      <c r="X465" s="17"/>
      <c r="Y465" s="17"/>
      <c r="Z465" s="17"/>
    </row>
    <row r="466">
      <c r="A466" s="341"/>
      <c r="B466" s="168"/>
      <c r="C466" s="354"/>
      <c r="D466" s="353"/>
      <c r="E466" s="341"/>
      <c r="F466" s="168"/>
      <c r="G466" s="341"/>
      <c r="H466" s="168"/>
      <c r="I466" s="347"/>
      <c r="J466" s="187"/>
      <c r="K466" s="347"/>
      <c r="L466" s="187"/>
      <c r="M466" s="347"/>
      <c r="N466" s="187"/>
      <c r="O466" s="341"/>
      <c r="P466" s="168"/>
      <c r="Q466" s="363"/>
      <c r="R466" s="223"/>
      <c r="S466" s="17"/>
      <c r="T466" s="17"/>
      <c r="U466" s="17"/>
      <c r="V466" s="17"/>
      <c r="W466" s="17"/>
      <c r="X466" s="17"/>
      <c r="Y466" s="17"/>
      <c r="Z466" s="17"/>
    </row>
    <row r="467">
      <c r="A467" s="341"/>
      <c r="B467" s="168"/>
      <c r="C467" s="354"/>
      <c r="D467" s="353"/>
      <c r="E467" s="341"/>
      <c r="F467" s="168"/>
      <c r="G467" s="341"/>
      <c r="H467" s="168"/>
      <c r="I467" s="347"/>
      <c r="J467" s="187"/>
      <c r="K467" s="347"/>
      <c r="L467" s="187"/>
      <c r="M467" s="347"/>
      <c r="N467" s="187"/>
      <c r="O467" s="341"/>
      <c r="P467" s="168"/>
      <c r="Q467" s="363"/>
      <c r="R467" s="223"/>
      <c r="S467" s="17"/>
      <c r="T467" s="17"/>
      <c r="U467" s="17"/>
      <c r="V467" s="17"/>
      <c r="W467" s="17"/>
      <c r="X467" s="17"/>
      <c r="Y467" s="17"/>
      <c r="Z467" s="17"/>
    </row>
    <row r="468">
      <c r="A468" s="341"/>
      <c r="B468" s="168"/>
      <c r="C468" s="354"/>
      <c r="D468" s="353"/>
      <c r="E468" s="341"/>
      <c r="F468" s="168"/>
      <c r="G468" s="341"/>
      <c r="H468" s="168"/>
      <c r="I468" s="347"/>
      <c r="J468" s="187"/>
      <c r="K468" s="347"/>
      <c r="L468" s="187"/>
      <c r="M468" s="347"/>
      <c r="N468" s="187"/>
      <c r="O468" s="341"/>
      <c r="P468" s="168"/>
      <c r="Q468" s="363"/>
      <c r="R468" s="223"/>
      <c r="S468" s="17"/>
      <c r="T468" s="17"/>
      <c r="U468" s="17"/>
      <c r="V468" s="17"/>
      <c r="W468" s="17"/>
      <c r="X468" s="17"/>
      <c r="Y468" s="17"/>
      <c r="Z468" s="17"/>
    </row>
    <row r="469">
      <c r="A469" s="341"/>
      <c r="B469" s="168"/>
      <c r="C469" s="354"/>
      <c r="D469" s="353"/>
      <c r="E469" s="341"/>
      <c r="F469" s="168"/>
      <c r="G469" s="341"/>
      <c r="H469" s="168"/>
      <c r="I469" s="347"/>
      <c r="J469" s="187"/>
      <c r="K469" s="347"/>
      <c r="L469" s="187"/>
      <c r="M469" s="347"/>
      <c r="N469" s="187"/>
      <c r="O469" s="341"/>
      <c r="P469" s="168"/>
      <c r="Q469" s="363"/>
      <c r="R469" s="223"/>
      <c r="S469" s="17"/>
      <c r="T469" s="17"/>
      <c r="U469" s="17"/>
      <c r="V469" s="17"/>
      <c r="W469" s="17"/>
      <c r="X469" s="17"/>
      <c r="Y469" s="17"/>
      <c r="Z469" s="17"/>
    </row>
    <row r="470">
      <c r="A470" s="341"/>
      <c r="B470" s="168"/>
      <c r="C470" s="354"/>
      <c r="D470" s="353"/>
      <c r="E470" s="341"/>
      <c r="F470" s="168"/>
      <c r="G470" s="341"/>
      <c r="H470" s="168"/>
      <c r="I470" s="347"/>
      <c r="J470" s="187"/>
      <c r="K470" s="347"/>
      <c r="L470" s="187"/>
      <c r="M470" s="347"/>
      <c r="N470" s="187"/>
      <c r="O470" s="341"/>
      <c r="P470" s="168"/>
      <c r="Q470" s="363"/>
      <c r="R470" s="223"/>
      <c r="S470" s="17"/>
      <c r="T470" s="17"/>
      <c r="U470" s="17"/>
      <c r="V470" s="17"/>
      <c r="W470" s="17"/>
      <c r="X470" s="17"/>
      <c r="Y470" s="17"/>
      <c r="Z470" s="17"/>
    </row>
    <row r="471">
      <c r="A471" s="341"/>
      <c r="B471" s="168"/>
      <c r="C471" s="354"/>
      <c r="D471" s="353"/>
      <c r="E471" s="341"/>
      <c r="F471" s="168"/>
      <c r="G471" s="341"/>
      <c r="H471" s="168"/>
      <c r="I471" s="347"/>
      <c r="J471" s="187"/>
      <c r="K471" s="347"/>
      <c r="L471" s="187"/>
      <c r="M471" s="347"/>
      <c r="N471" s="187"/>
      <c r="O471" s="341"/>
      <c r="P471" s="168"/>
      <c r="Q471" s="363"/>
      <c r="R471" s="223"/>
      <c r="S471" s="17"/>
      <c r="T471" s="17"/>
      <c r="U471" s="17"/>
      <c r="V471" s="17"/>
      <c r="W471" s="17"/>
      <c r="X471" s="17"/>
      <c r="Y471" s="17"/>
      <c r="Z471" s="17"/>
    </row>
    <row r="472">
      <c r="A472" s="341"/>
      <c r="B472" s="168"/>
      <c r="C472" s="354"/>
      <c r="D472" s="353"/>
      <c r="E472" s="341"/>
      <c r="F472" s="168"/>
      <c r="G472" s="341"/>
      <c r="H472" s="168"/>
      <c r="I472" s="347"/>
      <c r="J472" s="187"/>
      <c r="K472" s="347"/>
      <c r="L472" s="187"/>
      <c r="M472" s="347"/>
      <c r="N472" s="187"/>
      <c r="O472" s="341"/>
      <c r="P472" s="168"/>
      <c r="Q472" s="363"/>
      <c r="R472" s="223"/>
      <c r="S472" s="17"/>
      <c r="T472" s="17"/>
      <c r="U472" s="17"/>
      <c r="V472" s="17"/>
      <c r="W472" s="17"/>
      <c r="X472" s="17"/>
      <c r="Y472" s="17"/>
      <c r="Z472" s="17"/>
    </row>
    <row r="473">
      <c r="A473" s="341"/>
      <c r="B473" s="168"/>
      <c r="C473" s="354"/>
      <c r="D473" s="353"/>
      <c r="E473" s="341"/>
      <c r="F473" s="168"/>
      <c r="G473" s="341"/>
      <c r="H473" s="168"/>
      <c r="I473" s="347"/>
      <c r="J473" s="187"/>
      <c r="K473" s="347"/>
      <c r="L473" s="187"/>
      <c r="M473" s="347"/>
      <c r="N473" s="187"/>
      <c r="O473" s="341"/>
      <c r="P473" s="168"/>
      <c r="Q473" s="363"/>
      <c r="R473" s="223"/>
      <c r="S473" s="17"/>
      <c r="T473" s="17"/>
      <c r="U473" s="17"/>
      <c r="V473" s="17"/>
      <c r="W473" s="17"/>
      <c r="X473" s="17"/>
      <c r="Y473" s="17"/>
      <c r="Z473" s="17"/>
    </row>
    <row r="474">
      <c r="A474" s="341"/>
      <c r="B474" s="168"/>
      <c r="C474" s="354"/>
      <c r="D474" s="353"/>
      <c r="E474" s="341"/>
      <c r="F474" s="168"/>
      <c r="G474" s="341"/>
      <c r="H474" s="168"/>
      <c r="I474" s="347"/>
      <c r="J474" s="187"/>
      <c r="K474" s="347"/>
      <c r="L474" s="187"/>
      <c r="M474" s="347"/>
      <c r="N474" s="187"/>
      <c r="O474" s="341"/>
      <c r="P474" s="168"/>
      <c r="Q474" s="363"/>
      <c r="R474" s="223"/>
      <c r="S474" s="17"/>
      <c r="T474" s="17"/>
      <c r="U474" s="17"/>
      <c r="V474" s="17"/>
      <c r="W474" s="17"/>
      <c r="X474" s="17"/>
      <c r="Y474" s="17"/>
      <c r="Z474" s="17"/>
    </row>
    <row r="475">
      <c r="A475" s="341"/>
      <c r="B475" s="168"/>
      <c r="C475" s="354"/>
      <c r="D475" s="353"/>
      <c r="E475" s="341"/>
      <c r="F475" s="168"/>
      <c r="G475" s="341"/>
      <c r="H475" s="168"/>
      <c r="I475" s="347"/>
      <c r="J475" s="187"/>
      <c r="K475" s="347"/>
      <c r="L475" s="187"/>
      <c r="M475" s="347"/>
      <c r="N475" s="187"/>
      <c r="O475" s="341"/>
      <c r="P475" s="168"/>
      <c r="Q475" s="363"/>
      <c r="R475" s="223"/>
      <c r="S475" s="17"/>
      <c r="T475" s="17"/>
      <c r="U475" s="17"/>
      <c r="V475" s="17"/>
      <c r="W475" s="17"/>
      <c r="X475" s="17"/>
      <c r="Y475" s="17"/>
      <c r="Z475" s="17"/>
    </row>
    <row r="476">
      <c r="A476" s="341"/>
      <c r="B476" s="168"/>
      <c r="C476" s="354"/>
      <c r="D476" s="353"/>
      <c r="E476" s="341"/>
      <c r="F476" s="168"/>
      <c r="G476" s="341"/>
      <c r="H476" s="168"/>
      <c r="I476" s="347"/>
      <c r="J476" s="187"/>
      <c r="K476" s="347"/>
      <c r="L476" s="187"/>
      <c r="M476" s="347"/>
      <c r="N476" s="187"/>
      <c r="O476" s="341"/>
      <c r="P476" s="168"/>
      <c r="Q476" s="363"/>
      <c r="R476" s="223"/>
      <c r="S476" s="17"/>
      <c r="T476" s="17"/>
      <c r="U476" s="17"/>
      <c r="V476" s="17"/>
      <c r="W476" s="17"/>
      <c r="X476" s="17"/>
      <c r="Y476" s="17"/>
      <c r="Z476" s="17"/>
    </row>
    <row r="477">
      <c r="A477" s="341"/>
      <c r="B477" s="168"/>
      <c r="C477" s="354"/>
      <c r="D477" s="353"/>
      <c r="E477" s="341"/>
      <c r="F477" s="168"/>
      <c r="G477" s="341"/>
      <c r="H477" s="168"/>
      <c r="I477" s="347"/>
      <c r="J477" s="187"/>
      <c r="K477" s="347"/>
      <c r="L477" s="187"/>
      <c r="M477" s="347"/>
      <c r="N477" s="187"/>
      <c r="O477" s="341"/>
      <c r="P477" s="168"/>
      <c r="Q477" s="363"/>
      <c r="R477" s="223"/>
      <c r="S477" s="17"/>
      <c r="T477" s="17"/>
      <c r="U477" s="17"/>
      <c r="V477" s="17"/>
      <c r="W477" s="17"/>
      <c r="X477" s="17"/>
      <c r="Y477" s="17"/>
      <c r="Z477" s="17"/>
    </row>
    <row r="478">
      <c r="A478" s="341"/>
      <c r="B478" s="168"/>
      <c r="C478" s="354"/>
      <c r="D478" s="353"/>
      <c r="E478" s="341"/>
      <c r="F478" s="168"/>
      <c r="G478" s="341"/>
      <c r="H478" s="168"/>
      <c r="I478" s="347"/>
      <c r="J478" s="187"/>
      <c r="K478" s="347"/>
      <c r="L478" s="187"/>
      <c r="M478" s="347"/>
      <c r="N478" s="187"/>
      <c r="O478" s="341"/>
      <c r="P478" s="168"/>
      <c r="Q478" s="363"/>
      <c r="R478" s="223"/>
      <c r="S478" s="17"/>
      <c r="T478" s="17"/>
      <c r="U478" s="17"/>
      <c r="V478" s="17"/>
      <c r="W478" s="17"/>
      <c r="X478" s="17"/>
      <c r="Y478" s="17"/>
      <c r="Z478" s="17"/>
    </row>
    <row r="479">
      <c r="A479" s="341"/>
      <c r="B479" s="168"/>
      <c r="C479" s="354"/>
      <c r="D479" s="353"/>
      <c r="E479" s="341"/>
      <c r="F479" s="168"/>
      <c r="G479" s="341"/>
      <c r="H479" s="168"/>
      <c r="I479" s="347"/>
      <c r="J479" s="187"/>
      <c r="K479" s="347"/>
      <c r="L479" s="187"/>
      <c r="M479" s="347"/>
      <c r="N479" s="187"/>
      <c r="O479" s="341"/>
      <c r="P479" s="168"/>
      <c r="Q479" s="363"/>
      <c r="R479" s="223"/>
      <c r="S479" s="17"/>
      <c r="T479" s="17"/>
      <c r="U479" s="17"/>
      <c r="V479" s="17"/>
      <c r="W479" s="17"/>
      <c r="X479" s="17"/>
      <c r="Y479" s="17"/>
      <c r="Z479" s="17"/>
    </row>
    <row r="480">
      <c r="A480" s="341"/>
      <c r="B480" s="168"/>
      <c r="C480" s="354"/>
      <c r="D480" s="353"/>
      <c r="E480" s="341"/>
      <c r="F480" s="168"/>
      <c r="G480" s="341"/>
      <c r="H480" s="168"/>
      <c r="I480" s="347"/>
      <c r="J480" s="187"/>
      <c r="K480" s="347"/>
      <c r="L480" s="187"/>
      <c r="M480" s="347"/>
      <c r="N480" s="187"/>
      <c r="O480" s="341"/>
      <c r="P480" s="168"/>
      <c r="Q480" s="363"/>
      <c r="R480" s="223"/>
      <c r="S480" s="17"/>
      <c r="T480" s="17"/>
      <c r="U480" s="17"/>
      <c r="V480" s="17"/>
      <c r="W480" s="17"/>
      <c r="X480" s="17"/>
      <c r="Y480" s="17"/>
      <c r="Z480" s="17"/>
    </row>
    <row r="481">
      <c r="A481" s="341"/>
      <c r="B481" s="168"/>
      <c r="C481" s="354"/>
      <c r="D481" s="353"/>
      <c r="E481" s="341"/>
      <c r="F481" s="168"/>
      <c r="G481" s="341"/>
      <c r="H481" s="168"/>
      <c r="I481" s="347"/>
      <c r="J481" s="187"/>
      <c r="K481" s="347"/>
      <c r="L481" s="187"/>
      <c r="M481" s="347"/>
      <c r="N481" s="187"/>
      <c r="O481" s="341"/>
      <c r="P481" s="168"/>
      <c r="Q481" s="363"/>
      <c r="R481" s="223"/>
      <c r="S481" s="17"/>
      <c r="T481" s="17"/>
      <c r="U481" s="17"/>
      <c r="V481" s="17"/>
      <c r="W481" s="17"/>
      <c r="X481" s="17"/>
      <c r="Y481" s="17"/>
      <c r="Z481" s="17"/>
    </row>
    <row r="482">
      <c r="A482" s="341"/>
      <c r="B482" s="168"/>
      <c r="C482" s="354"/>
      <c r="D482" s="353"/>
      <c r="E482" s="341"/>
      <c r="F482" s="168"/>
      <c r="G482" s="341"/>
      <c r="H482" s="168"/>
      <c r="I482" s="347"/>
      <c r="J482" s="187"/>
      <c r="K482" s="347"/>
      <c r="L482" s="187"/>
      <c r="M482" s="347"/>
      <c r="N482" s="187"/>
      <c r="O482" s="341"/>
      <c r="P482" s="168"/>
      <c r="Q482" s="363"/>
      <c r="R482" s="223"/>
      <c r="S482" s="17"/>
      <c r="T482" s="17"/>
      <c r="U482" s="17"/>
      <c r="V482" s="17"/>
      <c r="W482" s="17"/>
      <c r="X482" s="17"/>
      <c r="Y482" s="17"/>
      <c r="Z482" s="17"/>
    </row>
    <row r="483">
      <c r="A483" s="341"/>
      <c r="B483" s="168"/>
      <c r="C483" s="354"/>
      <c r="D483" s="353"/>
      <c r="E483" s="341"/>
      <c r="F483" s="168"/>
      <c r="G483" s="341"/>
      <c r="H483" s="168"/>
      <c r="I483" s="347"/>
      <c r="J483" s="187"/>
      <c r="K483" s="347"/>
      <c r="L483" s="187"/>
      <c r="M483" s="347"/>
      <c r="N483" s="187"/>
      <c r="O483" s="341"/>
      <c r="P483" s="168"/>
      <c r="Q483" s="363"/>
      <c r="R483" s="223"/>
      <c r="S483" s="17"/>
      <c r="T483" s="17"/>
      <c r="U483" s="17"/>
      <c r="V483" s="17"/>
      <c r="W483" s="17"/>
      <c r="X483" s="17"/>
      <c r="Y483" s="17"/>
      <c r="Z483" s="17"/>
    </row>
    <row r="484">
      <c r="A484" s="341"/>
      <c r="B484" s="168"/>
      <c r="C484" s="354"/>
      <c r="D484" s="353"/>
      <c r="E484" s="341"/>
      <c r="F484" s="168"/>
      <c r="G484" s="341"/>
      <c r="H484" s="168"/>
      <c r="I484" s="347"/>
      <c r="J484" s="187"/>
      <c r="K484" s="347"/>
      <c r="L484" s="187"/>
      <c r="M484" s="347"/>
      <c r="N484" s="187"/>
      <c r="O484" s="341"/>
      <c r="P484" s="168"/>
      <c r="Q484" s="363"/>
      <c r="R484" s="223"/>
      <c r="S484" s="17"/>
      <c r="T484" s="17"/>
      <c r="U484" s="17"/>
      <c r="V484" s="17"/>
      <c r="W484" s="17"/>
      <c r="X484" s="17"/>
      <c r="Y484" s="17"/>
      <c r="Z484" s="17"/>
    </row>
    <row r="485">
      <c r="A485" s="341"/>
      <c r="B485" s="168"/>
      <c r="C485" s="354"/>
      <c r="D485" s="353"/>
      <c r="E485" s="341"/>
      <c r="F485" s="168"/>
      <c r="G485" s="341"/>
      <c r="H485" s="168"/>
      <c r="I485" s="347"/>
      <c r="J485" s="187"/>
      <c r="K485" s="347"/>
      <c r="L485" s="187"/>
      <c r="M485" s="347"/>
      <c r="N485" s="187"/>
      <c r="O485" s="341"/>
      <c r="P485" s="168"/>
      <c r="Q485" s="363"/>
      <c r="R485" s="223"/>
      <c r="S485" s="17"/>
      <c r="T485" s="17"/>
      <c r="U485" s="17"/>
      <c r="V485" s="17"/>
      <c r="W485" s="17"/>
      <c r="X485" s="17"/>
      <c r="Y485" s="17"/>
      <c r="Z485" s="17"/>
    </row>
    <row r="486">
      <c r="A486" s="341"/>
      <c r="B486" s="168"/>
      <c r="C486" s="354"/>
      <c r="D486" s="353"/>
      <c r="E486" s="341"/>
      <c r="F486" s="168"/>
      <c r="G486" s="341"/>
      <c r="H486" s="168"/>
      <c r="I486" s="347"/>
      <c r="J486" s="187"/>
      <c r="K486" s="347"/>
      <c r="L486" s="187"/>
      <c r="M486" s="347"/>
      <c r="N486" s="187"/>
      <c r="O486" s="341"/>
      <c r="P486" s="168"/>
      <c r="Q486" s="363"/>
      <c r="R486" s="223"/>
      <c r="S486" s="17"/>
      <c r="T486" s="17"/>
      <c r="U486" s="17"/>
      <c r="V486" s="17"/>
      <c r="W486" s="17"/>
      <c r="X486" s="17"/>
      <c r="Y486" s="17"/>
      <c r="Z486" s="17"/>
    </row>
    <row r="487">
      <c r="A487" s="341"/>
      <c r="B487" s="168"/>
      <c r="C487" s="354"/>
      <c r="D487" s="353"/>
      <c r="E487" s="341"/>
      <c r="F487" s="168"/>
      <c r="G487" s="341"/>
      <c r="H487" s="168"/>
      <c r="I487" s="347"/>
      <c r="J487" s="187"/>
      <c r="K487" s="347"/>
      <c r="L487" s="187"/>
      <c r="M487" s="347"/>
      <c r="N487" s="187"/>
      <c r="O487" s="341"/>
      <c r="P487" s="168"/>
      <c r="Q487" s="363"/>
      <c r="R487" s="223"/>
      <c r="S487" s="17"/>
      <c r="T487" s="17"/>
      <c r="U487" s="17"/>
      <c r="V487" s="17"/>
      <c r="W487" s="17"/>
      <c r="X487" s="17"/>
      <c r="Y487" s="17"/>
      <c r="Z487" s="17"/>
    </row>
    <row r="488">
      <c r="A488" s="341"/>
      <c r="B488" s="168"/>
      <c r="C488" s="354"/>
      <c r="D488" s="353"/>
      <c r="E488" s="341"/>
      <c r="F488" s="168"/>
      <c r="G488" s="341"/>
      <c r="H488" s="168"/>
      <c r="I488" s="347"/>
      <c r="J488" s="187"/>
      <c r="K488" s="347"/>
      <c r="L488" s="187"/>
      <c r="M488" s="347"/>
      <c r="N488" s="187"/>
      <c r="O488" s="341"/>
      <c r="P488" s="168"/>
      <c r="Q488" s="363"/>
      <c r="R488" s="223"/>
      <c r="S488" s="17"/>
      <c r="T488" s="17"/>
      <c r="U488" s="17"/>
      <c r="V488" s="17"/>
      <c r="W488" s="17"/>
      <c r="X488" s="17"/>
      <c r="Y488" s="17"/>
      <c r="Z488" s="17"/>
    </row>
    <row r="489">
      <c r="A489" s="341"/>
      <c r="B489" s="168"/>
      <c r="C489" s="354"/>
      <c r="D489" s="353"/>
      <c r="E489" s="341"/>
      <c r="F489" s="168"/>
      <c r="G489" s="341"/>
      <c r="H489" s="168"/>
      <c r="I489" s="347"/>
      <c r="J489" s="187"/>
      <c r="K489" s="347"/>
      <c r="L489" s="187"/>
      <c r="M489" s="347"/>
      <c r="N489" s="187"/>
      <c r="O489" s="341"/>
      <c r="P489" s="168"/>
      <c r="Q489" s="363"/>
      <c r="R489" s="223"/>
      <c r="S489" s="17"/>
      <c r="T489" s="17"/>
      <c r="U489" s="17"/>
      <c r="V489" s="17"/>
      <c r="W489" s="17"/>
      <c r="X489" s="17"/>
      <c r="Y489" s="17"/>
      <c r="Z489" s="17"/>
    </row>
    <row r="490">
      <c r="A490" s="341"/>
      <c r="B490" s="168"/>
      <c r="C490" s="354"/>
      <c r="D490" s="353"/>
      <c r="E490" s="341"/>
      <c r="F490" s="168"/>
      <c r="G490" s="341"/>
      <c r="H490" s="168"/>
      <c r="I490" s="347"/>
      <c r="J490" s="187"/>
      <c r="K490" s="347"/>
      <c r="L490" s="187"/>
      <c r="M490" s="347"/>
      <c r="N490" s="187"/>
      <c r="O490" s="341"/>
      <c r="P490" s="168"/>
      <c r="Q490" s="363"/>
      <c r="R490" s="223"/>
      <c r="S490" s="17"/>
      <c r="T490" s="17"/>
      <c r="U490" s="17"/>
      <c r="V490" s="17"/>
      <c r="W490" s="17"/>
      <c r="X490" s="17"/>
      <c r="Y490" s="17"/>
      <c r="Z490" s="17"/>
    </row>
    <row r="491">
      <c r="A491" s="341"/>
      <c r="B491" s="168"/>
      <c r="C491" s="354"/>
      <c r="D491" s="353"/>
      <c r="E491" s="341"/>
      <c r="F491" s="168"/>
      <c r="G491" s="341"/>
      <c r="H491" s="168"/>
      <c r="I491" s="347"/>
      <c r="J491" s="187"/>
      <c r="K491" s="347"/>
      <c r="L491" s="187"/>
      <c r="M491" s="347"/>
      <c r="N491" s="187"/>
      <c r="O491" s="341"/>
      <c r="P491" s="168"/>
      <c r="Q491" s="363"/>
      <c r="R491" s="223"/>
      <c r="S491" s="17"/>
      <c r="T491" s="17"/>
      <c r="U491" s="17"/>
      <c r="V491" s="17"/>
      <c r="W491" s="17"/>
      <c r="X491" s="17"/>
      <c r="Y491" s="17"/>
      <c r="Z491" s="17"/>
    </row>
    <row r="492">
      <c r="A492" s="341"/>
      <c r="B492" s="168"/>
      <c r="C492" s="354"/>
      <c r="D492" s="353"/>
      <c r="E492" s="341"/>
      <c r="F492" s="168"/>
      <c r="G492" s="341"/>
      <c r="H492" s="168"/>
      <c r="I492" s="347"/>
      <c r="J492" s="187"/>
      <c r="K492" s="347"/>
      <c r="L492" s="187"/>
      <c r="M492" s="347"/>
      <c r="N492" s="187"/>
      <c r="O492" s="341"/>
      <c r="P492" s="168"/>
      <c r="Q492" s="363"/>
      <c r="R492" s="223"/>
      <c r="S492" s="17"/>
      <c r="T492" s="17"/>
      <c r="U492" s="17"/>
      <c r="V492" s="17"/>
      <c r="W492" s="17"/>
      <c r="X492" s="17"/>
      <c r="Y492" s="17"/>
      <c r="Z492" s="17"/>
    </row>
    <row r="493">
      <c r="A493" s="341"/>
      <c r="B493" s="168"/>
      <c r="C493" s="354"/>
      <c r="D493" s="353"/>
      <c r="E493" s="341"/>
      <c r="F493" s="168"/>
      <c r="G493" s="341"/>
      <c r="H493" s="168"/>
      <c r="I493" s="347"/>
      <c r="J493" s="187"/>
      <c r="K493" s="347"/>
      <c r="L493" s="187"/>
      <c r="M493" s="347"/>
      <c r="N493" s="187"/>
      <c r="O493" s="341"/>
      <c r="P493" s="168"/>
      <c r="Q493" s="363"/>
      <c r="R493" s="223"/>
      <c r="S493" s="17"/>
      <c r="T493" s="17"/>
      <c r="U493" s="17"/>
      <c r="V493" s="17"/>
      <c r="W493" s="17"/>
      <c r="X493" s="17"/>
      <c r="Y493" s="17"/>
      <c r="Z493" s="17"/>
    </row>
    <row r="494">
      <c r="A494" s="341"/>
      <c r="B494" s="168"/>
      <c r="C494" s="354"/>
      <c r="D494" s="353"/>
      <c r="E494" s="341"/>
      <c r="F494" s="168"/>
      <c r="G494" s="341"/>
      <c r="H494" s="168"/>
      <c r="I494" s="347"/>
      <c r="J494" s="187"/>
      <c r="K494" s="347"/>
      <c r="L494" s="187"/>
      <c r="M494" s="347"/>
      <c r="N494" s="187"/>
      <c r="O494" s="341"/>
      <c r="P494" s="168"/>
      <c r="Q494" s="363"/>
      <c r="R494" s="223"/>
      <c r="S494" s="17"/>
      <c r="T494" s="17"/>
      <c r="U494" s="17"/>
      <c r="V494" s="17"/>
      <c r="W494" s="17"/>
      <c r="X494" s="17"/>
      <c r="Y494" s="17"/>
      <c r="Z494" s="17"/>
    </row>
    <row r="495">
      <c r="A495" s="341"/>
      <c r="B495" s="168"/>
      <c r="C495" s="354"/>
      <c r="D495" s="353"/>
      <c r="E495" s="341"/>
      <c r="F495" s="168"/>
      <c r="G495" s="341"/>
      <c r="H495" s="168"/>
      <c r="I495" s="347"/>
      <c r="J495" s="187"/>
      <c r="K495" s="347"/>
      <c r="L495" s="187"/>
      <c r="M495" s="347"/>
      <c r="N495" s="187"/>
      <c r="O495" s="341"/>
      <c r="P495" s="168"/>
      <c r="Q495" s="363"/>
      <c r="R495" s="223"/>
      <c r="S495" s="17"/>
      <c r="T495" s="17"/>
      <c r="U495" s="17"/>
      <c r="V495" s="17"/>
      <c r="W495" s="17"/>
      <c r="X495" s="17"/>
      <c r="Y495" s="17"/>
      <c r="Z495" s="17"/>
    </row>
    <row r="496">
      <c r="A496" s="341"/>
      <c r="B496" s="168"/>
      <c r="C496" s="354"/>
      <c r="D496" s="353"/>
      <c r="E496" s="341"/>
      <c r="F496" s="168"/>
      <c r="G496" s="341"/>
      <c r="H496" s="168"/>
      <c r="I496" s="347"/>
      <c r="J496" s="187"/>
      <c r="K496" s="347"/>
      <c r="L496" s="187"/>
      <c r="M496" s="347"/>
      <c r="N496" s="187"/>
      <c r="O496" s="341"/>
      <c r="P496" s="168"/>
      <c r="Q496" s="363"/>
      <c r="R496" s="223"/>
      <c r="S496" s="17"/>
      <c r="T496" s="17"/>
      <c r="U496" s="17"/>
      <c r="V496" s="17"/>
      <c r="W496" s="17"/>
      <c r="X496" s="17"/>
      <c r="Y496" s="17"/>
      <c r="Z496" s="17"/>
    </row>
    <row r="497">
      <c r="A497" s="341"/>
      <c r="B497" s="168"/>
      <c r="C497" s="354"/>
      <c r="D497" s="353"/>
      <c r="E497" s="341"/>
      <c r="F497" s="168"/>
      <c r="G497" s="341"/>
      <c r="H497" s="168"/>
      <c r="I497" s="347"/>
      <c r="J497" s="187"/>
      <c r="K497" s="347"/>
      <c r="L497" s="187"/>
      <c r="M497" s="347"/>
      <c r="N497" s="187"/>
      <c r="O497" s="341"/>
      <c r="P497" s="168"/>
      <c r="Q497" s="363"/>
      <c r="R497" s="223"/>
      <c r="S497" s="17"/>
      <c r="T497" s="17"/>
      <c r="U497" s="17"/>
      <c r="V497" s="17"/>
      <c r="W497" s="17"/>
      <c r="X497" s="17"/>
      <c r="Y497" s="17"/>
      <c r="Z497" s="17"/>
    </row>
    <row r="498">
      <c r="A498" s="341"/>
      <c r="B498" s="168"/>
      <c r="C498" s="354"/>
      <c r="D498" s="353"/>
      <c r="E498" s="341"/>
      <c r="F498" s="168"/>
      <c r="G498" s="341"/>
      <c r="H498" s="168"/>
      <c r="I498" s="347"/>
      <c r="J498" s="187"/>
      <c r="K498" s="347"/>
      <c r="L498" s="187"/>
      <c r="M498" s="347"/>
      <c r="N498" s="187"/>
      <c r="O498" s="341"/>
      <c r="P498" s="168"/>
      <c r="Q498" s="363"/>
      <c r="R498" s="223"/>
      <c r="S498" s="17"/>
      <c r="T498" s="17"/>
      <c r="U498" s="17"/>
      <c r="V498" s="17"/>
      <c r="W498" s="17"/>
      <c r="X498" s="17"/>
      <c r="Y498" s="17"/>
      <c r="Z498" s="17"/>
    </row>
    <row r="499">
      <c r="A499" s="341"/>
      <c r="B499" s="168"/>
      <c r="C499" s="354"/>
      <c r="D499" s="353"/>
      <c r="E499" s="341"/>
      <c r="F499" s="168"/>
      <c r="G499" s="341"/>
      <c r="H499" s="168"/>
      <c r="I499" s="347"/>
      <c r="J499" s="187"/>
      <c r="K499" s="347"/>
      <c r="L499" s="187"/>
      <c r="M499" s="347"/>
      <c r="N499" s="187"/>
      <c r="O499" s="341"/>
      <c r="P499" s="168"/>
      <c r="Q499" s="363"/>
      <c r="R499" s="223"/>
      <c r="S499" s="17"/>
      <c r="T499" s="17"/>
      <c r="U499" s="17"/>
      <c r="V499" s="17"/>
      <c r="W499" s="17"/>
      <c r="X499" s="17"/>
      <c r="Y499" s="17"/>
      <c r="Z499" s="17"/>
    </row>
    <row r="500">
      <c r="A500" s="341"/>
      <c r="B500" s="168"/>
      <c r="C500" s="354"/>
      <c r="D500" s="353"/>
      <c r="E500" s="341"/>
      <c r="F500" s="168"/>
      <c r="G500" s="341"/>
      <c r="H500" s="168"/>
      <c r="I500" s="347"/>
      <c r="J500" s="187"/>
      <c r="K500" s="347"/>
      <c r="L500" s="187"/>
      <c r="M500" s="347"/>
      <c r="N500" s="187"/>
      <c r="O500" s="341"/>
      <c r="P500" s="168"/>
      <c r="Q500" s="363"/>
      <c r="R500" s="223"/>
      <c r="S500" s="17"/>
      <c r="T500" s="17"/>
      <c r="U500" s="17"/>
      <c r="V500" s="17"/>
      <c r="W500" s="17"/>
      <c r="X500" s="17"/>
      <c r="Y500" s="17"/>
      <c r="Z500" s="17"/>
    </row>
    <row r="501">
      <c r="A501" s="341"/>
      <c r="B501" s="168"/>
      <c r="C501" s="354"/>
      <c r="D501" s="353"/>
      <c r="E501" s="341"/>
      <c r="F501" s="168"/>
      <c r="G501" s="341"/>
      <c r="H501" s="168"/>
      <c r="I501" s="347"/>
      <c r="J501" s="187"/>
      <c r="K501" s="347"/>
      <c r="L501" s="187"/>
      <c r="M501" s="347"/>
      <c r="N501" s="187"/>
      <c r="O501" s="341"/>
      <c r="P501" s="168"/>
      <c r="Q501" s="363"/>
      <c r="R501" s="223"/>
      <c r="S501" s="17"/>
      <c r="T501" s="17"/>
      <c r="U501" s="17"/>
      <c r="V501" s="17"/>
      <c r="W501" s="17"/>
      <c r="X501" s="17"/>
      <c r="Y501" s="17"/>
      <c r="Z501" s="17"/>
    </row>
    <row r="502">
      <c r="A502" s="341"/>
      <c r="B502" s="168"/>
      <c r="C502" s="354"/>
      <c r="D502" s="353"/>
      <c r="E502" s="341"/>
      <c r="F502" s="168"/>
      <c r="G502" s="341"/>
      <c r="H502" s="168"/>
      <c r="I502" s="347"/>
      <c r="J502" s="187"/>
      <c r="K502" s="347"/>
      <c r="L502" s="187"/>
      <c r="M502" s="347"/>
      <c r="N502" s="187"/>
      <c r="O502" s="341"/>
      <c r="P502" s="168"/>
      <c r="Q502" s="363"/>
      <c r="R502" s="223"/>
      <c r="S502" s="17"/>
      <c r="T502" s="17"/>
      <c r="U502" s="17"/>
      <c r="V502" s="17"/>
      <c r="W502" s="17"/>
      <c r="X502" s="17"/>
      <c r="Y502" s="17"/>
      <c r="Z502" s="17"/>
    </row>
    <row r="503">
      <c r="A503" s="341"/>
      <c r="B503" s="168"/>
      <c r="C503" s="354"/>
      <c r="D503" s="353"/>
      <c r="E503" s="341"/>
      <c r="F503" s="168"/>
      <c r="G503" s="341"/>
      <c r="H503" s="168"/>
      <c r="I503" s="347"/>
      <c r="J503" s="187"/>
      <c r="K503" s="347"/>
      <c r="L503" s="187"/>
      <c r="M503" s="347"/>
      <c r="N503" s="187"/>
      <c r="O503" s="341"/>
      <c r="P503" s="168"/>
      <c r="Q503" s="363"/>
      <c r="R503" s="223"/>
      <c r="S503" s="17"/>
      <c r="T503" s="17"/>
      <c r="U503" s="17"/>
      <c r="V503" s="17"/>
      <c r="W503" s="17"/>
      <c r="X503" s="17"/>
      <c r="Y503" s="17"/>
      <c r="Z503" s="17"/>
    </row>
    <row r="504">
      <c r="A504" s="341"/>
      <c r="B504" s="168"/>
      <c r="C504" s="354"/>
      <c r="D504" s="353"/>
      <c r="E504" s="341"/>
      <c r="F504" s="168"/>
      <c r="G504" s="341"/>
      <c r="H504" s="168"/>
      <c r="I504" s="347"/>
      <c r="J504" s="187"/>
      <c r="K504" s="347"/>
      <c r="L504" s="187"/>
      <c r="M504" s="347"/>
      <c r="N504" s="187"/>
      <c r="O504" s="341"/>
      <c r="P504" s="168"/>
      <c r="Q504" s="363"/>
      <c r="R504" s="223"/>
      <c r="S504" s="17"/>
      <c r="T504" s="17"/>
      <c r="U504" s="17"/>
      <c r="V504" s="17"/>
      <c r="W504" s="17"/>
      <c r="X504" s="17"/>
      <c r="Y504" s="17"/>
      <c r="Z504" s="17"/>
    </row>
    <row r="505">
      <c r="A505" s="341"/>
      <c r="B505" s="168"/>
      <c r="C505" s="354"/>
      <c r="D505" s="353"/>
      <c r="E505" s="341"/>
      <c r="F505" s="168"/>
      <c r="G505" s="341"/>
      <c r="H505" s="168"/>
      <c r="I505" s="347"/>
      <c r="J505" s="187"/>
      <c r="K505" s="347"/>
      <c r="L505" s="187"/>
      <c r="M505" s="347"/>
      <c r="N505" s="187"/>
      <c r="O505" s="341"/>
      <c r="P505" s="168"/>
      <c r="Q505" s="363"/>
      <c r="R505" s="223"/>
      <c r="S505" s="17"/>
      <c r="T505" s="17"/>
      <c r="U505" s="17"/>
      <c r="V505" s="17"/>
      <c r="W505" s="17"/>
      <c r="X505" s="17"/>
      <c r="Y505" s="17"/>
      <c r="Z505" s="17"/>
    </row>
    <row r="506">
      <c r="A506" s="341"/>
      <c r="B506" s="168"/>
      <c r="C506" s="354"/>
      <c r="D506" s="353"/>
      <c r="E506" s="341"/>
      <c r="F506" s="168"/>
      <c r="G506" s="341"/>
      <c r="H506" s="168"/>
      <c r="I506" s="347"/>
      <c r="J506" s="187"/>
      <c r="K506" s="347"/>
      <c r="L506" s="187"/>
      <c r="M506" s="347"/>
      <c r="N506" s="187"/>
      <c r="O506" s="341"/>
      <c r="P506" s="168"/>
      <c r="Q506" s="363"/>
      <c r="R506" s="223"/>
      <c r="S506" s="17"/>
      <c r="T506" s="17"/>
      <c r="U506" s="17"/>
      <c r="V506" s="17"/>
      <c r="W506" s="17"/>
      <c r="X506" s="17"/>
      <c r="Y506" s="17"/>
      <c r="Z506" s="17"/>
    </row>
    <row r="507">
      <c r="A507" s="341"/>
      <c r="B507" s="168"/>
      <c r="C507" s="354"/>
      <c r="D507" s="353"/>
      <c r="E507" s="341"/>
      <c r="F507" s="168"/>
      <c r="G507" s="341"/>
      <c r="H507" s="168"/>
      <c r="I507" s="347"/>
      <c r="J507" s="187"/>
      <c r="K507" s="347"/>
      <c r="L507" s="187"/>
      <c r="M507" s="347"/>
      <c r="N507" s="187"/>
      <c r="O507" s="341"/>
      <c r="P507" s="168"/>
      <c r="Q507" s="363"/>
      <c r="R507" s="223"/>
      <c r="S507" s="17"/>
      <c r="T507" s="17"/>
      <c r="U507" s="17"/>
      <c r="V507" s="17"/>
      <c r="W507" s="17"/>
      <c r="X507" s="17"/>
      <c r="Y507" s="17"/>
      <c r="Z507" s="17"/>
    </row>
    <row r="508">
      <c r="A508" s="341"/>
      <c r="B508" s="168"/>
      <c r="C508" s="354"/>
      <c r="D508" s="353"/>
      <c r="E508" s="341"/>
      <c r="F508" s="168"/>
      <c r="G508" s="341"/>
      <c r="H508" s="168"/>
      <c r="I508" s="347"/>
      <c r="J508" s="187"/>
      <c r="K508" s="347"/>
      <c r="L508" s="187"/>
      <c r="M508" s="347"/>
      <c r="N508" s="187"/>
      <c r="O508" s="341"/>
      <c r="P508" s="168"/>
      <c r="Q508" s="363"/>
      <c r="R508" s="223"/>
      <c r="S508" s="17"/>
      <c r="T508" s="17"/>
      <c r="U508" s="17"/>
      <c r="V508" s="17"/>
      <c r="W508" s="17"/>
      <c r="X508" s="17"/>
      <c r="Y508" s="17"/>
      <c r="Z508" s="17"/>
    </row>
    <row r="509">
      <c r="A509" s="341"/>
      <c r="B509" s="168"/>
      <c r="C509" s="354"/>
      <c r="D509" s="353"/>
      <c r="E509" s="341"/>
      <c r="F509" s="168"/>
      <c r="G509" s="341"/>
      <c r="H509" s="168"/>
      <c r="I509" s="347"/>
      <c r="J509" s="187"/>
      <c r="K509" s="347"/>
      <c r="L509" s="187"/>
      <c r="M509" s="347"/>
      <c r="N509" s="187"/>
      <c r="O509" s="341"/>
      <c r="P509" s="168"/>
      <c r="Q509" s="363"/>
      <c r="R509" s="223"/>
      <c r="S509" s="17"/>
      <c r="T509" s="17"/>
      <c r="U509" s="17"/>
      <c r="V509" s="17"/>
      <c r="W509" s="17"/>
      <c r="X509" s="17"/>
      <c r="Y509" s="17"/>
      <c r="Z509" s="17"/>
    </row>
    <row r="510">
      <c r="A510" s="341"/>
      <c r="B510" s="168"/>
      <c r="C510" s="354"/>
      <c r="D510" s="353"/>
      <c r="E510" s="341"/>
      <c r="F510" s="168"/>
      <c r="G510" s="341"/>
      <c r="H510" s="168"/>
      <c r="I510" s="347"/>
      <c r="J510" s="187"/>
      <c r="K510" s="347"/>
      <c r="L510" s="187"/>
      <c r="M510" s="347"/>
      <c r="N510" s="187"/>
      <c r="O510" s="341"/>
      <c r="P510" s="168"/>
      <c r="Q510" s="363"/>
      <c r="R510" s="223"/>
      <c r="S510" s="17"/>
      <c r="T510" s="17"/>
      <c r="U510" s="17"/>
      <c r="V510" s="17"/>
      <c r="W510" s="17"/>
      <c r="X510" s="17"/>
      <c r="Y510" s="17"/>
      <c r="Z510" s="17"/>
    </row>
    <row r="511">
      <c r="A511" s="341"/>
      <c r="B511" s="168"/>
      <c r="C511" s="354"/>
      <c r="D511" s="353"/>
      <c r="E511" s="341"/>
      <c r="F511" s="168"/>
      <c r="G511" s="341"/>
      <c r="H511" s="168"/>
      <c r="I511" s="347"/>
      <c r="J511" s="187"/>
      <c r="K511" s="347"/>
      <c r="L511" s="187"/>
      <c r="M511" s="347"/>
      <c r="N511" s="187"/>
      <c r="O511" s="341"/>
      <c r="P511" s="168"/>
      <c r="Q511" s="363"/>
      <c r="R511" s="223"/>
      <c r="S511" s="17"/>
      <c r="T511" s="17"/>
      <c r="U511" s="17"/>
      <c r="V511" s="17"/>
      <c r="W511" s="17"/>
      <c r="X511" s="17"/>
      <c r="Y511" s="17"/>
      <c r="Z511" s="17"/>
    </row>
    <row r="512">
      <c r="A512" s="341"/>
      <c r="B512" s="168"/>
      <c r="C512" s="354"/>
      <c r="D512" s="353"/>
      <c r="E512" s="341"/>
      <c r="F512" s="168"/>
      <c r="G512" s="341"/>
      <c r="H512" s="168"/>
      <c r="I512" s="347"/>
      <c r="J512" s="187"/>
      <c r="K512" s="347"/>
      <c r="L512" s="187"/>
      <c r="M512" s="347"/>
      <c r="N512" s="187"/>
      <c r="O512" s="341"/>
      <c r="P512" s="168"/>
      <c r="Q512" s="363"/>
      <c r="R512" s="223"/>
      <c r="S512" s="17"/>
      <c r="T512" s="17"/>
      <c r="U512" s="17"/>
      <c r="V512" s="17"/>
      <c r="W512" s="17"/>
      <c r="X512" s="17"/>
      <c r="Y512" s="17"/>
      <c r="Z512" s="17"/>
    </row>
    <row r="513">
      <c r="A513" s="341"/>
      <c r="B513" s="168"/>
      <c r="C513" s="354"/>
      <c r="D513" s="353"/>
      <c r="E513" s="341"/>
      <c r="F513" s="168"/>
      <c r="G513" s="341"/>
      <c r="H513" s="168"/>
      <c r="I513" s="347"/>
      <c r="J513" s="187"/>
      <c r="K513" s="347"/>
      <c r="L513" s="187"/>
      <c r="M513" s="347"/>
      <c r="N513" s="187"/>
      <c r="O513" s="341"/>
      <c r="P513" s="168"/>
      <c r="Q513" s="205"/>
      <c r="R513" s="223"/>
      <c r="S513" s="17"/>
      <c r="T513" s="17"/>
      <c r="U513" s="17"/>
      <c r="V513" s="17"/>
      <c r="W513" s="17"/>
      <c r="X513" s="17"/>
      <c r="Y513" s="17"/>
      <c r="Z513" s="17"/>
    </row>
    <row r="514">
      <c r="A514" s="341"/>
      <c r="B514" s="168"/>
      <c r="C514" s="354"/>
      <c r="D514" s="353"/>
      <c r="E514" s="341"/>
      <c r="F514" s="168"/>
      <c r="G514" s="341"/>
      <c r="H514" s="168"/>
      <c r="I514" s="347"/>
      <c r="J514" s="187"/>
      <c r="K514" s="347"/>
      <c r="L514" s="187"/>
      <c r="M514" s="347"/>
      <c r="N514" s="187"/>
      <c r="O514" s="341"/>
      <c r="P514" s="168"/>
      <c r="Q514" s="205"/>
      <c r="R514" s="223"/>
      <c r="S514" s="17"/>
      <c r="T514" s="17"/>
      <c r="U514" s="17"/>
      <c r="V514" s="17"/>
      <c r="W514" s="17"/>
      <c r="X514" s="17"/>
      <c r="Y514" s="17"/>
      <c r="Z514" s="17"/>
    </row>
    <row r="515">
      <c r="A515" s="341"/>
      <c r="B515" s="168"/>
      <c r="C515" s="354"/>
      <c r="D515" s="353"/>
      <c r="E515" s="341"/>
      <c r="F515" s="168"/>
      <c r="G515" s="341"/>
      <c r="H515" s="168"/>
      <c r="I515" s="347"/>
      <c r="J515" s="187"/>
      <c r="K515" s="347"/>
      <c r="L515" s="187"/>
      <c r="M515" s="347"/>
      <c r="N515" s="187"/>
      <c r="O515" s="341"/>
      <c r="P515" s="168"/>
      <c r="Q515" s="205"/>
      <c r="R515" s="223"/>
      <c r="S515" s="17"/>
      <c r="T515" s="17"/>
      <c r="U515" s="17"/>
      <c r="V515" s="17"/>
      <c r="W515" s="17"/>
      <c r="X515" s="17"/>
      <c r="Y515" s="17"/>
      <c r="Z515" s="17"/>
    </row>
    <row r="516">
      <c r="A516" s="341"/>
      <c r="B516" s="168"/>
      <c r="C516" s="354"/>
      <c r="D516" s="353"/>
      <c r="E516" s="341"/>
      <c r="F516" s="168"/>
      <c r="G516" s="341"/>
      <c r="H516" s="168"/>
      <c r="I516" s="347"/>
      <c r="J516" s="187"/>
      <c r="K516" s="347"/>
      <c r="L516" s="187"/>
      <c r="M516" s="347"/>
      <c r="N516" s="187"/>
      <c r="O516" s="341"/>
      <c r="P516" s="168"/>
      <c r="Q516" s="205"/>
      <c r="R516" s="223"/>
      <c r="S516" s="17"/>
      <c r="T516" s="17"/>
      <c r="U516" s="17"/>
      <c r="V516" s="17"/>
      <c r="W516" s="17"/>
      <c r="X516" s="17"/>
      <c r="Y516" s="17"/>
      <c r="Z516" s="17"/>
    </row>
    <row r="517">
      <c r="A517" s="341"/>
      <c r="B517" s="168"/>
      <c r="C517" s="354"/>
      <c r="D517" s="353"/>
      <c r="E517" s="341"/>
      <c r="F517" s="168"/>
      <c r="G517" s="341"/>
      <c r="H517" s="168"/>
      <c r="I517" s="347"/>
      <c r="J517" s="187"/>
      <c r="K517" s="347"/>
      <c r="L517" s="187"/>
      <c r="M517" s="347"/>
      <c r="N517" s="187"/>
      <c r="O517" s="341"/>
      <c r="P517" s="168"/>
      <c r="Q517" s="205"/>
      <c r="R517" s="223"/>
      <c r="S517" s="17"/>
      <c r="T517" s="17"/>
      <c r="U517" s="17"/>
      <c r="V517" s="17"/>
      <c r="W517" s="17"/>
      <c r="X517" s="17"/>
      <c r="Y517" s="17"/>
      <c r="Z517" s="17"/>
    </row>
    <row r="518">
      <c r="A518" s="341"/>
      <c r="B518" s="168"/>
      <c r="C518" s="354"/>
      <c r="D518" s="353"/>
      <c r="E518" s="341"/>
      <c r="F518" s="168"/>
      <c r="G518" s="341"/>
      <c r="H518" s="168"/>
      <c r="I518" s="347"/>
      <c r="J518" s="187"/>
      <c r="K518" s="347"/>
      <c r="L518" s="187"/>
      <c r="M518" s="347"/>
      <c r="N518" s="187"/>
      <c r="O518" s="341"/>
      <c r="P518" s="168"/>
      <c r="Q518" s="205"/>
      <c r="R518" s="223"/>
      <c r="S518" s="17"/>
      <c r="T518" s="17"/>
      <c r="U518" s="17"/>
      <c r="V518" s="17"/>
      <c r="W518" s="17"/>
      <c r="X518" s="17"/>
      <c r="Y518" s="17"/>
      <c r="Z518" s="17"/>
    </row>
    <row r="519">
      <c r="A519" s="341"/>
      <c r="B519" s="168"/>
      <c r="C519" s="354"/>
      <c r="D519" s="353"/>
      <c r="E519" s="341"/>
      <c r="F519" s="168"/>
      <c r="G519" s="341"/>
      <c r="H519" s="168"/>
      <c r="I519" s="347"/>
      <c r="J519" s="187"/>
      <c r="K519" s="347"/>
      <c r="L519" s="187"/>
      <c r="M519" s="347"/>
      <c r="N519" s="187"/>
      <c r="O519" s="341"/>
      <c r="P519" s="168"/>
      <c r="Q519" s="205"/>
      <c r="R519" s="223"/>
      <c r="S519" s="17"/>
      <c r="T519" s="17"/>
      <c r="U519" s="17"/>
      <c r="V519" s="17"/>
      <c r="W519" s="17"/>
      <c r="X519" s="17"/>
      <c r="Y519" s="17"/>
      <c r="Z519" s="17"/>
    </row>
    <row r="520">
      <c r="A520" s="341"/>
      <c r="B520" s="168"/>
      <c r="C520" s="354"/>
      <c r="D520" s="353"/>
      <c r="E520" s="341"/>
      <c r="F520" s="168"/>
      <c r="G520" s="341"/>
      <c r="H520" s="168"/>
      <c r="I520" s="347"/>
      <c r="J520" s="187"/>
      <c r="K520" s="347"/>
      <c r="L520" s="187"/>
      <c r="M520" s="347"/>
      <c r="N520" s="187"/>
      <c r="O520" s="341"/>
      <c r="P520" s="168"/>
      <c r="Q520" s="205"/>
      <c r="R520" s="223"/>
      <c r="S520" s="17"/>
      <c r="T520" s="17"/>
      <c r="U520" s="17"/>
      <c r="V520" s="17"/>
      <c r="W520" s="17"/>
      <c r="X520" s="17"/>
      <c r="Y520" s="17"/>
      <c r="Z520" s="17"/>
    </row>
    <row r="521">
      <c r="A521" s="341"/>
      <c r="B521" s="168"/>
      <c r="C521" s="354"/>
      <c r="D521" s="353"/>
      <c r="E521" s="341"/>
      <c r="F521" s="168"/>
      <c r="G521" s="341"/>
      <c r="H521" s="168"/>
      <c r="I521" s="347"/>
      <c r="J521" s="187"/>
      <c r="K521" s="347"/>
      <c r="L521" s="187"/>
      <c r="M521" s="347"/>
      <c r="N521" s="187"/>
      <c r="O521" s="341"/>
      <c r="P521" s="168"/>
      <c r="Q521" s="205"/>
      <c r="R521" s="223"/>
      <c r="S521" s="17"/>
      <c r="T521" s="17"/>
      <c r="U521" s="17"/>
      <c r="V521" s="17"/>
      <c r="W521" s="17"/>
      <c r="X521" s="17"/>
      <c r="Y521" s="17"/>
      <c r="Z521" s="17"/>
    </row>
    <row r="522">
      <c r="A522" s="341"/>
      <c r="B522" s="168"/>
      <c r="C522" s="354"/>
      <c r="D522" s="353"/>
      <c r="E522" s="341"/>
      <c r="F522" s="168"/>
      <c r="G522" s="341"/>
      <c r="H522" s="168"/>
      <c r="I522" s="347"/>
      <c r="J522" s="187"/>
      <c r="K522" s="347"/>
      <c r="L522" s="187"/>
      <c r="M522" s="347"/>
      <c r="N522" s="187"/>
      <c r="O522" s="341"/>
      <c r="P522" s="168"/>
      <c r="Q522" s="205"/>
      <c r="R522" s="223"/>
      <c r="S522" s="17"/>
      <c r="T522" s="17"/>
      <c r="U522" s="17"/>
      <c r="V522" s="17"/>
      <c r="W522" s="17"/>
      <c r="X522" s="17"/>
      <c r="Y522" s="17"/>
      <c r="Z522" s="17"/>
    </row>
    <row r="523">
      <c r="A523" s="341"/>
      <c r="B523" s="168"/>
      <c r="C523" s="354"/>
      <c r="D523" s="353"/>
      <c r="E523" s="341"/>
      <c r="F523" s="168"/>
      <c r="G523" s="341"/>
      <c r="H523" s="168"/>
      <c r="I523" s="347"/>
      <c r="J523" s="187"/>
      <c r="K523" s="347"/>
      <c r="L523" s="187"/>
      <c r="M523" s="347"/>
      <c r="N523" s="187"/>
      <c r="O523" s="341"/>
      <c r="P523" s="168"/>
      <c r="Q523" s="205"/>
      <c r="R523" s="223"/>
      <c r="S523" s="17"/>
      <c r="T523" s="17"/>
      <c r="U523" s="17"/>
      <c r="V523" s="17"/>
      <c r="W523" s="17"/>
      <c r="X523" s="17"/>
      <c r="Y523" s="17"/>
      <c r="Z523" s="17"/>
    </row>
    <row r="524">
      <c r="A524" s="341"/>
      <c r="B524" s="168"/>
      <c r="C524" s="354"/>
      <c r="D524" s="353"/>
      <c r="E524" s="341"/>
      <c r="F524" s="168"/>
      <c r="G524" s="341"/>
      <c r="H524" s="168"/>
      <c r="I524" s="347"/>
      <c r="J524" s="187"/>
      <c r="K524" s="347"/>
      <c r="L524" s="187"/>
      <c r="M524" s="347"/>
      <c r="N524" s="187"/>
      <c r="O524" s="341"/>
      <c r="P524" s="168"/>
      <c r="Q524" s="205"/>
      <c r="R524" s="223"/>
      <c r="S524" s="17"/>
      <c r="T524" s="17"/>
      <c r="U524" s="17"/>
      <c r="V524" s="17"/>
      <c r="W524" s="17"/>
      <c r="X524" s="17"/>
      <c r="Y524" s="17"/>
      <c r="Z524" s="17"/>
    </row>
    <row r="525">
      <c r="A525" s="341"/>
      <c r="B525" s="168"/>
      <c r="C525" s="354"/>
      <c r="D525" s="353"/>
      <c r="E525" s="341"/>
      <c r="F525" s="168"/>
      <c r="G525" s="341"/>
      <c r="H525" s="168"/>
      <c r="I525" s="347"/>
      <c r="J525" s="187"/>
      <c r="K525" s="347"/>
      <c r="L525" s="187"/>
      <c r="M525" s="347"/>
      <c r="N525" s="187"/>
      <c r="O525" s="341"/>
      <c r="P525" s="168"/>
      <c r="Q525" s="205"/>
      <c r="R525" s="223"/>
      <c r="S525" s="17"/>
      <c r="T525" s="17"/>
      <c r="U525" s="17"/>
      <c r="V525" s="17"/>
      <c r="W525" s="17"/>
      <c r="X525" s="17"/>
      <c r="Y525" s="17"/>
      <c r="Z525" s="17"/>
    </row>
    <row r="526">
      <c r="A526" s="341"/>
      <c r="B526" s="168"/>
      <c r="C526" s="354"/>
      <c r="D526" s="353"/>
      <c r="E526" s="341"/>
      <c r="F526" s="168"/>
      <c r="G526" s="341"/>
      <c r="H526" s="168"/>
      <c r="I526" s="347"/>
      <c r="J526" s="187"/>
      <c r="K526" s="347"/>
      <c r="L526" s="187"/>
      <c r="M526" s="347"/>
      <c r="N526" s="187"/>
      <c r="O526" s="341"/>
      <c r="P526" s="168"/>
      <c r="Q526" s="205"/>
      <c r="R526" s="223"/>
      <c r="S526" s="17"/>
      <c r="T526" s="17"/>
      <c r="U526" s="17"/>
      <c r="V526" s="17"/>
      <c r="W526" s="17"/>
      <c r="X526" s="17"/>
      <c r="Y526" s="17"/>
      <c r="Z526" s="17"/>
    </row>
    <row r="527">
      <c r="A527" s="341"/>
      <c r="B527" s="168"/>
      <c r="C527" s="354"/>
      <c r="D527" s="353"/>
      <c r="E527" s="341"/>
      <c r="F527" s="168"/>
      <c r="G527" s="341"/>
      <c r="H527" s="168"/>
      <c r="I527" s="347"/>
      <c r="J527" s="187"/>
      <c r="K527" s="347"/>
      <c r="L527" s="187"/>
      <c r="M527" s="347"/>
      <c r="N527" s="187"/>
      <c r="O527" s="341"/>
      <c r="P527" s="168"/>
      <c r="Q527" s="205"/>
      <c r="R527" s="223"/>
      <c r="S527" s="17"/>
      <c r="T527" s="17"/>
      <c r="U527" s="17"/>
      <c r="V527" s="17"/>
      <c r="W527" s="17"/>
      <c r="X527" s="17"/>
      <c r="Y527" s="17"/>
      <c r="Z527" s="17"/>
    </row>
    <row r="528">
      <c r="A528" s="341"/>
      <c r="B528" s="168"/>
      <c r="C528" s="354"/>
      <c r="D528" s="353"/>
      <c r="E528" s="341"/>
      <c r="F528" s="168"/>
      <c r="G528" s="341"/>
      <c r="H528" s="168"/>
      <c r="I528" s="347"/>
      <c r="J528" s="187"/>
      <c r="K528" s="347"/>
      <c r="L528" s="187"/>
      <c r="M528" s="347"/>
      <c r="N528" s="187"/>
      <c r="O528" s="341"/>
      <c r="P528" s="168"/>
      <c r="Q528" s="205"/>
      <c r="R528" s="223"/>
      <c r="S528" s="17"/>
      <c r="T528" s="17"/>
      <c r="U528" s="17"/>
      <c r="V528" s="17"/>
      <c r="W528" s="17"/>
      <c r="X528" s="17"/>
      <c r="Y528" s="17"/>
      <c r="Z528" s="17"/>
    </row>
    <row r="529">
      <c r="A529" s="341"/>
      <c r="B529" s="168"/>
      <c r="C529" s="354"/>
      <c r="D529" s="353"/>
      <c r="E529" s="341"/>
      <c r="F529" s="168"/>
      <c r="G529" s="341"/>
      <c r="H529" s="168"/>
      <c r="I529" s="347"/>
      <c r="J529" s="187"/>
      <c r="K529" s="347"/>
      <c r="L529" s="187"/>
      <c r="M529" s="347"/>
      <c r="N529" s="187"/>
      <c r="O529" s="341"/>
      <c r="P529" s="168"/>
      <c r="Q529" s="205"/>
      <c r="R529" s="223"/>
      <c r="S529" s="17"/>
      <c r="T529" s="17"/>
      <c r="U529" s="17"/>
      <c r="V529" s="17"/>
      <c r="W529" s="17"/>
      <c r="X529" s="17"/>
      <c r="Y529" s="17"/>
      <c r="Z529" s="17"/>
    </row>
    <row r="530">
      <c r="A530" s="341"/>
      <c r="B530" s="168"/>
      <c r="C530" s="354"/>
      <c r="D530" s="353"/>
      <c r="E530" s="341"/>
      <c r="F530" s="168"/>
      <c r="G530" s="341"/>
      <c r="H530" s="168"/>
      <c r="I530" s="347"/>
      <c r="J530" s="187"/>
      <c r="K530" s="347"/>
      <c r="L530" s="187"/>
      <c r="M530" s="347"/>
      <c r="N530" s="187"/>
      <c r="O530" s="341"/>
      <c r="P530" s="168"/>
      <c r="Q530" s="205"/>
      <c r="R530" s="223"/>
      <c r="S530" s="17"/>
      <c r="T530" s="17"/>
      <c r="U530" s="17"/>
      <c r="V530" s="17"/>
      <c r="W530" s="17"/>
      <c r="X530" s="17"/>
      <c r="Y530" s="17"/>
      <c r="Z530" s="17"/>
    </row>
    <row r="531">
      <c r="A531" s="341"/>
      <c r="B531" s="168"/>
      <c r="C531" s="354"/>
      <c r="D531" s="353"/>
      <c r="E531" s="341"/>
      <c r="F531" s="168"/>
      <c r="G531" s="341"/>
      <c r="H531" s="168"/>
      <c r="I531" s="347"/>
      <c r="J531" s="187"/>
      <c r="K531" s="347"/>
      <c r="L531" s="187"/>
      <c r="M531" s="347"/>
      <c r="N531" s="187"/>
      <c r="O531" s="341"/>
      <c r="P531" s="168"/>
      <c r="Q531" s="205"/>
      <c r="R531" s="205"/>
      <c r="S531" s="17"/>
      <c r="T531" s="17"/>
      <c r="U531" s="17"/>
      <c r="V531" s="17"/>
      <c r="W531" s="17"/>
      <c r="X531" s="17"/>
      <c r="Y531" s="17"/>
      <c r="Z531" s="17"/>
    </row>
    <row r="532">
      <c r="A532" s="341"/>
      <c r="B532" s="168"/>
      <c r="C532" s="354"/>
      <c r="D532" s="353"/>
      <c r="E532" s="341"/>
      <c r="F532" s="168"/>
      <c r="G532" s="341"/>
      <c r="H532" s="168"/>
      <c r="I532" s="347"/>
      <c r="J532" s="187"/>
      <c r="K532" s="347"/>
      <c r="L532" s="187"/>
      <c r="M532" s="347"/>
      <c r="N532" s="187"/>
      <c r="O532" s="341"/>
      <c r="P532" s="168"/>
      <c r="Q532" s="205"/>
      <c r="R532" s="205"/>
      <c r="S532" s="17"/>
      <c r="T532" s="17"/>
      <c r="U532" s="17"/>
      <c r="V532" s="17"/>
      <c r="W532" s="17"/>
      <c r="X532" s="17"/>
      <c r="Y532" s="17"/>
      <c r="Z532" s="17"/>
    </row>
    <row r="533">
      <c r="A533" s="341"/>
      <c r="B533" s="168"/>
      <c r="C533" s="354"/>
      <c r="D533" s="353"/>
      <c r="E533" s="341"/>
      <c r="F533" s="168"/>
      <c r="G533" s="341"/>
      <c r="H533" s="168"/>
      <c r="I533" s="347"/>
      <c r="J533" s="187"/>
      <c r="K533" s="347"/>
      <c r="L533" s="187"/>
      <c r="M533" s="347"/>
      <c r="N533" s="187"/>
      <c r="O533" s="341"/>
      <c r="P533" s="168"/>
      <c r="Q533" s="205"/>
      <c r="R533" s="205"/>
      <c r="S533" s="17"/>
      <c r="T533" s="17"/>
      <c r="U533" s="17"/>
      <c r="V533" s="17"/>
      <c r="W533" s="17"/>
      <c r="X533" s="17"/>
      <c r="Y533" s="17"/>
      <c r="Z533" s="17"/>
    </row>
    <row r="534">
      <c r="A534" s="341"/>
      <c r="B534" s="168"/>
      <c r="C534" s="354"/>
      <c r="D534" s="353"/>
      <c r="E534" s="341"/>
      <c r="F534" s="168"/>
      <c r="G534" s="341"/>
      <c r="H534" s="168"/>
      <c r="I534" s="347"/>
      <c r="J534" s="187"/>
      <c r="K534" s="347"/>
      <c r="L534" s="187"/>
      <c r="M534" s="347"/>
      <c r="N534" s="187"/>
      <c r="O534" s="341"/>
      <c r="P534" s="168"/>
      <c r="Q534" s="205"/>
      <c r="R534" s="205"/>
      <c r="S534" s="17"/>
      <c r="T534" s="17"/>
      <c r="U534" s="17"/>
      <c r="V534" s="17"/>
      <c r="W534" s="17"/>
      <c r="X534" s="17"/>
      <c r="Y534" s="17"/>
      <c r="Z534" s="17"/>
    </row>
    <row r="535">
      <c r="A535" s="341"/>
      <c r="B535" s="168"/>
      <c r="C535" s="354"/>
      <c r="D535" s="353"/>
      <c r="E535" s="341"/>
      <c r="F535" s="168"/>
      <c r="G535" s="341"/>
      <c r="H535" s="168"/>
      <c r="I535" s="347"/>
      <c r="J535" s="187"/>
      <c r="K535" s="347"/>
      <c r="L535" s="187"/>
      <c r="M535" s="347"/>
      <c r="N535" s="187"/>
      <c r="O535" s="341"/>
      <c r="P535" s="168"/>
      <c r="Q535" s="205"/>
      <c r="R535" s="205"/>
      <c r="S535" s="17"/>
      <c r="T535" s="17"/>
      <c r="U535" s="17"/>
      <c r="V535" s="17"/>
      <c r="W535" s="17"/>
      <c r="X535" s="17"/>
      <c r="Y535" s="17"/>
      <c r="Z535" s="17"/>
    </row>
    <row r="536">
      <c r="A536" s="341"/>
      <c r="B536" s="168"/>
      <c r="C536" s="354"/>
      <c r="D536" s="353"/>
      <c r="E536" s="341"/>
      <c r="F536" s="168"/>
      <c r="G536" s="341"/>
      <c r="H536" s="168"/>
      <c r="I536" s="347"/>
      <c r="J536" s="187"/>
      <c r="K536" s="347"/>
      <c r="L536" s="187"/>
      <c r="M536" s="347"/>
      <c r="N536" s="187"/>
      <c r="O536" s="341"/>
      <c r="P536" s="168"/>
      <c r="Q536" s="205"/>
      <c r="R536" s="205"/>
      <c r="S536" s="17"/>
      <c r="T536" s="17"/>
      <c r="U536" s="17"/>
      <c r="V536" s="17"/>
      <c r="W536" s="17"/>
      <c r="X536" s="17"/>
      <c r="Y536" s="17"/>
      <c r="Z536" s="17"/>
    </row>
    <row r="537">
      <c r="A537" s="341"/>
      <c r="B537" s="168"/>
      <c r="C537" s="354"/>
      <c r="D537" s="353"/>
      <c r="E537" s="341"/>
      <c r="F537" s="168"/>
      <c r="G537" s="341"/>
      <c r="H537" s="168"/>
      <c r="I537" s="347"/>
      <c r="J537" s="187"/>
      <c r="K537" s="347"/>
      <c r="L537" s="187"/>
      <c r="M537" s="347"/>
      <c r="N537" s="187"/>
      <c r="O537" s="341"/>
      <c r="P537" s="168"/>
      <c r="Q537" s="205"/>
      <c r="R537" s="205"/>
      <c r="S537" s="17"/>
      <c r="T537" s="17"/>
      <c r="U537" s="17"/>
      <c r="V537" s="17"/>
      <c r="W537" s="17"/>
      <c r="X537" s="17"/>
      <c r="Y537" s="17"/>
      <c r="Z537" s="17"/>
    </row>
    <row r="538">
      <c r="A538" s="341"/>
      <c r="B538" s="168"/>
      <c r="C538" s="354"/>
      <c r="D538" s="353"/>
      <c r="E538" s="341"/>
      <c r="F538" s="168"/>
      <c r="G538" s="341"/>
      <c r="H538" s="168"/>
      <c r="I538" s="347"/>
      <c r="J538" s="187"/>
      <c r="K538" s="347"/>
      <c r="L538" s="187"/>
      <c r="M538" s="347"/>
      <c r="N538" s="187"/>
      <c r="O538" s="341"/>
      <c r="P538" s="168"/>
      <c r="Q538" s="205"/>
      <c r="R538" s="205"/>
      <c r="S538" s="17"/>
      <c r="T538" s="17"/>
      <c r="U538" s="17"/>
      <c r="V538" s="17"/>
      <c r="W538" s="17"/>
      <c r="X538" s="17"/>
      <c r="Y538" s="17"/>
      <c r="Z538" s="17"/>
    </row>
    <row r="539">
      <c r="A539" s="341"/>
      <c r="B539" s="168"/>
      <c r="C539" s="354"/>
      <c r="D539" s="353"/>
      <c r="E539" s="341"/>
      <c r="F539" s="168"/>
      <c r="G539" s="341"/>
      <c r="H539" s="168"/>
      <c r="I539" s="347"/>
      <c r="J539" s="187"/>
      <c r="K539" s="347"/>
      <c r="L539" s="187"/>
      <c r="M539" s="347"/>
      <c r="N539" s="187"/>
      <c r="O539" s="341"/>
      <c r="P539" s="168"/>
      <c r="Q539" s="205"/>
      <c r="R539" s="205"/>
      <c r="S539" s="17"/>
      <c r="T539" s="17"/>
      <c r="U539" s="17"/>
      <c r="V539" s="17"/>
      <c r="W539" s="17"/>
      <c r="X539" s="17"/>
      <c r="Y539" s="17"/>
      <c r="Z539" s="17"/>
    </row>
    <row r="540">
      <c r="A540" s="341"/>
      <c r="B540" s="168"/>
      <c r="C540" s="354"/>
      <c r="D540" s="353"/>
      <c r="E540" s="341"/>
      <c r="F540" s="168"/>
      <c r="G540" s="341"/>
      <c r="H540" s="168"/>
      <c r="I540" s="347"/>
      <c r="J540" s="187"/>
      <c r="K540" s="347"/>
      <c r="L540" s="187"/>
      <c r="M540" s="347"/>
      <c r="N540" s="187"/>
      <c r="O540" s="341"/>
      <c r="P540" s="168"/>
      <c r="Q540" s="205"/>
      <c r="R540" s="205"/>
      <c r="S540" s="17"/>
      <c r="T540" s="17"/>
      <c r="U540" s="17"/>
      <c r="V540" s="17"/>
      <c r="W540" s="17"/>
      <c r="X540" s="17"/>
      <c r="Y540" s="17"/>
      <c r="Z540" s="17"/>
    </row>
    <row r="541">
      <c r="A541" s="341"/>
      <c r="B541" s="168"/>
      <c r="C541" s="354"/>
      <c r="D541" s="353"/>
      <c r="E541" s="341"/>
      <c r="F541" s="168"/>
      <c r="G541" s="341"/>
      <c r="H541" s="168"/>
      <c r="I541" s="347"/>
      <c r="J541" s="187"/>
      <c r="K541" s="347"/>
      <c r="L541" s="187"/>
      <c r="M541" s="347"/>
      <c r="N541" s="187"/>
      <c r="O541" s="341"/>
      <c r="P541" s="168"/>
      <c r="Q541" s="205"/>
      <c r="R541" s="205"/>
      <c r="S541" s="17"/>
      <c r="T541" s="17"/>
      <c r="U541" s="17"/>
      <c r="V541" s="17"/>
      <c r="W541" s="17"/>
      <c r="X541" s="17"/>
      <c r="Y541" s="17"/>
      <c r="Z541" s="17"/>
    </row>
    <row r="542">
      <c r="A542" s="341"/>
      <c r="B542" s="168"/>
      <c r="C542" s="354"/>
      <c r="D542" s="353"/>
      <c r="E542" s="341"/>
      <c r="F542" s="168"/>
      <c r="G542" s="341"/>
      <c r="H542" s="168"/>
      <c r="I542" s="347"/>
      <c r="J542" s="187"/>
      <c r="K542" s="347"/>
      <c r="L542" s="187"/>
      <c r="M542" s="347"/>
      <c r="N542" s="187"/>
      <c r="O542" s="341"/>
      <c r="P542" s="168"/>
      <c r="Q542" s="205"/>
      <c r="R542" s="205"/>
      <c r="S542" s="17"/>
      <c r="T542" s="17"/>
      <c r="U542" s="17"/>
      <c r="V542" s="17"/>
      <c r="W542" s="17"/>
      <c r="X542" s="17"/>
      <c r="Y542" s="17"/>
      <c r="Z542" s="17"/>
    </row>
    <row r="543">
      <c r="A543" s="341"/>
      <c r="B543" s="168"/>
      <c r="C543" s="354"/>
      <c r="D543" s="353"/>
      <c r="E543" s="341"/>
      <c r="F543" s="168"/>
      <c r="G543" s="341"/>
      <c r="H543" s="168"/>
      <c r="I543" s="347"/>
      <c r="J543" s="187"/>
      <c r="K543" s="347"/>
      <c r="L543" s="187"/>
      <c r="M543" s="347"/>
      <c r="N543" s="187"/>
      <c r="O543" s="341"/>
      <c r="P543" s="168"/>
      <c r="Q543" s="205"/>
      <c r="R543" s="205"/>
      <c r="S543" s="17"/>
      <c r="T543" s="17"/>
      <c r="U543" s="17"/>
      <c r="V543" s="17"/>
      <c r="W543" s="17"/>
      <c r="X543" s="17"/>
      <c r="Y543" s="17"/>
      <c r="Z543" s="17"/>
    </row>
    <row r="544">
      <c r="A544" s="341"/>
      <c r="B544" s="168"/>
      <c r="C544" s="354"/>
      <c r="D544" s="353"/>
      <c r="E544" s="341"/>
      <c r="F544" s="168"/>
      <c r="G544" s="341"/>
      <c r="H544" s="168"/>
      <c r="I544" s="347"/>
      <c r="J544" s="187"/>
      <c r="K544" s="347"/>
      <c r="L544" s="187"/>
      <c r="M544" s="347"/>
      <c r="N544" s="187"/>
      <c r="O544" s="341"/>
      <c r="P544" s="168"/>
      <c r="Q544" s="205"/>
      <c r="R544" s="205"/>
      <c r="S544" s="17"/>
      <c r="T544" s="17"/>
      <c r="U544" s="17"/>
      <c r="V544" s="17"/>
      <c r="W544" s="17"/>
      <c r="X544" s="17"/>
      <c r="Y544" s="17"/>
      <c r="Z544" s="17"/>
    </row>
    <row r="545">
      <c r="A545" s="341"/>
      <c r="B545" s="168"/>
      <c r="C545" s="354"/>
      <c r="D545" s="353"/>
      <c r="E545" s="341"/>
      <c r="F545" s="168"/>
      <c r="G545" s="341"/>
      <c r="H545" s="168"/>
      <c r="I545" s="347"/>
      <c r="J545" s="187"/>
      <c r="K545" s="347"/>
      <c r="L545" s="187"/>
      <c r="M545" s="347"/>
      <c r="N545" s="187"/>
      <c r="O545" s="341"/>
      <c r="P545" s="168"/>
      <c r="Q545" s="205"/>
      <c r="R545" s="205"/>
      <c r="S545" s="17"/>
      <c r="T545" s="17"/>
      <c r="U545" s="17"/>
      <c r="V545" s="17"/>
      <c r="W545" s="17"/>
      <c r="X545" s="17"/>
      <c r="Y545" s="17"/>
      <c r="Z545" s="17"/>
    </row>
    <row r="546">
      <c r="A546" s="341"/>
      <c r="B546" s="168"/>
      <c r="C546" s="354"/>
      <c r="D546" s="353"/>
      <c r="E546" s="341"/>
      <c r="F546" s="168"/>
      <c r="G546" s="341"/>
      <c r="H546" s="168"/>
      <c r="I546" s="347"/>
      <c r="J546" s="187"/>
      <c r="K546" s="347"/>
      <c r="L546" s="187"/>
      <c r="M546" s="347"/>
      <c r="N546" s="187"/>
      <c r="O546" s="341"/>
      <c r="P546" s="168"/>
      <c r="Q546" s="205"/>
      <c r="R546" s="205"/>
      <c r="S546" s="17"/>
      <c r="T546" s="17"/>
      <c r="U546" s="17"/>
      <c r="V546" s="17"/>
      <c r="W546" s="17"/>
      <c r="X546" s="17"/>
      <c r="Y546" s="17"/>
      <c r="Z546" s="17"/>
    </row>
    <row r="547">
      <c r="A547" s="341"/>
      <c r="B547" s="168"/>
      <c r="C547" s="354"/>
      <c r="D547" s="353"/>
      <c r="E547" s="341"/>
      <c r="F547" s="168"/>
      <c r="G547" s="341"/>
      <c r="H547" s="168"/>
      <c r="I547" s="347"/>
      <c r="J547" s="187"/>
      <c r="K547" s="347"/>
      <c r="L547" s="187"/>
      <c r="M547" s="347"/>
      <c r="N547" s="187"/>
      <c r="O547" s="341"/>
      <c r="P547" s="168"/>
      <c r="Q547" s="205"/>
      <c r="R547" s="205"/>
      <c r="S547" s="17"/>
      <c r="T547" s="17"/>
      <c r="U547" s="17"/>
      <c r="V547" s="17"/>
      <c r="W547" s="17"/>
      <c r="X547" s="17"/>
      <c r="Y547" s="17"/>
      <c r="Z547" s="17"/>
    </row>
    <row r="548">
      <c r="A548" s="341"/>
      <c r="B548" s="168"/>
      <c r="C548" s="354"/>
      <c r="D548" s="353"/>
      <c r="E548" s="341"/>
      <c r="F548" s="168"/>
      <c r="G548" s="341"/>
      <c r="H548" s="168"/>
      <c r="I548" s="347"/>
      <c r="J548" s="187"/>
      <c r="K548" s="347"/>
      <c r="L548" s="187"/>
      <c r="M548" s="347"/>
      <c r="N548" s="187"/>
      <c r="O548" s="341"/>
      <c r="P548" s="168"/>
      <c r="Q548" s="205"/>
      <c r="R548" s="205"/>
      <c r="S548" s="17"/>
      <c r="T548" s="17"/>
      <c r="U548" s="17"/>
      <c r="V548" s="17"/>
      <c r="W548" s="17"/>
      <c r="X548" s="17"/>
      <c r="Y548" s="17"/>
      <c r="Z548" s="17"/>
    </row>
    <row r="549">
      <c r="A549" s="341"/>
      <c r="B549" s="168"/>
      <c r="C549" s="354"/>
      <c r="D549" s="353"/>
      <c r="E549" s="341"/>
      <c r="F549" s="168"/>
      <c r="G549" s="341"/>
      <c r="H549" s="168"/>
      <c r="I549" s="347"/>
      <c r="J549" s="187"/>
      <c r="K549" s="347"/>
      <c r="L549" s="187"/>
      <c r="M549" s="347"/>
      <c r="N549" s="187"/>
      <c r="O549" s="341"/>
      <c r="P549" s="168"/>
      <c r="Q549" s="205"/>
      <c r="R549" s="205"/>
      <c r="S549" s="17"/>
      <c r="T549" s="17"/>
      <c r="U549" s="17"/>
      <c r="V549" s="17"/>
      <c r="W549" s="17"/>
      <c r="X549" s="17"/>
      <c r="Y549" s="17"/>
      <c r="Z549" s="17"/>
    </row>
    <row r="550">
      <c r="A550" s="341"/>
      <c r="B550" s="168"/>
      <c r="C550" s="354"/>
      <c r="D550" s="353"/>
      <c r="E550" s="341"/>
      <c r="F550" s="168"/>
      <c r="G550" s="341"/>
      <c r="H550" s="168"/>
      <c r="I550" s="347"/>
      <c r="J550" s="187"/>
      <c r="K550" s="347"/>
      <c r="L550" s="187"/>
      <c r="M550" s="347"/>
      <c r="N550" s="187"/>
      <c r="O550" s="341"/>
      <c r="P550" s="168"/>
      <c r="Q550" s="205"/>
      <c r="R550" s="205"/>
      <c r="S550" s="17"/>
      <c r="T550" s="17"/>
      <c r="U550" s="17"/>
      <c r="V550" s="17"/>
      <c r="W550" s="17"/>
      <c r="X550" s="17"/>
      <c r="Y550" s="17"/>
      <c r="Z550" s="17"/>
    </row>
    <row r="551">
      <c r="A551" s="341"/>
      <c r="B551" s="168"/>
      <c r="C551" s="354"/>
      <c r="D551" s="353"/>
      <c r="E551" s="341"/>
      <c r="F551" s="168"/>
      <c r="G551" s="341"/>
      <c r="H551" s="168"/>
      <c r="I551" s="347"/>
      <c r="J551" s="187"/>
      <c r="K551" s="347"/>
      <c r="L551" s="187"/>
      <c r="M551" s="347"/>
      <c r="N551" s="187"/>
      <c r="O551" s="341"/>
      <c r="P551" s="168"/>
      <c r="Q551" s="205"/>
      <c r="R551" s="205"/>
      <c r="S551" s="17"/>
      <c r="T551" s="17"/>
      <c r="U551" s="17"/>
      <c r="V551" s="17"/>
      <c r="W551" s="17"/>
      <c r="X551" s="17"/>
      <c r="Y551" s="17"/>
      <c r="Z551" s="17"/>
    </row>
    <row r="552">
      <c r="A552" s="341"/>
      <c r="B552" s="168"/>
      <c r="C552" s="354"/>
      <c r="D552" s="353"/>
      <c r="E552" s="341"/>
      <c r="F552" s="168"/>
      <c r="G552" s="341"/>
      <c r="H552" s="168"/>
      <c r="I552" s="347"/>
      <c r="J552" s="187"/>
      <c r="K552" s="347"/>
      <c r="L552" s="187"/>
      <c r="M552" s="347"/>
      <c r="N552" s="187"/>
      <c r="O552" s="341"/>
      <c r="P552" s="168"/>
      <c r="Q552" s="205"/>
      <c r="R552" s="205"/>
      <c r="S552" s="17"/>
      <c r="T552" s="17"/>
      <c r="U552" s="17"/>
      <c r="V552" s="17"/>
      <c r="W552" s="17"/>
      <c r="X552" s="17"/>
      <c r="Y552" s="17"/>
      <c r="Z552" s="17"/>
    </row>
    <row r="553">
      <c r="A553" s="341"/>
      <c r="B553" s="168"/>
      <c r="C553" s="354"/>
      <c r="D553" s="353"/>
      <c r="E553" s="341"/>
      <c r="F553" s="168"/>
      <c r="G553" s="341"/>
      <c r="H553" s="168"/>
      <c r="I553" s="347"/>
      <c r="J553" s="187"/>
      <c r="K553" s="347"/>
      <c r="L553" s="187"/>
      <c r="M553" s="347"/>
      <c r="N553" s="187"/>
      <c r="O553" s="341"/>
      <c r="P553" s="168"/>
      <c r="Q553" s="205"/>
      <c r="R553" s="205"/>
      <c r="S553" s="17"/>
      <c r="T553" s="17"/>
      <c r="U553" s="17"/>
      <c r="V553" s="17"/>
      <c r="W553" s="17"/>
      <c r="X553" s="17"/>
      <c r="Y553" s="17"/>
      <c r="Z553" s="17"/>
    </row>
    <row r="554">
      <c r="A554" s="341"/>
      <c r="B554" s="168"/>
      <c r="C554" s="354"/>
      <c r="D554" s="353"/>
      <c r="E554" s="341"/>
      <c r="F554" s="168"/>
      <c r="G554" s="341"/>
      <c r="H554" s="168"/>
      <c r="I554" s="347"/>
      <c r="J554" s="187"/>
      <c r="K554" s="347"/>
      <c r="L554" s="187"/>
      <c r="M554" s="347"/>
      <c r="N554" s="187"/>
      <c r="O554" s="341"/>
      <c r="P554" s="168"/>
      <c r="Q554" s="205"/>
      <c r="R554" s="205"/>
      <c r="S554" s="17"/>
      <c r="T554" s="17"/>
      <c r="U554" s="17"/>
      <c r="V554" s="17"/>
      <c r="W554" s="17"/>
      <c r="X554" s="17"/>
      <c r="Y554" s="17"/>
      <c r="Z554" s="17"/>
    </row>
    <row r="555">
      <c r="A555" s="341"/>
      <c r="B555" s="168"/>
      <c r="C555" s="354"/>
      <c r="D555" s="353"/>
      <c r="E555" s="341"/>
      <c r="F555" s="168"/>
      <c r="G555" s="341"/>
      <c r="H555" s="168"/>
      <c r="I555" s="347"/>
      <c r="J555" s="187"/>
      <c r="K555" s="347"/>
      <c r="L555" s="187"/>
      <c r="M555" s="347"/>
      <c r="N555" s="187"/>
      <c r="O555" s="341"/>
      <c r="P555" s="168"/>
      <c r="Q555" s="205"/>
      <c r="R555" s="205"/>
      <c r="S555" s="17"/>
      <c r="T555" s="17"/>
      <c r="U555" s="17"/>
      <c r="V555" s="17"/>
      <c r="W555" s="17"/>
      <c r="X555" s="17"/>
      <c r="Y555" s="17"/>
      <c r="Z555" s="17"/>
    </row>
    <row r="556">
      <c r="A556" s="341"/>
      <c r="B556" s="168"/>
      <c r="C556" s="354"/>
      <c r="D556" s="353"/>
      <c r="E556" s="341"/>
      <c r="F556" s="168"/>
      <c r="G556" s="341"/>
      <c r="H556" s="168"/>
      <c r="I556" s="347"/>
      <c r="J556" s="187"/>
      <c r="K556" s="347"/>
      <c r="L556" s="187"/>
      <c r="M556" s="347"/>
      <c r="N556" s="187"/>
      <c r="O556" s="341"/>
      <c r="P556" s="168"/>
      <c r="Q556" s="205"/>
      <c r="R556" s="205"/>
      <c r="S556" s="17"/>
      <c r="T556" s="17"/>
      <c r="U556" s="17"/>
      <c r="V556" s="17"/>
      <c r="W556" s="17"/>
      <c r="X556" s="17"/>
      <c r="Y556" s="17"/>
      <c r="Z556" s="17"/>
    </row>
    <row r="557">
      <c r="A557" s="341"/>
      <c r="B557" s="168"/>
      <c r="C557" s="354"/>
      <c r="D557" s="353"/>
      <c r="E557" s="341"/>
      <c r="F557" s="168"/>
      <c r="G557" s="341"/>
      <c r="H557" s="168"/>
      <c r="I557" s="347"/>
      <c r="J557" s="187"/>
      <c r="K557" s="347"/>
      <c r="L557" s="187"/>
      <c r="M557" s="347"/>
      <c r="N557" s="187"/>
      <c r="O557" s="341"/>
      <c r="P557" s="168"/>
      <c r="Q557" s="205"/>
      <c r="R557" s="205"/>
      <c r="S557" s="17"/>
      <c r="T557" s="17"/>
      <c r="U557" s="17"/>
      <c r="V557" s="17"/>
      <c r="W557" s="17"/>
      <c r="X557" s="17"/>
      <c r="Y557" s="17"/>
      <c r="Z557" s="17"/>
    </row>
    <row r="558">
      <c r="A558" s="341"/>
      <c r="B558" s="168"/>
      <c r="C558" s="354"/>
      <c r="D558" s="353"/>
      <c r="E558" s="341"/>
      <c r="F558" s="168"/>
      <c r="G558" s="341"/>
      <c r="H558" s="168"/>
      <c r="I558" s="347"/>
      <c r="J558" s="187"/>
      <c r="K558" s="347"/>
      <c r="L558" s="187"/>
      <c r="M558" s="347"/>
      <c r="N558" s="187"/>
      <c r="O558" s="341"/>
      <c r="P558" s="168"/>
      <c r="Q558" s="205"/>
      <c r="R558" s="205"/>
      <c r="S558" s="17"/>
      <c r="T558" s="17"/>
      <c r="U558" s="17"/>
      <c r="V558" s="17"/>
      <c r="W558" s="17"/>
      <c r="X558" s="17"/>
      <c r="Y558" s="17"/>
      <c r="Z558" s="17"/>
    </row>
    <row r="559">
      <c r="A559" s="341"/>
      <c r="B559" s="168"/>
      <c r="C559" s="354"/>
      <c r="D559" s="353"/>
      <c r="E559" s="341"/>
      <c r="F559" s="168"/>
      <c r="G559" s="341"/>
      <c r="H559" s="168"/>
      <c r="I559" s="347"/>
      <c r="J559" s="187"/>
      <c r="K559" s="347"/>
      <c r="L559" s="187"/>
      <c r="M559" s="347"/>
      <c r="N559" s="187"/>
      <c r="O559" s="341"/>
      <c r="P559" s="168"/>
      <c r="Q559" s="205"/>
      <c r="R559" s="205"/>
      <c r="S559" s="17"/>
      <c r="T559" s="17"/>
      <c r="U559" s="17"/>
      <c r="V559" s="17"/>
      <c r="W559" s="17"/>
      <c r="X559" s="17"/>
      <c r="Y559" s="17"/>
      <c r="Z559" s="17"/>
    </row>
    <row r="560">
      <c r="A560" s="341"/>
      <c r="B560" s="168"/>
      <c r="C560" s="354"/>
      <c r="D560" s="353"/>
      <c r="E560" s="341"/>
      <c r="F560" s="168"/>
      <c r="G560" s="341"/>
      <c r="H560" s="168"/>
      <c r="I560" s="347"/>
      <c r="J560" s="187"/>
      <c r="K560" s="347"/>
      <c r="L560" s="187"/>
      <c r="M560" s="347"/>
      <c r="N560" s="187"/>
      <c r="O560" s="341"/>
      <c r="P560" s="168"/>
      <c r="Q560" s="205"/>
      <c r="R560" s="205"/>
      <c r="S560" s="17"/>
      <c r="T560" s="17"/>
      <c r="U560" s="17"/>
      <c r="V560" s="17"/>
      <c r="W560" s="17"/>
      <c r="X560" s="17"/>
      <c r="Y560" s="17"/>
      <c r="Z560" s="17"/>
    </row>
    <row r="561">
      <c r="A561" s="341"/>
      <c r="B561" s="168"/>
      <c r="C561" s="354"/>
      <c r="D561" s="353"/>
      <c r="E561" s="341"/>
      <c r="F561" s="168"/>
      <c r="G561" s="341"/>
      <c r="H561" s="168"/>
      <c r="I561" s="347"/>
      <c r="J561" s="187"/>
      <c r="K561" s="347"/>
      <c r="L561" s="187"/>
      <c r="M561" s="347"/>
      <c r="N561" s="187"/>
      <c r="O561" s="341"/>
      <c r="P561" s="168"/>
      <c r="Q561" s="205"/>
      <c r="R561" s="205"/>
      <c r="S561" s="17"/>
      <c r="T561" s="17"/>
      <c r="U561" s="17"/>
      <c r="V561" s="17"/>
      <c r="W561" s="17"/>
      <c r="X561" s="17"/>
      <c r="Y561" s="17"/>
      <c r="Z561" s="17"/>
    </row>
    <row r="562">
      <c r="A562" s="341"/>
      <c r="B562" s="168"/>
      <c r="C562" s="354"/>
      <c r="D562" s="353"/>
      <c r="E562" s="341"/>
      <c r="F562" s="168"/>
      <c r="G562" s="341"/>
      <c r="H562" s="168"/>
      <c r="I562" s="347"/>
      <c r="J562" s="187"/>
      <c r="K562" s="347"/>
      <c r="L562" s="187"/>
      <c r="M562" s="347"/>
      <c r="N562" s="187"/>
      <c r="O562" s="341"/>
      <c r="P562" s="168"/>
      <c r="Q562" s="205"/>
      <c r="R562" s="205"/>
      <c r="S562" s="17"/>
      <c r="T562" s="17"/>
      <c r="U562" s="17"/>
      <c r="V562" s="17"/>
      <c r="W562" s="17"/>
      <c r="X562" s="17"/>
      <c r="Y562" s="17"/>
      <c r="Z562" s="17"/>
    </row>
    <row r="563">
      <c r="A563" s="341"/>
      <c r="B563" s="168"/>
      <c r="C563" s="354"/>
      <c r="D563" s="353"/>
      <c r="E563" s="341"/>
      <c r="F563" s="168"/>
      <c r="G563" s="341"/>
      <c r="H563" s="168"/>
      <c r="I563" s="347"/>
      <c r="J563" s="187"/>
      <c r="K563" s="347"/>
      <c r="L563" s="187"/>
      <c r="M563" s="347"/>
      <c r="N563" s="187"/>
      <c r="O563" s="341"/>
      <c r="P563" s="168"/>
      <c r="Q563" s="205"/>
      <c r="R563" s="205"/>
      <c r="S563" s="17"/>
      <c r="T563" s="17"/>
      <c r="U563" s="17"/>
      <c r="V563" s="17"/>
      <c r="W563" s="17"/>
      <c r="X563" s="17"/>
      <c r="Y563" s="17"/>
      <c r="Z563" s="17"/>
    </row>
    <row r="564">
      <c r="A564" s="341"/>
      <c r="B564" s="168"/>
      <c r="C564" s="354"/>
      <c r="D564" s="353"/>
      <c r="E564" s="341"/>
      <c r="F564" s="168"/>
      <c r="G564" s="341"/>
      <c r="H564" s="168"/>
      <c r="I564" s="347"/>
      <c r="J564" s="187"/>
      <c r="K564" s="347"/>
      <c r="L564" s="187"/>
      <c r="M564" s="347"/>
      <c r="N564" s="187"/>
      <c r="O564" s="341"/>
      <c r="P564" s="168"/>
      <c r="Q564" s="205"/>
      <c r="R564" s="205"/>
      <c r="S564" s="17"/>
      <c r="T564" s="17"/>
      <c r="U564" s="17"/>
      <c r="V564" s="17"/>
      <c r="W564" s="17"/>
      <c r="X564" s="17"/>
      <c r="Y564" s="17"/>
      <c r="Z564" s="17"/>
    </row>
    <row r="565">
      <c r="A565" s="341"/>
      <c r="B565" s="168"/>
      <c r="C565" s="354"/>
      <c r="D565" s="353"/>
      <c r="E565" s="341"/>
      <c r="F565" s="168"/>
      <c r="G565" s="341"/>
      <c r="H565" s="168"/>
      <c r="I565" s="347"/>
      <c r="J565" s="187"/>
      <c r="K565" s="347"/>
      <c r="L565" s="187"/>
      <c r="M565" s="347"/>
      <c r="N565" s="187"/>
      <c r="O565" s="341"/>
      <c r="P565" s="168"/>
      <c r="Q565" s="205"/>
      <c r="R565" s="205"/>
      <c r="S565" s="17"/>
      <c r="T565" s="17"/>
      <c r="U565" s="17"/>
      <c r="V565" s="17"/>
      <c r="W565" s="17"/>
      <c r="X565" s="17"/>
      <c r="Y565" s="17"/>
      <c r="Z565" s="17"/>
    </row>
    <row r="566">
      <c r="A566" s="341"/>
      <c r="B566" s="168"/>
      <c r="C566" s="354"/>
      <c r="D566" s="353"/>
      <c r="E566" s="341"/>
      <c r="F566" s="168"/>
      <c r="G566" s="341"/>
      <c r="H566" s="168"/>
      <c r="I566" s="347"/>
      <c r="J566" s="187"/>
      <c r="K566" s="347"/>
      <c r="L566" s="187"/>
      <c r="M566" s="347"/>
      <c r="N566" s="187"/>
      <c r="O566" s="341"/>
      <c r="P566" s="168"/>
      <c r="Q566" s="205"/>
      <c r="R566" s="205"/>
      <c r="S566" s="17"/>
      <c r="T566" s="17"/>
      <c r="U566" s="17"/>
      <c r="V566" s="17"/>
      <c r="W566" s="17"/>
      <c r="X566" s="17"/>
      <c r="Y566" s="17"/>
      <c r="Z566" s="17"/>
    </row>
    <row r="567">
      <c r="A567" s="341"/>
      <c r="B567" s="168"/>
      <c r="C567" s="354"/>
      <c r="D567" s="353"/>
      <c r="E567" s="341"/>
      <c r="F567" s="168"/>
      <c r="G567" s="341"/>
      <c r="H567" s="168"/>
      <c r="I567" s="347"/>
      <c r="J567" s="187"/>
      <c r="K567" s="347"/>
      <c r="L567" s="187"/>
      <c r="M567" s="347"/>
      <c r="N567" s="187"/>
      <c r="O567" s="341"/>
      <c r="P567" s="168"/>
      <c r="Q567" s="205"/>
      <c r="R567" s="205"/>
      <c r="S567" s="17"/>
      <c r="T567" s="17"/>
      <c r="U567" s="17"/>
      <c r="V567" s="17"/>
      <c r="W567" s="17"/>
      <c r="X567" s="17"/>
      <c r="Y567" s="17"/>
      <c r="Z567" s="17"/>
    </row>
    <row r="568">
      <c r="A568" s="341"/>
      <c r="B568" s="168"/>
      <c r="C568" s="354"/>
      <c r="D568" s="353"/>
      <c r="E568" s="341"/>
      <c r="F568" s="168"/>
      <c r="G568" s="341"/>
      <c r="H568" s="168"/>
      <c r="I568" s="347"/>
      <c r="J568" s="187"/>
      <c r="K568" s="347"/>
      <c r="L568" s="187"/>
      <c r="M568" s="347"/>
      <c r="N568" s="187"/>
      <c r="O568" s="341"/>
      <c r="P568" s="168"/>
      <c r="Q568" s="205"/>
      <c r="R568" s="205"/>
      <c r="S568" s="17"/>
      <c r="T568" s="17"/>
      <c r="U568" s="17"/>
      <c r="V568" s="17"/>
      <c r="W568" s="17"/>
      <c r="X568" s="17"/>
      <c r="Y568" s="17"/>
      <c r="Z568" s="17"/>
    </row>
    <row r="569">
      <c r="A569" s="341"/>
      <c r="B569" s="168"/>
      <c r="C569" s="354"/>
      <c r="D569" s="353"/>
      <c r="E569" s="341"/>
      <c r="F569" s="168"/>
      <c r="G569" s="341"/>
      <c r="H569" s="168"/>
      <c r="I569" s="347"/>
      <c r="J569" s="187"/>
      <c r="K569" s="347"/>
      <c r="L569" s="187"/>
      <c r="M569" s="347"/>
      <c r="N569" s="187"/>
      <c r="O569" s="341"/>
      <c r="P569" s="168"/>
      <c r="Q569" s="205"/>
      <c r="R569" s="205"/>
      <c r="S569" s="17"/>
      <c r="T569" s="17"/>
      <c r="U569" s="17"/>
      <c r="V569" s="17"/>
      <c r="W569" s="17"/>
      <c r="X569" s="17"/>
      <c r="Y569" s="17"/>
      <c r="Z569" s="17"/>
    </row>
    <row r="570">
      <c r="A570" s="341"/>
      <c r="B570" s="168"/>
      <c r="C570" s="354"/>
      <c r="D570" s="353"/>
      <c r="E570" s="341"/>
      <c r="F570" s="168"/>
      <c r="G570" s="341"/>
      <c r="H570" s="168"/>
      <c r="I570" s="347"/>
      <c r="J570" s="187"/>
      <c r="K570" s="347"/>
      <c r="L570" s="187"/>
      <c r="M570" s="347"/>
      <c r="N570" s="187"/>
      <c r="O570" s="341"/>
      <c r="P570" s="168"/>
      <c r="Q570" s="205"/>
      <c r="R570" s="205"/>
      <c r="S570" s="17"/>
      <c r="T570" s="17"/>
      <c r="U570" s="17"/>
      <c r="V570" s="17"/>
      <c r="W570" s="17"/>
      <c r="X570" s="17"/>
      <c r="Y570" s="17"/>
      <c r="Z570" s="17"/>
    </row>
    <row r="571">
      <c r="A571" s="341"/>
      <c r="B571" s="168"/>
      <c r="C571" s="354"/>
      <c r="D571" s="353"/>
      <c r="E571" s="341"/>
      <c r="F571" s="168"/>
      <c r="G571" s="341"/>
      <c r="H571" s="168"/>
      <c r="I571" s="347"/>
      <c r="J571" s="187"/>
      <c r="K571" s="347"/>
      <c r="L571" s="187"/>
      <c r="M571" s="347"/>
      <c r="N571" s="187"/>
      <c r="O571" s="341"/>
      <c r="P571" s="168"/>
      <c r="Q571" s="205"/>
      <c r="R571" s="205"/>
      <c r="S571" s="17"/>
      <c r="T571" s="17"/>
      <c r="U571" s="17"/>
      <c r="V571" s="17"/>
      <c r="W571" s="17"/>
      <c r="X571" s="17"/>
      <c r="Y571" s="17"/>
      <c r="Z571" s="17"/>
    </row>
    <row r="572">
      <c r="A572" s="341"/>
      <c r="B572" s="168"/>
      <c r="C572" s="354"/>
      <c r="D572" s="353"/>
      <c r="E572" s="341"/>
      <c r="F572" s="168"/>
      <c r="G572" s="341"/>
      <c r="H572" s="168"/>
      <c r="I572" s="347"/>
      <c r="J572" s="187"/>
      <c r="K572" s="347"/>
      <c r="L572" s="187"/>
      <c r="M572" s="347"/>
      <c r="N572" s="187"/>
      <c r="O572" s="341"/>
      <c r="P572" s="168"/>
      <c r="Q572" s="205"/>
      <c r="R572" s="205"/>
      <c r="S572" s="17"/>
      <c r="T572" s="17"/>
      <c r="U572" s="17"/>
      <c r="V572" s="17"/>
      <c r="W572" s="17"/>
      <c r="X572" s="17"/>
      <c r="Y572" s="17"/>
      <c r="Z572" s="17"/>
    </row>
    <row r="573">
      <c r="A573" s="341"/>
      <c r="B573" s="168"/>
      <c r="C573" s="354"/>
      <c r="D573" s="353"/>
      <c r="E573" s="341"/>
      <c r="F573" s="168"/>
      <c r="G573" s="341"/>
      <c r="H573" s="168"/>
      <c r="I573" s="347"/>
      <c r="J573" s="187"/>
      <c r="K573" s="347"/>
      <c r="L573" s="187"/>
      <c r="M573" s="347"/>
      <c r="N573" s="187"/>
      <c r="O573" s="341"/>
      <c r="P573" s="168"/>
      <c r="Q573" s="205"/>
      <c r="R573" s="205"/>
      <c r="S573" s="17"/>
      <c r="T573" s="17"/>
      <c r="U573" s="17"/>
      <c r="V573" s="17"/>
      <c r="W573" s="17"/>
      <c r="X573" s="17"/>
      <c r="Y573" s="17"/>
      <c r="Z573" s="17"/>
    </row>
    <row r="574">
      <c r="A574" s="341"/>
      <c r="B574" s="168"/>
      <c r="C574" s="354"/>
      <c r="D574" s="353"/>
      <c r="E574" s="341"/>
      <c r="F574" s="168"/>
      <c r="G574" s="341"/>
      <c r="H574" s="168"/>
      <c r="I574" s="347"/>
      <c r="J574" s="187"/>
      <c r="K574" s="347"/>
      <c r="L574" s="187"/>
      <c r="M574" s="347"/>
      <c r="N574" s="187"/>
      <c r="O574" s="341"/>
      <c r="P574" s="168"/>
      <c r="Q574" s="205"/>
      <c r="R574" s="205"/>
      <c r="S574" s="17"/>
      <c r="T574" s="17"/>
      <c r="U574" s="17"/>
      <c r="V574" s="17"/>
      <c r="W574" s="17"/>
      <c r="X574" s="17"/>
      <c r="Y574" s="17"/>
      <c r="Z574" s="17"/>
    </row>
    <row r="575">
      <c r="A575" s="341"/>
      <c r="B575" s="168"/>
      <c r="C575" s="354"/>
      <c r="D575" s="353"/>
      <c r="E575" s="341"/>
      <c r="F575" s="168"/>
      <c r="G575" s="341"/>
      <c r="H575" s="168"/>
      <c r="I575" s="347"/>
      <c r="J575" s="187"/>
      <c r="K575" s="347"/>
      <c r="L575" s="187"/>
      <c r="M575" s="347"/>
      <c r="N575" s="187"/>
      <c r="O575" s="341"/>
      <c r="P575" s="168"/>
      <c r="Q575" s="205"/>
      <c r="R575" s="205"/>
      <c r="S575" s="17"/>
      <c r="T575" s="17"/>
      <c r="U575" s="17"/>
      <c r="V575" s="17"/>
      <c r="W575" s="17"/>
      <c r="X575" s="17"/>
      <c r="Y575" s="17"/>
      <c r="Z575" s="17"/>
    </row>
    <row r="576">
      <c r="A576" s="341"/>
      <c r="B576" s="168"/>
      <c r="C576" s="354"/>
      <c r="D576" s="353"/>
      <c r="E576" s="341"/>
      <c r="F576" s="168"/>
      <c r="G576" s="341"/>
      <c r="H576" s="168"/>
      <c r="I576" s="347"/>
      <c r="J576" s="187"/>
      <c r="K576" s="347"/>
      <c r="L576" s="187"/>
      <c r="M576" s="347"/>
      <c r="N576" s="187"/>
      <c r="O576" s="341"/>
      <c r="P576" s="168"/>
      <c r="Q576" s="205"/>
      <c r="R576" s="205"/>
      <c r="S576" s="17"/>
      <c r="T576" s="17"/>
      <c r="U576" s="17"/>
      <c r="V576" s="17"/>
      <c r="W576" s="17"/>
      <c r="X576" s="17"/>
      <c r="Y576" s="17"/>
      <c r="Z576" s="17"/>
    </row>
    <row r="577">
      <c r="A577" s="341"/>
      <c r="B577" s="168"/>
      <c r="C577" s="354"/>
      <c r="D577" s="353"/>
      <c r="E577" s="341"/>
      <c r="F577" s="168"/>
      <c r="G577" s="341"/>
      <c r="H577" s="168"/>
      <c r="I577" s="347"/>
      <c r="J577" s="187"/>
      <c r="K577" s="347"/>
      <c r="L577" s="187"/>
      <c r="M577" s="347"/>
      <c r="N577" s="187"/>
      <c r="O577" s="341"/>
      <c r="P577" s="168"/>
      <c r="Q577" s="205"/>
      <c r="R577" s="205"/>
      <c r="S577" s="17"/>
      <c r="T577" s="17"/>
      <c r="U577" s="17"/>
      <c r="V577" s="17"/>
      <c r="W577" s="17"/>
      <c r="X577" s="17"/>
      <c r="Y577" s="17"/>
      <c r="Z577" s="17"/>
    </row>
    <row r="578">
      <c r="A578" s="341"/>
      <c r="B578" s="168"/>
      <c r="C578" s="354"/>
      <c r="D578" s="353"/>
      <c r="E578" s="341"/>
      <c r="F578" s="168"/>
      <c r="G578" s="341"/>
      <c r="H578" s="168"/>
      <c r="I578" s="347"/>
      <c r="J578" s="187"/>
      <c r="K578" s="347"/>
      <c r="L578" s="187"/>
      <c r="M578" s="347"/>
      <c r="N578" s="187"/>
      <c r="O578" s="341"/>
      <c r="P578" s="168"/>
      <c r="Q578" s="205"/>
      <c r="R578" s="205"/>
      <c r="S578" s="17"/>
      <c r="T578" s="17"/>
      <c r="U578" s="17"/>
      <c r="V578" s="17"/>
      <c r="W578" s="17"/>
      <c r="X578" s="17"/>
      <c r="Y578" s="17"/>
      <c r="Z578" s="17"/>
    </row>
    <row r="579">
      <c r="A579" s="341"/>
      <c r="B579" s="168"/>
      <c r="C579" s="354"/>
      <c r="D579" s="353"/>
      <c r="E579" s="341"/>
      <c r="F579" s="168"/>
      <c r="G579" s="341"/>
      <c r="H579" s="168"/>
      <c r="I579" s="347"/>
      <c r="J579" s="187"/>
      <c r="K579" s="347"/>
      <c r="L579" s="187"/>
      <c r="M579" s="347"/>
      <c r="N579" s="187"/>
      <c r="O579" s="341"/>
      <c r="P579" s="168"/>
      <c r="Q579" s="205"/>
      <c r="R579" s="205"/>
      <c r="S579" s="17"/>
      <c r="T579" s="17"/>
      <c r="U579" s="17"/>
      <c r="V579" s="17"/>
      <c r="W579" s="17"/>
      <c r="X579" s="17"/>
      <c r="Y579" s="17"/>
      <c r="Z579" s="17"/>
    </row>
    <row r="580">
      <c r="A580" s="341"/>
      <c r="B580" s="168"/>
      <c r="C580" s="354"/>
      <c r="D580" s="353"/>
      <c r="E580" s="341"/>
      <c r="F580" s="168"/>
      <c r="G580" s="341"/>
      <c r="H580" s="168"/>
      <c r="I580" s="347"/>
      <c r="J580" s="187"/>
      <c r="K580" s="347"/>
      <c r="L580" s="187"/>
      <c r="M580" s="347"/>
      <c r="N580" s="187"/>
      <c r="O580" s="341"/>
      <c r="P580" s="168"/>
      <c r="Q580" s="205"/>
      <c r="R580" s="205"/>
      <c r="S580" s="17"/>
      <c r="T580" s="17"/>
      <c r="U580" s="17"/>
      <c r="V580" s="17"/>
      <c r="W580" s="17"/>
      <c r="X580" s="17"/>
      <c r="Y580" s="17"/>
      <c r="Z580" s="17"/>
    </row>
    <row r="581">
      <c r="A581" s="341"/>
      <c r="B581" s="168"/>
      <c r="C581" s="354"/>
      <c r="D581" s="353"/>
      <c r="E581" s="341"/>
      <c r="F581" s="168"/>
      <c r="G581" s="341"/>
      <c r="H581" s="168"/>
      <c r="I581" s="347"/>
      <c r="J581" s="187"/>
      <c r="K581" s="347"/>
      <c r="L581" s="187"/>
      <c r="M581" s="347"/>
      <c r="N581" s="187"/>
      <c r="O581" s="341"/>
      <c r="P581" s="168"/>
      <c r="Q581" s="205"/>
      <c r="R581" s="205"/>
      <c r="S581" s="17"/>
      <c r="T581" s="17"/>
      <c r="U581" s="17"/>
      <c r="V581" s="17"/>
      <c r="W581" s="17"/>
      <c r="X581" s="17"/>
      <c r="Y581" s="17"/>
      <c r="Z581" s="17"/>
    </row>
    <row r="582">
      <c r="A582" s="341"/>
      <c r="B582" s="168"/>
      <c r="C582" s="354"/>
      <c r="D582" s="353"/>
      <c r="E582" s="341"/>
      <c r="F582" s="168"/>
      <c r="G582" s="341"/>
      <c r="H582" s="168"/>
      <c r="I582" s="347"/>
      <c r="J582" s="187"/>
      <c r="K582" s="347"/>
      <c r="L582" s="187"/>
      <c r="M582" s="347"/>
      <c r="N582" s="187"/>
      <c r="O582" s="341"/>
      <c r="P582" s="168"/>
      <c r="Q582" s="205"/>
      <c r="R582" s="205"/>
      <c r="S582" s="17"/>
      <c r="T582" s="17"/>
      <c r="U582" s="17"/>
      <c r="V582" s="17"/>
      <c r="W582" s="17"/>
      <c r="X582" s="17"/>
      <c r="Y582" s="17"/>
      <c r="Z582" s="17"/>
    </row>
    <row r="583">
      <c r="A583" s="341"/>
      <c r="B583" s="168"/>
      <c r="C583" s="354"/>
      <c r="D583" s="353"/>
      <c r="E583" s="341"/>
      <c r="F583" s="168"/>
      <c r="G583" s="341"/>
      <c r="H583" s="168"/>
      <c r="I583" s="347"/>
      <c r="J583" s="187"/>
      <c r="K583" s="347"/>
      <c r="L583" s="187"/>
      <c r="M583" s="347"/>
      <c r="N583" s="187"/>
      <c r="O583" s="341"/>
      <c r="P583" s="168"/>
      <c r="Q583" s="205"/>
      <c r="R583" s="205"/>
      <c r="S583" s="17"/>
      <c r="T583" s="17"/>
      <c r="U583" s="17"/>
      <c r="V583" s="17"/>
      <c r="W583" s="17"/>
      <c r="X583" s="17"/>
      <c r="Y583" s="17"/>
      <c r="Z583" s="17"/>
    </row>
    <row r="584">
      <c r="A584" s="341"/>
      <c r="B584" s="168"/>
      <c r="C584" s="354"/>
      <c r="D584" s="353"/>
      <c r="E584" s="341"/>
      <c r="F584" s="168"/>
      <c r="G584" s="341"/>
      <c r="H584" s="168"/>
      <c r="I584" s="347"/>
      <c r="J584" s="187"/>
      <c r="K584" s="347"/>
      <c r="L584" s="187"/>
      <c r="M584" s="347"/>
      <c r="N584" s="187"/>
      <c r="O584" s="341"/>
      <c r="P584" s="168"/>
      <c r="Q584" s="205"/>
      <c r="R584" s="205"/>
      <c r="S584" s="17"/>
      <c r="T584" s="17"/>
      <c r="U584" s="17"/>
      <c r="V584" s="17"/>
      <c r="W584" s="17"/>
      <c r="X584" s="17"/>
      <c r="Y584" s="17"/>
      <c r="Z584" s="17"/>
    </row>
    <row r="585">
      <c r="A585" s="341"/>
      <c r="B585" s="168"/>
      <c r="C585" s="354"/>
      <c r="D585" s="353"/>
      <c r="E585" s="341"/>
      <c r="F585" s="168"/>
      <c r="G585" s="341"/>
      <c r="H585" s="168"/>
      <c r="I585" s="347"/>
      <c r="J585" s="187"/>
      <c r="K585" s="347"/>
      <c r="L585" s="187"/>
      <c r="M585" s="347"/>
      <c r="N585" s="187"/>
      <c r="O585" s="341"/>
      <c r="P585" s="168"/>
      <c r="Q585" s="205"/>
      <c r="R585" s="205"/>
      <c r="S585" s="17"/>
      <c r="T585" s="17"/>
      <c r="U585" s="17"/>
      <c r="V585" s="17"/>
      <c r="W585" s="17"/>
      <c r="X585" s="17"/>
      <c r="Y585" s="17"/>
      <c r="Z585" s="17"/>
    </row>
    <row r="586">
      <c r="A586" s="341"/>
      <c r="B586" s="168"/>
      <c r="C586" s="354"/>
      <c r="D586" s="353"/>
      <c r="E586" s="341"/>
      <c r="F586" s="168"/>
      <c r="G586" s="341"/>
      <c r="H586" s="168"/>
      <c r="I586" s="347"/>
      <c r="J586" s="187"/>
      <c r="K586" s="347"/>
      <c r="L586" s="187"/>
      <c r="M586" s="347"/>
      <c r="N586" s="187"/>
      <c r="O586" s="341"/>
      <c r="P586" s="168"/>
      <c r="Q586" s="205"/>
      <c r="R586" s="205"/>
      <c r="S586" s="17"/>
      <c r="T586" s="17"/>
      <c r="U586" s="17"/>
      <c r="V586" s="17"/>
      <c r="W586" s="17"/>
      <c r="X586" s="17"/>
      <c r="Y586" s="17"/>
      <c r="Z586" s="17"/>
    </row>
    <row r="587">
      <c r="A587" s="341"/>
      <c r="B587" s="168"/>
      <c r="C587" s="354"/>
      <c r="D587" s="353"/>
      <c r="E587" s="341"/>
      <c r="F587" s="168"/>
      <c r="G587" s="341"/>
      <c r="H587" s="168"/>
      <c r="I587" s="347"/>
      <c r="J587" s="187"/>
      <c r="K587" s="347"/>
      <c r="L587" s="187"/>
      <c r="M587" s="347"/>
      <c r="N587" s="187"/>
      <c r="O587" s="341"/>
      <c r="P587" s="168"/>
      <c r="Q587" s="205"/>
      <c r="R587" s="205"/>
      <c r="S587" s="17"/>
      <c r="T587" s="17"/>
      <c r="U587" s="17"/>
      <c r="V587" s="17"/>
      <c r="W587" s="17"/>
      <c r="X587" s="17"/>
      <c r="Y587" s="17"/>
      <c r="Z587" s="17"/>
    </row>
    <row r="588">
      <c r="A588" s="341"/>
      <c r="B588" s="168"/>
      <c r="C588" s="354"/>
      <c r="D588" s="353"/>
      <c r="E588" s="341"/>
      <c r="F588" s="168"/>
      <c r="G588" s="341"/>
      <c r="H588" s="168"/>
      <c r="I588" s="347"/>
      <c r="J588" s="187"/>
      <c r="K588" s="347"/>
      <c r="L588" s="187"/>
      <c r="M588" s="347"/>
      <c r="N588" s="187"/>
      <c r="O588" s="341"/>
      <c r="P588" s="168"/>
      <c r="Q588" s="205"/>
      <c r="R588" s="205"/>
      <c r="S588" s="17"/>
      <c r="T588" s="17"/>
      <c r="U588" s="17"/>
      <c r="V588" s="17"/>
      <c r="W588" s="17"/>
      <c r="X588" s="17"/>
      <c r="Y588" s="17"/>
      <c r="Z588" s="17"/>
    </row>
    <row r="589">
      <c r="A589" s="341"/>
      <c r="B589" s="168"/>
      <c r="C589" s="354"/>
      <c r="D589" s="353"/>
      <c r="E589" s="341"/>
      <c r="F589" s="168"/>
      <c r="G589" s="341"/>
      <c r="H589" s="168"/>
      <c r="I589" s="347"/>
      <c r="J589" s="187"/>
      <c r="K589" s="347"/>
      <c r="L589" s="187"/>
      <c r="M589" s="347"/>
      <c r="N589" s="187"/>
      <c r="O589" s="341"/>
      <c r="P589" s="168"/>
      <c r="Q589" s="205"/>
      <c r="R589" s="205"/>
      <c r="S589" s="17"/>
      <c r="T589" s="17"/>
      <c r="U589" s="17"/>
      <c r="V589" s="17"/>
      <c r="W589" s="17"/>
      <c r="X589" s="17"/>
      <c r="Y589" s="17"/>
      <c r="Z589" s="17"/>
    </row>
    <row r="590">
      <c r="A590" s="341"/>
      <c r="B590" s="168"/>
      <c r="C590" s="354"/>
      <c r="D590" s="353"/>
      <c r="E590" s="341"/>
      <c r="F590" s="168"/>
      <c r="G590" s="341"/>
      <c r="H590" s="168"/>
      <c r="I590" s="347"/>
      <c r="J590" s="187"/>
      <c r="K590" s="347"/>
      <c r="L590" s="187"/>
      <c r="M590" s="347"/>
      <c r="N590" s="187"/>
      <c r="O590" s="341"/>
      <c r="P590" s="168"/>
      <c r="Q590" s="205"/>
      <c r="R590" s="205"/>
      <c r="S590" s="17"/>
      <c r="T590" s="17"/>
      <c r="U590" s="17"/>
      <c r="V590" s="17"/>
      <c r="W590" s="17"/>
      <c r="X590" s="17"/>
      <c r="Y590" s="17"/>
      <c r="Z590" s="17"/>
    </row>
    <row r="591">
      <c r="A591" s="341"/>
      <c r="B591" s="168"/>
      <c r="C591" s="354"/>
      <c r="D591" s="353"/>
      <c r="E591" s="341"/>
      <c r="F591" s="168"/>
      <c r="G591" s="341"/>
      <c r="H591" s="168"/>
      <c r="I591" s="347"/>
      <c r="J591" s="187"/>
      <c r="K591" s="347"/>
      <c r="L591" s="187"/>
      <c r="M591" s="347"/>
      <c r="N591" s="187"/>
      <c r="O591" s="341"/>
      <c r="P591" s="168"/>
      <c r="Q591" s="205"/>
      <c r="R591" s="205"/>
      <c r="S591" s="17"/>
      <c r="T591" s="17"/>
      <c r="U591" s="17"/>
      <c r="V591" s="17"/>
      <c r="W591" s="17"/>
      <c r="X591" s="17"/>
      <c r="Y591" s="17"/>
      <c r="Z591" s="17"/>
    </row>
    <row r="592">
      <c r="A592" s="341"/>
      <c r="B592" s="168"/>
      <c r="C592" s="354"/>
      <c r="D592" s="353"/>
      <c r="E592" s="341"/>
      <c r="F592" s="168"/>
      <c r="G592" s="341"/>
      <c r="H592" s="168"/>
      <c r="I592" s="347"/>
      <c r="J592" s="187"/>
      <c r="K592" s="347"/>
      <c r="L592" s="187"/>
      <c r="M592" s="347"/>
      <c r="N592" s="187"/>
      <c r="O592" s="341"/>
      <c r="P592" s="168"/>
      <c r="Q592" s="205"/>
      <c r="R592" s="205"/>
      <c r="S592" s="17"/>
      <c r="T592" s="17"/>
      <c r="U592" s="17"/>
      <c r="V592" s="17"/>
      <c r="W592" s="17"/>
      <c r="X592" s="17"/>
      <c r="Y592" s="17"/>
      <c r="Z592" s="17"/>
    </row>
    <row r="593">
      <c r="A593" s="341"/>
      <c r="B593" s="168"/>
      <c r="C593" s="354"/>
      <c r="D593" s="353"/>
      <c r="E593" s="341"/>
      <c r="F593" s="168"/>
      <c r="G593" s="341"/>
      <c r="H593" s="168"/>
      <c r="I593" s="347"/>
      <c r="J593" s="187"/>
      <c r="K593" s="347"/>
      <c r="L593" s="187"/>
      <c r="M593" s="347"/>
      <c r="N593" s="187"/>
      <c r="O593" s="341"/>
      <c r="P593" s="168"/>
      <c r="Q593" s="205"/>
      <c r="R593" s="205"/>
      <c r="S593" s="17"/>
      <c r="T593" s="17"/>
      <c r="U593" s="17"/>
      <c r="V593" s="17"/>
      <c r="W593" s="17"/>
      <c r="X593" s="17"/>
      <c r="Y593" s="17"/>
      <c r="Z593" s="17"/>
    </row>
    <row r="594">
      <c r="A594" s="341"/>
      <c r="B594" s="168"/>
      <c r="C594" s="354"/>
      <c r="D594" s="353"/>
      <c r="E594" s="341"/>
      <c r="F594" s="168"/>
      <c r="G594" s="341"/>
      <c r="H594" s="168"/>
      <c r="I594" s="347"/>
      <c r="J594" s="187"/>
      <c r="K594" s="347"/>
      <c r="L594" s="187"/>
      <c r="M594" s="347"/>
      <c r="N594" s="187"/>
      <c r="O594" s="341"/>
      <c r="P594" s="168"/>
      <c r="Q594" s="205"/>
      <c r="R594" s="205"/>
      <c r="S594" s="17"/>
      <c r="T594" s="17"/>
      <c r="U594" s="17"/>
      <c r="V594" s="17"/>
      <c r="W594" s="17"/>
      <c r="X594" s="17"/>
      <c r="Y594" s="17"/>
      <c r="Z594" s="17"/>
    </row>
    <row r="595">
      <c r="A595" s="341"/>
      <c r="B595" s="168"/>
      <c r="C595" s="354"/>
      <c r="D595" s="353"/>
      <c r="E595" s="341"/>
      <c r="F595" s="168"/>
      <c r="G595" s="341"/>
      <c r="H595" s="168"/>
      <c r="I595" s="347"/>
      <c r="J595" s="187"/>
      <c r="K595" s="347"/>
      <c r="L595" s="187"/>
      <c r="M595" s="347"/>
      <c r="N595" s="187"/>
      <c r="O595" s="341"/>
      <c r="P595" s="168"/>
      <c r="Q595" s="205"/>
      <c r="R595" s="205"/>
      <c r="S595" s="17"/>
      <c r="T595" s="17"/>
      <c r="U595" s="17"/>
      <c r="V595" s="17"/>
      <c r="W595" s="17"/>
      <c r="X595" s="17"/>
      <c r="Y595" s="17"/>
      <c r="Z595" s="17"/>
    </row>
    <row r="596">
      <c r="A596" s="341"/>
      <c r="B596" s="168"/>
      <c r="C596" s="354"/>
      <c r="D596" s="353"/>
      <c r="E596" s="341"/>
      <c r="F596" s="168"/>
      <c r="G596" s="341"/>
      <c r="H596" s="168"/>
      <c r="I596" s="347"/>
      <c r="J596" s="187"/>
      <c r="K596" s="347"/>
      <c r="L596" s="187"/>
      <c r="M596" s="347"/>
      <c r="N596" s="187"/>
      <c r="O596" s="341"/>
      <c r="P596" s="168"/>
      <c r="Q596" s="205"/>
      <c r="R596" s="205"/>
      <c r="S596" s="17"/>
      <c r="T596" s="17"/>
      <c r="U596" s="17"/>
      <c r="V596" s="17"/>
      <c r="W596" s="17"/>
      <c r="X596" s="17"/>
      <c r="Y596" s="17"/>
      <c r="Z596" s="17"/>
    </row>
    <row r="597">
      <c r="A597" s="341"/>
      <c r="B597" s="168"/>
      <c r="C597" s="354"/>
      <c r="D597" s="353"/>
      <c r="E597" s="341"/>
      <c r="F597" s="168"/>
      <c r="G597" s="341"/>
      <c r="H597" s="168"/>
      <c r="I597" s="347"/>
      <c r="J597" s="187"/>
      <c r="K597" s="347"/>
      <c r="L597" s="187"/>
      <c r="M597" s="347"/>
      <c r="N597" s="187"/>
      <c r="O597" s="341"/>
      <c r="P597" s="168"/>
      <c r="Q597" s="205"/>
      <c r="R597" s="205"/>
      <c r="S597" s="17"/>
      <c r="T597" s="17"/>
      <c r="U597" s="17"/>
      <c r="V597" s="17"/>
      <c r="W597" s="17"/>
      <c r="X597" s="17"/>
      <c r="Y597" s="17"/>
      <c r="Z597" s="17"/>
    </row>
    <row r="598">
      <c r="A598" s="341"/>
      <c r="B598" s="168"/>
      <c r="C598" s="354"/>
      <c r="D598" s="353"/>
      <c r="E598" s="341"/>
      <c r="F598" s="168"/>
      <c r="G598" s="341"/>
      <c r="H598" s="168"/>
      <c r="I598" s="347"/>
      <c r="J598" s="187"/>
      <c r="K598" s="347"/>
      <c r="L598" s="187"/>
      <c r="M598" s="347"/>
      <c r="N598" s="187"/>
      <c r="O598" s="341"/>
      <c r="P598" s="168"/>
      <c r="Q598" s="205"/>
      <c r="R598" s="205"/>
      <c r="S598" s="17"/>
      <c r="T598" s="17"/>
      <c r="U598" s="17"/>
      <c r="V598" s="17"/>
      <c r="W598" s="17"/>
      <c r="X598" s="17"/>
      <c r="Y598" s="17"/>
      <c r="Z598" s="17"/>
    </row>
    <row r="599">
      <c r="A599" s="341"/>
      <c r="B599" s="168"/>
      <c r="C599" s="354"/>
      <c r="D599" s="353"/>
      <c r="E599" s="341"/>
      <c r="F599" s="168"/>
      <c r="G599" s="341"/>
      <c r="H599" s="168"/>
      <c r="I599" s="347"/>
      <c r="J599" s="187"/>
      <c r="K599" s="347"/>
      <c r="L599" s="187"/>
      <c r="M599" s="347"/>
      <c r="N599" s="187"/>
      <c r="O599" s="341"/>
      <c r="P599" s="168"/>
      <c r="Q599" s="205"/>
      <c r="R599" s="205"/>
      <c r="S599" s="17"/>
      <c r="T599" s="17"/>
      <c r="U599" s="17"/>
      <c r="V599" s="17"/>
      <c r="W599" s="17"/>
      <c r="X599" s="17"/>
      <c r="Y599" s="17"/>
      <c r="Z599" s="17"/>
    </row>
    <row r="600">
      <c r="A600" s="341"/>
      <c r="B600" s="168"/>
      <c r="C600" s="354"/>
      <c r="D600" s="353"/>
      <c r="E600" s="341"/>
      <c r="F600" s="168"/>
      <c r="G600" s="341"/>
      <c r="H600" s="168"/>
      <c r="I600" s="347"/>
      <c r="J600" s="187"/>
      <c r="K600" s="347"/>
      <c r="L600" s="187"/>
      <c r="M600" s="347"/>
      <c r="N600" s="187"/>
      <c r="O600" s="341"/>
      <c r="P600" s="168"/>
      <c r="Q600" s="205"/>
      <c r="R600" s="205"/>
      <c r="S600" s="17"/>
      <c r="T600" s="17"/>
      <c r="U600" s="17"/>
      <c r="V600" s="17"/>
      <c r="W600" s="17"/>
      <c r="X600" s="17"/>
      <c r="Y600" s="17"/>
      <c r="Z600" s="17"/>
    </row>
    <row r="601">
      <c r="A601" s="341"/>
      <c r="B601" s="168"/>
      <c r="C601" s="354"/>
      <c r="D601" s="353"/>
      <c r="E601" s="341"/>
      <c r="F601" s="168"/>
      <c r="G601" s="341"/>
      <c r="H601" s="168"/>
      <c r="I601" s="347"/>
      <c r="J601" s="187"/>
      <c r="K601" s="347"/>
      <c r="L601" s="187"/>
      <c r="M601" s="347"/>
      <c r="N601" s="187"/>
      <c r="O601" s="341"/>
      <c r="P601" s="168"/>
      <c r="Q601" s="205"/>
      <c r="R601" s="205"/>
      <c r="S601" s="17"/>
      <c r="T601" s="17"/>
      <c r="U601" s="17"/>
      <c r="V601" s="17"/>
      <c r="W601" s="17"/>
      <c r="X601" s="17"/>
      <c r="Y601" s="17"/>
      <c r="Z601" s="17"/>
    </row>
    <row r="602">
      <c r="A602" s="341"/>
      <c r="B602" s="168"/>
      <c r="C602" s="354"/>
      <c r="D602" s="353"/>
      <c r="E602" s="341"/>
      <c r="F602" s="168"/>
      <c r="G602" s="341"/>
      <c r="H602" s="168"/>
      <c r="I602" s="347"/>
      <c r="J602" s="187"/>
      <c r="K602" s="347"/>
      <c r="L602" s="187"/>
      <c r="M602" s="347"/>
      <c r="N602" s="187"/>
      <c r="O602" s="341"/>
      <c r="P602" s="168"/>
      <c r="Q602" s="205"/>
      <c r="R602" s="205"/>
      <c r="S602" s="17"/>
      <c r="T602" s="17"/>
      <c r="U602" s="17"/>
      <c r="V602" s="17"/>
      <c r="W602" s="17"/>
      <c r="X602" s="17"/>
      <c r="Y602" s="17"/>
      <c r="Z602" s="17"/>
    </row>
    <row r="603">
      <c r="A603" s="341"/>
      <c r="B603" s="168"/>
      <c r="C603" s="354"/>
      <c r="D603" s="353"/>
      <c r="E603" s="341"/>
      <c r="F603" s="168"/>
      <c r="G603" s="341"/>
      <c r="H603" s="168"/>
      <c r="I603" s="347"/>
      <c r="J603" s="187"/>
      <c r="K603" s="347"/>
      <c r="L603" s="187"/>
      <c r="M603" s="347"/>
      <c r="N603" s="187"/>
      <c r="O603" s="341"/>
      <c r="P603" s="168"/>
      <c r="Q603" s="205"/>
      <c r="R603" s="205"/>
      <c r="S603" s="17"/>
      <c r="T603" s="17"/>
      <c r="U603" s="17"/>
      <c r="V603" s="17"/>
      <c r="W603" s="17"/>
      <c r="X603" s="17"/>
      <c r="Y603" s="17"/>
      <c r="Z603" s="17"/>
    </row>
    <row r="604">
      <c r="A604" s="341"/>
      <c r="B604" s="168"/>
      <c r="C604" s="354"/>
      <c r="D604" s="353"/>
      <c r="E604" s="341"/>
      <c r="F604" s="168"/>
      <c r="G604" s="341"/>
      <c r="H604" s="168"/>
      <c r="I604" s="347"/>
      <c r="J604" s="187"/>
      <c r="K604" s="347"/>
      <c r="L604" s="187"/>
      <c r="M604" s="347"/>
      <c r="N604" s="187"/>
      <c r="O604" s="341"/>
      <c r="P604" s="168"/>
      <c r="Q604" s="205"/>
      <c r="R604" s="205"/>
      <c r="S604" s="17"/>
      <c r="T604" s="17"/>
      <c r="U604" s="17"/>
      <c r="V604" s="17"/>
      <c r="W604" s="17"/>
      <c r="X604" s="17"/>
      <c r="Y604" s="17"/>
      <c r="Z604" s="17"/>
    </row>
    <row r="605">
      <c r="A605" s="341"/>
      <c r="B605" s="168"/>
      <c r="C605" s="354"/>
      <c r="D605" s="353"/>
      <c r="E605" s="341"/>
      <c r="F605" s="168"/>
      <c r="G605" s="341"/>
      <c r="H605" s="168"/>
      <c r="I605" s="347"/>
      <c r="J605" s="187"/>
      <c r="K605" s="347"/>
      <c r="L605" s="187"/>
      <c r="M605" s="347"/>
      <c r="N605" s="187"/>
      <c r="O605" s="341"/>
      <c r="P605" s="168"/>
      <c r="Q605" s="205"/>
      <c r="R605" s="205"/>
      <c r="S605" s="17"/>
      <c r="T605" s="17"/>
      <c r="U605" s="17"/>
      <c r="V605" s="17"/>
      <c r="W605" s="17"/>
      <c r="X605" s="17"/>
      <c r="Y605" s="17"/>
      <c r="Z605" s="17"/>
    </row>
    <row r="606">
      <c r="A606" s="341"/>
      <c r="B606" s="168"/>
      <c r="C606" s="354"/>
      <c r="D606" s="353"/>
      <c r="E606" s="341"/>
      <c r="F606" s="168"/>
      <c r="G606" s="341"/>
      <c r="H606" s="168"/>
      <c r="I606" s="347"/>
      <c r="J606" s="187"/>
      <c r="K606" s="347"/>
      <c r="L606" s="187"/>
      <c r="M606" s="347"/>
      <c r="N606" s="187"/>
      <c r="O606" s="341"/>
      <c r="P606" s="168"/>
      <c r="Q606" s="205"/>
      <c r="R606" s="205"/>
      <c r="S606" s="17"/>
      <c r="T606" s="17"/>
      <c r="U606" s="17"/>
      <c r="V606" s="17"/>
      <c r="W606" s="17"/>
      <c r="X606" s="17"/>
      <c r="Y606" s="17"/>
      <c r="Z606" s="17"/>
    </row>
    <row r="607">
      <c r="A607" s="341"/>
      <c r="B607" s="168"/>
      <c r="C607" s="354"/>
      <c r="D607" s="353"/>
      <c r="E607" s="341"/>
      <c r="F607" s="168"/>
      <c r="G607" s="341"/>
      <c r="H607" s="168"/>
      <c r="I607" s="347"/>
      <c r="J607" s="187"/>
      <c r="K607" s="347"/>
      <c r="L607" s="187"/>
      <c r="M607" s="347"/>
      <c r="N607" s="187"/>
      <c r="O607" s="341"/>
      <c r="P607" s="168"/>
      <c r="Q607" s="205"/>
      <c r="R607" s="205"/>
      <c r="S607" s="17"/>
      <c r="T607" s="17"/>
      <c r="U607" s="17"/>
      <c r="V607" s="17"/>
      <c r="W607" s="17"/>
      <c r="X607" s="17"/>
      <c r="Y607" s="17"/>
      <c r="Z607" s="17"/>
    </row>
    <row r="608">
      <c r="A608" s="341"/>
      <c r="B608" s="168"/>
      <c r="C608" s="354"/>
      <c r="D608" s="353"/>
      <c r="E608" s="341"/>
      <c r="F608" s="168"/>
      <c r="G608" s="341"/>
      <c r="H608" s="168"/>
      <c r="I608" s="347"/>
      <c r="J608" s="187"/>
      <c r="K608" s="347"/>
      <c r="L608" s="187"/>
      <c r="M608" s="347"/>
      <c r="N608" s="187"/>
      <c r="O608" s="341"/>
      <c r="P608" s="168"/>
      <c r="Q608" s="205"/>
      <c r="R608" s="205"/>
      <c r="S608" s="17"/>
      <c r="T608" s="17"/>
      <c r="U608" s="17"/>
      <c r="V608" s="17"/>
      <c r="W608" s="17"/>
      <c r="X608" s="17"/>
      <c r="Y608" s="17"/>
      <c r="Z608" s="17"/>
    </row>
    <row r="609">
      <c r="A609" s="341"/>
      <c r="B609" s="168"/>
      <c r="C609" s="354"/>
      <c r="D609" s="353"/>
      <c r="E609" s="341"/>
      <c r="F609" s="168"/>
      <c r="G609" s="341"/>
      <c r="H609" s="168"/>
      <c r="I609" s="347"/>
      <c r="J609" s="187"/>
      <c r="K609" s="347"/>
      <c r="L609" s="187"/>
      <c r="M609" s="347"/>
      <c r="N609" s="187"/>
      <c r="O609" s="341"/>
      <c r="P609" s="168"/>
      <c r="Q609" s="205"/>
      <c r="R609" s="205"/>
      <c r="S609" s="17"/>
      <c r="T609" s="17"/>
      <c r="U609" s="17"/>
      <c r="V609" s="17"/>
      <c r="W609" s="17"/>
      <c r="X609" s="17"/>
      <c r="Y609" s="17"/>
      <c r="Z609" s="17"/>
    </row>
    <row r="610">
      <c r="A610" s="341"/>
      <c r="B610" s="168"/>
      <c r="C610" s="354"/>
      <c r="D610" s="353"/>
      <c r="E610" s="341"/>
      <c r="F610" s="168"/>
      <c r="G610" s="341"/>
      <c r="H610" s="168"/>
      <c r="I610" s="347"/>
      <c r="J610" s="187"/>
      <c r="K610" s="347"/>
      <c r="L610" s="187"/>
      <c r="M610" s="347"/>
      <c r="N610" s="187"/>
      <c r="O610" s="341"/>
      <c r="P610" s="168"/>
      <c r="Q610" s="205"/>
      <c r="R610" s="205"/>
      <c r="S610" s="17"/>
      <c r="T610" s="17"/>
      <c r="U610" s="17"/>
      <c r="V610" s="17"/>
      <c r="W610" s="17"/>
      <c r="X610" s="17"/>
      <c r="Y610" s="17"/>
      <c r="Z610" s="17"/>
    </row>
    <row r="611">
      <c r="A611" s="341"/>
      <c r="B611" s="168"/>
      <c r="C611" s="354"/>
      <c r="D611" s="353"/>
      <c r="E611" s="341"/>
      <c r="F611" s="168"/>
      <c r="G611" s="341"/>
      <c r="H611" s="168"/>
      <c r="I611" s="347"/>
      <c r="J611" s="187"/>
      <c r="K611" s="347"/>
      <c r="L611" s="187"/>
      <c r="M611" s="347"/>
      <c r="N611" s="187"/>
      <c r="O611" s="341"/>
      <c r="P611" s="168"/>
      <c r="Q611" s="205"/>
      <c r="R611" s="205"/>
      <c r="S611" s="17"/>
      <c r="T611" s="17"/>
      <c r="U611" s="17"/>
      <c r="V611" s="17"/>
      <c r="W611" s="17"/>
      <c r="X611" s="17"/>
      <c r="Y611" s="17"/>
      <c r="Z611" s="17"/>
    </row>
    <row r="612">
      <c r="A612" s="341"/>
      <c r="B612" s="168"/>
      <c r="C612" s="354"/>
      <c r="D612" s="353"/>
      <c r="E612" s="341"/>
      <c r="F612" s="168"/>
      <c r="G612" s="341"/>
      <c r="H612" s="168"/>
      <c r="I612" s="347"/>
      <c r="J612" s="187"/>
      <c r="K612" s="347"/>
      <c r="L612" s="187"/>
      <c r="M612" s="347"/>
      <c r="N612" s="187"/>
      <c r="O612" s="341"/>
      <c r="P612" s="168"/>
      <c r="Q612" s="205"/>
      <c r="R612" s="205"/>
      <c r="S612" s="17"/>
      <c r="T612" s="17"/>
      <c r="U612" s="17"/>
      <c r="V612" s="17"/>
      <c r="W612" s="17"/>
      <c r="X612" s="17"/>
      <c r="Y612" s="17"/>
      <c r="Z612" s="17"/>
    </row>
    <row r="613">
      <c r="A613" s="341"/>
      <c r="B613" s="168"/>
      <c r="C613" s="354"/>
      <c r="D613" s="353"/>
      <c r="E613" s="341"/>
      <c r="F613" s="168"/>
      <c r="G613" s="341"/>
      <c r="H613" s="168"/>
      <c r="I613" s="347"/>
      <c r="J613" s="187"/>
      <c r="K613" s="347"/>
      <c r="L613" s="187"/>
      <c r="M613" s="347"/>
      <c r="N613" s="187"/>
      <c r="O613" s="341"/>
      <c r="P613" s="168"/>
      <c r="Q613" s="205"/>
      <c r="R613" s="205"/>
      <c r="S613" s="17"/>
      <c r="T613" s="17"/>
      <c r="U613" s="17"/>
      <c r="V613" s="17"/>
      <c r="W613" s="17"/>
      <c r="X613" s="17"/>
      <c r="Y613" s="17"/>
      <c r="Z613" s="17"/>
    </row>
    <row r="614">
      <c r="A614" s="341"/>
      <c r="B614" s="168"/>
      <c r="C614" s="354"/>
      <c r="D614" s="353"/>
      <c r="E614" s="341"/>
      <c r="F614" s="168"/>
      <c r="G614" s="341"/>
      <c r="H614" s="168"/>
      <c r="I614" s="347"/>
      <c r="J614" s="187"/>
      <c r="K614" s="347"/>
      <c r="L614" s="187"/>
      <c r="M614" s="347"/>
      <c r="N614" s="187"/>
      <c r="O614" s="341"/>
      <c r="P614" s="168"/>
      <c r="Q614" s="205"/>
      <c r="R614" s="205"/>
      <c r="S614" s="17"/>
      <c r="T614" s="17"/>
      <c r="U614" s="17"/>
      <c r="V614" s="17"/>
      <c r="W614" s="17"/>
      <c r="X614" s="17"/>
      <c r="Y614" s="17"/>
      <c r="Z614" s="17"/>
    </row>
    <row r="615">
      <c r="A615" s="341"/>
      <c r="B615" s="168"/>
      <c r="C615" s="354"/>
      <c r="D615" s="353"/>
      <c r="E615" s="341"/>
      <c r="F615" s="168"/>
      <c r="G615" s="341"/>
      <c r="H615" s="168"/>
      <c r="I615" s="347"/>
      <c r="J615" s="187"/>
      <c r="K615" s="347"/>
      <c r="L615" s="187"/>
      <c r="M615" s="347"/>
      <c r="N615" s="187"/>
      <c r="O615" s="341"/>
      <c r="P615" s="168"/>
      <c r="Q615" s="205"/>
      <c r="R615" s="205"/>
      <c r="S615" s="17"/>
      <c r="T615" s="17"/>
      <c r="U615" s="17"/>
      <c r="V615" s="17"/>
      <c r="W615" s="17"/>
      <c r="X615" s="17"/>
      <c r="Y615" s="17"/>
      <c r="Z615" s="17"/>
    </row>
    <row r="616">
      <c r="A616" s="341"/>
      <c r="B616" s="168"/>
      <c r="C616" s="354"/>
      <c r="D616" s="353"/>
      <c r="E616" s="341"/>
      <c r="F616" s="168"/>
      <c r="G616" s="341"/>
      <c r="H616" s="168"/>
      <c r="I616" s="347"/>
      <c r="J616" s="187"/>
      <c r="K616" s="347"/>
      <c r="L616" s="187"/>
      <c r="M616" s="347"/>
      <c r="N616" s="187"/>
      <c r="O616" s="341"/>
      <c r="P616" s="168"/>
      <c r="Q616" s="205"/>
      <c r="R616" s="205"/>
      <c r="S616" s="17"/>
      <c r="T616" s="17"/>
      <c r="U616" s="17"/>
      <c r="V616" s="17"/>
      <c r="W616" s="17"/>
      <c r="X616" s="17"/>
      <c r="Y616" s="17"/>
      <c r="Z616" s="17"/>
    </row>
    <row r="617">
      <c r="A617" s="341"/>
      <c r="B617" s="168"/>
      <c r="C617" s="354"/>
      <c r="D617" s="353"/>
      <c r="E617" s="341"/>
      <c r="F617" s="168"/>
      <c r="G617" s="341"/>
      <c r="H617" s="168"/>
      <c r="I617" s="347"/>
      <c r="J617" s="187"/>
      <c r="K617" s="347"/>
      <c r="L617" s="187"/>
      <c r="M617" s="347"/>
      <c r="N617" s="187"/>
      <c r="O617" s="341"/>
      <c r="P617" s="168"/>
      <c r="Q617" s="205"/>
      <c r="R617" s="205"/>
      <c r="S617" s="17"/>
      <c r="T617" s="17"/>
      <c r="U617" s="17"/>
      <c r="V617" s="17"/>
      <c r="W617" s="17"/>
      <c r="X617" s="17"/>
      <c r="Y617" s="17"/>
      <c r="Z617" s="17"/>
    </row>
    <row r="618">
      <c r="A618" s="341"/>
      <c r="B618" s="168"/>
      <c r="C618" s="354"/>
      <c r="D618" s="353"/>
      <c r="E618" s="341"/>
      <c r="F618" s="168"/>
      <c r="G618" s="341"/>
      <c r="H618" s="168"/>
      <c r="I618" s="347"/>
      <c r="J618" s="187"/>
      <c r="K618" s="347"/>
      <c r="L618" s="187"/>
      <c r="M618" s="347"/>
      <c r="N618" s="187"/>
      <c r="O618" s="341"/>
      <c r="P618" s="168"/>
      <c r="Q618" s="205"/>
      <c r="R618" s="205"/>
      <c r="S618" s="17"/>
      <c r="T618" s="17"/>
      <c r="U618" s="17"/>
      <c r="V618" s="17"/>
      <c r="W618" s="17"/>
      <c r="X618" s="17"/>
      <c r="Y618" s="17"/>
      <c r="Z618" s="17"/>
    </row>
    <row r="619">
      <c r="A619" s="341"/>
      <c r="B619" s="168"/>
      <c r="C619" s="354"/>
      <c r="D619" s="353"/>
      <c r="E619" s="341"/>
      <c r="F619" s="168"/>
      <c r="G619" s="341"/>
      <c r="H619" s="168"/>
      <c r="I619" s="347"/>
      <c r="J619" s="187"/>
      <c r="K619" s="347"/>
      <c r="L619" s="187"/>
      <c r="M619" s="347"/>
      <c r="N619" s="187"/>
      <c r="O619" s="341"/>
      <c r="P619" s="168"/>
      <c r="Q619" s="205"/>
      <c r="R619" s="205"/>
      <c r="S619" s="17"/>
      <c r="T619" s="17"/>
      <c r="U619" s="17"/>
      <c r="V619" s="17"/>
      <c r="W619" s="17"/>
      <c r="X619" s="17"/>
      <c r="Y619" s="17"/>
      <c r="Z619" s="17"/>
    </row>
    <row r="620">
      <c r="A620" s="341"/>
      <c r="B620" s="168"/>
      <c r="C620" s="354"/>
      <c r="D620" s="353"/>
      <c r="E620" s="341"/>
      <c r="F620" s="168"/>
      <c r="G620" s="341"/>
      <c r="H620" s="168"/>
      <c r="I620" s="347"/>
      <c r="J620" s="187"/>
      <c r="K620" s="347"/>
      <c r="L620" s="187"/>
      <c r="M620" s="347"/>
      <c r="N620" s="187"/>
      <c r="O620" s="341"/>
      <c r="P620" s="168"/>
      <c r="Q620" s="205"/>
      <c r="R620" s="205"/>
      <c r="S620" s="17"/>
      <c r="T620" s="17"/>
      <c r="U620" s="17"/>
      <c r="V620" s="17"/>
      <c r="W620" s="17"/>
      <c r="X620" s="17"/>
      <c r="Y620" s="17"/>
      <c r="Z620" s="17"/>
    </row>
    <row r="621">
      <c r="A621" s="341"/>
      <c r="B621" s="168"/>
      <c r="C621" s="354"/>
      <c r="D621" s="353"/>
      <c r="E621" s="341"/>
      <c r="F621" s="168"/>
      <c r="G621" s="341"/>
      <c r="H621" s="168"/>
      <c r="I621" s="347"/>
      <c r="J621" s="187"/>
      <c r="K621" s="347"/>
      <c r="L621" s="187"/>
      <c r="M621" s="347"/>
      <c r="N621" s="187"/>
      <c r="O621" s="341"/>
      <c r="P621" s="168"/>
      <c r="Q621" s="205"/>
      <c r="R621" s="205"/>
      <c r="S621" s="17"/>
      <c r="T621" s="17"/>
      <c r="U621" s="17"/>
      <c r="V621" s="17"/>
      <c r="W621" s="17"/>
      <c r="X621" s="17"/>
      <c r="Y621" s="17"/>
      <c r="Z621" s="17"/>
    </row>
    <row r="622">
      <c r="A622" s="341"/>
      <c r="B622" s="168"/>
      <c r="C622" s="354"/>
      <c r="D622" s="353"/>
      <c r="E622" s="341"/>
      <c r="F622" s="168"/>
      <c r="G622" s="341"/>
      <c r="H622" s="168"/>
      <c r="I622" s="347"/>
      <c r="J622" s="187"/>
      <c r="K622" s="347"/>
      <c r="L622" s="187"/>
      <c r="M622" s="347"/>
      <c r="N622" s="187"/>
      <c r="O622" s="341"/>
      <c r="P622" s="168"/>
      <c r="Q622" s="205"/>
      <c r="R622" s="205"/>
      <c r="S622" s="17"/>
      <c r="T622" s="17"/>
      <c r="U622" s="17"/>
      <c r="V622" s="17"/>
      <c r="W622" s="17"/>
      <c r="X622" s="17"/>
      <c r="Y622" s="17"/>
      <c r="Z622" s="17"/>
    </row>
    <row r="623">
      <c r="A623" s="341"/>
      <c r="B623" s="168"/>
      <c r="C623" s="354"/>
      <c r="D623" s="353"/>
      <c r="E623" s="341"/>
      <c r="F623" s="168"/>
      <c r="G623" s="341"/>
      <c r="H623" s="168"/>
      <c r="I623" s="347"/>
      <c r="J623" s="187"/>
      <c r="K623" s="347"/>
      <c r="L623" s="187"/>
      <c r="M623" s="347"/>
      <c r="N623" s="187"/>
      <c r="O623" s="341"/>
      <c r="P623" s="168"/>
      <c r="Q623" s="205"/>
      <c r="R623" s="205"/>
      <c r="S623" s="17"/>
      <c r="T623" s="17"/>
      <c r="U623" s="17"/>
      <c r="V623" s="17"/>
      <c r="W623" s="17"/>
      <c r="X623" s="17"/>
      <c r="Y623" s="17"/>
      <c r="Z623" s="17"/>
    </row>
    <row r="624">
      <c r="A624" s="341"/>
      <c r="B624" s="168"/>
      <c r="C624" s="354"/>
      <c r="D624" s="353"/>
      <c r="E624" s="341"/>
      <c r="F624" s="168"/>
      <c r="G624" s="341"/>
      <c r="H624" s="168"/>
      <c r="I624" s="347"/>
      <c r="J624" s="187"/>
      <c r="K624" s="347"/>
      <c r="L624" s="187"/>
      <c r="M624" s="347"/>
      <c r="N624" s="187"/>
      <c r="O624" s="341"/>
      <c r="P624" s="168"/>
      <c r="Q624" s="205"/>
      <c r="R624" s="205"/>
      <c r="S624" s="17"/>
      <c r="T624" s="17"/>
      <c r="U624" s="17"/>
      <c r="V624" s="17"/>
      <c r="W624" s="17"/>
      <c r="X624" s="17"/>
      <c r="Y624" s="17"/>
      <c r="Z624" s="17"/>
    </row>
    <row r="625">
      <c r="A625" s="341"/>
      <c r="B625" s="168"/>
      <c r="C625" s="354"/>
      <c r="D625" s="353"/>
      <c r="E625" s="341"/>
      <c r="F625" s="168"/>
      <c r="G625" s="341"/>
      <c r="H625" s="168"/>
      <c r="I625" s="347"/>
      <c r="J625" s="187"/>
      <c r="K625" s="347"/>
      <c r="L625" s="187"/>
      <c r="M625" s="347"/>
      <c r="N625" s="187"/>
      <c r="O625" s="341"/>
      <c r="P625" s="168"/>
      <c r="Q625" s="205"/>
      <c r="R625" s="205"/>
      <c r="S625" s="17"/>
      <c r="T625" s="17"/>
      <c r="U625" s="17"/>
      <c r="V625" s="17"/>
      <c r="W625" s="17"/>
      <c r="X625" s="17"/>
      <c r="Y625" s="17"/>
      <c r="Z625" s="17"/>
    </row>
    <row r="626">
      <c r="A626" s="341"/>
      <c r="B626" s="168"/>
      <c r="C626" s="354"/>
      <c r="D626" s="353"/>
      <c r="E626" s="341"/>
      <c r="F626" s="168"/>
      <c r="G626" s="341"/>
      <c r="H626" s="168"/>
      <c r="I626" s="347"/>
      <c r="J626" s="187"/>
      <c r="K626" s="347"/>
      <c r="L626" s="187"/>
      <c r="M626" s="347"/>
      <c r="N626" s="187"/>
      <c r="O626" s="341"/>
      <c r="P626" s="168"/>
      <c r="Q626" s="205"/>
      <c r="R626" s="205"/>
      <c r="S626" s="17"/>
      <c r="T626" s="17"/>
      <c r="U626" s="17"/>
      <c r="V626" s="17"/>
      <c r="W626" s="17"/>
      <c r="X626" s="17"/>
      <c r="Y626" s="17"/>
      <c r="Z626" s="17"/>
    </row>
    <row r="627">
      <c r="A627" s="341"/>
      <c r="B627" s="168"/>
      <c r="C627" s="354"/>
      <c r="D627" s="353"/>
      <c r="E627" s="341"/>
      <c r="F627" s="168"/>
      <c r="G627" s="341"/>
      <c r="H627" s="168"/>
      <c r="I627" s="347"/>
      <c r="J627" s="187"/>
      <c r="K627" s="347"/>
      <c r="L627" s="187"/>
      <c r="M627" s="347"/>
      <c r="N627" s="187"/>
      <c r="O627" s="341"/>
      <c r="P627" s="168"/>
      <c r="Q627" s="205"/>
      <c r="R627" s="205"/>
      <c r="S627" s="17"/>
      <c r="T627" s="17"/>
      <c r="U627" s="17"/>
      <c r="V627" s="17"/>
      <c r="W627" s="17"/>
      <c r="X627" s="17"/>
      <c r="Y627" s="17"/>
      <c r="Z627" s="17"/>
    </row>
    <row r="628">
      <c r="A628" s="341"/>
      <c r="B628" s="168"/>
      <c r="C628" s="354"/>
      <c r="D628" s="353"/>
      <c r="E628" s="341"/>
      <c r="F628" s="168"/>
      <c r="G628" s="341"/>
      <c r="H628" s="168"/>
      <c r="I628" s="347"/>
      <c r="J628" s="187"/>
      <c r="K628" s="347"/>
      <c r="L628" s="187"/>
      <c r="M628" s="347"/>
      <c r="N628" s="187"/>
      <c r="O628" s="341"/>
      <c r="P628" s="168"/>
      <c r="Q628" s="205"/>
      <c r="R628" s="205"/>
      <c r="S628" s="17"/>
      <c r="T628" s="17"/>
      <c r="U628" s="17"/>
      <c r="V628" s="17"/>
      <c r="W628" s="17"/>
      <c r="X628" s="17"/>
      <c r="Y628" s="17"/>
      <c r="Z628" s="17"/>
    </row>
    <row r="629">
      <c r="A629" s="341"/>
      <c r="B629" s="168"/>
      <c r="C629" s="354"/>
      <c r="D629" s="353"/>
      <c r="E629" s="341"/>
      <c r="F629" s="168"/>
      <c r="G629" s="341"/>
      <c r="H629" s="168"/>
      <c r="I629" s="347"/>
      <c r="J629" s="187"/>
      <c r="K629" s="347"/>
      <c r="L629" s="187"/>
      <c r="M629" s="347"/>
      <c r="N629" s="187"/>
      <c r="O629" s="341"/>
      <c r="P629" s="168"/>
      <c r="Q629" s="205"/>
      <c r="R629" s="205"/>
      <c r="S629" s="17"/>
      <c r="T629" s="17"/>
      <c r="U629" s="17"/>
      <c r="V629" s="17"/>
      <c r="W629" s="17"/>
      <c r="X629" s="17"/>
      <c r="Y629" s="17"/>
      <c r="Z629" s="17"/>
    </row>
    <row r="630">
      <c r="A630" s="341"/>
      <c r="B630" s="168"/>
      <c r="C630" s="354"/>
      <c r="D630" s="353"/>
      <c r="E630" s="341"/>
      <c r="F630" s="168"/>
      <c r="G630" s="341"/>
      <c r="H630" s="168"/>
      <c r="I630" s="347"/>
      <c r="J630" s="187"/>
      <c r="K630" s="347"/>
      <c r="L630" s="187"/>
      <c r="M630" s="347"/>
      <c r="N630" s="187"/>
      <c r="O630" s="341"/>
      <c r="P630" s="168"/>
      <c r="Q630" s="205"/>
      <c r="R630" s="205"/>
      <c r="S630" s="17"/>
      <c r="T630" s="17"/>
      <c r="U630" s="17"/>
      <c r="V630" s="17"/>
      <c r="W630" s="17"/>
      <c r="X630" s="17"/>
      <c r="Y630" s="17"/>
      <c r="Z630" s="17"/>
    </row>
    <row r="631">
      <c r="A631" s="341"/>
      <c r="B631" s="168"/>
      <c r="C631" s="354"/>
      <c r="D631" s="353"/>
      <c r="E631" s="341"/>
      <c r="F631" s="168"/>
      <c r="G631" s="341"/>
      <c r="H631" s="168"/>
      <c r="I631" s="347"/>
      <c r="J631" s="187"/>
      <c r="K631" s="347"/>
      <c r="L631" s="187"/>
      <c r="M631" s="347"/>
      <c r="N631" s="187"/>
      <c r="O631" s="341"/>
      <c r="P631" s="168"/>
      <c r="Q631" s="205"/>
      <c r="R631" s="205"/>
      <c r="S631" s="17"/>
      <c r="T631" s="17"/>
      <c r="U631" s="17"/>
      <c r="V631" s="17"/>
      <c r="W631" s="17"/>
      <c r="X631" s="17"/>
      <c r="Y631" s="17"/>
      <c r="Z631" s="17"/>
    </row>
    <row r="632">
      <c r="A632" s="341"/>
      <c r="B632" s="168"/>
      <c r="C632" s="354"/>
      <c r="D632" s="353"/>
      <c r="E632" s="341"/>
      <c r="F632" s="168"/>
      <c r="G632" s="341"/>
      <c r="H632" s="168"/>
      <c r="I632" s="347"/>
      <c r="J632" s="187"/>
      <c r="K632" s="347"/>
      <c r="L632" s="187"/>
      <c r="M632" s="347"/>
      <c r="N632" s="187"/>
      <c r="O632" s="341"/>
      <c r="P632" s="168"/>
      <c r="Q632" s="205"/>
      <c r="R632" s="205"/>
      <c r="S632" s="17"/>
      <c r="T632" s="17"/>
      <c r="U632" s="17"/>
      <c r="V632" s="17"/>
      <c r="W632" s="17"/>
      <c r="X632" s="17"/>
      <c r="Y632" s="17"/>
      <c r="Z632" s="17"/>
    </row>
    <row r="633">
      <c r="A633" s="341"/>
      <c r="B633" s="168"/>
      <c r="C633" s="354"/>
      <c r="D633" s="353"/>
      <c r="E633" s="341"/>
      <c r="F633" s="168"/>
      <c r="G633" s="341"/>
      <c r="H633" s="168"/>
      <c r="I633" s="347"/>
      <c r="J633" s="187"/>
      <c r="K633" s="347"/>
      <c r="L633" s="187"/>
      <c r="M633" s="347"/>
      <c r="N633" s="187"/>
      <c r="O633" s="341"/>
      <c r="P633" s="168"/>
      <c r="Q633" s="205"/>
      <c r="R633" s="205"/>
      <c r="S633" s="17"/>
      <c r="T633" s="17"/>
      <c r="U633" s="17"/>
      <c r="V633" s="17"/>
      <c r="W633" s="17"/>
      <c r="X633" s="17"/>
      <c r="Y633" s="17"/>
      <c r="Z633" s="17"/>
    </row>
    <row r="634">
      <c r="A634" s="341"/>
      <c r="B634" s="168"/>
      <c r="C634" s="354"/>
      <c r="D634" s="353"/>
      <c r="E634" s="341"/>
      <c r="F634" s="168"/>
      <c r="G634" s="341"/>
      <c r="H634" s="168"/>
      <c r="I634" s="347"/>
      <c r="J634" s="187"/>
      <c r="K634" s="347"/>
      <c r="L634" s="187"/>
      <c r="M634" s="347"/>
      <c r="N634" s="187"/>
      <c r="O634" s="341"/>
      <c r="P634" s="168"/>
      <c r="Q634" s="205"/>
      <c r="R634" s="205"/>
      <c r="S634" s="17"/>
      <c r="T634" s="17"/>
      <c r="U634" s="17"/>
      <c r="V634" s="17"/>
      <c r="W634" s="17"/>
      <c r="X634" s="17"/>
      <c r="Y634" s="17"/>
      <c r="Z634" s="17"/>
    </row>
    <row r="635">
      <c r="A635" s="341"/>
      <c r="B635" s="168"/>
      <c r="C635" s="354"/>
      <c r="D635" s="353"/>
      <c r="E635" s="341"/>
      <c r="F635" s="168"/>
      <c r="G635" s="341"/>
      <c r="H635" s="168"/>
      <c r="I635" s="347"/>
      <c r="J635" s="187"/>
      <c r="K635" s="347"/>
      <c r="L635" s="187"/>
      <c r="M635" s="347"/>
      <c r="N635" s="187"/>
      <c r="O635" s="341"/>
      <c r="P635" s="168"/>
      <c r="Q635" s="205"/>
      <c r="R635" s="205"/>
      <c r="S635" s="17"/>
      <c r="T635" s="17"/>
      <c r="U635" s="17"/>
      <c r="V635" s="17"/>
      <c r="W635" s="17"/>
      <c r="X635" s="17"/>
      <c r="Y635" s="17"/>
      <c r="Z635" s="17"/>
    </row>
    <row r="636">
      <c r="A636" s="341"/>
      <c r="B636" s="168"/>
      <c r="C636" s="354"/>
      <c r="D636" s="353"/>
      <c r="E636" s="341"/>
      <c r="F636" s="168"/>
      <c r="G636" s="341"/>
      <c r="H636" s="168"/>
      <c r="I636" s="347"/>
      <c r="J636" s="187"/>
      <c r="K636" s="347"/>
      <c r="L636" s="187"/>
      <c r="M636" s="347"/>
      <c r="N636" s="187"/>
      <c r="O636" s="341"/>
      <c r="P636" s="168"/>
      <c r="Q636" s="205"/>
      <c r="R636" s="205"/>
      <c r="S636" s="17"/>
      <c r="T636" s="17"/>
      <c r="U636" s="17"/>
      <c r="V636" s="17"/>
      <c r="W636" s="17"/>
      <c r="X636" s="17"/>
      <c r="Y636" s="17"/>
      <c r="Z636" s="17"/>
    </row>
    <row r="637">
      <c r="A637" s="341"/>
      <c r="B637" s="168"/>
      <c r="C637" s="354"/>
      <c r="D637" s="353"/>
      <c r="E637" s="341"/>
      <c r="F637" s="168"/>
      <c r="G637" s="341"/>
      <c r="H637" s="168"/>
      <c r="I637" s="347"/>
      <c r="J637" s="187"/>
      <c r="K637" s="347"/>
      <c r="L637" s="187"/>
      <c r="M637" s="347"/>
      <c r="N637" s="187"/>
      <c r="O637" s="341"/>
      <c r="P637" s="168"/>
      <c r="Q637" s="205"/>
      <c r="R637" s="205"/>
      <c r="S637" s="17"/>
      <c r="T637" s="17"/>
      <c r="U637" s="17"/>
      <c r="V637" s="17"/>
      <c r="W637" s="17"/>
      <c r="X637" s="17"/>
      <c r="Y637" s="17"/>
      <c r="Z637" s="17"/>
    </row>
    <row r="638">
      <c r="A638" s="341"/>
      <c r="B638" s="168"/>
      <c r="C638" s="354"/>
      <c r="D638" s="353"/>
      <c r="E638" s="341"/>
      <c r="F638" s="168"/>
      <c r="G638" s="341"/>
      <c r="H638" s="168"/>
      <c r="I638" s="347"/>
      <c r="J638" s="187"/>
      <c r="K638" s="347"/>
      <c r="L638" s="187"/>
      <c r="M638" s="347"/>
      <c r="N638" s="187"/>
      <c r="O638" s="341"/>
      <c r="P638" s="168"/>
      <c r="Q638" s="205"/>
      <c r="R638" s="205"/>
      <c r="S638" s="17"/>
      <c r="T638" s="17"/>
      <c r="U638" s="17"/>
      <c r="V638" s="17"/>
      <c r="W638" s="17"/>
      <c r="X638" s="17"/>
      <c r="Y638" s="17"/>
      <c r="Z638" s="17"/>
    </row>
    <row r="639">
      <c r="A639" s="341"/>
      <c r="B639" s="168"/>
      <c r="C639" s="354"/>
      <c r="D639" s="353"/>
      <c r="E639" s="341"/>
      <c r="F639" s="168"/>
      <c r="G639" s="341"/>
      <c r="H639" s="168"/>
      <c r="I639" s="347"/>
      <c r="J639" s="187"/>
      <c r="K639" s="347"/>
      <c r="L639" s="187"/>
      <c r="M639" s="347"/>
      <c r="N639" s="187"/>
      <c r="O639" s="341"/>
      <c r="P639" s="168"/>
      <c r="Q639" s="205"/>
      <c r="R639" s="205"/>
      <c r="S639" s="17"/>
      <c r="T639" s="17"/>
      <c r="U639" s="17"/>
      <c r="V639" s="17"/>
      <c r="W639" s="17"/>
      <c r="X639" s="17"/>
      <c r="Y639" s="17"/>
      <c r="Z639" s="17"/>
    </row>
    <row r="640">
      <c r="A640" s="341"/>
      <c r="B640" s="168"/>
      <c r="C640" s="354"/>
      <c r="D640" s="353"/>
      <c r="E640" s="341"/>
      <c r="F640" s="168"/>
      <c r="G640" s="341"/>
      <c r="H640" s="168"/>
      <c r="I640" s="347"/>
      <c r="J640" s="187"/>
      <c r="K640" s="347"/>
      <c r="L640" s="187"/>
      <c r="M640" s="347"/>
      <c r="N640" s="187"/>
      <c r="O640" s="341"/>
      <c r="P640" s="168"/>
      <c r="Q640" s="205"/>
      <c r="R640" s="205"/>
      <c r="S640" s="17"/>
      <c r="T640" s="17"/>
      <c r="U640" s="17"/>
      <c r="V640" s="17"/>
      <c r="W640" s="17"/>
      <c r="X640" s="17"/>
      <c r="Y640" s="17"/>
      <c r="Z640" s="17"/>
    </row>
    <row r="641">
      <c r="A641" s="341"/>
      <c r="B641" s="168"/>
      <c r="C641" s="354"/>
      <c r="D641" s="353"/>
      <c r="E641" s="341"/>
      <c r="F641" s="168"/>
      <c r="G641" s="341"/>
      <c r="H641" s="168"/>
      <c r="I641" s="347"/>
      <c r="J641" s="187"/>
      <c r="K641" s="347"/>
      <c r="L641" s="187"/>
      <c r="M641" s="347"/>
      <c r="N641" s="187"/>
      <c r="O641" s="341"/>
      <c r="P641" s="168"/>
      <c r="Q641" s="205"/>
      <c r="R641" s="205"/>
      <c r="S641" s="17"/>
      <c r="T641" s="17"/>
      <c r="U641" s="17"/>
      <c r="V641" s="17"/>
      <c r="W641" s="17"/>
      <c r="X641" s="17"/>
      <c r="Y641" s="17"/>
      <c r="Z641" s="17"/>
    </row>
    <row r="642">
      <c r="A642" s="341"/>
      <c r="B642" s="168"/>
      <c r="C642" s="354"/>
      <c r="D642" s="353"/>
      <c r="E642" s="341"/>
      <c r="F642" s="168"/>
      <c r="G642" s="341"/>
      <c r="H642" s="168"/>
      <c r="I642" s="347"/>
      <c r="J642" s="187"/>
      <c r="K642" s="347"/>
      <c r="L642" s="187"/>
      <c r="M642" s="347"/>
      <c r="N642" s="187"/>
      <c r="O642" s="341"/>
      <c r="P642" s="168"/>
      <c r="Q642" s="205"/>
      <c r="R642" s="205"/>
      <c r="S642" s="17"/>
      <c r="T642" s="17"/>
      <c r="U642" s="17"/>
      <c r="V642" s="17"/>
      <c r="W642" s="17"/>
      <c r="X642" s="17"/>
      <c r="Y642" s="17"/>
      <c r="Z642" s="17"/>
    </row>
    <row r="643">
      <c r="A643" s="341"/>
      <c r="B643" s="168"/>
      <c r="C643" s="354"/>
      <c r="D643" s="353"/>
      <c r="E643" s="341"/>
      <c r="F643" s="168"/>
      <c r="G643" s="341"/>
      <c r="H643" s="168"/>
      <c r="I643" s="347"/>
      <c r="J643" s="187"/>
      <c r="K643" s="347"/>
      <c r="L643" s="187"/>
      <c r="M643" s="347"/>
      <c r="N643" s="187"/>
      <c r="O643" s="341"/>
      <c r="P643" s="168"/>
      <c r="Q643" s="205"/>
      <c r="R643" s="205"/>
      <c r="S643" s="17"/>
      <c r="T643" s="17"/>
      <c r="U643" s="17"/>
      <c r="V643" s="17"/>
      <c r="W643" s="17"/>
      <c r="X643" s="17"/>
      <c r="Y643" s="17"/>
      <c r="Z643" s="17"/>
    </row>
    <row r="644">
      <c r="A644" s="341"/>
      <c r="B644" s="168"/>
      <c r="C644" s="354"/>
      <c r="D644" s="353"/>
      <c r="E644" s="341"/>
      <c r="F644" s="168"/>
      <c r="G644" s="341"/>
      <c r="H644" s="168"/>
      <c r="I644" s="347"/>
      <c r="J644" s="187"/>
      <c r="K644" s="347"/>
      <c r="L644" s="187"/>
      <c r="M644" s="347"/>
      <c r="N644" s="187"/>
      <c r="O644" s="341"/>
      <c r="P644" s="168"/>
      <c r="Q644" s="205"/>
      <c r="R644" s="205"/>
      <c r="S644" s="17"/>
      <c r="T644" s="17"/>
      <c r="U644" s="17"/>
      <c r="V644" s="17"/>
      <c r="W644" s="17"/>
      <c r="X644" s="17"/>
      <c r="Y644" s="17"/>
      <c r="Z644" s="17"/>
    </row>
    <row r="645">
      <c r="A645" s="341"/>
      <c r="B645" s="168"/>
      <c r="C645" s="354"/>
      <c r="D645" s="353"/>
      <c r="E645" s="341"/>
      <c r="F645" s="168"/>
      <c r="G645" s="341"/>
      <c r="H645" s="168"/>
      <c r="I645" s="347"/>
      <c r="J645" s="187"/>
      <c r="K645" s="347"/>
      <c r="L645" s="187"/>
      <c r="M645" s="347"/>
      <c r="N645" s="187"/>
      <c r="O645" s="341"/>
      <c r="P645" s="168"/>
      <c r="Q645" s="205"/>
      <c r="R645" s="205"/>
      <c r="S645" s="17"/>
      <c r="T645" s="17"/>
      <c r="U645" s="17"/>
      <c r="V645" s="17"/>
      <c r="W645" s="17"/>
      <c r="X645" s="17"/>
      <c r="Y645" s="17"/>
      <c r="Z645" s="17"/>
    </row>
    <row r="646">
      <c r="A646" s="341"/>
      <c r="B646" s="168"/>
      <c r="C646" s="354"/>
      <c r="D646" s="353"/>
      <c r="E646" s="341"/>
      <c r="F646" s="168"/>
      <c r="G646" s="341"/>
      <c r="H646" s="168"/>
      <c r="I646" s="347"/>
      <c r="J646" s="187"/>
      <c r="K646" s="347"/>
      <c r="L646" s="187"/>
      <c r="M646" s="347"/>
      <c r="N646" s="187"/>
      <c r="O646" s="341"/>
      <c r="P646" s="168"/>
      <c r="Q646" s="205"/>
      <c r="R646" s="205"/>
      <c r="S646" s="17"/>
      <c r="T646" s="17"/>
      <c r="U646" s="17"/>
      <c r="V646" s="17"/>
      <c r="W646" s="17"/>
      <c r="X646" s="17"/>
      <c r="Y646" s="17"/>
      <c r="Z646" s="17"/>
    </row>
    <row r="647">
      <c r="A647" s="341"/>
      <c r="B647" s="168"/>
      <c r="C647" s="354"/>
      <c r="D647" s="353"/>
      <c r="E647" s="341"/>
      <c r="F647" s="168"/>
      <c r="G647" s="341"/>
      <c r="H647" s="168"/>
      <c r="I647" s="347"/>
      <c r="J647" s="187"/>
      <c r="K647" s="347"/>
      <c r="L647" s="187"/>
      <c r="M647" s="347"/>
      <c r="N647" s="187"/>
      <c r="O647" s="341"/>
      <c r="P647" s="168"/>
      <c r="Q647" s="205"/>
      <c r="R647" s="205"/>
      <c r="S647" s="17"/>
      <c r="T647" s="17"/>
      <c r="U647" s="17"/>
      <c r="V647" s="17"/>
      <c r="W647" s="17"/>
      <c r="X647" s="17"/>
      <c r="Y647" s="17"/>
      <c r="Z647" s="17"/>
    </row>
    <row r="648">
      <c r="A648" s="341"/>
      <c r="B648" s="168"/>
      <c r="C648" s="354"/>
      <c r="D648" s="353"/>
      <c r="E648" s="341"/>
      <c r="F648" s="168"/>
      <c r="G648" s="341"/>
      <c r="H648" s="168"/>
      <c r="I648" s="347"/>
      <c r="J648" s="187"/>
      <c r="K648" s="347"/>
      <c r="L648" s="187"/>
      <c r="M648" s="347"/>
      <c r="N648" s="187"/>
      <c r="O648" s="341"/>
      <c r="P648" s="168"/>
      <c r="Q648" s="205"/>
      <c r="R648" s="205"/>
      <c r="S648" s="17"/>
      <c r="T648" s="17"/>
      <c r="U648" s="17"/>
      <c r="V648" s="17"/>
      <c r="W648" s="17"/>
      <c r="X648" s="17"/>
      <c r="Y648" s="17"/>
      <c r="Z648" s="17"/>
    </row>
    <row r="649">
      <c r="A649" s="341"/>
      <c r="B649" s="168"/>
      <c r="C649" s="354"/>
      <c r="D649" s="353"/>
      <c r="E649" s="341"/>
      <c r="F649" s="168"/>
      <c r="G649" s="341"/>
      <c r="H649" s="168"/>
      <c r="I649" s="347"/>
      <c r="J649" s="187"/>
      <c r="K649" s="347"/>
      <c r="L649" s="187"/>
      <c r="M649" s="347"/>
      <c r="N649" s="187"/>
      <c r="O649" s="341"/>
      <c r="P649" s="168"/>
      <c r="Q649" s="205"/>
      <c r="R649" s="205"/>
      <c r="S649" s="17"/>
      <c r="T649" s="17"/>
      <c r="U649" s="17"/>
      <c r="V649" s="17"/>
      <c r="W649" s="17"/>
      <c r="X649" s="17"/>
      <c r="Y649" s="17"/>
      <c r="Z649" s="17"/>
    </row>
    <row r="650">
      <c r="A650" s="341"/>
      <c r="B650" s="168"/>
      <c r="C650" s="354"/>
      <c r="D650" s="353"/>
      <c r="E650" s="341"/>
      <c r="F650" s="168"/>
      <c r="G650" s="341"/>
      <c r="H650" s="168"/>
      <c r="I650" s="347"/>
      <c r="J650" s="187"/>
      <c r="K650" s="347"/>
      <c r="L650" s="187"/>
      <c r="M650" s="347"/>
      <c r="N650" s="187"/>
      <c r="O650" s="341"/>
      <c r="P650" s="168"/>
      <c r="Q650" s="205"/>
      <c r="R650" s="205"/>
      <c r="S650" s="17"/>
      <c r="T650" s="17"/>
      <c r="U650" s="17"/>
      <c r="V650" s="17"/>
      <c r="W650" s="17"/>
      <c r="X650" s="17"/>
      <c r="Y650" s="17"/>
      <c r="Z650" s="17"/>
    </row>
    <row r="651">
      <c r="A651" s="341"/>
      <c r="B651" s="168"/>
      <c r="C651" s="354"/>
      <c r="D651" s="353"/>
      <c r="E651" s="341"/>
      <c r="F651" s="168"/>
      <c r="G651" s="341"/>
      <c r="H651" s="168"/>
      <c r="I651" s="347"/>
      <c r="J651" s="187"/>
      <c r="K651" s="347"/>
      <c r="L651" s="187"/>
      <c r="M651" s="347"/>
      <c r="N651" s="187"/>
      <c r="O651" s="341"/>
      <c r="P651" s="168"/>
      <c r="Q651" s="205"/>
      <c r="R651" s="205"/>
      <c r="S651" s="17"/>
      <c r="T651" s="17"/>
      <c r="U651" s="17"/>
      <c r="V651" s="17"/>
      <c r="W651" s="17"/>
      <c r="X651" s="17"/>
      <c r="Y651" s="17"/>
      <c r="Z651" s="17"/>
    </row>
    <row r="652">
      <c r="A652" s="341"/>
      <c r="B652" s="168"/>
      <c r="C652" s="354"/>
      <c r="D652" s="353"/>
      <c r="E652" s="341"/>
      <c r="F652" s="168"/>
      <c r="G652" s="341"/>
      <c r="H652" s="168"/>
      <c r="I652" s="347"/>
      <c r="J652" s="187"/>
      <c r="K652" s="347"/>
      <c r="L652" s="187"/>
      <c r="M652" s="347"/>
      <c r="N652" s="187"/>
      <c r="O652" s="341"/>
      <c r="P652" s="168"/>
      <c r="Q652" s="205"/>
      <c r="R652" s="205"/>
      <c r="S652" s="17"/>
      <c r="T652" s="17"/>
      <c r="U652" s="17"/>
      <c r="V652" s="17"/>
      <c r="W652" s="17"/>
      <c r="X652" s="17"/>
      <c r="Y652" s="17"/>
      <c r="Z652" s="17"/>
    </row>
    <row r="653">
      <c r="A653" s="341"/>
      <c r="B653" s="168"/>
      <c r="C653" s="354"/>
      <c r="D653" s="353"/>
      <c r="E653" s="341"/>
      <c r="F653" s="168"/>
      <c r="G653" s="341"/>
      <c r="H653" s="168"/>
      <c r="I653" s="347"/>
      <c r="J653" s="187"/>
      <c r="K653" s="347"/>
      <c r="L653" s="187"/>
      <c r="M653" s="347"/>
      <c r="N653" s="187"/>
      <c r="O653" s="341"/>
      <c r="P653" s="168"/>
      <c r="Q653" s="205"/>
      <c r="R653" s="205"/>
      <c r="S653" s="17"/>
      <c r="T653" s="17"/>
      <c r="U653" s="17"/>
      <c r="V653" s="17"/>
      <c r="W653" s="17"/>
      <c r="X653" s="17"/>
      <c r="Y653" s="17"/>
      <c r="Z653" s="17"/>
    </row>
    <row r="654">
      <c r="A654" s="341"/>
      <c r="B654" s="168"/>
      <c r="C654" s="354"/>
      <c r="D654" s="353"/>
      <c r="E654" s="341"/>
      <c r="F654" s="168"/>
      <c r="G654" s="341"/>
      <c r="H654" s="168"/>
      <c r="I654" s="347"/>
      <c r="J654" s="187"/>
      <c r="K654" s="347"/>
      <c r="L654" s="187"/>
      <c r="M654" s="347"/>
      <c r="N654" s="187"/>
      <c r="O654" s="341"/>
      <c r="P654" s="168"/>
      <c r="Q654" s="205"/>
      <c r="R654" s="205"/>
      <c r="S654" s="17"/>
      <c r="T654" s="17"/>
      <c r="U654" s="17"/>
      <c r="V654" s="17"/>
      <c r="W654" s="17"/>
      <c r="X654" s="17"/>
      <c r="Y654" s="17"/>
      <c r="Z654" s="17"/>
    </row>
    <row r="655">
      <c r="A655" s="341"/>
      <c r="B655" s="168"/>
      <c r="C655" s="354"/>
      <c r="D655" s="353"/>
      <c r="E655" s="341"/>
      <c r="F655" s="168"/>
      <c r="G655" s="341"/>
      <c r="H655" s="168"/>
      <c r="I655" s="347"/>
      <c r="J655" s="187"/>
      <c r="K655" s="347"/>
      <c r="L655" s="187"/>
      <c r="M655" s="347"/>
      <c r="N655" s="187"/>
      <c r="O655" s="341"/>
      <c r="P655" s="168"/>
      <c r="Q655" s="205"/>
      <c r="R655" s="205"/>
      <c r="S655" s="17"/>
      <c r="T655" s="17"/>
      <c r="U655" s="17"/>
      <c r="V655" s="17"/>
      <c r="W655" s="17"/>
      <c r="X655" s="17"/>
      <c r="Y655" s="17"/>
      <c r="Z655" s="17"/>
    </row>
    <row r="656">
      <c r="A656" s="341"/>
      <c r="B656" s="168"/>
      <c r="C656" s="354"/>
      <c r="D656" s="353"/>
      <c r="E656" s="341"/>
      <c r="F656" s="168"/>
      <c r="G656" s="341"/>
      <c r="H656" s="168"/>
      <c r="I656" s="347"/>
      <c r="J656" s="187"/>
      <c r="K656" s="347"/>
      <c r="L656" s="187"/>
      <c r="M656" s="347"/>
      <c r="N656" s="187"/>
      <c r="O656" s="341"/>
      <c r="P656" s="168"/>
      <c r="Q656" s="205"/>
      <c r="R656" s="205"/>
      <c r="S656" s="17"/>
      <c r="T656" s="17"/>
      <c r="U656" s="17"/>
      <c r="V656" s="17"/>
      <c r="W656" s="17"/>
      <c r="X656" s="17"/>
      <c r="Y656" s="17"/>
      <c r="Z656" s="17"/>
    </row>
    <row r="657">
      <c r="A657" s="341"/>
      <c r="B657" s="168"/>
      <c r="C657" s="354"/>
      <c r="D657" s="353"/>
      <c r="E657" s="341"/>
      <c r="F657" s="168"/>
      <c r="G657" s="341"/>
      <c r="H657" s="168"/>
      <c r="I657" s="347"/>
      <c r="J657" s="187"/>
      <c r="K657" s="347"/>
      <c r="L657" s="187"/>
      <c r="M657" s="347"/>
      <c r="N657" s="187"/>
      <c r="O657" s="341"/>
      <c r="P657" s="168"/>
      <c r="Q657" s="205"/>
      <c r="R657" s="205"/>
      <c r="S657" s="17"/>
      <c r="T657" s="17"/>
      <c r="U657" s="17"/>
      <c r="V657" s="17"/>
      <c r="W657" s="17"/>
      <c r="X657" s="17"/>
      <c r="Y657" s="17"/>
      <c r="Z657" s="17"/>
    </row>
    <row r="658">
      <c r="A658" s="341"/>
      <c r="B658" s="168"/>
      <c r="C658" s="354"/>
      <c r="D658" s="353"/>
      <c r="E658" s="341"/>
      <c r="F658" s="168"/>
      <c r="G658" s="341"/>
      <c r="H658" s="168"/>
      <c r="I658" s="347"/>
      <c r="J658" s="187"/>
      <c r="K658" s="347"/>
      <c r="L658" s="187"/>
      <c r="M658" s="347"/>
      <c r="N658" s="187"/>
      <c r="O658" s="341"/>
      <c r="P658" s="168"/>
      <c r="Q658" s="205"/>
      <c r="R658" s="205"/>
      <c r="S658" s="17"/>
      <c r="T658" s="17"/>
      <c r="U658" s="17"/>
      <c r="V658" s="17"/>
      <c r="W658" s="17"/>
      <c r="X658" s="17"/>
      <c r="Y658" s="17"/>
      <c r="Z658" s="17"/>
    </row>
    <row r="659">
      <c r="A659" s="341"/>
      <c r="B659" s="168"/>
      <c r="C659" s="354"/>
      <c r="D659" s="353"/>
      <c r="E659" s="341"/>
      <c r="F659" s="168"/>
      <c r="G659" s="341"/>
      <c r="H659" s="168"/>
      <c r="I659" s="347"/>
      <c r="J659" s="187"/>
      <c r="K659" s="347"/>
      <c r="L659" s="187"/>
      <c r="M659" s="347"/>
      <c r="N659" s="187"/>
      <c r="O659" s="341"/>
      <c r="P659" s="168"/>
      <c r="Q659" s="205"/>
      <c r="R659" s="205"/>
      <c r="S659" s="17"/>
      <c r="T659" s="17"/>
      <c r="U659" s="17"/>
      <c r="V659" s="17"/>
      <c r="W659" s="17"/>
      <c r="X659" s="17"/>
      <c r="Y659" s="17"/>
      <c r="Z659" s="17"/>
    </row>
    <row r="660">
      <c r="A660" s="341"/>
      <c r="B660" s="168"/>
      <c r="C660" s="354"/>
      <c r="D660" s="353"/>
      <c r="E660" s="341"/>
      <c r="F660" s="168"/>
      <c r="G660" s="341"/>
      <c r="H660" s="168"/>
      <c r="I660" s="347"/>
      <c r="J660" s="187"/>
      <c r="K660" s="347"/>
      <c r="L660" s="187"/>
      <c r="M660" s="347"/>
      <c r="N660" s="187"/>
      <c r="O660" s="341"/>
      <c r="P660" s="168"/>
      <c r="Q660" s="205"/>
      <c r="R660" s="205"/>
      <c r="S660" s="17"/>
      <c r="T660" s="17"/>
      <c r="U660" s="17"/>
      <c r="V660" s="17"/>
      <c r="W660" s="17"/>
      <c r="X660" s="17"/>
      <c r="Y660" s="17"/>
      <c r="Z660" s="17"/>
    </row>
    <row r="661">
      <c r="A661" s="341"/>
      <c r="B661" s="168"/>
      <c r="C661" s="354"/>
      <c r="D661" s="353"/>
      <c r="E661" s="341"/>
      <c r="F661" s="168"/>
      <c r="G661" s="341"/>
      <c r="H661" s="168"/>
      <c r="I661" s="347"/>
      <c r="J661" s="187"/>
      <c r="K661" s="347"/>
      <c r="L661" s="187"/>
      <c r="M661" s="347"/>
      <c r="N661" s="187"/>
      <c r="O661" s="341"/>
      <c r="P661" s="168"/>
      <c r="Q661" s="205"/>
      <c r="R661" s="205"/>
      <c r="S661" s="17"/>
      <c r="T661" s="17"/>
      <c r="U661" s="17"/>
      <c r="V661" s="17"/>
      <c r="W661" s="17"/>
      <c r="X661" s="17"/>
      <c r="Y661" s="17"/>
      <c r="Z661" s="17"/>
    </row>
    <row r="662">
      <c r="A662" s="341"/>
      <c r="B662" s="168"/>
      <c r="C662" s="354"/>
      <c r="D662" s="353"/>
      <c r="E662" s="341"/>
      <c r="F662" s="168"/>
      <c r="G662" s="341"/>
      <c r="H662" s="168"/>
      <c r="I662" s="347"/>
      <c r="J662" s="187"/>
      <c r="K662" s="347"/>
      <c r="L662" s="187"/>
      <c r="M662" s="347"/>
      <c r="N662" s="187"/>
      <c r="O662" s="341"/>
      <c r="P662" s="168"/>
      <c r="Q662" s="205"/>
      <c r="R662" s="205"/>
      <c r="S662" s="17"/>
      <c r="T662" s="17"/>
      <c r="U662" s="17"/>
      <c r="V662" s="17"/>
      <c r="W662" s="17"/>
      <c r="X662" s="17"/>
      <c r="Y662" s="17"/>
      <c r="Z662" s="17"/>
    </row>
    <row r="663">
      <c r="A663" s="341"/>
      <c r="B663" s="168"/>
      <c r="C663" s="354"/>
      <c r="D663" s="353"/>
      <c r="E663" s="341"/>
      <c r="F663" s="168"/>
      <c r="G663" s="341"/>
      <c r="H663" s="168"/>
      <c r="I663" s="347"/>
      <c r="J663" s="187"/>
      <c r="K663" s="347"/>
      <c r="L663" s="187"/>
      <c r="M663" s="347"/>
      <c r="N663" s="187"/>
      <c r="O663" s="341"/>
      <c r="P663" s="168"/>
      <c r="Q663" s="205"/>
      <c r="R663" s="205"/>
      <c r="S663" s="17"/>
      <c r="T663" s="17"/>
      <c r="U663" s="17"/>
      <c r="V663" s="17"/>
      <c r="W663" s="17"/>
      <c r="X663" s="17"/>
      <c r="Y663" s="17"/>
      <c r="Z663" s="17"/>
    </row>
    <row r="664">
      <c r="A664" s="341"/>
      <c r="B664" s="168"/>
      <c r="C664" s="354"/>
      <c r="D664" s="353"/>
      <c r="E664" s="341"/>
      <c r="F664" s="168"/>
      <c r="G664" s="341"/>
      <c r="H664" s="168"/>
      <c r="I664" s="347"/>
      <c r="J664" s="187"/>
      <c r="K664" s="347"/>
      <c r="L664" s="187"/>
      <c r="M664" s="347"/>
      <c r="N664" s="187"/>
      <c r="O664" s="341"/>
      <c r="P664" s="168"/>
      <c r="Q664" s="205"/>
      <c r="R664" s="205"/>
      <c r="S664" s="17"/>
      <c r="T664" s="17"/>
      <c r="U664" s="17"/>
      <c r="V664" s="17"/>
      <c r="W664" s="17"/>
      <c r="X664" s="17"/>
      <c r="Y664" s="17"/>
      <c r="Z664" s="17"/>
    </row>
    <row r="665">
      <c r="A665" s="341"/>
      <c r="B665" s="168"/>
      <c r="C665" s="354"/>
      <c r="D665" s="353"/>
      <c r="E665" s="341"/>
      <c r="F665" s="168"/>
      <c r="G665" s="341"/>
      <c r="H665" s="168"/>
      <c r="I665" s="347"/>
      <c r="J665" s="187"/>
      <c r="K665" s="347"/>
      <c r="L665" s="187"/>
      <c r="M665" s="347"/>
      <c r="N665" s="187"/>
      <c r="O665" s="341"/>
      <c r="P665" s="168"/>
      <c r="Q665" s="205"/>
      <c r="R665" s="205"/>
      <c r="S665" s="17"/>
      <c r="T665" s="17"/>
      <c r="U665" s="17"/>
      <c r="V665" s="17"/>
      <c r="W665" s="17"/>
      <c r="X665" s="17"/>
      <c r="Y665" s="17"/>
      <c r="Z665" s="17"/>
    </row>
    <row r="666">
      <c r="A666" s="341"/>
      <c r="B666" s="168"/>
      <c r="C666" s="354"/>
      <c r="D666" s="353"/>
      <c r="E666" s="341"/>
      <c r="F666" s="168"/>
      <c r="G666" s="341"/>
      <c r="H666" s="168"/>
      <c r="I666" s="347"/>
      <c r="J666" s="187"/>
      <c r="K666" s="347"/>
      <c r="L666" s="187"/>
      <c r="M666" s="347"/>
      <c r="N666" s="187"/>
      <c r="O666" s="341"/>
      <c r="P666" s="168"/>
      <c r="Q666" s="205"/>
      <c r="R666" s="205"/>
      <c r="S666" s="17"/>
      <c r="T666" s="17"/>
      <c r="U666" s="17"/>
      <c r="V666" s="17"/>
      <c r="W666" s="17"/>
      <c r="X666" s="17"/>
      <c r="Y666" s="17"/>
      <c r="Z666" s="17"/>
    </row>
    <row r="667">
      <c r="A667" s="341"/>
      <c r="B667" s="168"/>
      <c r="C667" s="354"/>
      <c r="D667" s="353"/>
      <c r="E667" s="341"/>
      <c r="F667" s="168"/>
      <c r="G667" s="341"/>
      <c r="H667" s="168"/>
      <c r="I667" s="347"/>
      <c r="J667" s="187"/>
      <c r="K667" s="347"/>
      <c r="L667" s="187"/>
      <c r="M667" s="347"/>
      <c r="N667" s="187"/>
      <c r="O667" s="341"/>
      <c r="P667" s="168"/>
      <c r="Q667" s="205"/>
      <c r="R667" s="205"/>
      <c r="S667" s="17"/>
      <c r="T667" s="17"/>
      <c r="U667" s="17"/>
      <c r="V667" s="17"/>
      <c r="W667" s="17"/>
      <c r="X667" s="17"/>
      <c r="Y667" s="17"/>
      <c r="Z667" s="17"/>
    </row>
    <row r="668">
      <c r="A668" s="341"/>
      <c r="B668" s="168"/>
      <c r="C668" s="354"/>
      <c r="D668" s="353"/>
      <c r="E668" s="341"/>
      <c r="F668" s="168"/>
      <c r="G668" s="341"/>
      <c r="H668" s="168"/>
      <c r="I668" s="347"/>
      <c r="J668" s="187"/>
      <c r="K668" s="347"/>
      <c r="L668" s="187"/>
      <c r="M668" s="347"/>
      <c r="N668" s="187"/>
      <c r="O668" s="341"/>
      <c r="P668" s="168"/>
      <c r="Q668" s="205"/>
      <c r="R668" s="205"/>
      <c r="S668" s="17"/>
      <c r="T668" s="17"/>
      <c r="U668" s="17"/>
      <c r="V668" s="17"/>
      <c r="W668" s="17"/>
      <c r="X668" s="17"/>
      <c r="Y668" s="17"/>
      <c r="Z668" s="17"/>
    </row>
    <row r="669">
      <c r="A669" s="341"/>
      <c r="B669" s="168"/>
      <c r="C669" s="354"/>
      <c r="D669" s="353"/>
      <c r="E669" s="341"/>
      <c r="F669" s="168"/>
      <c r="G669" s="341"/>
      <c r="H669" s="168"/>
      <c r="I669" s="347"/>
      <c r="J669" s="187"/>
      <c r="K669" s="347"/>
      <c r="L669" s="187"/>
      <c r="M669" s="347"/>
      <c r="N669" s="187"/>
      <c r="O669" s="341"/>
      <c r="P669" s="168"/>
      <c r="Q669" s="205"/>
      <c r="R669" s="205"/>
      <c r="S669" s="17"/>
      <c r="T669" s="17"/>
      <c r="U669" s="17"/>
      <c r="V669" s="17"/>
      <c r="W669" s="17"/>
      <c r="X669" s="17"/>
      <c r="Y669" s="17"/>
      <c r="Z669" s="17"/>
    </row>
    <row r="670">
      <c r="A670" s="341"/>
      <c r="B670" s="168"/>
      <c r="C670" s="354"/>
      <c r="D670" s="353"/>
      <c r="E670" s="341"/>
      <c r="F670" s="168"/>
      <c r="G670" s="341"/>
      <c r="H670" s="168"/>
      <c r="I670" s="347"/>
      <c r="J670" s="187"/>
      <c r="K670" s="347"/>
      <c r="L670" s="187"/>
      <c r="M670" s="347"/>
      <c r="N670" s="187"/>
      <c r="O670" s="341"/>
      <c r="P670" s="168"/>
      <c r="Q670" s="205"/>
      <c r="R670" s="205"/>
      <c r="S670" s="17"/>
      <c r="T670" s="17"/>
      <c r="U670" s="17"/>
      <c r="V670" s="17"/>
      <c r="W670" s="17"/>
      <c r="X670" s="17"/>
      <c r="Y670" s="17"/>
      <c r="Z670" s="17"/>
    </row>
    <row r="671">
      <c r="A671" s="341"/>
      <c r="B671" s="168"/>
      <c r="C671" s="354"/>
      <c r="D671" s="353"/>
      <c r="E671" s="341"/>
      <c r="F671" s="168"/>
      <c r="G671" s="341"/>
      <c r="H671" s="168"/>
      <c r="I671" s="347"/>
      <c r="J671" s="187"/>
      <c r="K671" s="347"/>
      <c r="L671" s="187"/>
      <c r="M671" s="347"/>
      <c r="N671" s="187"/>
      <c r="O671" s="341"/>
      <c r="P671" s="168"/>
      <c r="Q671" s="205"/>
      <c r="R671" s="205"/>
      <c r="S671" s="17"/>
      <c r="T671" s="17"/>
      <c r="U671" s="17"/>
      <c r="V671" s="17"/>
      <c r="W671" s="17"/>
      <c r="X671" s="17"/>
      <c r="Y671" s="17"/>
      <c r="Z671" s="17"/>
    </row>
    <row r="672">
      <c r="A672" s="341"/>
      <c r="B672" s="168"/>
      <c r="C672" s="354"/>
      <c r="D672" s="353"/>
      <c r="E672" s="341"/>
      <c r="F672" s="168"/>
      <c r="G672" s="341"/>
      <c r="H672" s="168"/>
      <c r="I672" s="347"/>
      <c r="J672" s="187"/>
      <c r="K672" s="347"/>
      <c r="L672" s="187"/>
      <c r="M672" s="347"/>
      <c r="N672" s="187"/>
      <c r="O672" s="341"/>
      <c r="P672" s="168"/>
      <c r="Q672" s="205"/>
      <c r="R672" s="205"/>
      <c r="S672" s="17"/>
      <c r="T672" s="17"/>
      <c r="U672" s="17"/>
      <c r="V672" s="17"/>
      <c r="W672" s="17"/>
      <c r="X672" s="17"/>
      <c r="Y672" s="17"/>
      <c r="Z672" s="17"/>
    </row>
    <row r="673">
      <c r="A673" s="341"/>
      <c r="B673" s="168"/>
      <c r="C673" s="354"/>
      <c r="D673" s="353"/>
      <c r="E673" s="341"/>
      <c r="F673" s="168"/>
      <c r="G673" s="341"/>
      <c r="H673" s="168"/>
      <c r="I673" s="347"/>
      <c r="J673" s="187"/>
      <c r="K673" s="347"/>
      <c r="L673" s="187"/>
      <c r="M673" s="347"/>
      <c r="N673" s="187"/>
      <c r="O673" s="341"/>
      <c r="P673" s="168"/>
      <c r="Q673" s="205"/>
      <c r="R673" s="205"/>
      <c r="S673" s="17"/>
      <c r="T673" s="17"/>
      <c r="U673" s="17"/>
      <c r="V673" s="17"/>
      <c r="W673" s="17"/>
      <c r="X673" s="17"/>
      <c r="Y673" s="17"/>
      <c r="Z673" s="17"/>
    </row>
    <row r="674">
      <c r="A674" s="341"/>
      <c r="B674" s="168"/>
      <c r="C674" s="354"/>
      <c r="D674" s="353"/>
      <c r="E674" s="341"/>
      <c r="F674" s="168"/>
      <c r="G674" s="341"/>
      <c r="H674" s="168"/>
      <c r="I674" s="347"/>
      <c r="J674" s="187"/>
      <c r="K674" s="347"/>
      <c r="L674" s="187"/>
      <c r="M674" s="347"/>
      <c r="N674" s="187"/>
      <c r="O674" s="341"/>
      <c r="P674" s="168"/>
      <c r="Q674" s="205"/>
      <c r="R674" s="205"/>
      <c r="S674" s="17"/>
      <c r="T674" s="17"/>
      <c r="U674" s="17"/>
      <c r="V674" s="17"/>
      <c r="W674" s="17"/>
      <c r="X674" s="17"/>
      <c r="Y674" s="17"/>
      <c r="Z674" s="17"/>
    </row>
    <row r="675">
      <c r="A675" s="341"/>
      <c r="B675" s="168"/>
      <c r="C675" s="354"/>
      <c r="D675" s="353"/>
      <c r="E675" s="341"/>
      <c r="F675" s="168"/>
      <c r="G675" s="341"/>
      <c r="H675" s="168"/>
      <c r="I675" s="347"/>
      <c r="J675" s="187"/>
      <c r="K675" s="347"/>
      <c r="L675" s="187"/>
      <c r="M675" s="347"/>
      <c r="N675" s="187"/>
      <c r="O675" s="341"/>
      <c r="P675" s="168"/>
      <c r="Q675" s="205"/>
      <c r="R675" s="205"/>
      <c r="S675" s="17"/>
      <c r="T675" s="17"/>
      <c r="U675" s="17"/>
      <c r="V675" s="17"/>
      <c r="W675" s="17"/>
      <c r="X675" s="17"/>
      <c r="Y675" s="17"/>
      <c r="Z675" s="17"/>
    </row>
    <row r="676">
      <c r="A676" s="341"/>
      <c r="B676" s="168"/>
      <c r="C676" s="354"/>
      <c r="D676" s="353"/>
      <c r="E676" s="341"/>
      <c r="F676" s="168"/>
      <c r="G676" s="341"/>
      <c r="H676" s="168"/>
      <c r="I676" s="347"/>
      <c r="J676" s="187"/>
      <c r="K676" s="347"/>
      <c r="L676" s="187"/>
      <c r="M676" s="347"/>
      <c r="N676" s="187"/>
      <c r="O676" s="341"/>
      <c r="P676" s="168"/>
      <c r="Q676" s="205"/>
      <c r="R676" s="205"/>
      <c r="S676" s="17"/>
      <c r="T676" s="17"/>
      <c r="U676" s="17"/>
      <c r="V676" s="17"/>
      <c r="W676" s="17"/>
      <c r="X676" s="17"/>
      <c r="Y676" s="17"/>
      <c r="Z676" s="17"/>
    </row>
    <row r="677">
      <c r="A677" s="341"/>
      <c r="B677" s="168"/>
      <c r="C677" s="354"/>
      <c r="D677" s="353"/>
      <c r="E677" s="341"/>
      <c r="F677" s="168"/>
      <c r="G677" s="341"/>
      <c r="H677" s="168"/>
      <c r="I677" s="347"/>
      <c r="J677" s="187"/>
      <c r="K677" s="347"/>
      <c r="L677" s="187"/>
      <c r="M677" s="347"/>
      <c r="N677" s="187"/>
      <c r="O677" s="341"/>
      <c r="P677" s="168"/>
      <c r="Q677" s="205"/>
      <c r="R677" s="205"/>
      <c r="S677" s="17"/>
      <c r="T677" s="17"/>
      <c r="U677" s="17"/>
      <c r="V677" s="17"/>
      <c r="W677" s="17"/>
      <c r="X677" s="17"/>
      <c r="Y677" s="17"/>
      <c r="Z677" s="17"/>
    </row>
    <row r="678">
      <c r="A678" s="341"/>
      <c r="B678" s="168"/>
      <c r="C678" s="354"/>
      <c r="D678" s="353"/>
      <c r="E678" s="341"/>
      <c r="F678" s="168"/>
      <c r="G678" s="341"/>
      <c r="H678" s="168"/>
      <c r="I678" s="347"/>
      <c r="J678" s="187"/>
      <c r="K678" s="347"/>
      <c r="L678" s="187"/>
      <c r="M678" s="347"/>
      <c r="N678" s="187"/>
      <c r="O678" s="341"/>
      <c r="P678" s="168"/>
      <c r="Q678" s="205"/>
      <c r="R678" s="205"/>
      <c r="S678" s="17"/>
      <c r="T678" s="17"/>
      <c r="U678" s="17"/>
      <c r="V678" s="17"/>
      <c r="W678" s="17"/>
      <c r="X678" s="17"/>
      <c r="Y678" s="17"/>
      <c r="Z678" s="17"/>
    </row>
    <row r="679">
      <c r="A679" s="341"/>
      <c r="B679" s="168"/>
      <c r="C679" s="354"/>
      <c r="D679" s="353"/>
      <c r="E679" s="341"/>
      <c r="F679" s="168"/>
      <c r="G679" s="341"/>
      <c r="H679" s="168"/>
      <c r="I679" s="347"/>
      <c r="J679" s="187"/>
      <c r="K679" s="347"/>
      <c r="L679" s="187"/>
      <c r="M679" s="347"/>
      <c r="N679" s="187"/>
      <c r="O679" s="341"/>
      <c r="P679" s="168"/>
      <c r="Q679" s="205"/>
      <c r="R679" s="205"/>
      <c r="S679" s="17"/>
      <c r="T679" s="17"/>
      <c r="U679" s="17"/>
      <c r="V679" s="17"/>
      <c r="W679" s="17"/>
      <c r="X679" s="17"/>
      <c r="Y679" s="17"/>
      <c r="Z679" s="17"/>
    </row>
    <row r="680">
      <c r="A680" s="341"/>
      <c r="B680" s="168"/>
      <c r="C680" s="354"/>
      <c r="D680" s="353"/>
      <c r="E680" s="341"/>
      <c r="F680" s="168"/>
      <c r="G680" s="341"/>
      <c r="H680" s="168"/>
      <c r="I680" s="347"/>
      <c r="J680" s="187"/>
      <c r="K680" s="347"/>
      <c r="L680" s="187"/>
      <c r="M680" s="347"/>
      <c r="N680" s="187"/>
      <c r="O680" s="341"/>
      <c r="P680" s="168"/>
      <c r="Q680" s="205"/>
      <c r="R680" s="205"/>
      <c r="S680" s="17"/>
      <c r="T680" s="17"/>
      <c r="U680" s="17"/>
      <c r="V680" s="17"/>
      <c r="W680" s="17"/>
      <c r="X680" s="17"/>
      <c r="Y680" s="17"/>
      <c r="Z680" s="17"/>
    </row>
    <row r="681">
      <c r="A681" s="341"/>
      <c r="B681" s="168"/>
      <c r="C681" s="354"/>
      <c r="D681" s="353"/>
      <c r="E681" s="341"/>
      <c r="F681" s="168"/>
      <c r="G681" s="341"/>
      <c r="H681" s="168"/>
      <c r="I681" s="347"/>
      <c r="J681" s="187"/>
      <c r="K681" s="347"/>
      <c r="L681" s="187"/>
      <c r="M681" s="347"/>
      <c r="N681" s="187"/>
      <c r="O681" s="341"/>
      <c r="P681" s="168"/>
      <c r="Q681" s="205"/>
      <c r="R681" s="205"/>
      <c r="S681" s="17"/>
      <c r="T681" s="17"/>
      <c r="U681" s="17"/>
      <c r="V681" s="17"/>
      <c r="W681" s="17"/>
      <c r="X681" s="17"/>
      <c r="Y681" s="17"/>
      <c r="Z681" s="17"/>
    </row>
    <row r="682">
      <c r="A682" s="341"/>
      <c r="B682" s="168"/>
      <c r="C682" s="354"/>
      <c r="D682" s="353"/>
      <c r="E682" s="341"/>
      <c r="F682" s="168"/>
      <c r="G682" s="341"/>
      <c r="H682" s="168"/>
      <c r="I682" s="347"/>
      <c r="J682" s="187"/>
      <c r="K682" s="347"/>
      <c r="L682" s="187"/>
      <c r="M682" s="347"/>
      <c r="N682" s="187"/>
      <c r="O682" s="341"/>
      <c r="P682" s="168"/>
      <c r="Q682" s="205"/>
      <c r="R682" s="205"/>
      <c r="S682" s="17"/>
      <c r="T682" s="17"/>
      <c r="U682" s="17"/>
      <c r="V682" s="17"/>
      <c r="W682" s="17"/>
      <c r="X682" s="17"/>
      <c r="Y682" s="17"/>
      <c r="Z682" s="17"/>
    </row>
    <row r="683">
      <c r="A683" s="341"/>
      <c r="B683" s="168"/>
      <c r="C683" s="354"/>
      <c r="D683" s="353"/>
      <c r="E683" s="341"/>
      <c r="F683" s="168"/>
      <c r="G683" s="341"/>
      <c r="H683" s="168"/>
      <c r="I683" s="347"/>
      <c r="J683" s="187"/>
      <c r="K683" s="347"/>
      <c r="L683" s="187"/>
      <c r="M683" s="347"/>
      <c r="N683" s="187"/>
      <c r="O683" s="341"/>
      <c r="P683" s="168"/>
      <c r="Q683" s="205"/>
      <c r="R683" s="205"/>
      <c r="S683" s="17"/>
      <c r="T683" s="17"/>
      <c r="U683" s="17"/>
      <c r="V683" s="17"/>
      <c r="W683" s="17"/>
      <c r="X683" s="17"/>
      <c r="Y683" s="17"/>
      <c r="Z683" s="17"/>
    </row>
    <row r="684">
      <c r="A684" s="341"/>
      <c r="B684" s="168"/>
      <c r="C684" s="354"/>
      <c r="D684" s="353"/>
      <c r="E684" s="341"/>
      <c r="F684" s="168"/>
      <c r="G684" s="341"/>
      <c r="H684" s="168"/>
      <c r="I684" s="347"/>
      <c r="J684" s="187"/>
      <c r="K684" s="347"/>
      <c r="L684" s="187"/>
      <c r="M684" s="347"/>
      <c r="N684" s="187"/>
      <c r="O684" s="341"/>
      <c r="P684" s="168"/>
      <c r="Q684" s="205"/>
      <c r="R684" s="205"/>
      <c r="S684" s="17"/>
      <c r="T684" s="17"/>
      <c r="U684" s="17"/>
      <c r="V684" s="17"/>
      <c r="W684" s="17"/>
      <c r="X684" s="17"/>
      <c r="Y684" s="17"/>
      <c r="Z684" s="17"/>
    </row>
    <row r="685">
      <c r="A685" s="341"/>
      <c r="B685" s="168"/>
      <c r="C685" s="354"/>
      <c r="D685" s="353"/>
      <c r="E685" s="341"/>
      <c r="F685" s="168"/>
      <c r="G685" s="341"/>
      <c r="H685" s="168"/>
      <c r="I685" s="347"/>
      <c r="J685" s="187"/>
      <c r="K685" s="347"/>
      <c r="L685" s="187"/>
      <c r="M685" s="347"/>
      <c r="N685" s="187"/>
      <c r="O685" s="341"/>
      <c r="P685" s="168"/>
      <c r="Q685" s="205"/>
      <c r="R685" s="205"/>
      <c r="S685" s="17"/>
      <c r="T685" s="17"/>
      <c r="U685" s="17"/>
      <c r="V685" s="17"/>
      <c r="W685" s="17"/>
      <c r="X685" s="17"/>
      <c r="Y685" s="17"/>
      <c r="Z685" s="17"/>
    </row>
    <row r="686">
      <c r="A686" s="341"/>
      <c r="B686" s="168"/>
      <c r="C686" s="354"/>
      <c r="D686" s="353"/>
      <c r="E686" s="341"/>
      <c r="F686" s="168"/>
      <c r="G686" s="341"/>
      <c r="H686" s="168"/>
      <c r="I686" s="347"/>
      <c r="J686" s="187"/>
      <c r="K686" s="347"/>
      <c r="L686" s="187"/>
      <c r="M686" s="347"/>
      <c r="N686" s="187"/>
      <c r="O686" s="341"/>
      <c r="P686" s="168"/>
      <c r="Q686" s="205"/>
      <c r="R686" s="205"/>
      <c r="S686" s="17"/>
      <c r="T686" s="17"/>
      <c r="U686" s="17"/>
      <c r="V686" s="17"/>
      <c r="W686" s="17"/>
      <c r="X686" s="17"/>
      <c r="Y686" s="17"/>
      <c r="Z686" s="17"/>
    </row>
    <row r="687">
      <c r="A687" s="341"/>
      <c r="B687" s="168"/>
      <c r="C687" s="354"/>
      <c r="D687" s="353"/>
      <c r="E687" s="341"/>
      <c r="F687" s="168"/>
      <c r="G687" s="341"/>
      <c r="H687" s="168"/>
      <c r="I687" s="347"/>
      <c r="J687" s="187"/>
      <c r="K687" s="347"/>
      <c r="L687" s="187"/>
      <c r="M687" s="347"/>
      <c r="N687" s="187"/>
      <c r="O687" s="341"/>
      <c r="P687" s="168"/>
      <c r="Q687" s="205"/>
      <c r="R687" s="205"/>
      <c r="S687" s="17"/>
      <c r="T687" s="17"/>
      <c r="U687" s="17"/>
      <c r="V687" s="17"/>
      <c r="W687" s="17"/>
      <c r="X687" s="17"/>
      <c r="Y687" s="17"/>
      <c r="Z687" s="17"/>
    </row>
    <row r="688">
      <c r="A688" s="341"/>
      <c r="B688" s="168"/>
      <c r="C688" s="354"/>
      <c r="D688" s="353"/>
      <c r="E688" s="341"/>
      <c r="F688" s="168"/>
      <c r="G688" s="341"/>
      <c r="H688" s="168"/>
      <c r="I688" s="347"/>
      <c r="J688" s="187"/>
      <c r="K688" s="347"/>
      <c r="L688" s="187"/>
      <c r="M688" s="347"/>
      <c r="N688" s="187"/>
      <c r="O688" s="341"/>
      <c r="P688" s="168"/>
      <c r="Q688" s="205"/>
      <c r="R688" s="205"/>
      <c r="S688" s="17"/>
      <c r="T688" s="17"/>
      <c r="U688" s="17"/>
      <c r="V688" s="17"/>
      <c r="W688" s="17"/>
      <c r="X688" s="17"/>
      <c r="Y688" s="17"/>
      <c r="Z688" s="17"/>
    </row>
    <row r="689">
      <c r="A689" s="341"/>
      <c r="B689" s="168"/>
      <c r="C689" s="354"/>
      <c r="D689" s="353"/>
      <c r="E689" s="341"/>
      <c r="F689" s="168"/>
      <c r="G689" s="341"/>
      <c r="H689" s="168"/>
      <c r="I689" s="347"/>
      <c r="J689" s="187"/>
      <c r="K689" s="347"/>
      <c r="L689" s="187"/>
      <c r="M689" s="347"/>
      <c r="N689" s="187"/>
      <c r="O689" s="341"/>
      <c r="P689" s="168"/>
      <c r="Q689" s="205"/>
      <c r="R689" s="205"/>
      <c r="S689" s="17"/>
      <c r="T689" s="17"/>
      <c r="U689" s="17"/>
      <c r="V689" s="17"/>
      <c r="W689" s="17"/>
      <c r="X689" s="17"/>
      <c r="Y689" s="17"/>
      <c r="Z689" s="17"/>
    </row>
    <row r="690">
      <c r="A690" s="341"/>
      <c r="B690" s="168"/>
      <c r="C690" s="354"/>
      <c r="D690" s="353"/>
      <c r="E690" s="341"/>
      <c r="F690" s="168"/>
      <c r="G690" s="341"/>
      <c r="H690" s="168"/>
      <c r="I690" s="347"/>
      <c r="J690" s="187"/>
      <c r="K690" s="347"/>
      <c r="L690" s="187"/>
      <c r="M690" s="347"/>
      <c r="N690" s="187"/>
      <c r="O690" s="341"/>
      <c r="P690" s="168"/>
      <c r="Q690" s="205"/>
      <c r="R690" s="205"/>
      <c r="S690" s="17"/>
      <c r="T690" s="17"/>
      <c r="U690" s="17"/>
      <c r="V690" s="17"/>
      <c r="W690" s="17"/>
      <c r="X690" s="17"/>
      <c r="Y690" s="17"/>
      <c r="Z690" s="17"/>
    </row>
    <row r="691">
      <c r="A691" s="341"/>
      <c r="B691" s="168"/>
      <c r="C691" s="354"/>
      <c r="D691" s="353"/>
      <c r="E691" s="341"/>
      <c r="F691" s="168"/>
      <c r="G691" s="341"/>
      <c r="H691" s="168"/>
      <c r="I691" s="347"/>
      <c r="J691" s="187"/>
      <c r="K691" s="347"/>
      <c r="L691" s="187"/>
      <c r="M691" s="347"/>
      <c r="N691" s="187"/>
      <c r="O691" s="341"/>
      <c r="P691" s="168"/>
      <c r="Q691" s="205"/>
      <c r="R691" s="205"/>
      <c r="S691" s="17"/>
      <c r="T691" s="17"/>
      <c r="U691" s="17"/>
      <c r="V691" s="17"/>
      <c r="W691" s="17"/>
      <c r="X691" s="17"/>
      <c r="Y691" s="17"/>
      <c r="Z691" s="17"/>
    </row>
    <row r="692">
      <c r="A692" s="341"/>
      <c r="B692" s="168"/>
      <c r="C692" s="354"/>
      <c r="D692" s="353"/>
      <c r="E692" s="341"/>
      <c r="F692" s="168"/>
      <c r="G692" s="341"/>
      <c r="H692" s="168"/>
      <c r="I692" s="347"/>
      <c r="J692" s="187"/>
      <c r="K692" s="347"/>
      <c r="L692" s="187"/>
      <c r="M692" s="347"/>
      <c r="N692" s="187"/>
      <c r="O692" s="341"/>
      <c r="P692" s="168"/>
      <c r="Q692" s="205"/>
      <c r="R692" s="205"/>
      <c r="S692" s="17"/>
      <c r="T692" s="17"/>
      <c r="U692" s="17"/>
      <c r="V692" s="17"/>
      <c r="W692" s="17"/>
      <c r="X692" s="17"/>
      <c r="Y692" s="17"/>
      <c r="Z692" s="17"/>
    </row>
    <row r="693">
      <c r="A693" s="341"/>
      <c r="B693" s="168"/>
      <c r="C693" s="354"/>
      <c r="D693" s="353"/>
      <c r="E693" s="341"/>
      <c r="F693" s="168"/>
      <c r="G693" s="341"/>
      <c r="H693" s="168"/>
      <c r="I693" s="347"/>
      <c r="J693" s="187"/>
      <c r="K693" s="347"/>
      <c r="L693" s="187"/>
      <c r="M693" s="347"/>
      <c r="N693" s="187"/>
      <c r="O693" s="341"/>
      <c r="P693" s="168"/>
      <c r="Q693" s="205"/>
      <c r="R693" s="205"/>
      <c r="S693" s="17"/>
      <c r="T693" s="17"/>
      <c r="U693" s="17"/>
      <c r="V693" s="17"/>
      <c r="W693" s="17"/>
      <c r="X693" s="17"/>
      <c r="Y693" s="17"/>
      <c r="Z693" s="17"/>
    </row>
    <row r="694">
      <c r="A694" s="341"/>
      <c r="B694" s="168"/>
      <c r="C694" s="354"/>
      <c r="D694" s="353"/>
      <c r="E694" s="341"/>
      <c r="F694" s="168"/>
      <c r="G694" s="341"/>
      <c r="H694" s="168"/>
      <c r="I694" s="347"/>
      <c r="J694" s="187"/>
      <c r="K694" s="347"/>
      <c r="L694" s="187"/>
      <c r="M694" s="347"/>
      <c r="N694" s="187"/>
      <c r="O694" s="341"/>
      <c r="P694" s="168"/>
      <c r="Q694" s="205"/>
      <c r="R694" s="205"/>
      <c r="S694" s="17"/>
      <c r="T694" s="17"/>
      <c r="U694" s="17"/>
      <c r="V694" s="17"/>
      <c r="W694" s="17"/>
      <c r="X694" s="17"/>
      <c r="Y694" s="17"/>
      <c r="Z694" s="17"/>
    </row>
    <row r="695">
      <c r="A695" s="341"/>
      <c r="B695" s="168"/>
      <c r="C695" s="354"/>
      <c r="D695" s="353"/>
      <c r="E695" s="341"/>
      <c r="F695" s="168"/>
      <c r="G695" s="341"/>
      <c r="H695" s="168"/>
      <c r="I695" s="347"/>
      <c r="J695" s="187"/>
      <c r="K695" s="347"/>
      <c r="L695" s="187"/>
      <c r="M695" s="347"/>
      <c r="N695" s="187"/>
      <c r="O695" s="341"/>
      <c r="P695" s="168"/>
      <c r="Q695" s="205"/>
      <c r="R695" s="205"/>
      <c r="S695" s="17"/>
      <c r="T695" s="17"/>
      <c r="U695" s="17"/>
      <c r="V695" s="17"/>
      <c r="W695" s="17"/>
      <c r="X695" s="17"/>
      <c r="Y695" s="17"/>
      <c r="Z695" s="17"/>
    </row>
    <row r="696">
      <c r="A696" s="341"/>
      <c r="B696" s="168"/>
      <c r="C696" s="354"/>
      <c r="D696" s="353"/>
      <c r="E696" s="341"/>
      <c r="F696" s="168"/>
      <c r="G696" s="341"/>
      <c r="H696" s="168"/>
      <c r="I696" s="347"/>
      <c r="J696" s="187"/>
      <c r="K696" s="347"/>
      <c r="L696" s="187"/>
      <c r="M696" s="347"/>
      <c r="N696" s="187"/>
      <c r="O696" s="341"/>
      <c r="P696" s="168"/>
      <c r="Q696" s="205"/>
      <c r="R696" s="205"/>
      <c r="S696" s="17"/>
      <c r="T696" s="17"/>
      <c r="U696" s="17"/>
      <c r="V696" s="17"/>
      <c r="W696" s="17"/>
      <c r="X696" s="17"/>
      <c r="Y696" s="17"/>
      <c r="Z696" s="17"/>
    </row>
    <row r="697">
      <c r="A697" s="341"/>
      <c r="B697" s="168"/>
      <c r="C697" s="354"/>
      <c r="D697" s="353"/>
      <c r="E697" s="341"/>
      <c r="F697" s="168"/>
      <c r="G697" s="341"/>
      <c r="H697" s="168"/>
      <c r="I697" s="347"/>
      <c r="J697" s="187"/>
      <c r="K697" s="347"/>
      <c r="L697" s="187"/>
      <c r="M697" s="347"/>
      <c r="N697" s="187"/>
      <c r="O697" s="341"/>
      <c r="P697" s="168"/>
      <c r="Q697" s="205"/>
      <c r="R697" s="205"/>
      <c r="S697" s="17"/>
      <c r="T697" s="17"/>
      <c r="U697" s="17"/>
      <c r="V697" s="17"/>
      <c r="W697" s="17"/>
      <c r="X697" s="17"/>
      <c r="Y697" s="17"/>
      <c r="Z697" s="17"/>
    </row>
    <row r="698">
      <c r="A698" s="341"/>
      <c r="B698" s="168"/>
      <c r="C698" s="354"/>
      <c r="D698" s="353"/>
      <c r="E698" s="341"/>
      <c r="F698" s="168"/>
      <c r="G698" s="341"/>
      <c r="H698" s="168"/>
      <c r="I698" s="347"/>
      <c r="J698" s="187"/>
      <c r="K698" s="347"/>
      <c r="L698" s="187"/>
      <c r="M698" s="347"/>
      <c r="N698" s="187"/>
      <c r="O698" s="341"/>
      <c r="P698" s="168"/>
      <c r="Q698" s="205"/>
      <c r="R698" s="205"/>
      <c r="S698" s="17"/>
      <c r="T698" s="17"/>
      <c r="U698" s="17"/>
      <c r="V698" s="17"/>
      <c r="W698" s="17"/>
      <c r="X698" s="17"/>
      <c r="Y698" s="17"/>
      <c r="Z698" s="17"/>
    </row>
    <row r="699">
      <c r="A699" s="341"/>
      <c r="B699" s="168"/>
      <c r="C699" s="354"/>
      <c r="D699" s="353"/>
      <c r="E699" s="341"/>
      <c r="F699" s="168"/>
      <c r="G699" s="341"/>
      <c r="H699" s="168"/>
      <c r="I699" s="347"/>
      <c r="J699" s="187"/>
      <c r="K699" s="347"/>
      <c r="L699" s="187"/>
      <c r="M699" s="347"/>
      <c r="N699" s="187"/>
      <c r="O699" s="341"/>
      <c r="P699" s="168"/>
      <c r="Q699" s="205"/>
      <c r="R699" s="205"/>
      <c r="S699" s="17"/>
      <c r="T699" s="17"/>
      <c r="U699" s="17"/>
      <c r="V699" s="17"/>
      <c r="W699" s="17"/>
      <c r="X699" s="17"/>
      <c r="Y699" s="17"/>
      <c r="Z699" s="17"/>
    </row>
    <row r="700">
      <c r="A700" s="341"/>
      <c r="B700" s="168"/>
      <c r="C700" s="354"/>
      <c r="D700" s="353"/>
      <c r="E700" s="341"/>
      <c r="F700" s="168"/>
      <c r="G700" s="341"/>
      <c r="H700" s="168"/>
      <c r="I700" s="347"/>
      <c r="J700" s="187"/>
      <c r="K700" s="347"/>
      <c r="L700" s="187"/>
      <c r="M700" s="347"/>
      <c r="N700" s="187"/>
      <c r="O700" s="341"/>
      <c r="P700" s="168"/>
      <c r="Q700" s="205"/>
      <c r="R700" s="205"/>
      <c r="S700" s="17"/>
      <c r="T700" s="17"/>
      <c r="U700" s="17"/>
      <c r="V700" s="17"/>
      <c r="W700" s="17"/>
      <c r="X700" s="17"/>
      <c r="Y700" s="17"/>
      <c r="Z700" s="17"/>
    </row>
    <row r="701">
      <c r="A701" s="341"/>
      <c r="B701" s="168"/>
      <c r="C701" s="354"/>
      <c r="D701" s="353"/>
      <c r="E701" s="341"/>
      <c r="F701" s="168"/>
      <c r="G701" s="341"/>
      <c r="H701" s="168"/>
      <c r="I701" s="347"/>
      <c r="J701" s="187"/>
      <c r="K701" s="347"/>
      <c r="L701" s="187"/>
      <c r="M701" s="347"/>
      <c r="N701" s="187"/>
      <c r="O701" s="341"/>
      <c r="P701" s="168"/>
      <c r="Q701" s="205"/>
      <c r="R701" s="205"/>
      <c r="S701" s="17"/>
      <c r="T701" s="17"/>
      <c r="U701" s="17"/>
      <c r="V701" s="17"/>
      <c r="W701" s="17"/>
      <c r="X701" s="17"/>
      <c r="Y701" s="17"/>
      <c r="Z701" s="17"/>
    </row>
    <row r="702">
      <c r="A702" s="341"/>
      <c r="B702" s="168"/>
      <c r="C702" s="354"/>
      <c r="D702" s="353"/>
      <c r="E702" s="341"/>
      <c r="F702" s="168"/>
      <c r="G702" s="341"/>
      <c r="H702" s="168"/>
      <c r="I702" s="347"/>
      <c r="J702" s="187"/>
      <c r="K702" s="347"/>
      <c r="L702" s="187"/>
      <c r="M702" s="347"/>
      <c r="N702" s="187"/>
      <c r="O702" s="341"/>
      <c r="P702" s="168"/>
      <c r="Q702" s="205"/>
      <c r="R702" s="205"/>
      <c r="S702" s="17"/>
      <c r="T702" s="17"/>
      <c r="U702" s="17"/>
      <c r="V702" s="17"/>
      <c r="W702" s="17"/>
      <c r="X702" s="17"/>
      <c r="Y702" s="17"/>
      <c r="Z702" s="17"/>
    </row>
    <row r="703">
      <c r="A703" s="341"/>
      <c r="B703" s="168"/>
      <c r="C703" s="354"/>
      <c r="D703" s="353"/>
      <c r="E703" s="341"/>
      <c r="F703" s="168"/>
      <c r="G703" s="341"/>
      <c r="H703" s="168"/>
      <c r="I703" s="347"/>
      <c r="J703" s="187"/>
      <c r="K703" s="347"/>
      <c r="L703" s="187"/>
      <c r="M703" s="347"/>
      <c r="N703" s="187"/>
      <c r="O703" s="341"/>
      <c r="P703" s="168"/>
      <c r="Q703" s="205"/>
      <c r="R703" s="205"/>
      <c r="S703" s="17"/>
      <c r="T703" s="17"/>
      <c r="U703" s="17"/>
      <c r="V703" s="17"/>
      <c r="W703" s="17"/>
      <c r="X703" s="17"/>
      <c r="Y703" s="17"/>
      <c r="Z703" s="17"/>
    </row>
    <row r="704">
      <c r="A704" s="341"/>
      <c r="B704" s="168"/>
      <c r="C704" s="354"/>
      <c r="D704" s="353"/>
      <c r="E704" s="341"/>
      <c r="F704" s="168"/>
      <c r="G704" s="341"/>
      <c r="H704" s="168"/>
      <c r="I704" s="347"/>
      <c r="J704" s="187"/>
      <c r="K704" s="347"/>
      <c r="L704" s="187"/>
      <c r="M704" s="347"/>
      <c r="N704" s="187"/>
      <c r="O704" s="341"/>
      <c r="P704" s="168"/>
      <c r="Q704" s="205"/>
      <c r="R704" s="205"/>
      <c r="S704" s="17"/>
      <c r="T704" s="17"/>
      <c r="U704" s="17"/>
      <c r="V704" s="17"/>
      <c r="W704" s="17"/>
      <c r="X704" s="17"/>
      <c r="Y704" s="17"/>
      <c r="Z704" s="17"/>
    </row>
    <row r="705">
      <c r="A705" s="341"/>
      <c r="B705" s="168"/>
      <c r="C705" s="354"/>
      <c r="D705" s="353"/>
      <c r="E705" s="341"/>
      <c r="F705" s="168"/>
      <c r="G705" s="341"/>
      <c r="H705" s="168"/>
      <c r="I705" s="347"/>
      <c r="J705" s="187"/>
      <c r="K705" s="347"/>
      <c r="L705" s="187"/>
      <c r="M705" s="347"/>
      <c r="N705" s="187"/>
      <c r="O705" s="341"/>
      <c r="P705" s="168"/>
      <c r="Q705" s="205"/>
      <c r="R705" s="205"/>
      <c r="S705" s="17"/>
      <c r="T705" s="17"/>
      <c r="U705" s="17"/>
      <c r="V705" s="17"/>
      <c r="W705" s="17"/>
      <c r="X705" s="17"/>
      <c r="Y705" s="17"/>
      <c r="Z705" s="17"/>
    </row>
    <row r="706">
      <c r="A706" s="341"/>
      <c r="B706" s="168"/>
      <c r="C706" s="354"/>
      <c r="D706" s="353"/>
      <c r="E706" s="341"/>
      <c r="F706" s="168"/>
      <c r="G706" s="341"/>
      <c r="H706" s="168"/>
      <c r="I706" s="347"/>
      <c r="J706" s="187"/>
      <c r="K706" s="347"/>
      <c r="L706" s="187"/>
      <c r="M706" s="347"/>
      <c r="N706" s="187"/>
      <c r="O706" s="341"/>
      <c r="P706" s="168"/>
      <c r="Q706" s="205"/>
      <c r="R706" s="205"/>
      <c r="S706" s="17"/>
      <c r="T706" s="17"/>
      <c r="U706" s="17"/>
      <c r="V706" s="17"/>
      <c r="W706" s="17"/>
      <c r="X706" s="17"/>
      <c r="Y706" s="17"/>
      <c r="Z706" s="17"/>
    </row>
    <row r="707">
      <c r="A707" s="341"/>
      <c r="B707" s="168"/>
      <c r="C707" s="354"/>
      <c r="D707" s="353"/>
      <c r="E707" s="341"/>
      <c r="F707" s="168"/>
      <c r="G707" s="341"/>
      <c r="H707" s="168"/>
      <c r="I707" s="347"/>
      <c r="J707" s="187"/>
      <c r="K707" s="347"/>
      <c r="L707" s="187"/>
      <c r="M707" s="347"/>
      <c r="N707" s="187"/>
      <c r="O707" s="341"/>
      <c r="P707" s="168"/>
      <c r="Q707" s="205"/>
      <c r="R707" s="205"/>
      <c r="S707" s="17"/>
      <c r="T707" s="17"/>
      <c r="U707" s="17"/>
      <c r="V707" s="17"/>
      <c r="W707" s="17"/>
      <c r="X707" s="17"/>
      <c r="Y707" s="17"/>
      <c r="Z707" s="17"/>
    </row>
    <row r="708">
      <c r="A708" s="341"/>
      <c r="B708" s="168"/>
      <c r="C708" s="354"/>
      <c r="D708" s="353"/>
      <c r="E708" s="341"/>
      <c r="F708" s="168"/>
      <c r="G708" s="341"/>
      <c r="H708" s="168"/>
      <c r="I708" s="347"/>
      <c r="J708" s="187"/>
      <c r="K708" s="347"/>
      <c r="L708" s="187"/>
      <c r="M708" s="347"/>
      <c r="N708" s="187"/>
      <c r="O708" s="341"/>
      <c r="P708" s="168"/>
      <c r="Q708" s="205"/>
      <c r="R708" s="205"/>
      <c r="S708" s="17"/>
      <c r="T708" s="17"/>
      <c r="U708" s="17"/>
      <c r="V708" s="17"/>
      <c r="W708" s="17"/>
      <c r="X708" s="17"/>
      <c r="Y708" s="17"/>
      <c r="Z708" s="17"/>
    </row>
    <row r="709">
      <c r="A709" s="341"/>
      <c r="B709" s="168"/>
      <c r="C709" s="354"/>
      <c r="D709" s="353"/>
      <c r="E709" s="341"/>
      <c r="F709" s="168"/>
      <c r="G709" s="341"/>
      <c r="H709" s="168"/>
      <c r="I709" s="347"/>
      <c r="J709" s="187"/>
      <c r="K709" s="347"/>
      <c r="L709" s="187"/>
      <c r="M709" s="347"/>
      <c r="N709" s="187"/>
      <c r="O709" s="341"/>
      <c r="P709" s="168"/>
      <c r="Q709" s="205"/>
      <c r="R709" s="205"/>
      <c r="S709" s="17"/>
      <c r="T709" s="17"/>
      <c r="U709" s="17"/>
      <c r="V709" s="17"/>
      <c r="W709" s="17"/>
      <c r="X709" s="17"/>
      <c r="Y709" s="17"/>
      <c r="Z709" s="17"/>
    </row>
    <row r="710">
      <c r="A710" s="341"/>
      <c r="B710" s="168"/>
      <c r="C710" s="354"/>
      <c r="D710" s="353"/>
      <c r="E710" s="341"/>
      <c r="F710" s="168"/>
      <c r="G710" s="341"/>
      <c r="H710" s="168"/>
      <c r="I710" s="347"/>
      <c r="J710" s="187"/>
      <c r="K710" s="347"/>
      <c r="L710" s="187"/>
      <c r="M710" s="347"/>
      <c r="N710" s="187"/>
      <c r="O710" s="341"/>
      <c r="P710" s="168"/>
      <c r="Q710" s="205"/>
      <c r="R710" s="205"/>
      <c r="S710" s="17"/>
      <c r="T710" s="17"/>
      <c r="U710" s="17"/>
      <c r="V710" s="17"/>
      <c r="W710" s="17"/>
      <c r="X710" s="17"/>
      <c r="Y710" s="17"/>
      <c r="Z710" s="17"/>
    </row>
    <row r="711">
      <c r="A711" s="341"/>
      <c r="B711" s="168"/>
      <c r="C711" s="354"/>
      <c r="D711" s="353"/>
      <c r="E711" s="341"/>
      <c r="F711" s="168"/>
      <c r="G711" s="341"/>
      <c r="H711" s="168"/>
      <c r="I711" s="347"/>
      <c r="J711" s="187"/>
      <c r="K711" s="347"/>
      <c r="L711" s="187"/>
      <c r="M711" s="347"/>
      <c r="N711" s="187"/>
      <c r="O711" s="341"/>
      <c r="P711" s="168"/>
      <c r="Q711" s="205"/>
      <c r="R711" s="205"/>
      <c r="S711" s="17"/>
      <c r="T711" s="17"/>
      <c r="U711" s="17"/>
      <c r="V711" s="17"/>
      <c r="W711" s="17"/>
      <c r="X711" s="17"/>
      <c r="Y711" s="17"/>
      <c r="Z711" s="17"/>
    </row>
    <row r="712">
      <c r="A712" s="341"/>
      <c r="B712" s="168"/>
      <c r="C712" s="354"/>
      <c r="D712" s="353"/>
      <c r="E712" s="341"/>
      <c r="F712" s="168"/>
      <c r="G712" s="341"/>
      <c r="H712" s="168"/>
      <c r="I712" s="347"/>
      <c r="J712" s="187"/>
      <c r="K712" s="347"/>
      <c r="L712" s="187"/>
      <c r="M712" s="347"/>
      <c r="N712" s="187"/>
      <c r="O712" s="341"/>
      <c r="P712" s="168"/>
      <c r="Q712" s="205"/>
      <c r="R712" s="205"/>
      <c r="S712" s="17"/>
      <c r="T712" s="17"/>
      <c r="U712" s="17"/>
      <c r="V712" s="17"/>
      <c r="W712" s="17"/>
      <c r="X712" s="17"/>
      <c r="Y712" s="17"/>
      <c r="Z712" s="17"/>
    </row>
    <row r="713">
      <c r="A713" s="341"/>
      <c r="B713" s="168"/>
      <c r="C713" s="354"/>
      <c r="D713" s="353"/>
      <c r="E713" s="341"/>
      <c r="F713" s="168"/>
      <c r="G713" s="341"/>
      <c r="H713" s="168"/>
      <c r="I713" s="347"/>
      <c r="J713" s="187"/>
      <c r="K713" s="347"/>
      <c r="L713" s="187"/>
      <c r="M713" s="347"/>
      <c r="N713" s="187"/>
      <c r="O713" s="341"/>
      <c r="P713" s="168"/>
      <c r="Q713" s="205"/>
      <c r="R713" s="205"/>
      <c r="S713" s="17"/>
      <c r="T713" s="17"/>
      <c r="U713" s="17"/>
      <c r="V713" s="17"/>
      <c r="W713" s="17"/>
      <c r="X713" s="17"/>
      <c r="Y713" s="17"/>
      <c r="Z713" s="17"/>
    </row>
    <row r="714">
      <c r="A714" s="341"/>
      <c r="B714" s="168"/>
      <c r="C714" s="354"/>
      <c r="D714" s="353"/>
      <c r="E714" s="341"/>
      <c r="F714" s="168"/>
      <c r="G714" s="341"/>
      <c r="H714" s="168"/>
      <c r="I714" s="347"/>
      <c r="J714" s="187"/>
      <c r="K714" s="347"/>
      <c r="L714" s="187"/>
      <c r="M714" s="347"/>
      <c r="N714" s="187"/>
      <c r="O714" s="341"/>
      <c r="P714" s="168"/>
      <c r="Q714" s="205"/>
      <c r="R714" s="205"/>
      <c r="S714" s="17"/>
      <c r="T714" s="17"/>
      <c r="U714" s="17"/>
      <c r="V714" s="17"/>
      <c r="W714" s="17"/>
      <c r="X714" s="17"/>
      <c r="Y714" s="17"/>
      <c r="Z714" s="17"/>
    </row>
    <row r="715">
      <c r="A715" s="341"/>
      <c r="B715" s="168"/>
      <c r="C715" s="354"/>
      <c r="D715" s="353"/>
      <c r="E715" s="341"/>
      <c r="F715" s="168"/>
      <c r="G715" s="341"/>
      <c r="H715" s="168"/>
      <c r="I715" s="347"/>
      <c r="J715" s="187"/>
      <c r="K715" s="347"/>
      <c r="L715" s="187"/>
      <c r="M715" s="347"/>
      <c r="N715" s="187"/>
      <c r="O715" s="341"/>
      <c r="P715" s="168"/>
      <c r="Q715" s="205"/>
      <c r="R715" s="205"/>
      <c r="S715" s="17"/>
      <c r="T715" s="17"/>
      <c r="U715" s="17"/>
      <c r="V715" s="17"/>
      <c r="W715" s="17"/>
      <c r="X715" s="17"/>
      <c r="Y715" s="17"/>
      <c r="Z715" s="17"/>
    </row>
    <row r="716">
      <c r="A716" s="341"/>
      <c r="B716" s="168"/>
      <c r="C716" s="354"/>
      <c r="D716" s="353"/>
      <c r="E716" s="341"/>
      <c r="F716" s="168"/>
      <c r="G716" s="341"/>
      <c r="H716" s="168"/>
      <c r="I716" s="347"/>
      <c r="J716" s="187"/>
      <c r="K716" s="347"/>
      <c r="L716" s="187"/>
      <c r="M716" s="347"/>
      <c r="N716" s="187"/>
      <c r="O716" s="341"/>
      <c r="P716" s="168"/>
      <c r="Q716" s="205"/>
      <c r="R716" s="205"/>
      <c r="S716" s="17"/>
      <c r="T716" s="17"/>
      <c r="U716" s="17"/>
      <c r="V716" s="17"/>
      <c r="W716" s="17"/>
      <c r="X716" s="17"/>
      <c r="Y716" s="17"/>
      <c r="Z716" s="17"/>
    </row>
    <row r="717">
      <c r="A717" s="341"/>
      <c r="B717" s="168"/>
      <c r="C717" s="354"/>
      <c r="D717" s="353"/>
      <c r="E717" s="341"/>
      <c r="F717" s="168"/>
      <c r="G717" s="341"/>
      <c r="H717" s="168"/>
      <c r="I717" s="347"/>
      <c r="J717" s="187"/>
      <c r="K717" s="347"/>
      <c r="L717" s="187"/>
      <c r="M717" s="347"/>
      <c r="N717" s="187"/>
      <c r="O717" s="341"/>
      <c r="P717" s="168"/>
      <c r="Q717" s="205"/>
      <c r="R717" s="205"/>
      <c r="S717" s="17"/>
      <c r="T717" s="17"/>
      <c r="U717" s="17"/>
      <c r="V717" s="17"/>
      <c r="W717" s="17"/>
      <c r="X717" s="17"/>
      <c r="Y717" s="17"/>
      <c r="Z717" s="17"/>
    </row>
    <row r="718">
      <c r="A718" s="341"/>
      <c r="B718" s="168"/>
      <c r="C718" s="354"/>
      <c r="D718" s="353"/>
      <c r="E718" s="341"/>
      <c r="F718" s="168"/>
      <c r="G718" s="341"/>
      <c r="H718" s="168"/>
      <c r="I718" s="347"/>
      <c r="J718" s="187"/>
      <c r="K718" s="347"/>
      <c r="L718" s="187"/>
      <c r="M718" s="347"/>
      <c r="N718" s="187"/>
      <c r="O718" s="341"/>
      <c r="P718" s="168"/>
      <c r="Q718" s="205"/>
      <c r="R718" s="205"/>
      <c r="S718" s="17"/>
      <c r="T718" s="17"/>
      <c r="U718" s="17"/>
      <c r="V718" s="17"/>
      <c r="W718" s="17"/>
      <c r="X718" s="17"/>
      <c r="Y718" s="17"/>
      <c r="Z718" s="17"/>
    </row>
    <row r="719">
      <c r="A719" s="341"/>
      <c r="B719" s="168"/>
      <c r="C719" s="354"/>
      <c r="D719" s="353"/>
      <c r="E719" s="341"/>
      <c r="F719" s="168"/>
      <c r="G719" s="341"/>
      <c r="H719" s="168"/>
      <c r="I719" s="347"/>
      <c r="J719" s="187"/>
      <c r="K719" s="347"/>
      <c r="L719" s="187"/>
      <c r="M719" s="347"/>
      <c r="N719" s="187"/>
      <c r="O719" s="341"/>
      <c r="P719" s="168"/>
      <c r="Q719" s="205"/>
      <c r="R719" s="205"/>
      <c r="S719" s="17"/>
      <c r="T719" s="17"/>
      <c r="U719" s="17"/>
      <c r="V719" s="17"/>
      <c r="W719" s="17"/>
      <c r="X719" s="17"/>
      <c r="Y719" s="17"/>
      <c r="Z719" s="17"/>
    </row>
    <row r="720">
      <c r="A720" s="341"/>
      <c r="B720" s="168"/>
      <c r="C720" s="354"/>
      <c r="D720" s="353"/>
      <c r="E720" s="341"/>
      <c r="F720" s="168"/>
      <c r="G720" s="341"/>
      <c r="H720" s="168"/>
      <c r="I720" s="347"/>
      <c r="J720" s="187"/>
      <c r="K720" s="347"/>
      <c r="L720" s="187"/>
      <c r="M720" s="347"/>
      <c r="N720" s="187"/>
      <c r="O720" s="341"/>
      <c r="P720" s="168"/>
      <c r="Q720" s="205"/>
      <c r="R720" s="205"/>
      <c r="S720" s="17"/>
      <c r="T720" s="17"/>
      <c r="U720" s="17"/>
      <c r="V720" s="17"/>
      <c r="W720" s="17"/>
      <c r="X720" s="17"/>
      <c r="Y720" s="17"/>
      <c r="Z720" s="17"/>
    </row>
    <row r="721">
      <c r="A721" s="341"/>
      <c r="B721" s="168"/>
      <c r="C721" s="354"/>
      <c r="D721" s="353"/>
      <c r="E721" s="341"/>
      <c r="F721" s="168"/>
      <c r="G721" s="341"/>
      <c r="H721" s="168"/>
      <c r="I721" s="347"/>
      <c r="J721" s="187"/>
      <c r="K721" s="347"/>
      <c r="L721" s="187"/>
      <c r="M721" s="347"/>
      <c r="N721" s="187"/>
      <c r="O721" s="341"/>
      <c r="P721" s="168"/>
      <c r="Q721" s="205"/>
      <c r="R721" s="205"/>
      <c r="S721" s="17"/>
      <c r="T721" s="17"/>
      <c r="U721" s="17"/>
      <c r="V721" s="17"/>
      <c r="W721" s="17"/>
      <c r="X721" s="17"/>
      <c r="Y721" s="17"/>
      <c r="Z721" s="17"/>
    </row>
    <row r="722">
      <c r="A722" s="341"/>
      <c r="B722" s="168"/>
      <c r="C722" s="354"/>
      <c r="D722" s="353"/>
      <c r="E722" s="341"/>
      <c r="F722" s="168"/>
      <c r="G722" s="341"/>
      <c r="H722" s="168"/>
      <c r="I722" s="347"/>
      <c r="J722" s="187"/>
      <c r="K722" s="347"/>
      <c r="L722" s="187"/>
      <c r="M722" s="347"/>
      <c r="N722" s="187"/>
      <c r="O722" s="341"/>
      <c r="P722" s="168"/>
      <c r="Q722" s="205"/>
      <c r="R722" s="205"/>
      <c r="S722" s="17"/>
      <c r="T722" s="17"/>
      <c r="U722" s="17"/>
      <c r="V722" s="17"/>
      <c r="W722" s="17"/>
      <c r="X722" s="17"/>
      <c r="Y722" s="17"/>
      <c r="Z722" s="17"/>
    </row>
    <row r="723">
      <c r="A723" s="341"/>
      <c r="B723" s="168"/>
      <c r="C723" s="354"/>
      <c r="D723" s="353"/>
      <c r="E723" s="341"/>
      <c r="F723" s="168"/>
      <c r="G723" s="341"/>
      <c r="H723" s="168"/>
      <c r="I723" s="347"/>
      <c r="J723" s="187"/>
      <c r="K723" s="347"/>
      <c r="L723" s="187"/>
      <c r="M723" s="347"/>
      <c r="N723" s="187"/>
      <c r="O723" s="341"/>
      <c r="P723" s="168"/>
      <c r="Q723" s="205"/>
      <c r="R723" s="205"/>
      <c r="S723" s="17"/>
      <c r="T723" s="17"/>
      <c r="U723" s="17"/>
      <c r="V723" s="17"/>
      <c r="W723" s="17"/>
      <c r="X723" s="17"/>
      <c r="Y723" s="17"/>
      <c r="Z723" s="17"/>
    </row>
    <row r="724">
      <c r="A724" s="341"/>
      <c r="B724" s="168"/>
      <c r="C724" s="354"/>
      <c r="D724" s="353"/>
      <c r="E724" s="341"/>
      <c r="F724" s="168"/>
      <c r="G724" s="341"/>
      <c r="H724" s="168"/>
      <c r="I724" s="347"/>
      <c r="J724" s="187"/>
      <c r="K724" s="347"/>
      <c r="L724" s="187"/>
      <c r="M724" s="347"/>
      <c r="N724" s="187"/>
      <c r="O724" s="341"/>
      <c r="P724" s="168"/>
      <c r="Q724" s="205"/>
      <c r="R724" s="205"/>
      <c r="S724" s="17"/>
      <c r="T724" s="17"/>
      <c r="U724" s="17"/>
      <c r="V724" s="17"/>
      <c r="W724" s="17"/>
      <c r="X724" s="17"/>
      <c r="Y724" s="17"/>
      <c r="Z724" s="17"/>
    </row>
    <row r="725">
      <c r="A725" s="341"/>
      <c r="B725" s="168"/>
      <c r="C725" s="354"/>
      <c r="D725" s="353"/>
      <c r="E725" s="341"/>
      <c r="F725" s="168"/>
      <c r="G725" s="341"/>
      <c r="H725" s="168"/>
      <c r="I725" s="347"/>
      <c r="J725" s="187"/>
      <c r="K725" s="347"/>
      <c r="L725" s="187"/>
      <c r="M725" s="347"/>
      <c r="N725" s="187"/>
      <c r="O725" s="341"/>
      <c r="P725" s="168"/>
      <c r="Q725" s="205"/>
      <c r="R725" s="205"/>
      <c r="S725" s="17"/>
      <c r="T725" s="17"/>
      <c r="U725" s="17"/>
      <c r="V725" s="17"/>
      <c r="W725" s="17"/>
      <c r="X725" s="17"/>
      <c r="Y725" s="17"/>
      <c r="Z725" s="17"/>
    </row>
    <row r="726">
      <c r="A726" s="341"/>
      <c r="B726" s="168"/>
      <c r="C726" s="354"/>
      <c r="D726" s="353"/>
      <c r="E726" s="341"/>
      <c r="F726" s="168"/>
      <c r="G726" s="341"/>
      <c r="H726" s="168"/>
      <c r="I726" s="347"/>
      <c r="J726" s="187"/>
      <c r="K726" s="347"/>
      <c r="L726" s="187"/>
      <c r="M726" s="347"/>
      <c r="N726" s="187"/>
      <c r="O726" s="341"/>
      <c r="P726" s="168"/>
      <c r="Q726" s="205"/>
      <c r="R726" s="205"/>
      <c r="S726" s="17"/>
      <c r="T726" s="17"/>
      <c r="U726" s="17"/>
      <c r="V726" s="17"/>
      <c r="W726" s="17"/>
      <c r="X726" s="17"/>
      <c r="Y726" s="17"/>
      <c r="Z726" s="17"/>
    </row>
    <row r="727">
      <c r="A727" s="341"/>
      <c r="B727" s="168"/>
      <c r="C727" s="354"/>
      <c r="D727" s="353"/>
      <c r="E727" s="341"/>
      <c r="F727" s="168"/>
      <c r="G727" s="341"/>
      <c r="H727" s="168"/>
      <c r="I727" s="347"/>
      <c r="J727" s="187"/>
      <c r="K727" s="347"/>
      <c r="L727" s="187"/>
      <c r="M727" s="347"/>
      <c r="N727" s="187"/>
      <c r="O727" s="341"/>
      <c r="P727" s="168"/>
      <c r="Q727" s="205"/>
      <c r="R727" s="205"/>
      <c r="S727" s="17"/>
      <c r="T727" s="17"/>
      <c r="U727" s="17"/>
      <c r="V727" s="17"/>
      <c r="W727" s="17"/>
      <c r="X727" s="17"/>
      <c r="Y727" s="17"/>
      <c r="Z727" s="17"/>
    </row>
    <row r="728">
      <c r="A728" s="341"/>
      <c r="B728" s="168"/>
      <c r="C728" s="354"/>
      <c r="D728" s="353"/>
      <c r="E728" s="341"/>
      <c r="F728" s="168"/>
      <c r="G728" s="341"/>
      <c r="H728" s="168"/>
      <c r="I728" s="347"/>
      <c r="J728" s="187"/>
      <c r="K728" s="347"/>
      <c r="L728" s="187"/>
      <c r="M728" s="347"/>
      <c r="N728" s="187"/>
      <c r="O728" s="341"/>
      <c r="P728" s="168"/>
      <c r="Q728" s="205"/>
      <c r="R728" s="205"/>
      <c r="S728" s="17"/>
      <c r="T728" s="17"/>
      <c r="U728" s="17"/>
      <c r="V728" s="17"/>
      <c r="W728" s="17"/>
      <c r="X728" s="17"/>
      <c r="Y728" s="17"/>
      <c r="Z728" s="17"/>
    </row>
    <row r="729">
      <c r="A729" s="341"/>
      <c r="B729" s="168"/>
      <c r="C729" s="354"/>
      <c r="D729" s="353"/>
      <c r="E729" s="341"/>
      <c r="F729" s="168"/>
      <c r="G729" s="341"/>
      <c r="H729" s="168"/>
      <c r="I729" s="347"/>
      <c r="J729" s="187"/>
      <c r="K729" s="347"/>
      <c r="L729" s="187"/>
      <c r="M729" s="347"/>
      <c r="N729" s="187"/>
      <c r="O729" s="341"/>
      <c r="P729" s="168"/>
      <c r="Q729" s="205"/>
      <c r="R729" s="205"/>
      <c r="S729" s="17"/>
      <c r="T729" s="17"/>
      <c r="U729" s="17"/>
      <c r="V729" s="17"/>
      <c r="W729" s="17"/>
      <c r="X729" s="17"/>
      <c r="Y729" s="17"/>
      <c r="Z729" s="17"/>
    </row>
    <row r="730">
      <c r="A730" s="341"/>
      <c r="B730" s="168"/>
      <c r="C730" s="354"/>
      <c r="D730" s="353"/>
      <c r="E730" s="341"/>
      <c r="F730" s="168"/>
      <c r="G730" s="341"/>
      <c r="H730" s="168"/>
      <c r="I730" s="347"/>
      <c r="J730" s="187"/>
      <c r="K730" s="347"/>
      <c r="L730" s="187"/>
      <c r="M730" s="347"/>
      <c r="N730" s="187"/>
      <c r="O730" s="341"/>
      <c r="P730" s="168"/>
      <c r="Q730" s="205"/>
      <c r="R730" s="205"/>
      <c r="S730" s="17"/>
      <c r="T730" s="17"/>
      <c r="U730" s="17"/>
      <c r="V730" s="17"/>
      <c r="W730" s="17"/>
      <c r="X730" s="17"/>
      <c r="Y730" s="17"/>
      <c r="Z730" s="17"/>
    </row>
    <row r="731">
      <c r="A731" s="341"/>
      <c r="B731" s="168"/>
      <c r="C731" s="354"/>
      <c r="D731" s="353"/>
      <c r="E731" s="341"/>
      <c r="F731" s="168"/>
      <c r="G731" s="341"/>
      <c r="H731" s="168"/>
      <c r="I731" s="347"/>
      <c r="J731" s="187"/>
      <c r="K731" s="347"/>
      <c r="L731" s="187"/>
      <c r="M731" s="347"/>
      <c r="N731" s="187"/>
      <c r="O731" s="341"/>
      <c r="P731" s="168"/>
      <c r="Q731" s="205"/>
      <c r="R731" s="205"/>
      <c r="S731" s="17"/>
      <c r="T731" s="17"/>
      <c r="U731" s="17"/>
      <c r="V731" s="17"/>
      <c r="W731" s="17"/>
      <c r="X731" s="17"/>
      <c r="Y731" s="17"/>
      <c r="Z731" s="17"/>
    </row>
    <row r="732">
      <c r="A732" s="341"/>
      <c r="B732" s="168"/>
      <c r="C732" s="354"/>
      <c r="D732" s="353"/>
      <c r="E732" s="341"/>
      <c r="F732" s="168"/>
      <c r="G732" s="341"/>
      <c r="H732" s="168"/>
      <c r="I732" s="347"/>
      <c r="J732" s="187"/>
      <c r="K732" s="347"/>
      <c r="L732" s="187"/>
      <c r="M732" s="347"/>
      <c r="N732" s="187"/>
      <c r="O732" s="341"/>
      <c r="P732" s="168"/>
      <c r="Q732" s="205"/>
      <c r="R732" s="205"/>
      <c r="S732" s="17"/>
      <c r="T732" s="17"/>
      <c r="U732" s="17"/>
      <c r="V732" s="17"/>
      <c r="W732" s="17"/>
      <c r="X732" s="17"/>
      <c r="Y732" s="17"/>
      <c r="Z732" s="17"/>
    </row>
    <row r="733">
      <c r="A733" s="341"/>
      <c r="B733" s="168"/>
      <c r="C733" s="354"/>
      <c r="D733" s="353"/>
      <c r="E733" s="341"/>
      <c r="F733" s="168"/>
      <c r="G733" s="341"/>
      <c r="H733" s="168"/>
      <c r="I733" s="347"/>
      <c r="J733" s="187"/>
      <c r="K733" s="347"/>
      <c r="L733" s="187"/>
      <c r="M733" s="347"/>
      <c r="N733" s="187"/>
      <c r="O733" s="341"/>
      <c r="P733" s="168"/>
      <c r="Q733" s="205"/>
      <c r="R733" s="205"/>
      <c r="S733" s="17"/>
      <c r="T733" s="17"/>
      <c r="U733" s="17"/>
      <c r="V733" s="17"/>
      <c r="W733" s="17"/>
      <c r="X733" s="17"/>
      <c r="Y733" s="17"/>
      <c r="Z733" s="17"/>
    </row>
    <row r="734">
      <c r="A734" s="341"/>
      <c r="B734" s="168"/>
      <c r="C734" s="354"/>
      <c r="D734" s="353"/>
      <c r="E734" s="341"/>
      <c r="F734" s="168"/>
      <c r="G734" s="341"/>
      <c r="H734" s="168"/>
      <c r="I734" s="347"/>
      <c r="J734" s="187"/>
      <c r="K734" s="347"/>
      <c r="L734" s="187"/>
      <c r="M734" s="347"/>
      <c r="N734" s="187"/>
      <c r="O734" s="341"/>
      <c r="P734" s="168"/>
      <c r="Q734" s="205"/>
      <c r="R734" s="205"/>
      <c r="S734" s="17"/>
      <c r="T734" s="17"/>
      <c r="U734" s="17"/>
      <c r="V734" s="17"/>
      <c r="W734" s="17"/>
      <c r="X734" s="17"/>
      <c r="Y734" s="17"/>
      <c r="Z734" s="17"/>
    </row>
    <row r="735">
      <c r="A735" s="341"/>
      <c r="B735" s="168"/>
      <c r="C735" s="354"/>
      <c r="D735" s="353"/>
      <c r="E735" s="341"/>
      <c r="F735" s="168"/>
      <c r="G735" s="341"/>
      <c r="H735" s="168"/>
      <c r="I735" s="347"/>
      <c r="J735" s="187"/>
      <c r="K735" s="347"/>
      <c r="L735" s="187"/>
      <c r="M735" s="347"/>
      <c r="N735" s="187"/>
      <c r="O735" s="341"/>
      <c r="P735" s="168"/>
      <c r="Q735" s="205"/>
      <c r="R735" s="205"/>
      <c r="S735" s="17"/>
      <c r="T735" s="17"/>
      <c r="U735" s="17"/>
      <c r="V735" s="17"/>
      <c r="W735" s="17"/>
      <c r="X735" s="17"/>
      <c r="Y735" s="17"/>
      <c r="Z735" s="17"/>
    </row>
    <row r="736">
      <c r="A736" s="341"/>
      <c r="B736" s="168"/>
      <c r="C736" s="354"/>
      <c r="D736" s="353"/>
      <c r="E736" s="341"/>
      <c r="F736" s="168"/>
      <c r="G736" s="341"/>
      <c r="H736" s="168"/>
      <c r="I736" s="347"/>
      <c r="J736" s="187"/>
      <c r="K736" s="347"/>
      <c r="L736" s="187"/>
      <c r="M736" s="347"/>
      <c r="N736" s="187"/>
      <c r="O736" s="341"/>
      <c r="P736" s="168"/>
      <c r="Q736" s="205"/>
      <c r="R736" s="205"/>
      <c r="S736" s="17"/>
      <c r="T736" s="17"/>
      <c r="U736" s="17"/>
      <c r="V736" s="17"/>
      <c r="W736" s="17"/>
      <c r="X736" s="17"/>
      <c r="Y736" s="17"/>
      <c r="Z736" s="17"/>
    </row>
    <row r="737">
      <c r="A737" s="341"/>
      <c r="B737" s="168"/>
      <c r="C737" s="354"/>
      <c r="D737" s="353"/>
      <c r="E737" s="341"/>
      <c r="F737" s="168"/>
      <c r="G737" s="341"/>
      <c r="H737" s="168"/>
      <c r="I737" s="347"/>
      <c r="J737" s="187"/>
      <c r="K737" s="347"/>
      <c r="L737" s="187"/>
      <c r="M737" s="347"/>
      <c r="N737" s="187"/>
      <c r="O737" s="341"/>
      <c r="P737" s="168"/>
      <c r="Q737" s="205"/>
      <c r="R737" s="205"/>
      <c r="S737" s="17"/>
      <c r="T737" s="17"/>
      <c r="U737" s="17"/>
      <c r="V737" s="17"/>
      <c r="W737" s="17"/>
      <c r="X737" s="17"/>
      <c r="Y737" s="17"/>
      <c r="Z737" s="17"/>
    </row>
    <row r="738">
      <c r="A738" s="341"/>
      <c r="B738" s="168"/>
      <c r="C738" s="354"/>
      <c r="D738" s="353"/>
      <c r="E738" s="341"/>
      <c r="F738" s="168"/>
      <c r="G738" s="341"/>
      <c r="H738" s="168"/>
      <c r="I738" s="347"/>
      <c r="J738" s="187"/>
      <c r="K738" s="347"/>
      <c r="L738" s="187"/>
      <c r="M738" s="347"/>
      <c r="N738" s="187"/>
      <c r="O738" s="341"/>
      <c r="P738" s="168"/>
      <c r="Q738" s="205"/>
      <c r="R738" s="205"/>
      <c r="S738" s="17"/>
      <c r="T738" s="17"/>
      <c r="U738" s="17"/>
      <c r="V738" s="17"/>
      <c r="W738" s="17"/>
      <c r="X738" s="17"/>
      <c r="Y738" s="17"/>
      <c r="Z738" s="17"/>
    </row>
    <row r="739">
      <c r="A739" s="341"/>
      <c r="B739" s="168"/>
      <c r="C739" s="354"/>
      <c r="D739" s="353"/>
      <c r="E739" s="341"/>
      <c r="F739" s="168"/>
      <c r="G739" s="341"/>
      <c r="H739" s="168"/>
      <c r="I739" s="347"/>
      <c r="J739" s="187"/>
      <c r="K739" s="347"/>
      <c r="L739" s="187"/>
      <c r="M739" s="347"/>
      <c r="N739" s="187"/>
      <c r="O739" s="341"/>
      <c r="P739" s="168"/>
      <c r="Q739" s="205"/>
      <c r="R739" s="205"/>
      <c r="S739" s="17"/>
      <c r="T739" s="17"/>
      <c r="U739" s="17"/>
      <c r="V739" s="17"/>
      <c r="W739" s="17"/>
      <c r="X739" s="17"/>
      <c r="Y739" s="17"/>
      <c r="Z739" s="17"/>
    </row>
    <row r="740">
      <c r="A740" s="341"/>
      <c r="B740" s="168"/>
      <c r="C740" s="354"/>
      <c r="D740" s="353"/>
      <c r="E740" s="341"/>
      <c r="F740" s="168"/>
      <c r="G740" s="341"/>
      <c r="H740" s="168"/>
      <c r="I740" s="347"/>
      <c r="J740" s="187"/>
      <c r="K740" s="347"/>
      <c r="L740" s="187"/>
      <c r="M740" s="347"/>
      <c r="N740" s="187"/>
      <c r="O740" s="341"/>
      <c r="P740" s="168"/>
      <c r="Q740" s="205"/>
      <c r="R740" s="205"/>
      <c r="S740" s="17"/>
      <c r="T740" s="17"/>
      <c r="U740" s="17"/>
      <c r="V740" s="17"/>
      <c r="W740" s="17"/>
      <c r="X740" s="17"/>
      <c r="Y740" s="17"/>
      <c r="Z740" s="17"/>
    </row>
    <row r="741">
      <c r="A741" s="341"/>
      <c r="B741" s="168"/>
      <c r="C741" s="354"/>
      <c r="D741" s="353"/>
      <c r="E741" s="341"/>
      <c r="F741" s="168"/>
      <c r="G741" s="341"/>
      <c r="H741" s="168"/>
      <c r="I741" s="347"/>
      <c r="J741" s="187"/>
      <c r="K741" s="347"/>
      <c r="L741" s="187"/>
      <c r="M741" s="347"/>
      <c r="N741" s="187"/>
      <c r="O741" s="341"/>
      <c r="P741" s="168"/>
      <c r="Q741" s="205"/>
      <c r="R741" s="205"/>
      <c r="S741" s="17"/>
      <c r="T741" s="17"/>
      <c r="U741" s="17"/>
      <c r="V741" s="17"/>
      <c r="W741" s="17"/>
      <c r="X741" s="17"/>
      <c r="Y741" s="17"/>
      <c r="Z741" s="17"/>
    </row>
    <row r="742">
      <c r="A742" s="341"/>
      <c r="B742" s="168"/>
      <c r="C742" s="354"/>
      <c r="D742" s="353"/>
      <c r="E742" s="341"/>
      <c r="F742" s="168"/>
      <c r="G742" s="341"/>
      <c r="H742" s="168"/>
      <c r="I742" s="347"/>
      <c r="J742" s="187"/>
      <c r="K742" s="347"/>
      <c r="L742" s="187"/>
      <c r="M742" s="347"/>
      <c r="N742" s="187"/>
      <c r="O742" s="341"/>
      <c r="P742" s="168"/>
      <c r="Q742" s="205"/>
      <c r="R742" s="205"/>
      <c r="S742" s="17"/>
      <c r="T742" s="17"/>
      <c r="U742" s="17"/>
      <c r="V742" s="17"/>
      <c r="W742" s="17"/>
      <c r="X742" s="17"/>
      <c r="Y742" s="17"/>
      <c r="Z742" s="17"/>
    </row>
    <row r="743">
      <c r="A743" s="341"/>
      <c r="B743" s="168"/>
      <c r="C743" s="354"/>
      <c r="D743" s="353"/>
      <c r="E743" s="341"/>
      <c r="F743" s="168"/>
      <c r="G743" s="341"/>
      <c r="H743" s="168"/>
      <c r="I743" s="347"/>
      <c r="J743" s="187"/>
      <c r="K743" s="347"/>
      <c r="L743" s="187"/>
      <c r="M743" s="347"/>
      <c r="N743" s="187"/>
      <c r="O743" s="341"/>
      <c r="P743" s="168"/>
      <c r="Q743" s="205"/>
      <c r="R743" s="205"/>
      <c r="S743" s="17"/>
      <c r="T743" s="17"/>
      <c r="U743" s="17"/>
      <c r="V743" s="17"/>
      <c r="W743" s="17"/>
      <c r="X743" s="17"/>
      <c r="Y743" s="17"/>
      <c r="Z743" s="17"/>
    </row>
    <row r="744">
      <c r="A744" s="341"/>
      <c r="B744" s="168"/>
      <c r="C744" s="354"/>
      <c r="D744" s="353"/>
      <c r="E744" s="341"/>
      <c r="F744" s="168"/>
      <c r="G744" s="341"/>
      <c r="H744" s="168"/>
      <c r="I744" s="347"/>
      <c r="J744" s="187"/>
      <c r="K744" s="347"/>
      <c r="L744" s="187"/>
      <c r="M744" s="347"/>
      <c r="N744" s="187"/>
      <c r="O744" s="341"/>
      <c r="P744" s="168"/>
      <c r="Q744" s="205"/>
      <c r="R744" s="205"/>
      <c r="S744" s="17"/>
      <c r="T744" s="17"/>
      <c r="U744" s="17"/>
      <c r="V744" s="17"/>
      <c r="W744" s="17"/>
      <c r="X744" s="17"/>
      <c r="Y744" s="17"/>
      <c r="Z744" s="17"/>
    </row>
    <row r="745">
      <c r="A745" s="341"/>
      <c r="B745" s="168"/>
      <c r="C745" s="354"/>
      <c r="D745" s="353"/>
      <c r="E745" s="341"/>
      <c r="F745" s="168"/>
      <c r="G745" s="341"/>
      <c r="H745" s="168"/>
      <c r="I745" s="347"/>
      <c r="J745" s="187"/>
      <c r="K745" s="347"/>
      <c r="L745" s="187"/>
      <c r="M745" s="347"/>
      <c r="N745" s="187"/>
      <c r="O745" s="341"/>
      <c r="P745" s="168"/>
      <c r="Q745" s="205"/>
      <c r="R745" s="205"/>
      <c r="S745" s="17"/>
      <c r="T745" s="17"/>
      <c r="U745" s="17"/>
      <c r="V745" s="17"/>
      <c r="W745" s="17"/>
      <c r="X745" s="17"/>
      <c r="Y745" s="17"/>
      <c r="Z745" s="17"/>
    </row>
    <row r="746">
      <c r="A746" s="341"/>
      <c r="B746" s="168"/>
      <c r="C746" s="354"/>
      <c r="D746" s="353"/>
      <c r="E746" s="341"/>
      <c r="F746" s="168"/>
      <c r="G746" s="341"/>
      <c r="H746" s="168"/>
      <c r="I746" s="347"/>
      <c r="J746" s="187"/>
      <c r="K746" s="347"/>
      <c r="L746" s="187"/>
      <c r="M746" s="347"/>
      <c r="N746" s="187"/>
      <c r="O746" s="341"/>
      <c r="P746" s="168"/>
      <c r="Q746" s="205"/>
      <c r="R746" s="205"/>
      <c r="S746" s="17"/>
      <c r="T746" s="17"/>
      <c r="U746" s="17"/>
      <c r="V746" s="17"/>
      <c r="W746" s="17"/>
      <c r="X746" s="17"/>
      <c r="Y746" s="17"/>
      <c r="Z746" s="17"/>
    </row>
    <row r="747">
      <c r="A747" s="341"/>
      <c r="B747" s="168"/>
      <c r="C747" s="354"/>
      <c r="D747" s="353"/>
      <c r="E747" s="341"/>
      <c r="F747" s="168"/>
      <c r="G747" s="341"/>
      <c r="H747" s="168"/>
      <c r="I747" s="347"/>
      <c r="J747" s="187"/>
      <c r="K747" s="347"/>
      <c r="L747" s="187"/>
      <c r="M747" s="347"/>
      <c r="N747" s="187"/>
      <c r="O747" s="341"/>
      <c r="P747" s="168"/>
      <c r="Q747" s="205"/>
      <c r="R747" s="205"/>
      <c r="S747" s="17"/>
      <c r="T747" s="17"/>
      <c r="U747" s="17"/>
      <c r="V747" s="17"/>
      <c r="W747" s="17"/>
      <c r="X747" s="17"/>
      <c r="Y747" s="17"/>
      <c r="Z747" s="17"/>
    </row>
    <row r="748">
      <c r="A748" s="341"/>
      <c r="B748" s="168"/>
      <c r="C748" s="354"/>
      <c r="D748" s="353"/>
      <c r="E748" s="341"/>
      <c r="F748" s="168"/>
      <c r="G748" s="341"/>
      <c r="H748" s="168"/>
      <c r="I748" s="347"/>
      <c r="J748" s="187"/>
      <c r="K748" s="347"/>
      <c r="L748" s="187"/>
      <c r="M748" s="347"/>
      <c r="N748" s="187"/>
      <c r="O748" s="341"/>
      <c r="P748" s="168"/>
      <c r="Q748" s="205"/>
      <c r="R748" s="205"/>
      <c r="S748" s="17"/>
      <c r="T748" s="17"/>
      <c r="U748" s="17"/>
      <c r="V748" s="17"/>
      <c r="W748" s="17"/>
      <c r="X748" s="17"/>
      <c r="Y748" s="17"/>
      <c r="Z748" s="17"/>
    </row>
    <row r="749">
      <c r="A749" s="341"/>
      <c r="B749" s="168"/>
      <c r="C749" s="354"/>
      <c r="D749" s="353"/>
      <c r="E749" s="341"/>
      <c r="F749" s="168"/>
      <c r="G749" s="341"/>
      <c r="H749" s="168"/>
      <c r="I749" s="347"/>
      <c r="J749" s="187"/>
      <c r="K749" s="347"/>
      <c r="L749" s="187"/>
      <c r="M749" s="347"/>
      <c r="N749" s="187"/>
      <c r="O749" s="341"/>
      <c r="P749" s="168"/>
      <c r="Q749" s="205"/>
      <c r="R749" s="205"/>
      <c r="S749" s="17"/>
      <c r="T749" s="17"/>
      <c r="U749" s="17"/>
      <c r="V749" s="17"/>
      <c r="W749" s="17"/>
      <c r="X749" s="17"/>
      <c r="Y749" s="17"/>
      <c r="Z749" s="17"/>
    </row>
    <row r="750">
      <c r="A750" s="341"/>
      <c r="B750" s="168"/>
      <c r="C750" s="354"/>
      <c r="D750" s="353"/>
      <c r="E750" s="341"/>
      <c r="F750" s="168"/>
      <c r="G750" s="341"/>
      <c r="H750" s="168"/>
      <c r="I750" s="347"/>
      <c r="J750" s="187"/>
      <c r="K750" s="347"/>
      <c r="L750" s="187"/>
      <c r="M750" s="347"/>
      <c r="N750" s="187"/>
      <c r="O750" s="341"/>
      <c r="P750" s="168"/>
      <c r="Q750" s="205"/>
      <c r="R750" s="205"/>
      <c r="S750" s="17"/>
      <c r="T750" s="17"/>
      <c r="U750" s="17"/>
      <c r="V750" s="17"/>
      <c r="W750" s="17"/>
      <c r="X750" s="17"/>
      <c r="Y750" s="17"/>
      <c r="Z750" s="17"/>
    </row>
    <row r="751">
      <c r="A751" s="341"/>
      <c r="B751" s="168"/>
      <c r="C751" s="354"/>
      <c r="D751" s="353"/>
      <c r="E751" s="341"/>
      <c r="F751" s="168"/>
      <c r="G751" s="341"/>
      <c r="H751" s="168"/>
      <c r="I751" s="347"/>
      <c r="J751" s="187"/>
      <c r="K751" s="347"/>
      <c r="L751" s="187"/>
      <c r="M751" s="347"/>
      <c r="N751" s="187"/>
      <c r="O751" s="341"/>
      <c r="P751" s="168"/>
      <c r="Q751" s="205"/>
      <c r="R751" s="205"/>
      <c r="S751" s="17"/>
      <c r="T751" s="17"/>
      <c r="U751" s="17"/>
      <c r="V751" s="17"/>
      <c r="W751" s="17"/>
      <c r="X751" s="17"/>
      <c r="Y751" s="17"/>
      <c r="Z751" s="17"/>
    </row>
    <row r="752">
      <c r="A752" s="341"/>
      <c r="B752" s="168"/>
      <c r="C752" s="354"/>
      <c r="D752" s="353"/>
      <c r="E752" s="341"/>
      <c r="F752" s="168"/>
      <c r="G752" s="341"/>
      <c r="H752" s="168"/>
      <c r="I752" s="347"/>
      <c r="J752" s="187"/>
      <c r="K752" s="347"/>
      <c r="L752" s="187"/>
      <c r="M752" s="347"/>
      <c r="N752" s="187"/>
      <c r="O752" s="341"/>
      <c r="P752" s="168"/>
      <c r="Q752" s="205"/>
      <c r="R752" s="205"/>
      <c r="S752" s="17"/>
      <c r="T752" s="17"/>
      <c r="U752" s="17"/>
      <c r="V752" s="17"/>
      <c r="W752" s="17"/>
      <c r="X752" s="17"/>
      <c r="Y752" s="17"/>
      <c r="Z752" s="17"/>
    </row>
    <row r="753">
      <c r="A753" s="341"/>
      <c r="B753" s="168"/>
      <c r="C753" s="354"/>
      <c r="D753" s="353"/>
      <c r="E753" s="341"/>
      <c r="F753" s="168"/>
      <c r="G753" s="341"/>
      <c r="H753" s="168"/>
      <c r="I753" s="347"/>
      <c r="J753" s="187"/>
      <c r="K753" s="347"/>
      <c r="L753" s="187"/>
      <c r="M753" s="347"/>
      <c r="N753" s="187"/>
      <c r="O753" s="341"/>
      <c r="P753" s="168"/>
      <c r="Q753" s="205"/>
      <c r="R753" s="205"/>
      <c r="S753" s="17"/>
      <c r="T753" s="17"/>
      <c r="U753" s="17"/>
      <c r="V753" s="17"/>
      <c r="W753" s="17"/>
      <c r="X753" s="17"/>
      <c r="Y753" s="17"/>
      <c r="Z753" s="17"/>
    </row>
    <row r="754">
      <c r="A754" s="341"/>
      <c r="B754" s="168"/>
      <c r="C754" s="354"/>
      <c r="D754" s="353"/>
      <c r="E754" s="341"/>
      <c r="F754" s="168"/>
      <c r="G754" s="341"/>
      <c r="H754" s="168"/>
      <c r="I754" s="347"/>
      <c r="J754" s="187"/>
      <c r="K754" s="347"/>
      <c r="L754" s="187"/>
      <c r="M754" s="347"/>
      <c r="N754" s="187"/>
      <c r="O754" s="341"/>
      <c r="P754" s="168"/>
      <c r="Q754" s="205"/>
      <c r="R754" s="205"/>
      <c r="S754" s="17"/>
      <c r="T754" s="17"/>
      <c r="U754" s="17"/>
      <c r="V754" s="17"/>
      <c r="W754" s="17"/>
      <c r="X754" s="17"/>
      <c r="Y754" s="17"/>
      <c r="Z754" s="17"/>
    </row>
    <row r="755">
      <c r="A755" s="341"/>
      <c r="B755" s="168"/>
      <c r="C755" s="354"/>
      <c r="D755" s="353"/>
      <c r="E755" s="341"/>
      <c r="F755" s="168"/>
      <c r="G755" s="341"/>
      <c r="H755" s="168"/>
      <c r="I755" s="347"/>
      <c r="J755" s="187"/>
      <c r="K755" s="347"/>
      <c r="L755" s="187"/>
      <c r="M755" s="347"/>
      <c r="N755" s="187"/>
      <c r="O755" s="341"/>
      <c r="P755" s="168"/>
      <c r="Q755" s="205"/>
      <c r="R755" s="205"/>
      <c r="S755" s="17"/>
      <c r="T755" s="17"/>
      <c r="U755" s="17"/>
      <c r="V755" s="17"/>
      <c r="W755" s="17"/>
      <c r="X755" s="17"/>
      <c r="Y755" s="17"/>
      <c r="Z755" s="17"/>
    </row>
    <row r="756">
      <c r="A756" s="341"/>
      <c r="B756" s="168"/>
      <c r="C756" s="354"/>
      <c r="D756" s="353"/>
      <c r="E756" s="341"/>
      <c r="F756" s="168"/>
      <c r="G756" s="341"/>
      <c r="H756" s="168"/>
      <c r="I756" s="347"/>
      <c r="J756" s="187"/>
      <c r="K756" s="347"/>
      <c r="L756" s="187"/>
      <c r="M756" s="347"/>
      <c r="N756" s="187"/>
      <c r="O756" s="341"/>
      <c r="P756" s="168"/>
      <c r="Q756" s="205"/>
      <c r="R756" s="205"/>
      <c r="S756" s="17"/>
      <c r="T756" s="17"/>
      <c r="U756" s="17"/>
      <c r="V756" s="17"/>
      <c r="W756" s="17"/>
      <c r="X756" s="17"/>
      <c r="Y756" s="17"/>
      <c r="Z756" s="17"/>
    </row>
    <row r="757">
      <c r="A757" s="341"/>
      <c r="B757" s="168"/>
      <c r="C757" s="354"/>
      <c r="D757" s="353"/>
      <c r="E757" s="341"/>
      <c r="F757" s="168"/>
      <c r="G757" s="341"/>
      <c r="H757" s="168"/>
      <c r="I757" s="347"/>
      <c r="J757" s="187"/>
      <c r="K757" s="347"/>
      <c r="L757" s="187"/>
      <c r="M757" s="347"/>
      <c r="N757" s="187"/>
      <c r="O757" s="341"/>
      <c r="P757" s="168"/>
      <c r="Q757" s="205"/>
      <c r="R757" s="205"/>
      <c r="S757" s="17"/>
      <c r="T757" s="17"/>
      <c r="U757" s="17"/>
      <c r="V757" s="17"/>
      <c r="W757" s="17"/>
      <c r="X757" s="17"/>
      <c r="Y757" s="17"/>
      <c r="Z757" s="17"/>
    </row>
    <row r="758">
      <c r="A758" s="341"/>
      <c r="B758" s="168"/>
      <c r="C758" s="354"/>
      <c r="D758" s="353"/>
      <c r="E758" s="341"/>
      <c r="F758" s="168"/>
      <c r="G758" s="341"/>
      <c r="H758" s="168"/>
      <c r="I758" s="347"/>
      <c r="J758" s="187"/>
      <c r="K758" s="347"/>
      <c r="L758" s="187"/>
      <c r="M758" s="347"/>
      <c r="N758" s="187"/>
      <c r="O758" s="341"/>
      <c r="P758" s="168"/>
      <c r="Q758" s="205"/>
      <c r="R758" s="205"/>
      <c r="S758" s="17"/>
      <c r="T758" s="17"/>
      <c r="U758" s="17"/>
      <c r="V758" s="17"/>
      <c r="W758" s="17"/>
      <c r="X758" s="17"/>
      <c r="Y758" s="17"/>
      <c r="Z758" s="17"/>
    </row>
    <row r="759">
      <c r="A759" s="341"/>
      <c r="B759" s="168"/>
      <c r="C759" s="354"/>
      <c r="D759" s="353"/>
      <c r="E759" s="341"/>
      <c r="F759" s="168"/>
      <c r="G759" s="341"/>
      <c r="H759" s="168"/>
      <c r="I759" s="347"/>
      <c r="J759" s="187"/>
      <c r="K759" s="347"/>
      <c r="L759" s="187"/>
      <c r="M759" s="347"/>
      <c r="N759" s="187"/>
      <c r="O759" s="341"/>
      <c r="P759" s="168"/>
      <c r="Q759" s="205"/>
      <c r="R759" s="205"/>
      <c r="S759" s="17"/>
      <c r="T759" s="17"/>
      <c r="U759" s="17"/>
      <c r="V759" s="17"/>
      <c r="W759" s="17"/>
      <c r="X759" s="17"/>
      <c r="Y759" s="17"/>
      <c r="Z759" s="17"/>
    </row>
    <row r="760">
      <c r="A760" s="341"/>
      <c r="B760" s="168"/>
      <c r="C760" s="354"/>
      <c r="D760" s="353"/>
      <c r="E760" s="341"/>
      <c r="F760" s="168"/>
      <c r="G760" s="341"/>
      <c r="H760" s="168"/>
      <c r="I760" s="347"/>
      <c r="J760" s="187"/>
      <c r="K760" s="347"/>
      <c r="L760" s="187"/>
      <c r="M760" s="347"/>
      <c r="N760" s="187"/>
      <c r="O760" s="341"/>
      <c r="P760" s="168"/>
      <c r="Q760" s="205"/>
      <c r="R760" s="205"/>
      <c r="S760" s="17"/>
      <c r="T760" s="17"/>
      <c r="U760" s="17"/>
      <c r="V760" s="17"/>
      <c r="W760" s="17"/>
      <c r="X760" s="17"/>
      <c r="Y760" s="17"/>
      <c r="Z760" s="17"/>
    </row>
    <row r="761">
      <c r="A761" s="341"/>
      <c r="B761" s="168"/>
      <c r="C761" s="354"/>
      <c r="D761" s="353"/>
      <c r="E761" s="341"/>
      <c r="F761" s="168"/>
      <c r="G761" s="341"/>
      <c r="H761" s="168"/>
      <c r="I761" s="347"/>
      <c r="J761" s="187"/>
      <c r="K761" s="347"/>
      <c r="L761" s="187"/>
      <c r="M761" s="347"/>
      <c r="N761" s="187"/>
      <c r="O761" s="341"/>
      <c r="P761" s="168"/>
      <c r="Q761" s="205"/>
      <c r="R761" s="205"/>
      <c r="S761" s="17"/>
      <c r="T761" s="17"/>
      <c r="U761" s="17"/>
      <c r="V761" s="17"/>
      <c r="W761" s="17"/>
      <c r="X761" s="17"/>
      <c r="Y761" s="17"/>
      <c r="Z761" s="17"/>
    </row>
    <row r="762">
      <c r="A762" s="341"/>
      <c r="B762" s="168"/>
      <c r="C762" s="354"/>
      <c r="D762" s="353"/>
      <c r="E762" s="341"/>
      <c r="F762" s="168"/>
      <c r="G762" s="341"/>
      <c r="H762" s="168"/>
      <c r="I762" s="347"/>
      <c r="J762" s="187"/>
      <c r="K762" s="347"/>
      <c r="L762" s="187"/>
      <c r="M762" s="347"/>
      <c r="N762" s="187"/>
      <c r="O762" s="341"/>
      <c r="P762" s="168"/>
      <c r="Q762" s="205"/>
      <c r="R762" s="205"/>
      <c r="S762" s="17"/>
      <c r="T762" s="17"/>
      <c r="U762" s="17"/>
      <c r="V762" s="17"/>
      <c r="W762" s="17"/>
      <c r="X762" s="17"/>
      <c r="Y762" s="17"/>
      <c r="Z762" s="17"/>
    </row>
    <row r="763">
      <c r="A763" s="341"/>
      <c r="B763" s="168"/>
      <c r="C763" s="354"/>
      <c r="D763" s="353"/>
      <c r="E763" s="341"/>
      <c r="F763" s="168"/>
      <c r="G763" s="341"/>
      <c r="H763" s="168"/>
      <c r="I763" s="347"/>
      <c r="J763" s="187"/>
      <c r="K763" s="347"/>
      <c r="L763" s="187"/>
      <c r="M763" s="347"/>
      <c r="N763" s="187"/>
      <c r="O763" s="341"/>
      <c r="P763" s="168"/>
      <c r="Q763" s="205"/>
      <c r="R763" s="205"/>
      <c r="S763" s="17"/>
      <c r="T763" s="17"/>
      <c r="U763" s="17"/>
      <c r="V763" s="17"/>
      <c r="W763" s="17"/>
      <c r="X763" s="17"/>
      <c r="Y763" s="17"/>
      <c r="Z763" s="17"/>
    </row>
    <row r="764">
      <c r="A764" s="341"/>
      <c r="B764" s="168"/>
      <c r="C764" s="354"/>
      <c r="D764" s="353"/>
      <c r="E764" s="341"/>
      <c r="F764" s="168"/>
      <c r="G764" s="341"/>
      <c r="H764" s="168"/>
      <c r="I764" s="347"/>
      <c r="J764" s="187"/>
      <c r="K764" s="347"/>
      <c r="L764" s="187"/>
      <c r="M764" s="347"/>
      <c r="N764" s="187"/>
      <c r="O764" s="341"/>
      <c r="P764" s="168"/>
      <c r="Q764" s="205"/>
      <c r="R764" s="205"/>
      <c r="S764" s="17"/>
      <c r="T764" s="17"/>
      <c r="U764" s="17"/>
      <c r="V764" s="17"/>
      <c r="W764" s="17"/>
      <c r="X764" s="17"/>
      <c r="Y764" s="17"/>
      <c r="Z764" s="17"/>
    </row>
    <row r="765">
      <c r="A765" s="341"/>
      <c r="B765" s="168"/>
      <c r="C765" s="354"/>
      <c r="D765" s="353"/>
      <c r="E765" s="341"/>
      <c r="F765" s="168"/>
      <c r="G765" s="341"/>
      <c r="H765" s="168"/>
      <c r="I765" s="347"/>
      <c r="J765" s="187"/>
      <c r="K765" s="347"/>
      <c r="L765" s="187"/>
      <c r="M765" s="347"/>
      <c r="N765" s="187"/>
      <c r="O765" s="341"/>
      <c r="P765" s="168"/>
      <c r="Q765" s="205"/>
      <c r="R765" s="205"/>
      <c r="S765" s="17"/>
      <c r="T765" s="17"/>
      <c r="U765" s="17"/>
      <c r="V765" s="17"/>
      <c r="W765" s="17"/>
      <c r="X765" s="17"/>
      <c r="Y765" s="17"/>
      <c r="Z765" s="17"/>
    </row>
    <row r="766">
      <c r="A766" s="341"/>
      <c r="B766" s="168"/>
      <c r="C766" s="354"/>
      <c r="D766" s="353"/>
      <c r="E766" s="341"/>
      <c r="F766" s="168"/>
      <c r="G766" s="341"/>
      <c r="H766" s="168"/>
      <c r="I766" s="347"/>
      <c r="J766" s="187"/>
      <c r="K766" s="347"/>
      <c r="L766" s="187"/>
      <c r="M766" s="347"/>
      <c r="N766" s="187"/>
      <c r="O766" s="341"/>
      <c r="P766" s="168"/>
      <c r="Q766" s="205"/>
      <c r="R766" s="205"/>
      <c r="S766" s="17"/>
      <c r="T766" s="17"/>
      <c r="U766" s="17"/>
      <c r="V766" s="17"/>
      <c r="W766" s="17"/>
      <c r="X766" s="17"/>
      <c r="Y766" s="17"/>
      <c r="Z766" s="17"/>
    </row>
    <row r="767">
      <c r="A767" s="341"/>
      <c r="B767" s="168"/>
      <c r="C767" s="354"/>
      <c r="D767" s="353"/>
      <c r="E767" s="341"/>
      <c r="F767" s="168"/>
      <c r="G767" s="341"/>
      <c r="H767" s="168"/>
      <c r="I767" s="347"/>
      <c r="J767" s="187"/>
      <c r="K767" s="347"/>
      <c r="L767" s="187"/>
      <c r="M767" s="347"/>
      <c r="N767" s="187"/>
      <c r="O767" s="341"/>
      <c r="P767" s="168"/>
      <c r="Q767" s="205"/>
      <c r="R767" s="205"/>
      <c r="S767" s="17"/>
      <c r="T767" s="17"/>
      <c r="U767" s="17"/>
      <c r="V767" s="17"/>
      <c r="W767" s="17"/>
      <c r="X767" s="17"/>
      <c r="Y767" s="17"/>
      <c r="Z767" s="17"/>
    </row>
    <row r="768">
      <c r="A768" s="341"/>
      <c r="B768" s="168"/>
      <c r="C768" s="354"/>
      <c r="D768" s="353"/>
      <c r="E768" s="341"/>
      <c r="F768" s="168"/>
      <c r="G768" s="341"/>
      <c r="H768" s="168"/>
      <c r="I768" s="347"/>
      <c r="J768" s="187"/>
      <c r="K768" s="347"/>
      <c r="L768" s="187"/>
      <c r="M768" s="347"/>
      <c r="N768" s="187"/>
      <c r="O768" s="341"/>
      <c r="P768" s="168"/>
      <c r="Q768" s="205"/>
      <c r="R768" s="205"/>
      <c r="S768" s="17"/>
      <c r="T768" s="17"/>
      <c r="U768" s="17"/>
      <c r="V768" s="17"/>
      <c r="W768" s="17"/>
      <c r="X768" s="17"/>
      <c r="Y768" s="17"/>
      <c r="Z768" s="17"/>
    </row>
    <row r="769">
      <c r="A769" s="341"/>
      <c r="B769" s="168"/>
      <c r="C769" s="354"/>
      <c r="D769" s="353"/>
      <c r="E769" s="341"/>
      <c r="F769" s="168"/>
      <c r="G769" s="341"/>
      <c r="H769" s="168"/>
      <c r="I769" s="347"/>
      <c r="J769" s="187"/>
      <c r="K769" s="347"/>
      <c r="L769" s="187"/>
      <c r="M769" s="347"/>
      <c r="N769" s="187"/>
      <c r="O769" s="341"/>
      <c r="P769" s="168"/>
      <c r="Q769" s="205"/>
      <c r="R769" s="205"/>
      <c r="S769" s="17"/>
      <c r="T769" s="17"/>
      <c r="U769" s="17"/>
      <c r="V769" s="17"/>
      <c r="W769" s="17"/>
      <c r="X769" s="17"/>
      <c r="Y769" s="17"/>
      <c r="Z769" s="17"/>
    </row>
    <row r="770">
      <c r="A770" s="341"/>
      <c r="B770" s="168"/>
      <c r="C770" s="354"/>
      <c r="D770" s="353"/>
      <c r="E770" s="341"/>
      <c r="F770" s="168"/>
      <c r="G770" s="341"/>
      <c r="H770" s="168"/>
      <c r="I770" s="347"/>
      <c r="J770" s="187"/>
      <c r="K770" s="347"/>
      <c r="L770" s="187"/>
      <c r="M770" s="347"/>
      <c r="N770" s="187"/>
      <c r="O770" s="341"/>
      <c r="P770" s="168"/>
      <c r="Q770" s="205"/>
      <c r="R770" s="205"/>
      <c r="S770" s="17"/>
      <c r="T770" s="17"/>
      <c r="U770" s="17"/>
      <c r="V770" s="17"/>
      <c r="W770" s="17"/>
      <c r="X770" s="17"/>
      <c r="Y770" s="17"/>
      <c r="Z770" s="17"/>
    </row>
    <row r="771">
      <c r="A771" s="341"/>
      <c r="B771" s="168"/>
      <c r="C771" s="354"/>
      <c r="D771" s="353"/>
      <c r="E771" s="341"/>
      <c r="F771" s="168"/>
      <c r="G771" s="341"/>
      <c r="H771" s="168"/>
      <c r="I771" s="347"/>
      <c r="J771" s="187"/>
      <c r="K771" s="347"/>
      <c r="L771" s="187"/>
      <c r="M771" s="347"/>
      <c r="N771" s="187"/>
      <c r="O771" s="341"/>
      <c r="P771" s="168"/>
      <c r="Q771" s="205"/>
      <c r="R771" s="205"/>
      <c r="S771" s="17"/>
      <c r="T771" s="17"/>
      <c r="U771" s="17"/>
      <c r="V771" s="17"/>
      <c r="W771" s="17"/>
      <c r="X771" s="17"/>
      <c r="Y771" s="17"/>
      <c r="Z771" s="17"/>
    </row>
    <row r="772">
      <c r="A772" s="341"/>
      <c r="B772" s="168"/>
      <c r="C772" s="354"/>
      <c r="D772" s="353"/>
      <c r="E772" s="341"/>
      <c r="F772" s="168"/>
      <c r="G772" s="341"/>
      <c r="H772" s="168"/>
      <c r="I772" s="347"/>
      <c r="J772" s="187"/>
      <c r="K772" s="347"/>
      <c r="L772" s="187"/>
      <c r="M772" s="347"/>
      <c r="N772" s="187"/>
      <c r="O772" s="341"/>
      <c r="P772" s="168"/>
      <c r="Q772" s="205"/>
      <c r="R772" s="205"/>
      <c r="S772" s="17"/>
      <c r="T772" s="17"/>
      <c r="U772" s="17"/>
      <c r="V772" s="17"/>
      <c r="W772" s="17"/>
      <c r="X772" s="17"/>
      <c r="Y772" s="17"/>
      <c r="Z772" s="17"/>
    </row>
    <row r="773">
      <c r="A773" s="341"/>
      <c r="B773" s="168"/>
      <c r="C773" s="354"/>
      <c r="D773" s="353"/>
      <c r="E773" s="341"/>
      <c r="F773" s="168"/>
      <c r="G773" s="341"/>
      <c r="H773" s="168"/>
      <c r="I773" s="347"/>
      <c r="J773" s="187"/>
      <c r="K773" s="347"/>
      <c r="L773" s="187"/>
      <c r="M773" s="347"/>
      <c r="N773" s="187"/>
      <c r="O773" s="341"/>
      <c r="P773" s="168"/>
      <c r="Q773" s="205"/>
      <c r="R773" s="205"/>
      <c r="S773" s="17"/>
      <c r="T773" s="17"/>
      <c r="U773" s="17"/>
      <c r="V773" s="17"/>
      <c r="W773" s="17"/>
      <c r="X773" s="17"/>
      <c r="Y773" s="17"/>
      <c r="Z773" s="17"/>
    </row>
    <row r="774">
      <c r="A774" s="341"/>
      <c r="B774" s="168"/>
      <c r="C774" s="354"/>
      <c r="D774" s="353"/>
      <c r="E774" s="341"/>
      <c r="F774" s="168"/>
      <c r="G774" s="341"/>
      <c r="H774" s="168"/>
      <c r="I774" s="347"/>
      <c r="J774" s="187"/>
      <c r="K774" s="347"/>
      <c r="L774" s="187"/>
      <c r="M774" s="347"/>
      <c r="N774" s="187"/>
      <c r="O774" s="341"/>
      <c r="P774" s="168"/>
      <c r="Q774" s="205"/>
      <c r="R774" s="205"/>
      <c r="S774" s="17"/>
      <c r="T774" s="17"/>
      <c r="U774" s="17"/>
      <c r="V774" s="17"/>
      <c r="W774" s="17"/>
      <c r="X774" s="17"/>
      <c r="Y774" s="17"/>
      <c r="Z774" s="17"/>
    </row>
    <row r="775">
      <c r="A775" s="341"/>
      <c r="B775" s="168"/>
      <c r="C775" s="354"/>
      <c r="D775" s="353"/>
      <c r="E775" s="341"/>
      <c r="F775" s="168"/>
      <c r="G775" s="341"/>
      <c r="H775" s="168"/>
      <c r="I775" s="347"/>
      <c r="J775" s="187"/>
      <c r="K775" s="347"/>
      <c r="L775" s="187"/>
      <c r="M775" s="347"/>
      <c r="N775" s="187"/>
      <c r="O775" s="341"/>
      <c r="P775" s="168"/>
      <c r="Q775" s="205"/>
      <c r="R775" s="205"/>
      <c r="S775" s="17"/>
      <c r="T775" s="17"/>
      <c r="U775" s="17"/>
      <c r="V775" s="17"/>
      <c r="W775" s="17"/>
      <c r="X775" s="17"/>
      <c r="Y775" s="17"/>
      <c r="Z775" s="17"/>
    </row>
    <row r="776">
      <c r="A776" s="341"/>
      <c r="B776" s="168"/>
      <c r="C776" s="354"/>
      <c r="D776" s="353"/>
      <c r="E776" s="341"/>
      <c r="F776" s="168"/>
      <c r="G776" s="341"/>
      <c r="H776" s="168"/>
      <c r="I776" s="347"/>
      <c r="J776" s="187"/>
      <c r="K776" s="347"/>
      <c r="L776" s="187"/>
      <c r="M776" s="347"/>
      <c r="N776" s="187"/>
      <c r="O776" s="341"/>
      <c r="P776" s="168"/>
      <c r="Q776" s="205"/>
      <c r="R776" s="205"/>
      <c r="S776" s="17"/>
      <c r="T776" s="17"/>
      <c r="U776" s="17"/>
      <c r="V776" s="17"/>
      <c r="W776" s="17"/>
      <c r="X776" s="17"/>
      <c r="Y776" s="17"/>
      <c r="Z776" s="17"/>
    </row>
    <row r="777">
      <c r="A777" s="341"/>
      <c r="B777" s="168"/>
      <c r="C777" s="354"/>
      <c r="D777" s="353"/>
      <c r="E777" s="341"/>
      <c r="F777" s="168"/>
      <c r="G777" s="341"/>
      <c r="H777" s="168"/>
      <c r="I777" s="347"/>
      <c r="J777" s="187"/>
      <c r="K777" s="347"/>
      <c r="L777" s="187"/>
      <c r="M777" s="347"/>
      <c r="N777" s="187"/>
      <c r="O777" s="341"/>
      <c r="P777" s="168"/>
      <c r="Q777" s="205"/>
      <c r="R777" s="205"/>
      <c r="S777" s="17"/>
      <c r="T777" s="17"/>
      <c r="U777" s="17"/>
      <c r="V777" s="17"/>
      <c r="W777" s="17"/>
      <c r="X777" s="17"/>
      <c r="Y777" s="17"/>
      <c r="Z777" s="17"/>
    </row>
    <row r="778">
      <c r="A778" s="341"/>
      <c r="B778" s="168"/>
      <c r="C778" s="354"/>
      <c r="D778" s="353"/>
      <c r="E778" s="341"/>
      <c r="F778" s="168"/>
      <c r="G778" s="341"/>
      <c r="H778" s="168"/>
      <c r="I778" s="347"/>
      <c r="J778" s="187"/>
      <c r="K778" s="347"/>
      <c r="L778" s="187"/>
      <c r="M778" s="347"/>
      <c r="N778" s="187"/>
      <c r="O778" s="341"/>
      <c r="P778" s="168"/>
      <c r="Q778" s="205"/>
      <c r="R778" s="205"/>
      <c r="S778" s="17"/>
      <c r="T778" s="17"/>
      <c r="U778" s="17"/>
      <c r="V778" s="17"/>
      <c r="W778" s="17"/>
      <c r="X778" s="17"/>
      <c r="Y778" s="17"/>
      <c r="Z778" s="17"/>
    </row>
    <row r="779">
      <c r="A779" s="341"/>
      <c r="B779" s="168"/>
      <c r="C779" s="354"/>
      <c r="D779" s="353"/>
      <c r="E779" s="341"/>
      <c r="F779" s="168"/>
      <c r="G779" s="341"/>
      <c r="H779" s="168"/>
      <c r="I779" s="347"/>
      <c r="J779" s="187"/>
      <c r="K779" s="347"/>
      <c r="L779" s="187"/>
      <c r="M779" s="347"/>
      <c r="N779" s="187"/>
      <c r="O779" s="341"/>
      <c r="P779" s="168"/>
      <c r="Q779" s="205"/>
      <c r="R779" s="205"/>
      <c r="S779" s="17"/>
      <c r="T779" s="17"/>
      <c r="U779" s="17"/>
      <c r="V779" s="17"/>
      <c r="W779" s="17"/>
      <c r="X779" s="17"/>
      <c r="Y779" s="17"/>
      <c r="Z779" s="17"/>
    </row>
    <row r="780">
      <c r="A780" s="341"/>
      <c r="B780" s="168"/>
      <c r="C780" s="354"/>
      <c r="D780" s="353"/>
      <c r="E780" s="341"/>
      <c r="F780" s="168"/>
      <c r="G780" s="341"/>
      <c r="H780" s="168"/>
      <c r="I780" s="347"/>
      <c r="J780" s="187"/>
      <c r="K780" s="347"/>
      <c r="L780" s="187"/>
      <c r="M780" s="347"/>
      <c r="N780" s="187"/>
      <c r="O780" s="341"/>
      <c r="P780" s="168"/>
      <c r="Q780" s="205"/>
      <c r="R780" s="205"/>
      <c r="S780" s="17"/>
      <c r="T780" s="17"/>
      <c r="U780" s="17"/>
      <c r="V780" s="17"/>
      <c r="W780" s="17"/>
      <c r="X780" s="17"/>
      <c r="Y780" s="17"/>
      <c r="Z780" s="17"/>
    </row>
    <row r="781">
      <c r="A781" s="341"/>
      <c r="B781" s="168"/>
      <c r="C781" s="354"/>
      <c r="D781" s="353"/>
      <c r="E781" s="341"/>
      <c r="F781" s="168"/>
      <c r="G781" s="341"/>
      <c r="H781" s="168"/>
      <c r="I781" s="347"/>
      <c r="J781" s="187"/>
      <c r="K781" s="347"/>
      <c r="L781" s="187"/>
      <c r="M781" s="347"/>
      <c r="N781" s="187"/>
      <c r="O781" s="341"/>
      <c r="P781" s="168"/>
      <c r="Q781" s="205"/>
      <c r="R781" s="205"/>
      <c r="S781" s="17"/>
      <c r="T781" s="17"/>
      <c r="U781" s="17"/>
      <c r="V781" s="17"/>
      <c r="W781" s="17"/>
      <c r="X781" s="17"/>
      <c r="Y781" s="17"/>
      <c r="Z781" s="17"/>
    </row>
    <row r="782">
      <c r="A782" s="341"/>
      <c r="B782" s="168"/>
      <c r="C782" s="354"/>
      <c r="D782" s="353"/>
      <c r="E782" s="341"/>
      <c r="F782" s="168"/>
      <c r="G782" s="341"/>
      <c r="H782" s="168"/>
      <c r="I782" s="347"/>
      <c r="J782" s="187"/>
      <c r="K782" s="347"/>
      <c r="L782" s="187"/>
      <c r="M782" s="347"/>
      <c r="N782" s="187"/>
      <c r="O782" s="341"/>
      <c r="P782" s="168"/>
      <c r="Q782" s="205"/>
      <c r="R782" s="205"/>
      <c r="S782" s="17"/>
      <c r="T782" s="17"/>
      <c r="U782" s="17"/>
      <c r="V782" s="17"/>
      <c r="W782" s="17"/>
      <c r="X782" s="17"/>
      <c r="Y782" s="17"/>
      <c r="Z782" s="17"/>
    </row>
    <row r="783">
      <c r="A783" s="341"/>
      <c r="B783" s="168"/>
      <c r="C783" s="354"/>
      <c r="D783" s="353"/>
      <c r="E783" s="341"/>
      <c r="F783" s="168"/>
      <c r="G783" s="341"/>
      <c r="H783" s="168"/>
      <c r="I783" s="347"/>
      <c r="J783" s="187"/>
      <c r="K783" s="347"/>
      <c r="L783" s="187"/>
      <c r="M783" s="347"/>
      <c r="N783" s="187"/>
      <c r="O783" s="341"/>
      <c r="P783" s="168"/>
      <c r="Q783" s="205"/>
      <c r="R783" s="205"/>
      <c r="S783" s="17"/>
      <c r="T783" s="17"/>
      <c r="U783" s="17"/>
      <c r="V783" s="17"/>
      <c r="W783" s="17"/>
      <c r="X783" s="17"/>
      <c r="Y783" s="17"/>
      <c r="Z783" s="17"/>
    </row>
    <row r="784">
      <c r="A784" s="341"/>
      <c r="B784" s="168"/>
      <c r="C784" s="354"/>
      <c r="D784" s="353"/>
      <c r="E784" s="341"/>
      <c r="F784" s="168"/>
      <c r="G784" s="341"/>
      <c r="H784" s="168"/>
      <c r="I784" s="347"/>
      <c r="J784" s="187"/>
      <c r="K784" s="347"/>
      <c r="L784" s="187"/>
      <c r="M784" s="347"/>
      <c r="N784" s="187"/>
      <c r="O784" s="341"/>
      <c r="P784" s="168"/>
      <c r="Q784" s="205"/>
      <c r="R784" s="205"/>
      <c r="S784" s="17"/>
      <c r="T784" s="17"/>
      <c r="U784" s="17"/>
      <c r="V784" s="17"/>
      <c r="W784" s="17"/>
      <c r="X784" s="17"/>
      <c r="Y784" s="17"/>
      <c r="Z784" s="17"/>
    </row>
    <row r="785">
      <c r="A785" s="341"/>
      <c r="B785" s="168"/>
      <c r="C785" s="354"/>
      <c r="D785" s="353"/>
      <c r="E785" s="341"/>
      <c r="F785" s="168"/>
      <c r="G785" s="341"/>
      <c r="H785" s="168"/>
      <c r="I785" s="347"/>
      <c r="J785" s="187"/>
      <c r="K785" s="347"/>
      <c r="L785" s="187"/>
      <c r="M785" s="347"/>
      <c r="N785" s="187"/>
      <c r="O785" s="341"/>
      <c r="P785" s="168"/>
      <c r="Q785" s="205"/>
      <c r="R785" s="205"/>
      <c r="S785" s="17"/>
      <c r="T785" s="17"/>
      <c r="U785" s="17"/>
      <c r="V785" s="17"/>
      <c r="W785" s="17"/>
      <c r="X785" s="17"/>
      <c r="Y785" s="17"/>
      <c r="Z785" s="17"/>
    </row>
    <row r="786">
      <c r="A786" s="341"/>
      <c r="B786" s="168"/>
      <c r="C786" s="354"/>
      <c r="D786" s="353"/>
      <c r="E786" s="341"/>
      <c r="F786" s="168"/>
      <c r="G786" s="341"/>
      <c r="H786" s="168"/>
      <c r="I786" s="347"/>
      <c r="J786" s="187"/>
      <c r="K786" s="347"/>
      <c r="L786" s="187"/>
      <c r="M786" s="347"/>
      <c r="N786" s="187"/>
      <c r="O786" s="341"/>
      <c r="P786" s="168"/>
      <c r="Q786" s="205"/>
      <c r="R786" s="205"/>
      <c r="S786" s="17"/>
      <c r="T786" s="17"/>
      <c r="U786" s="17"/>
      <c r="V786" s="17"/>
      <c r="W786" s="17"/>
      <c r="X786" s="17"/>
      <c r="Y786" s="17"/>
      <c r="Z786" s="17"/>
    </row>
    <row r="787">
      <c r="A787" s="341"/>
      <c r="B787" s="168"/>
      <c r="C787" s="354"/>
      <c r="D787" s="353"/>
      <c r="E787" s="341"/>
      <c r="F787" s="168"/>
      <c r="G787" s="341"/>
      <c r="H787" s="168"/>
      <c r="I787" s="347"/>
      <c r="J787" s="187"/>
      <c r="K787" s="347"/>
      <c r="L787" s="187"/>
      <c r="M787" s="347"/>
      <c r="N787" s="187"/>
      <c r="O787" s="341"/>
      <c r="P787" s="168"/>
      <c r="Q787" s="205"/>
      <c r="R787" s="205"/>
      <c r="S787" s="17"/>
      <c r="T787" s="17"/>
      <c r="U787" s="17"/>
      <c r="V787" s="17"/>
      <c r="W787" s="17"/>
      <c r="X787" s="17"/>
      <c r="Y787" s="17"/>
      <c r="Z787" s="17"/>
    </row>
    <row r="788">
      <c r="A788" s="341"/>
      <c r="B788" s="168"/>
      <c r="C788" s="354"/>
      <c r="D788" s="353"/>
      <c r="E788" s="341"/>
      <c r="F788" s="168"/>
      <c r="G788" s="341"/>
      <c r="H788" s="168"/>
      <c r="I788" s="347"/>
      <c r="J788" s="187"/>
      <c r="K788" s="347"/>
      <c r="L788" s="187"/>
      <c r="M788" s="347"/>
      <c r="N788" s="187"/>
      <c r="O788" s="341"/>
      <c r="P788" s="168"/>
      <c r="Q788" s="205"/>
      <c r="R788" s="205"/>
      <c r="S788" s="17"/>
      <c r="T788" s="17"/>
      <c r="U788" s="17"/>
      <c r="V788" s="17"/>
      <c r="W788" s="17"/>
      <c r="X788" s="17"/>
      <c r="Y788" s="17"/>
      <c r="Z788" s="17"/>
    </row>
    <row r="789">
      <c r="A789" s="341"/>
      <c r="B789" s="168"/>
      <c r="C789" s="354"/>
      <c r="D789" s="353"/>
      <c r="E789" s="341"/>
      <c r="F789" s="168"/>
      <c r="G789" s="341"/>
      <c r="H789" s="168"/>
      <c r="I789" s="347"/>
      <c r="J789" s="187"/>
      <c r="K789" s="347"/>
      <c r="L789" s="187"/>
      <c r="M789" s="347"/>
      <c r="N789" s="187"/>
      <c r="O789" s="341"/>
      <c r="P789" s="168"/>
      <c r="Q789" s="205"/>
      <c r="R789" s="205"/>
      <c r="S789" s="17"/>
      <c r="T789" s="17"/>
      <c r="U789" s="17"/>
      <c r="V789" s="17"/>
      <c r="W789" s="17"/>
      <c r="X789" s="17"/>
      <c r="Y789" s="17"/>
      <c r="Z789" s="17"/>
    </row>
    <row r="790">
      <c r="A790" s="341"/>
      <c r="B790" s="168"/>
      <c r="C790" s="354"/>
      <c r="D790" s="353"/>
      <c r="E790" s="341"/>
      <c r="F790" s="168"/>
      <c r="G790" s="341"/>
      <c r="H790" s="168"/>
      <c r="I790" s="347"/>
      <c r="J790" s="187"/>
      <c r="K790" s="347"/>
      <c r="L790" s="187"/>
      <c r="M790" s="347"/>
      <c r="N790" s="187"/>
      <c r="O790" s="341"/>
      <c r="P790" s="168"/>
      <c r="Q790" s="205"/>
      <c r="R790" s="205"/>
      <c r="S790" s="17"/>
      <c r="T790" s="17"/>
      <c r="U790" s="17"/>
      <c r="V790" s="17"/>
      <c r="W790" s="17"/>
      <c r="X790" s="17"/>
      <c r="Y790" s="17"/>
      <c r="Z790" s="17"/>
    </row>
    <row r="791">
      <c r="A791" s="341"/>
      <c r="B791" s="168"/>
      <c r="C791" s="354"/>
      <c r="D791" s="353"/>
      <c r="E791" s="341"/>
      <c r="F791" s="168"/>
      <c r="G791" s="341"/>
      <c r="H791" s="168"/>
      <c r="I791" s="347"/>
      <c r="J791" s="187"/>
      <c r="K791" s="347"/>
      <c r="L791" s="187"/>
      <c r="M791" s="347"/>
      <c r="N791" s="187"/>
      <c r="O791" s="341"/>
      <c r="P791" s="168"/>
      <c r="Q791" s="205"/>
      <c r="R791" s="205"/>
      <c r="S791" s="17"/>
      <c r="T791" s="17"/>
      <c r="U791" s="17"/>
      <c r="V791" s="17"/>
      <c r="W791" s="17"/>
      <c r="X791" s="17"/>
      <c r="Y791" s="17"/>
      <c r="Z791" s="17"/>
    </row>
    <row r="792">
      <c r="A792" s="341"/>
      <c r="B792" s="168"/>
      <c r="C792" s="354"/>
      <c r="D792" s="353"/>
      <c r="E792" s="341"/>
      <c r="F792" s="168"/>
      <c r="G792" s="341"/>
      <c r="H792" s="168"/>
      <c r="I792" s="347"/>
      <c r="J792" s="187"/>
      <c r="K792" s="347"/>
      <c r="L792" s="187"/>
      <c r="M792" s="347"/>
      <c r="N792" s="187"/>
      <c r="O792" s="341"/>
      <c r="P792" s="168"/>
      <c r="Q792" s="205"/>
      <c r="R792" s="205"/>
      <c r="S792" s="17"/>
      <c r="T792" s="17"/>
      <c r="U792" s="17"/>
      <c r="V792" s="17"/>
      <c r="W792" s="17"/>
      <c r="X792" s="17"/>
      <c r="Y792" s="17"/>
      <c r="Z792" s="17"/>
    </row>
    <row r="793">
      <c r="A793" s="341"/>
      <c r="B793" s="168"/>
      <c r="C793" s="354"/>
      <c r="D793" s="353"/>
      <c r="E793" s="341"/>
      <c r="F793" s="168"/>
      <c r="G793" s="341"/>
      <c r="H793" s="168"/>
      <c r="I793" s="347"/>
      <c r="J793" s="187"/>
      <c r="K793" s="347"/>
      <c r="L793" s="187"/>
      <c r="M793" s="347"/>
      <c r="N793" s="187"/>
      <c r="O793" s="341"/>
      <c r="P793" s="168"/>
      <c r="Q793" s="205"/>
      <c r="R793" s="205"/>
      <c r="S793" s="17"/>
      <c r="T793" s="17"/>
      <c r="U793" s="17"/>
      <c r="V793" s="17"/>
      <c r="W793" s="17"/>
      <c r="X793" s="17"/>
      <c r="Y793" s="17"/>
      <c r="Z793" s="17"/>
    </row>
    <row r="794">
      <c r="A794" s="341"/>
      <c r="B794" s="168"/>
      <c r="C794" s="354"/>
      <c r="D794" s="353"/>
      <c r="E794" s="341"/>
      <c r="F794" s="168"/>
      <c r="G794" s="341"/>
      <c r="H794" s="168"/>
      <c r="I794" s="347"/>
      <c r="J794" s="187"/>
      <c r="K794" s="347"/>
      <c r="L794" s="187"/>
      <c r="M794" s="347"/>
      <c r="N794" s="187"/>
      <c r="O794" s="341"/>
      <c r="P794" s="168"/>
      <c r="Q794" s="205"/>
      <c r="R794" s="205"/>
      <c r="S794" s="17"/>
      <c r="T794" s="17"/>
      <c r="U794" s="17"/>
      <c r="V794" s="17"/>
      <c r="W794" s="17"/>
      <c r="X794" s="17"/>
      <c r="Y794" s="17"/>
      <c r="Z794" s="17"/>
    </row>
    <row r="795">
      <c r="A795" s="341"/>
      <c r="B795" s="168"/>
      <c r="C795" s="354"/>
      <c r="D795" s="353"/>
      <c r="E795" s="341"/>
      <c r="F795" s="168"/>
      <c r="G795" s="341"/>
      <c r="H795" s="168"/>
      <c r="I795" s="347"/>
      <c r="J795" s="187"/>
      <c r="K795" s="347"/>
      <c r="L795" s="187"/>
      <c r="M795" s="347"/>
      <c r="N795" s="187"/>
      <c r="O795" s="341"/>
      <c r="P795" s="168"/>
      <c r="Q795" s="205"/>
      <c r="R795" s="205"/>
      <c r="S795" s="17"/>
      <c r="T795" s="17"/>
      <c r="U795" s="17"/>
      <c r="V795" s="17"/>
      <c r="W795" s="17"/>
      <c r="X795" s="17"/>
      <c r="Y795" s="17"/>
      <c r="Z795" s="17"/>
    </row>
    <row r="796">
      <c r="A796" s="341"/>
      <c r="B796" s="168"/>
      <c r="C796" s="354"/>
      <c r="D796" s="353"/>
      <c r="E796" s="341"/>
      <c r="F796" s="168"/>
      <c r="G796" s="341"/>
      <c r="H796" s="168"/>
      <c r="I796" s="347"/>
      <c r="J796" s="187"/>
      <c r="K796" s="347"/>
      <c r="L796" s="187"/>
      <c r="M796" s="347"/>
      <c r="N796" s="187"/>
      <c r="O796" s="341"/>
      <c r="P796" s="168"/>
      <c r="Q796" s="205"/>
      <c r="R796" s="205"/>
      <c r="S796" s="17"/>
      <c r="T796" s="17"/>
      <c r="U796" s="17"/>
      <c r="V796" s="17"/>
      <c r="W796" s="17"/>
      <c r="X796" s="17"/>
      <c r="Y796" s="17"/>
      <c r="Z796" s="17"/>
    </row>
    <row r="797">
      <c r="A797" s="341"/>
      <c r="B797" s="168"/>
      <c r="C797" s="354"/>
      <c r="D797" s="353"/>
      <c r="E797" s="341"/>
      <c r="F797" s="168"/>
      <c r="G797" s="341"/>
      <c r="H797" s="168"/>
      <c r="I797" s="347"/>
      <c r="J797" s="187"/>
      <c r="K797" s="347"/>
      <c r="L797" s="187"/>
      <c r="M797" s="347"/>
      <c r="N797" s="187"/>
      <c r="O797" s="341"/>
      <c r="P797" s="168"/>
      <c r="Q797" s="205"/>
      <c r="R797" s="205"/>
      <c r="S797" s="17"/>
      <c r="T797" s="17"/>
      <c r="U797" s="17"/>
      <c r="V797" s="17"/>
      <c r="W797" s="17"/>
      <c r="X797" s="17"/>
      <c r="Y797" s="17"/>
      <c r="Z797" s="17"/>
    </row>
    <row r="798">
      <c r="A798" s="341"/>
      <c r="B798" s="168"/>
      <c r="C798" s="354"/>
      <c r="D798" s="353"/>
      <c r="E798" s="341"/>
      <c r="F798" s="168"/>
      <c r="G798" s="341"/>
      <c r="H798" s="168"/>
      <c r="I798" s="347"/>
      <c r="J798" s="187"/>
      <c r="K798" s="347"/>
      <c r="L798" s="187"/>
      <c r="M798" s="347"/>
      <c r="N798" s="187"/>
      <c r="O798" s="341"/>
      <c r="P798" s="168"/>
      <c r="Q798" s="205"/>
      <c r="R798" s="205"/>
      <c r="S798" s="17"/>
      <c r="T798" s="17"/>
      <c r="U798" s="17"/>
      <c r="V798" s="17"/>
      <c r="W798" s="17"/>
      <c r="X798" s="17"/>
      <c r="Y798" s="17"/>
      <c r="Z798" s="17"/>
    </row>
    <row r="799">
      <c r="A799" s="341"/>
      <c r="B799" s="168"/>
      <c r="C799" s="354"/>
      <c r="D799" s="353"/>
      <c r="E799" s="341"/>
      <c r="F799" s="168"/>
      <c r="G799" s="341"/>
      <c r="H799" s="168"/>
      <c r="I799" s="347"/>
      <c r="J799" s="187"/>
      <c r="K799" s="347"/>
      <c r="L799" s="187"/>
      <c r="M799" s="347"/>
      <c r="N799" s="187"/>
      <c r="O799" s="341"/>
      <c r="P799" s="168"/>
      <c r="Q799" s="205"/>
      <c r="R799" s="205"/>
      <c r="S799" s="17"/>
      <c r="T799" s="17"/>
      <c r="U799" s="17"/>
      <c r="V799" s="17"/>
      <c r="W799" s="17"/>
      <c r="X799" s="17"/>
      <c r="Y799" s="17"/>
      <c r="Z799" s="17"/>
    </row>
    <row r="800">
      <c r="A800" s="341"/>
      <c r="B800" s="168"/>
      <c r="C800" s="354"/>
      <c r="D800" s="353"/>
      <c r="E800" s="341"/>
      <c r="F800" s="168"/>
      <c r="G800" s="341"/>
      <c r="H800" s="168"/>
      <c r="I800" s="347"/>
      <c r="J800" s="187"/>
      <c r="K800" s="347"/>
      <c r="L800" s="187"/>
      <c r="M800" s="347"/>
      <c r="N800" s="187"/>
      <c r="O800" s="341"/>
      <c r="P800" s="168"/>
      <c r="Q800" s="205"/>
      <c r="R800" s="205"/>
      <c r="S800" s="17"/>
      <c r="T800" s="17"/>
      <c r="U800" s="17"/>
      <c r="V800" s="17"/>
      <c r="W800" s="17"/>
      <c r="X800" s="17"/>
      <c r="Y800" s="17"/>
      <c r="Z800" s="17"/>
    </row>
    <row r="801">
      <c r="A801" s="341"/>
      <c r="B801" s="168"/>
      <c r="C801" s="354"/>
      <c r="D801" s="353"/>
      <c r="E801" s="341"/>
      <c r="F801" s="168"/>
      <c r="G801" s="341"/>
      <c r="H801" s="168"/>
      <c r="I801" s="347"/>
      <c r="J801" s="187"/>
      <c r="K801" s="347"/>
      <c r="L801" s="187"/>
      <c r="M801" s="347"/>
      <c r="N801" s="187"/>
      <c r="O801" s="341"/>
      <c r="P801" s="168"/>
      <c r="Q801" s="205"/>
      <c r="R801" s="205"/>
      <c r="S801" s="17"/>
      <c r="T801" s="17"/>
      <c r="U801" s="17"/>
      <c r="V801" s="17"/>
      <c r="W801" s="17"/>
      <c r="X801" s="17"/>
      <c r="Y801" s="17"/>
      <c r="Z801" s="17"/>
    </row>
    <row r="802">
      <c r="A802" s="341"/>
      <c r="B802" s="168"/>
      <c r="C802" s="354"/>
      <c r="D802" s="353"/>
      <c r="E802" s="341"/>
      <c r="F802" s="168"/>
      <c r="G802" s="341"/>
      <c r="H802" s="168"/>
      <c r="I802" s="347"/>
      <c r="J802" s="187"/>
      <c r="K802" s="347"/>
      <c r="L802" s="187"/>
      <c r="M802" s="347"/>
      <c r="N802" s="187"/>
      <c r="O802" s="341"/>
      <c r="P802" s="168"/>
      <c r="Q802" s="205"/>
      <c r="R802" s="205"/>
      <c r="S802" s="17"/>
      <c r="T802" s="17"/>
      <c r="U802" s="17"/>
      <c r="V802" s="17"/>
      <c r="W802" s="17"/>
      <c r="X802" s="17"/>
      <c r="Y802" s="17"/>
      <c r="Z802" s="17"/>
    </row>
    <row r="803">
      <c r="A803" s="341"/>
      <c r="B803" s="168"/>
      <c r="C803" s="354"/>
      <c r="D803" s="353"/>
      <c r="E803" s="341"/>
      <c r="F803" s="168"/>
      <c r="G803" s="341"/>
      <c r="H803" s="168"/>
      <c r="I803" s="347"/>
      <c r="J803" s="187"/>
      <c r="K803" s="347"/>
      <c r="L803" s="187"/>
      <c r="M803" s="347"/>
      <c r="N803" s="187"/>
      <c r="O803" s="341"/>
      <c r="P803" s="168"/>
      <c r="Q803" s="205"/>
      <c r="R803" s="205"/>
      <c r="S803" s="17"/>
      <c r="T803" s="17"/>
      <c r="U803" s="17"/>
      <c r="V803" s="17"/>
      <c r="W803" s="17"/>
      <c r="X803" s="17"/>
      <c r="Y803" s="17"/>
      <c r="Z803" s="17"/>
    </row>
    <row r="804">
      <c r="A804" s="341"/>
      <c r="B804" s="168"/>
      <c r="C804" s="354"/>
      <c r="D804" s="353"/>
      <c r="E804" s="341"/>
      <c r="F804" s="168"/>
      <c r="G804" s="341"/>
      <c r="H804" s="168"/>
      <c r="I804" s="347"/>
      <c r="J804" s="187"/>
      <c r="K804" s="347"/>
      <c r="L804" s="187"/>
      <c r="M804" s="347"/>
      <c r="N804" s="187"/>
      <c r="O804" s="341"/>
      <c r="P804" s="168"/>
      <c r="Q804" s="205"/>
      <c r="R804" s="205"/>
      <c r="S804" s="17"/>
      <c r="T804" s="17"/>
      <c r="U804" s="17"/>
      <c r="V804" s="17"/>
      <c r="W804" s="17"/>
      <c r="X804" s="17"/>
      <c r="Y804" s="17"/>
      <c r="Z804" s="17"/>
    </row>
    <row r="805">
      <c r="A805" s="341"/>
      <c r="B805" s="168"/>
      <c r="C805" s="354"/>
      <c r="D805" s="353"/>
      <c r="E805" s="341"/>
      <c r="F805" s="168"/>
      <c r="G805" s="341"/>
      <c r="H805" s="168"/>
      <c r="I805" s="347"/>
      <c r="J805" s="187"/>
      <c r="K805" s="347"/>
      <c r="L805" s="187"/>
      <c r="M805" s="347"/>
      <c r="N805" s="187"/>
      <c r="O805" s="341"/>
      <c r="P805" s="168"/>
      <c r="Q805" s="205"/>
      <c r="R805" s="205"/>
      <c r="S805" s="17"/>
      <c r="T805" s="17"/>
      <c r="U805" s="17"/>
      <c r="V805" s="17"/>
      <c r="W805" s="17"/>
      <c r="X805" s="17"/>
      <c r="Y805" s="17"/>
      <c r="Z805" s="17"/>
    </row>
    <row r="806">
      <c r="A806" s="341"/>
      <c r="B806" s="168"/>
      <c r="C806" s="354"/>
      <c r="D806" s="353"/>
      <c r="E806" s="341"/>
      <c r="F806" s="168"/>
      <c r="G806" s="341"/>
      <c r="H806" s="168"/>
      <c r="I806" s="347"/>
      <c r="J806" s="187"/>
      <c r="K806" s="347"/>
      <c r="L806" s="187"/>
      <c r="M806" s="347"/>
      <c r="N806" s="187"/>
      <c r="O806" s="341"/>
      <c r="P806" s="168"/>
      <c r="Q806" s="205"/>
      <c r="R806" s="205"/>
      <c r="S806" s="17"/>
      <c r="T806" s="17"/>
      <c r="U806" s="17"/>
      <c r="V806" s="17"/>
      <c r="W806" s="17"/>
      <c r="X806" s="17"/>
      <c r="Y806" s="17"/>
      <c r="Z806" s="17"/>
    </row>
    <row r="807">
      <c r="A807" s="341"/>
      <c r="B807" s="168"/>
      <c r="C807" s="354"/>
      <c r="D807" s="353"/>
      <c r="E807" s="341"/>
      <c r="F807" s="168"/>
      <c r="G807" s="341"/>
      <c r="H807" s="168"/>
      <c r="I807" s="347"/>
      <c r="J807" s="187"/>
      <c r="K807" s="347"/>
      <c r="L807" s="187"/>
      <c r="M807" s="347"/>
      <c r="N807" s="187"/>
      <c r="O807" s="341"/>
      <c r="P807" s="168"/>
      <c r="Q807" s="205"/>
      <c r="R807" s="205"/>
      <c r="S807" s="17"/>
      <c r="T807" s="17"/>
      <c r="U807" s="17"/>
      <c r="V807" s="17"/>
      <c r="W807" s="17"/>
      <c r="X807" s="17"/>
      <c r="Y807" s="17"/>
      <c r="Z807" s="17"/>
    </row>
    <row r="808">
      <c r="A808" s="341"/>
      <c r="B808" s="168"/>
      <c r="C808" s="354"/>
      <c r="D808" s="353"/>
      <c r="E808" s="341"/>
      <c r="F808" s="168"/>
      <c r="G808" s="341"/>
      <c r="H808" s="168"/>
      <c r="I808" s="347"/>
      <c r="J808" s="187"/>
      <c r="K808" s="347"/>
      <c r="L808" s="187"/>
      <c r="M808" s="347"/>
      <c r="N808" s="187"/>
      <c r="O808" s="341"/>
      <c r="P808" s="168"/>
      <c r="Q808" s="205"/>
      <c r="R808" s="205"/>
      <c r="S808" s="17"/>
      <c r="T808" s="17"/>
      <c r="U808" s="17"/>
      <c r="V808" s="17"/>
      <c r="W808" s="17"/>
      <c r="X808" s="17"/>
      <c r="Y808" s="17"/>
      <c r="Z808" s="17"/>
    </row>
    <row r="809">
      <c r="A809" s="341"/>
      <c r="B809" s="168"/>
      <c r="C809" s="354"/>
      <c r="D809" s="353"/>
      <c r="E809" s="341"/>
      <c r="F809" s="168"/>
      <c r="G809" s="341"/>
      <c r="H809" s="168"/>
      <c r="I809" s="347"/>
      <c r="J809" s="187"/>
      <c r="K809" s="347"/>
      <c r="L809" s="187"/>
      <c r="M809" s="347"/>
      <c r="N809" s="187"/>
      <c r="O809" s="341"/>
      <c r="P809" s="168"/>
      <c r="Q809" s="205"/>
      <c r="R809" s="205"/>
      <c r="S809" s="17"/>
      <c r="T809" s="17"/>
      <c r="U809" s="17"/>
      <c r="V809" s="17"/>
      <c r="W809" s="17"/>
      <c r="X809" s="17"/>
      <c r="Y809" s="17"/>
      <c r="Z809" s="17"/>
    </row>
    <row r="810">
      <c r="A810" s="341"/>
      <c r="B810" s="168"/>
      <c r="C810" s="354"/>
      <c r="D810" s="353"/>
      <c r="E810" s="341"/>
      <c r="F810" s="168"/>
      <c r="G810" s="341"/>
      <c r="H810" s="168"/>
      <c r="I810" s="347"/>
      <c r="J810" s="187"/>
      <c r="K810" s="347"/>
      <c r="L810" s="187"/>
      <c r="M810" s="347"/>
      <c r="N810" s="187"/>
      <c r="O810" s="341"/>
      <c r="P810" s="168"/>
      <c r="Q810" s="205"/>
      <c r="R810" s="205"/>
      <c r="S810" s="17"/>
      <c r="T810" s="17"/>
      <c r="U810" s="17"/>
      <c r="V810" s="17"/>
      <c r="W810" s="17"/>
      <c r="X810" s="17"/>
      <c r="Y810" s="17"/>
      <c r="Z810" s="17"/>
    </row>
    <row r="811">
      <c r="A811" s="341"/>
      <c r="B811" s="168"/>
      <c r="C811" s="354"/>
      <c r="D811" s="353"/>
      <c r="E811" s="341"/>
      <c r="F811" s="168"/>
      <c r="G811" s="341"/>
      <c r="H811" s="168"/>
      <c r="I811" s="347"/>
      <c r="J811" s="187"/>
      <c r="K811" s="347"/>
      <c r="L811" s="187"/>
      <c r="M811" s="347"/>
      <c r="N811" s="187"/>
      <c r="O811" s="341"/>
      <c r="P811" s="168"/>
      <c r="Q811" s="205"/>
      <c r="R811" s="205"/>
      <c r="S811" s="17"/>
      <c r="T811" s="17"/>
      <c r="U811" s="17"/>
      <c r="V811" s="17"/>
      <c r="W811" s="17"/>
      <c r="X811" s="17"/>
      <c r="Y811" s="17"/>
      <c r="Z811" s="17"/>
    </row>
    <row r="812">
      <c r="A812" s="341"/>
      <c r="B812" s="168"/>
      <c r="C812" s="354"/>
      <c r="D812" s="353"/>
      <c r="E812" s="341"/>
      <c r="F812" s="168"/>
      <c r="G812" s="341"/>
      <c r="H812" s="168"/>
      <c r="I812" s="347"/>
      <c r="J812" s="187"/>
      <c r="K812" s="347"/>
      <c r="L812" s="187"/>
      <c r="M812" s="347"/>
      <c r="N812" s="187"/>
      <c r="O812" s="341"/>
      <c r="P812" s="168"/>
      <c r="Q812" s="205"/>
      <c r="R812" s="205"/>
      <c r="S812" s="17"/>
      <c r="T812" s="17"/>
      <c r="U812" s="17"/>
      <c r="V812" s="17"/>
      <c r="W812" s="17"/>
      <c r="X812" s="17"/>
      <c r="Y812" s="17"/>
      <c r="Z812" s="17"/>
    </row>
    <row r="813">
      <c r="A813" s="341"/>
      <c r="B813" s="168"/>
      <c r="C813" s="354"/>
      <c r="D813" s="353"/>
      <c r="E813" s="341"/>
      <c r="F813" s="168"/>
      <c r="G813" s="341"/>
      <c r="H813" s="168"/>
      <c r="I813" s="347"/>
      <c r="J813" s="187"/>
      <c r="K813" s="347"/>
      <c r="L813" s="187"/>
      <c r="M813" s="347"/>
      <c r="N813" s="187"/>
      <c r="O813" s="341"/>
      <c r="P813" s="168"/>
      <c r="Q813" s="205"/>
      <c r="R813" s="205"/>
      <c r="S813" s="17"/>
      <c r="T813" s="17"/>
      <c r="U813" s="17"/>
      <c r="V813" s="17"/>
      <c r="W813" s="17"/>
      <c r="X813" s="17"/>
      <c r="Y813" s="17"/>
      <c r="Z813" s="17"/>
    </row>
    <row r="814">
      <c r="A814" s="341"/>
      <c r="B814" s="168"/>
      <c r="C814" s="354"/>
      <c r="D814" s="353"/>
      <c r="E814" s="341"/>
      <c r="F814" s="168"/>
      <c r="G814" s="341"/>
      <c r="H814" s="168"/>
      <c r="I814" s="347"/>
      <c r="J814" s="187"/>
      <c r="K814" s="347"/>
      <c r="L814" s="187"/>
      <c r="M814" s="347"/>
      <c r="N814" s="187"/>
      <c r="O814" s="341"/>
      <c r="P814" s="168"/>
      <c r="Q814" s="205"/>
      <c r="R814" s="205"/>
      <c r="S814" s="17"/>
      <c r="T814" s="17"/>
      <c r="U814" s="17"/>
      <c r="V814" s="17"/>
      <c r="W814" s="17"/>
      <c r="X814" s="17"/>
      <c r="Y814" s="17"/>
      <c r="Z814" s="17"/>
    </row>
    <row r="815">
      <c r="A815" s="341"/>
      <c r="B815" s="168"/>
      <c r="C815" s="354"/>
      <c r="D815" s="353"/>
      <c r="E815" s="341"/>
      <c r="F815" s="168"/>
      <c r="G815" s="341"/>
      <c r="H815" s="168"/>
      <c r="I815" s="347"/>
      <c r="J815" s="187"/>
      <c r="K815" s="347"/>
      <c r="L815" s="187"/>
      <c r="M815" s="347"/>
      <c r="N815" s="187"/>
      <c r="O815" s="341"/>
      <c r="P815" s="168"/>
      <c r="Q815" s="205"/>
      <c r="R815" s="205"/>
      <c r="S815" s="17"/>
      <c r="T815" s="17"/>
      <c r="U815" s="17"/>
      <c r="V815" s="17"/>
      <c r="W815" s="17"/>
      <c r="X815" s="17"/>
      <c r="Y815" s="17"/>
      <c r="Z815" s="17"/>
    </row>
    <row r="816">
      <c r="A816" s="341"/>
      <c r="B816" s="168"/>
      <c r="C816" s="354"/>
      <c r="D816" s="353"/>
      <c r="E816" s="341"/>
      <c r="F816" s="168"/>
      <c r="G816" s="341"/>
      <c r="H816" s="168"/>
      <c r="I816" s="347"/>
      <c r="J816" s="187"/>
      <c r="K816" s="347"/>
      <c r="L816" s="187"/>
      <c r="M816" s="347"/>
      <c r="N816" s="187"/>
      <c r="O816" s="341"/>
      <c r="P816" s="168"/>
      <c r="Q816" s="205"/>
      <c r="R816" s="205"/>
      <c r="S816" s="17"/>
      <c r="T816" s="17"/>
      <c r="U816" s="17"/>
      <c r="V816" s="17"/>
      <c r="W816" s="17"/>
      <c r="X816" s="17"/>
      <c r="Y816" s="17"/>
      <c r="Z816" s="17"/>
    </row>
    <row r="817">
      <c r="A817" s="341"/>
      <c r="B817" s="168"/>
      <c r="C817" s="354"/>
      <c r="D817" s="353"/>
      <c r="E817" s="341"/>
      <c r="F817" s="168"/>
      <c r="G817" s="341"/>
      <c r="H817" s="168"/>
      <c r="I817" s="347"/>
      <c r="J817" s="187"/>
      <c r="K817" s="347"/>
      <c r="L817" s="187"/>
      <c r="M817" s="347"/>
      <c r="N817" s="187"/>
      <c r="O817" s="341"/>
      <c r="P817" s="168"/>
      <c r="Q817" s="205"/>
      <c r="R817" s="205"/>
      <c r="S817" s="17"/>
      <c r="T817" s="17"/>
      <c r="U817" s="17"/>
      <c r="V817" s="17"/>
      <c r="W817" s="17"/>
      <c r="X817" s="17"/>
      <c r="Y817" s="17"/>
      <c r="Z817" s="17"/>
    </row>
    <row r="818">
      <c r="A818" s="341"/>
      <c r="B818" s="168"/>
      <c r="C818" s="354"/>
      <c r="D818" s="353"/>
      <c r="E818" s="341"/>
      <c r="F818" s="168"/>
      <c r="G818" s="341"/>
      <c r="H818" s="168"/>
      <c r="I818" s="347"/>
      <c r="J818" s="187"/>
      <c r="K818" s="347"/>
      <c r="L818" s="187"/>
      <c r="M818" s="347"/>
      <c r="N818" s="187"/>
      <c r="O818" s="341"/>
      <c r="P818" s="168"/>
      <c r="Q818" s="205"/>
      <c r="R818" s="205"/>
      <c r="S818" s="17"/>
      <c r="T818" s="17"/>
      <c r="U818" s="17"/>
      <c r="V818" s="17"/>
      <c r="W818" s="17"/>
      <c r="X818" s="17"/>
      <c r="Y818" s="17"/>
      <c r="Z818" s="17"/>
    </row>
    <row r="819">
      <c r="A819" s="341"/>
      <c r="B819" s="168"/>
      <c r="C819" s="354"/>
      <c r="D819" s="353"/>
      <c r="E819" s="341"/>
      <c r="F819" s="168"/>
      <c r="G819" s="341"/>
      <c r="H819" s="168"/>
      <c r="I819" s="347"/>
      <c r="J819" s="187"/>
      <c r="K819" s="347"/>
      <c r="L819" s="187"/>
      <c r="M819" s="347"/>
      <c r="N819" s="187"/>
      <c r="O819" s="341"/>
      <c r="P819" s="168"/>
      <c r="Q819" s="205"/>
      <c r="R819" s="205"/>
      <c r="S819" s="17"/>
      <c r="T819" s="17"/>
      <c r="U819" s="17"/>
      <c r="V819" s="17"/>
      <c r="W819" s="17"/>
      <c r="X819" s="17"/>
      <c r="Y819" s="17"/>
      <c r="Z819" s="17"/>
    </row>
    <row r="820">
      <c r="A820" s="341"/>
      <c r="B820" s="168"/>
      <c r="C820" s="354"/>
      <c r="D820" s="353"/>
      <c r="E820" s="341"/>
      <c r="F820" s="168"/>
      <c r="G820" s="341"/>
      <c r="H820" s="168"/>
      <c r="I820" s="347"/>
      <c r="J820" s="187"/>
      <c r="K820" s="347"/>
      <c r="L820" s="187"/>
      <c r="M820" s="347"/>
      <c r="N820" s="187"/>
      <c r="O820" s="341"/>
      <c r="P820" s="168"/>
      <c r="Q820" s="205"/>
      <c r="R820" s="205"/>
      <c r="S820" s="17"/>
      <c r="T820" s="17"/>
      <c r="U820" s="17"/>
      <c r="V820" s="17"/>
      <c r="W820" s="17"/>
      <c r="X820" s="17"/>
      <c r="Y820" s="17"/>
      <c r="Z820" s="17"/>
    </row>
    <row r="821">
      <c r="A821" s="341"/>
      <c r="B821" s="168"/>
      <c r="C821" s="354"/>
      <c r="D821" s="353"/>
      <c r="E821" s="341"/>
      <c r="F821" s="168"/>
      <c r="G821" s="341"/>
      <c r="H821" s="168"/>
      <c r="I821" s="347"/>
      <c r="J821" s="187"/>
      <c r="K821" s="347"/>
      <c r="L821" s="187"/>
      <c r="M821" s="347"/>
      <c r="N821" s="187"/>
      <c r="O821" s="341"/>
      <c r="P821" s="168"/>
      <c r="Q821" s="205"/>
      <c r="R821" s="205"/>
      <c r="S821" s="17"/>
      <c r="T821" s="17"/>
      <c r="U821" s="17"/>
      <c r="V821" s="17"/>
      <c r="W821" s="17"/>
      <c r="X821" s="17"/>
      <c r="Y821" s="17"/>
      <c r="Z821" s="17"/>
    </row>
    <row r="822">
      <c r="A822" s="341"/>
      <c r="B822" s="168"/>
      <c r="C822" s="354"/>
      <c r="D822" s="353"/>
      <c r="E822" s="341"/>
      <c r="F822" s="168"/>
      <c r="G822" s="341"/>
      <c r="H822" s="168"/>
      <c r="I822" s="347"/>
      <c r="J822" s="187"/>
      <c r="K822" s="347"/>
      <c r="L822" s="187"/>
      <c r="M822" s="347"/>
      <c r="N822" s="187"/>
      <c r="O822" s="341"/>
      <c r="P822" s="168"/>
      <c r="Q822" s="205"/>
      <c r="R822" s="205"/>
      <c r="S822" s="17"/>
      <c r="T822" s="17"/>
      <c r="U822" s="17"/>
      <c r="V822" s="17"/>
      <c r="W822" s="17"/>
      <c r="X822" s="17"/>
      <c r="Y822" s="17"/>
      <c r="Z822" s="17"/>
    </row>
    <row r="823">
      <c r="A823" s="341"/>
      <c r="B823" s="168"/>
      <c r="C823" s="354"/>
      <c r="D823" s="353"/>
      <c r="E823" s="341"/>
      <c r="F823" s="168"/>
      <c r="G823" s="341"/>
      <c r="H823" s="168"/>
      <c r="I823" s="347"/>
      <c r="J823" s="187"/>
      <c r="K823" s="347"/>
      <c r="L823" s="187"/>
      <c r="M823" s="347"/>
      <c r="N823" s="187"/>
      <c r="O823" s="341"/>
      <c r="P823" s="168"/>
      <c r="Q823" s="205"/>
      <c r="R823" s="205"/>
      <c r="S823" s="17"/>
      <c r="T823" s="17"/>
      <c r="U823" s="17"/>
      <c r="V823" s="17"/>
      <c r="W823" s="17"/>
      <c r="X823" s="17"/>
      <c r="Y823" s="17"/>
      <c r="Z823" s="17"/>
    </row>
    <row r="824">
      <c r="A824" s="341"/>
      <c r="B824" s="168"/>
      <c r="C824" s="354"/>
      <c r="D824" s="353"/>
      <c r="E824" s="341"/>
      <c r="F824" s="168"/>
      <c r="G824" s="341"/>
      <c r="H824" s="168"/>
      <c r="I824" s="347"/>
      <c r="J824" s="187"/>
      <c r="K824" s="347"/>
      <c r="L824" s="187"/>
      <c r="M824" s="347"/>
      <c r="N824" s="187"/>
      <c r="O824" s="341"/>
      <c r="P824" s="168"/>
      <c r="Q824" s="205"/>
      <c r="R824" s="205"/>
      <c r="S824" s="17"/>
      <c r="T824" s="17"/>
      <c r="U824" s="17"/>
      <c r="V824" s="17"/>
      <c r="W824" s="17"/>
      <c r="X824" s="17"/>
      <c r="Y824" s="17"/>
      <c r="Z824" s="17"/>
    </row>
    <row r="825">
      <c r="A825" s="341"/>
      <c r="B825" s="168"/>
      <c r="C825" s="354"/>
      <c r="D825" s="353"/>
      <c r="E825" s="341"/>
      <c r="F825" s="168"/>
      <c r="G825" s="341"/>
      <c r="H825" s="168"/>
      <c r="I825" s="347"/>
      <c r="J825" s="187"/>
      <c r="K825" s="347"/>
      <c r="L825" s="187"/>
      <c r="M825" s="347"/>
      <c r="N825" s="187"/>
      <c r="O825" s="341"/>
      <c r="P825" s="168"/>
      <c r="Q825" s="205"/>
      <c r="R825" s="205"/>
      <c r="S825" s="17"/>
      <c r="T825" s="17"/>
      <c r="U825" s="17"/>
      <c r="V825" s="17"/>
      <c r="W825" s="17"/>
      <c r="X825" s="17"/>
      <c r="Y825" s="17"/>
      <c r="Z825" s="17"/>
    </row>
    <row r="826">
      <c r="A826" s="341"/>
      <c r="B826" s="168"/>
      <c r="C826" s="354"/>
      <c r="D826" s="353"/>
      <c r="E826" s="341"/>
      <c r="F826" s="168"/>
      <c r="G826" s="341"/>
      <c r="H826" s="168"/>
      <c r="I826" s="347"/>
      <c r="J826" s="187"/>
      <c r="K826" s="347"/>
      <c r="L826" s="187"/>
      <c r="M826" s="347"/>
      <c r="N826" s="187"/>
      <c r="O826" s="341"/>
      <c r="P826" s="168"/>
      <c r="Q826" s="205"/>
      <c r="R826" s="205"/>
      <c r="S826" s="17"/>
      <c r="T826" s="17"/>
      <c r="U826" s="17"/>
      <c r="V826" s="17"/>
      <c r="W826" s="17"/>
      <c r="X826" s="17"/>
      <c r="Y826" s="17"/>
      <c r="Z826" s="17"/>
    </row>
    <row r="827">
      <c r="A827" s="341"/>
      <c r="B827" s="168"/>
      <c r="C827" s="354"/>
      <c r="D827" s="353"/>
      <c r="E827" s="341"/>
      <c r="F827" s="168"/>
      <c r="G827" s="341"/>
      <c r="H827" s="168"/>
      <c r="I827" s="347"/>
      <c r="J827" s="187"/>
      <c r="K827" s="347"/>
      <c r="L827" s="187"/>
      <c r="M827" s="347"/>
      <c r="N827" s="187"/>
      <c r="O827" s="341"/>
      <c r="P827" s="168"/>
      <c r="Q827" s="205"/>
      <c r="R827" s="205"/>
      <c r="S827" s="17"/>
      <c r="T827" s="17"/>
      <c r="U827" s="17"/>
      <c r="V827" s="17"/>
      <c r="W827" s="17"/>
      <c r="X827" s="17"/>
      <c r="Y827" s="17"/>
      <c r="Z827" s="17"/>
    </row>
    <row r="828">
      <c r="A828" s="341"/>
      <c r="B828" s="168"/>
      <c r="C828" s="354"/>
      <c r="D828" s="353"/>
      <c r="E828" s="341"/>
      <c r="F828" s="168"/>
      <c r="G828" s="341"/>
      <c r="H828" s="168"/>
      <c r="I828" s="347"/>
      <c r="J828" s="187"/>
      <c r="K828" s="347"/>
      <c r="L828" s="187"/>
      <c r="M828" s="347"/>
      <c r="N828" s="187"/>
      <c r="O828" s="341"/>
      <c r="P828" s="168"/>
      <c r="Q828" s="205"/>
      <c r="R828" s="205"/>
      <c r="S828" s="17"/>
      <c r="T828" s="17"/>
      <c r="U828" s="17"/>
      <c r="V828" s="17"/>
      <c r="W828" s="17"/>
      <c r="X828" s="17"/>
      <c r="Y828" s="17"/>
      <c r="Z828" s="17"/>
    </row>
    <row r="829">
      <c r="A829" s="341"/>
      <c r="B829" s="168"/>
      <c r="C829" s="354"/>
      <c r="D829" s="353"/>
      <c r="E829" s="341"/>
      <c r="F829" s="168"/>
      <c r="G829" s="341"/>
      <c r="H829" s="168"/>
      <c r="I829" s="347"/>
      <c r="J829" s="187"/>
      <c r="K829" s="347"/>
      <c r="L829" s="187"/>
      <c r="M829" s="347"/>
      <c r="N829" s="187"/>
      <c r="O829" s="341"/>
      <c r="P829" s="168"/>
      <c r="Q829" s="205"/>
      <c r="R829" s="205"/>
      <c r="S829" s="17"/>
      <c r="T829" s="17"/>
      <c r="U829" s="17"/>
      <c r="V829" s="17"/>
      <c r="W829" s="17"/>
      <c r="X829" s="17"/>
      <c r="Y829" s="17"/>
      <c r="Z829" s="17"/>
    </row>
    <row r="830">
      <c r="A830" s="341"/>
      <c r="B830" s="168"/>
      <c r="C830" s="354"/>
      <c r="D830" s="353"/>
      <c r="E830" s="341"/>
      <c r="F830" s="168"/>
      <c r="G830" s="341"/>
      <c r="H830" s="168"/>
      <c r="I830" s="347"/>
      <c r="J830" s="187"/>
      <c r="K830" s="347"/>
      <c r="L830" s="187"/>
      <c r="M830" s="347"/>
      <c r="N830" s="187"/>
      <c r="O830" s="341"/>
      <c r="P830" s="168"/>
      <c r="Q830" s="205"/>
      <c r="R830" s="205"/>
      <c r="S830" s="17"/>
      <c r="T830" s="17"/>
      <c r="U830" s="17"/>
      <c r="V830" s="17"/>
      <c r="W830" s="17"/>
      <c r="X830" s="17"/>
      <c r="Y830" s="17"/>
      <c r="Z830" s="17"/>
    </row>
    <row r="831">
      <c r="A831" s="341"/>
      <c r="B831" s="168"/>
      <c r="C831" s="354"/>
      <c r="D831" s="353"/>
      <c r="E831" s="341"/>
      <c r="F831" s="168"/>
      <c r="G831" s="341"/>
      <c r="H831" s="168"/>
      <c r="I831" s="347"/>
      <c r="J831" s="187"/>
      <c r="K831" s="347"/>
      <c r="L831" s="187"/>
      <c r="M831" s="347"/>
      <c r="N831" s="187"/>
      <c r="O831" s="341"/>
      <c r="P831" s="168"/>
      <c r="Q831" s="205"/>
      <c r="R831" s="205"/>
      <c r="S831" s="17"/>
      <c r="T831" s="17"/>
      <c r="U831" s="17"/>
      <c r="V831" s="17"/>
      <c r="W831" s="17"/>
      <c r="X831" s="17"/>
      <c r="Y831" s="17"/>
      <c r="Z831" s="17"/>
    </row>
    <row r="832">
      <c r="A832" s="341"/>
      <c r="B832" s="168"/>
      <c r="C832" s="354"/>
      <c r="D832" s="353"/>
      <c r="E832" s="341"/>
      <c r="F832" s="168"/>
      <c r="G832" s="341"/>
      <c r="H832" s="168"/>
      <c r="I832" s="347"/>
      <c r="J832" s="187"/>
      <c r="K832" s="347"/>
      <c r="L832" s="187"/>
      <c r="M832" s="347"/>
      <c r="N832" s="187"/>
      <c r="O832" s="341"/>
      <c r="P832" s="168"/>
      <c r="Q832" s="205"/>
      <c r="R832" s="205"/>
      <c r="S832" s="17"/>
      <c r="T832" s="17"/>
      <c r="U832" s="17"/>
      <c r="V832" s="17"/>
      <c r="W832" s="17"/>
      <c r="X832" s="17"/>
      <c r="Y832" s="17"/>
      <c r="Z832" s="17"/>
    </row>
    <row r="833">
      <c r="A833" s="341"/>
      <c r="B833" s="168"/>
      <c r="C833" s="354"/>
      <c r="D833" s="353"/>
      <c r="E833" s="341"/>
      <c r="F833" s="168"/>
      <c r="G833" s="341"/>
      <c r="H833" s="168"/>
      <c r="I833" s="347"/>
      <c r="J833" s="187"/>
      <c r="K833" s="347"/>
      <c r="L833" s="187"/>
      <c r="M833" s="347"/>
      <c r="N833" s="187"/>
      <c r="O833" s="341"/>
      <c r="P833" s="168"/>
      <c r="Q833" s="205"/>
      <c r="R833" s="205"/>
      <c r="S833" s="17"/>
      <c r="T833" s="17"/>
      <c r="U833" s="17"/>
      <c r="V833" s="17"/>
      <c r="W833" s="17"/>
      <c r="X833" s="17"/>
      <c r="Y833" s="17"/>
      <c r="Z833" s="17"/>
    </row>
    <row r="834">
      <c r="A834" s="341"/>
      <c r="B834" s="168"/>
      <c r="C834" s="354"/>
      <c r="D834" s="353"/>
      <c r="E834" s="341"/>
      <c r="F834" s="168"/>
      <c r="G834" s="341"/>
      <c r="H834" s="168"/>
      <c r="I834" s="347"/>
      <c r="J834" s="187"/>
      <c r="K834" s="347"/>
      <c r="L834" s="187"/>
      <c r="M834" s="347"/>
      <c r="N834" s="187"/>
      <c r="O834" s="341"/>
      <c r="P834" s="168"/>
      <c r="Q834" s="205"/>
      <c r="R834" s="205"/>
      <c r="S834" s="17"/>
      <c r="T834" s="17"/>
      <c r="U834" s="17"/>
      <c r="V834" s="17"/>
      <c r="W834" s="17"/>
      <c r="X834" s="17"/>
      <c r="Y834" s="17"/>
      <c r="Z834" s="17"/>
    </row>
    <row r="835">
      <c r="A835" s="341"/>
      <c r="B835" s="168"/>
      <c r="C835" s="354"/>
      <c r="D835" s="353"/>
      <c r="E835" s="341"/>
      <c r="F835" s="168"/>
      <c r="G835" s="341"/>
      <c r="H835" s="168"/>
      <c r="I835" s="347"/>
      <c r="J835" s="187"/>
      <c r="K835" s="347"/>
      <c r="L835" s="187"/>
      <c r="M835" s="347"/>
      <c r="N835" s="187"/>
      <c r="O835" s="341"/>
      <c r="P835" s="168"/>
      <c r="Q835" s="205"/>
      <c r="R835" s="205"/>
      <c r="S835" s="17"/>
      <c r="T835" s="17"/>
      <c r="U835" s="17"/>
      <c r="V835" s="17"/>
      <c r="W835" s="17"/>
      <c r="X835" s="17"/>
      <c r="Y835" s="17"/>
      <c r="Z835" s="17"/>
    </row>
    <row r="836">
      <c r="A836" s="341"/>
      <c r="B836" s="168"/>
      <c r="C836" s="354"/>
      <c r="D836" s="353"/>
      <c r="E836" s="341"/>
      <c r="F836" s="168"/>
      <c r="G836" s="341"/>
      <c r="H836" s="168"/>
      <c r="I836" s="347"/>
      <c r="J836" s="187"/>
      <c r="K836" s="347"/>
      <c r="L836" s="187"/>
      <c r="M836" s="347"/>
      <c r="N836" s="187"/>
      <c r="O836" s="341"/>
      <c r="P836" s="168"/>
      <c r="Q836" s="205"/>
      <c r="R836" s="205"/>
      <c r="S836" s="17"/>
      <c r="T836" s="17"/>
      <c r="U836" s="17"/>
      <c r="V836" s="17"/>
      <c r="W836" s="17"/>
      <c r="X836" s="17"/>
      <c r="Y836" s="17"/>
      <c r="Z836" s="17"/>
    </row>
    <row r="837">
      <c r="A837" s="341"/>
      <c r="B837" s="168"/>
      <c r="C837" s="354"/>
      <c r="D837" s="353"/>
      <c r="E837" s="341"/>
      <c r="F837" s="168"/>
      <c r="G837" s="341"/>
      <c r="H837" s="168"/>
      <c r="I837" s="347"/>
      <c r="J837" s="187"/>
      <c r="K837" s="347"/>
      <c r="L837" s="187"/>
      <c r="M837" s="347"/>
      <c r="N837" s="187"/>
      <c r="O837" s="341"/>
      <c r="P837" s="168"/>
      <c r="Q837" s="205"/>
      <c r="R837" s="205"/>
      <c r="S837" s="17"/>
      <c r="T837" s="17"/>
      <c r="U837" s="17"/>
      <c r="V837" s="17"/>
      <c r="W837" s="17"/>
      <c r="X837" s="17"/>
      <c r="Y837" s="17"/>
      <c r="Z837" s="17"/>
    </row>
    <row r="838">
      <c r="A838" s="341"/>
      <c r="B838" s="168"/>
      <c r="C838" s="354"/>
      <c r="D838" s="353"/>
      <c r="E838" s="341"/>
      <c r="F838" s="168"/>
      <c r="G838" s="341"/>
      <c r="H838" s="168"/>
      <c r="I838" s="347"/>
      <c r="J838" s="187"/>
      <c r="K838" s="347"/>
      <c r="L838" s="187"/>
      <c r="M838" s="347"/>
      <c r="N838" s="187"/>
      <c r="O838" s="341"/>
      <c r="P838" s="168"/>
      <c r="Q838" s="205"/>
      <c r="R838" s="205"/>
      <c r="S838" s="17"/>
      <c r="T838" s="17"/>
      <c r="U838" s="17"/>
      <c r="V838" s="17"/>
      <c r="W838" s="17"/>
      <c r="X838" s="17"/>
      <c r="Y838" s="17"/>
      <c r="Z838" s="17"/>
    </row>
    <row r="839">
      <c r="A839" s="341"/>
      <c r="B839" s="168"/>
      <c r="C839" s="354"/>
      <c r="D839" s="353"/>
      <c r="E839" s="341"/>
      <c r="F839" s="168"/>
      <c r="G839" s="341"/>
      <c r="H839" s="168"/>
      <c r="I839" s="347"/>
      <c r="J839" s="187"/>
      <c r="K839" s="347"/>
      <c r="L839" s="187"/>
      <c r="M839" s="347"/>
      <c r="N839" s="187"/>
      <c r="O839" s="341"/>
      <c r="P839" s="168"/>
      <c r="Q839" s="205"/>
      <c r="R839" s="205"/>
      <c r="S839" s="17"/>
      <c r="T839" s="17"/>
      <c r="U839" s="17"/>
      <c r="V839" s="17"/>
      <c r="W839" s="17"/>
      <c r="X839" s="17"/>
      <c r="Y839" s="17"/>
      <c r="Z839" s="17"/>
    </row>
    <row r="840">
      <c r="A840" s="341"/>
      <c r="B840" s="168"/>
      <c r="C840" s="354"/>
      <c r="D840" s="353"/>
      <c r="E840" s="341"/>
      <c r="F840" s="168"/>
      <c r="G840" s="341"/>
      <c r="H840" s="168"/>
      <c r="I840" s="347"/>
      <c r="J840" s="187"/>
      <c r="K840" s="347"/>
      <c r="L840" s="187"/>
      <c r="M840" s="347"/>
      <c r="N840" s="187"/>
      <c r="O840" s="341"/>
      <c r="P840" s="168"/>
      <c r="Q840" s="205"/>
      <c r="R840" s="205"/>
      <c r="S840" s="17"/>
      <c r="T840" s="17"/>
      <c r="U840" s="17"/>
      <c r="V840" s="17"/>
      <c r="W840" s="17"/>
      <c r="X840" s="17"/>
      <c r="Y840" s="17"/>
      <c r="Z840" s="17"/>
    </row>
    <row r="841">
      <c r="A841" s="341"/>
      <c r="B841" s="168"/>
      <c r="C841" s="354"/>
      <c r="D841" s="353"/>
      <c r="E841" s="341"/>
      <c r="F841" s="168"/>
      <c r="G841" s="341"/>
      <c r="H841" s="168"/>
      <c r="I841" s="347"/>
      <c r="J841" s="187"/>
      <c r="K841" s="347"/>
      <c r="L841" s="187"/>
      <c r="M841" s="347"/>
      <c r="N841" s="187"/>
      <c r="O841" s="341"/>
      <c r="P841" s="168"/>
      <c r="Q841" s="205"/>
      <c r="R841" s="205"/>
      <c r="S841" s="17"/>
      <c r="T841" s="17"/>
      <c r="U841" s="17"/>
      <c r="V841" s="17"/>
      <c r="W841" s="17"/>
      <c r="X841" s="17"/>
      <c r="Y841" s="17"/>
      <c r="Z841" s="17"/>
    </row>
    <row r="842">
      <c r="A842" s="341"/>
      <c r="B842" s="168"/>
      <c r="C842" s="354"/>
      <c r="D842" s="353"/>
      <c r="E842" s="341"/>
      <c r="F842" s="168"/>
      <c r="G842" s="341"/>
      <c r="H842" s="168"/>
      <c r="I842" s="347"/>
      <c r="J842" s="187"/>
      <c r="K842" s="347"/>
      <c r="L842" s="187"/>
      <c r="M842" s="347"/>
      <c r="N842" s="187"/>
      <c r="O842" s="341"/>
      <c r="P842" s="168"/>
      <c r="Q842" s="205"/>
      <c r="R842" s="205"/>
      <c r="S842" s="17"/>
      <c r="T842" s="17"/>
      <c r="U842" s="17"/>
      <c r="V842" s="17"/>
      <c r="W842" s="17"/>
      <c r="X842" s="17"/>
      <c r="Y842" s="17"/>
      <c r="Z842" s="17"/>
    </row>
    <row r="843">
      <c r="A843" s="341"/>
      <c r="B843" s="168"/>
      <c r="C843" s="354"/>
      <c r="D843" s="353"/>
      <c r="E843" s="341"/>
      <c r="F843" s="168"/>
      <c r="G843" s="341"/>
      <c r="H843" s="168"/>
      <c r="I843" s="347"/>
      <c r="J843" s="187"/>
      <c r="K843" s="347"/>
      <c r="L843" s="187"/>
      <c r="M843" s="347"/>
      <c r="N843" s="187"/>
      <c r="O843" s="341"/>
      <c r="P843" s="168"/>
      <c r="Q843" s="205"/>
      <c r="R843" s="205"/>
      <c r="S843" s="17"/>
      <c r="T843" s="17"/>
      <c r="U843" s="17"/>
      <c r="V843" s="17"/>
      <c r="W843" s="17"/>
      <c r="X843" s="17"/>
      <c r="Y843" s="17"/>
      <c r="Z843" s="17"/>
    </row>
    <row r="844">
      <c r="A844" s="341"/>
      <c r="B844" s="168"/>
      <c r="C844" s="354"/>
      <c r="D844" s="353"/>
      <c r="E844" s="341"/>
      <c r="F844" s="168"/>
      <c r="G844" s="341"/>
      <c r="H844" s="168"/>
      <c r="I844" s="347"/>
      <c r="J844" s="187"/>
      <c r="K844" s="347"/>
      <c r="L844" s="187"/>
      <c r="M844" s="347"/>
      <c r="N844" s="187"/>
      <c r="O844" s="341"/>
      <c r="P844" s="168"/>
      <c r="Q844" s="205"/>
      <c r="R844" s="205"/>
      <c r="S844" s="17"/>
      <c r="T844" s="17"/>
      <c r="U844" s="17"/>
      <c r="V844" s="17"/>
      <c r="W844" s="17"/>
      <c r="X844" s="17"/>
      <c r="Y844" s="17"/>
      <c r="Z844" s="17"/>
    </row>
    <row r="845">
      <c r="A845" s="341"/>
      <c r="B845" s="168"/>
      <c r="C845" s="354"/>
      <c r="D845" s="353"/>
      <c r="E845" s="341"/>
      <c r="F845" s="168"/>
      <c r="G845" s="341"/>
      <c r="H845" s="168"/>
      <c r="I845" s="347"/>
      <c r="J845" s="187"/>
      <c r="K845" s="347"/>
      <c r="L845" s="187"/>
      <c r="M845" s="347"/>
      <c r="N845" s="187"/>
      <c r="O845" s="341"/>
      <c r="P845" s="168"/>
      <c r="Q845" s="205"/>
      <c r="R845" s="205"/>
      <c r="S845" s="17"/>
      <c r="T845" s="17"/>
      <c r="U845" s="17"/>
      <c r="V845" s="17"/>
      <c r="W845" s="17"/>
      <c r="X845" s="17"/>
      <c r="Y845" s="17"/>
      <c r="Z845" s="17"/>
    </row>
    <row r="846">
      <c r="A846" s="341"/>
      <c r="B846" s="168"/>
      <c r="C846" s="354"/>
      <c r="D846" s="353"/>
      <c r="E846" s="341"/>
      <c r="F846" s="168"/>
      <c r="G846" s="341"/>
      <c r="H846" s="168"/>
      <c r="I846" s="347"/>
      <c r="J846" s="187"/>
      <c r="K846" s="347"/>
      <c r="L846" s="187"/>
      <c r="M846" s="347"/>
      <c r="N846" s="187"/>
      <c r="O846" s="341"/>
      <c r="P846" s="168"/>
      <c r="Q846" s="205"/>
      <c r="R846" s="205"/>
      <c r="S846" s="17"/>
      <c r="T846" s="17"/>
      <c r="U846" s="17"/>
      <c r="V846" s="17"/>
      <c r="W846" s="17"/>
      <c r="X846" s="17"/>
      <c r="Y846" s="17"/>
      <c r="Z846" s="17"/>
    </row>
    <row r="847">
      <c r="A847" s="341"/>
      <c r="B847" s="168"/>
      <c r="C847" s="354"/>
      <c r="D847" s="353"/>
      <c r="E847" s="341"/>
      <c r="F847" s="168"/>
      <c r="G847" s="341"/>
      <c r="H847" s="168"/>
      <c r="I847" s="347"/>
      <c r="J847" s="187"/>
      <c r="K847" s="347"/>
      <c r="L847" s="187"/>
      <c r="M847" s="347"/>
      <c r="N847" s="187"/>
      <c r="O847" s="341"/>
      <c r="P847" s="168"/>
      <c r="Q847" s="205"/>
      <c r="R847" s="205"/>
      <c r="S847" s="17"/>
      <c r="T847" s="17"/>
      <c r="U847" s="17"/>
      <c r="V847" s="17"/>
      <c r="W847" s="17"/>
      <c r="X847" s="17"/>
      <c r="Y847" s="17"/>
      <c r="Z847" s="17"/>
    </row>
    <row r="848">
      <c r="A848" s="341"/>
      <c r="B848" s="168"/>
      <c r="C848" s="354"/>
      <c r="D848" s="353"/>
      <c r="E848" s="341"/>
      <c r="F848" s="168"/>
      <c r="G848" s="341"/>
      <c r="H848" s="168"/>
      <c r="I848" s="347"/>
      <c r="J848" s="187"/>
      <c r="K848" s="347"/>
      <c r="L848" s="187"/>
      <c r="M848" s="347"/>
      <c r="N848" s="187"/>
      <c r="O848" s="341"/>
      <c r="P848" s="168"/>
      <c r="Q848" s="205"/>
      <c r="R848" s="205"/>
      <c r="S848" s="17"/>
      <c r="T848" s="17"/>
      <c r="U848" s="17"/>
      <c r="V848" s="17"/>
      <c r="W848" s="17"/>
      <c r="X848" s="17"/>
      <c r="Y848" s="17"/>
      <c r="Z848" s="17"/>
    </row>
    <row r="849">
      <c r="A849" s="341"/>
      <c r="B849" s="168"/>
      <c r="C849" s="354"/>
      <c r="D849" s="353"/>
      <c r="E849" s="341"/>
      <c r="F849" s="168"/>
      <c r="G849" s="341"/>
      <c r="H849" s="168"/>
      <c r="I849" s="347"/>
      <c r="J849" s="187"/>
      <c r="K849" s="347"/>
      <c r="L849" s="187"/>
      <c r="M849" s="347"/>
      <c r="N849" s="187"/>
      <c r="O849" s="341"/>
      <c r="P849" s="168"/>
      <c r="Q849" s="205"/>
      <c r="R849" s="205"/>
      <c r="S849" s="17"/>
      <c r="T849" s="17"/>
      <c r="U849" s="17"/>
      <c r="V849" s="17"/>
      <c r="W849" s="17"/>
      <c r="X849" s="17"/>
      <c r="Y849" s="17"/>
      <c r="Z849" s="17"/>
    </row>
    <row r="850">
      <c r="A850" s="341"/>
      <c r="B850" s="168"/>
      <c r="C850" s="354"/>
      <c r="D850" s="353"/>
      <c r="E850" s="341"/>
      <c r="F850" s="168"/>
      <c r="G850" s="341"/>
      <c r="H850" s="168"/>
      <c r="I850" s="347"/>
      <c r="J850" s="187"/>
      <c r="K850" s="347"/>
      <c r="L850" s="187"/>
      <c r="M850" s="347"/>
      <c r="N850" s="187"/>
      <c r="O850" s="341"/>
      <c r="P850" s="168"/>
      <c r="Q850" s="205"/>
      <c r="R850" s="205"/>
      <c r="S850" s="17"/>
      <c r="T850" s="17"/>
      <c r="U850" s="17"/>
      <c r="V850" s="17"/>
      <c r="W850" s="17"/>
      <c r="X850" s="17"/>
      <c r="Y850" s="17"/>
      <c r="Z850" s="17"/>
    </row>
    <row r="851">
      <c r="A851" s="341"/>
      <c r="B851" s="168"/>
      <c r="C851" s="354"/>
      <c r="D851" s="353"/>
      <c r="E851" s="341"/>
      <c r="F851" s="168"/>
      <c r="G851" s="341"/>
      <c r="H851" s="168"/>
      <c r="I851" s="347"/>
      <c r="J851" s="187"/>
      <c r="K851" s="347"/>
      <c r="L851" s="187"/>
      <c r="M851" s="347"/>
      <c r="N851" s="187"/>
      <c r="O851" s="341"/>
      <c r="P851" s="168"/>
      <c r="Q851" s="205"/>
      <c r="R851" s="205"/>
      <c r="S851" s="17"/>
      <c r="T851" s="17"/>
      <c r="U851" s="17"/>
      <c r="V851" s="17"/>
      <c r="W851" s="17"/>
      <c r="X851" s="17"/>
      <c r="Y851" s="17"/>
      <c r="Z851" s="17"/>
    </row>
    <row r="852">
      <c r="A852" s="341"/>
      <c r="B852" s="168"/>
      <c r="C852" s="354"/>
      <c r="D852" s="353"/>
      <c r="E852" s="341"/>
      <c r="F852" s="168"/>
      <c r="G852" s="341"/>
      <c r="H852" s="168"/>
      <c r="I852" s="347"/>
      <c r="J852" s="187"/>
      <c r="K852" s="347"/>
      <c r="L852" s="187"/>
      <c r="M852" s="347"/>
      <c r="N852" s="187"/>
      <c r="O852" s="341"/>
      <c r="P852" s="168"/>
      <c r="Q852" s="205"/>
      <c r="R852" s="205"/>
      <c r="S852" s="17"/>
      <c r="T852" s="17"/>
      <c r="U852" s="17"/>
      <c r="V852" s="17"/>
      <c r="W852" s="17"/>
      <c r="X852" s="17"/>
      <c r="Y852" s="17"/>
      <c r="Z852" s="17"/>
    </row>
    <row r="853">
      <c r="A853" s="341"/>
      <c r="B853" s="168"/>
      <c r="C853" s="354"/>
      <c r="D853" s="353"/>
      <c r="E853" s="341"/>
      <c r="F853" s="168"/>
      <c r="G853" s="341"/>
      <c r="H853" s="168"/>
      <c r="I853" s="347"/>
      <c r="J853" s="187"/>
      <c r="K853" s="347"/>
      <c r="L853" s="187"/>
      <c r="M853" s="347"/>
      <c r="N853" s="187"/>
      <c r="O853" s="341"/>
      <c r="P853" s="168"/>
      <c r="Q853" s="205"/>
      <c r="R853" s="205"/>
      <c r="S853" s="17"/>
      <c r="T853" s="17"/>
      <c r="U853" s="17"/>
      <c r="V853" s="17"/>
      <c r="W853" s="17"/>
      <c r="X853" s="17"/>
      <c r="Y853" s="17"/>
      <c r="Z853" s="17"/>
    </row>
    <row r="854">
      <c r="A854" s="341"/>
      <c r="B854" s="168"/>
      <c r="C854" s="354"/>
      <c r="D854" s="353"/>
      <c r="E854" s="341"/>
      <c r="F854" s="168"/>
      <c r="G854" s="341"/>
      <c r="H854" s="168"/>
      <c r="I854" s="347"/>
      <c r="J854" s="187"/>
      <c r="K854" s="347"/>
      <c r="L854" s="187"/>
      <c r="M854" s="347"/>
      <c r="N854" s="187"/>
      <c r="O854" s="341"/>
      <c r="P854" s="168"/>
      <c r="Q854" s="205"/>
      <c r="R854" s="205"/>
      <c r="S854" s="17"/>
      <c r="T854" s="17"/>
      <c r="U854" s="17"/>
      <c r="V854" s="17"/>
      <c r="W854" s="17"/>
      <c r="X854" s="17"/>
      <c r="Y854" s="17"/>
      <c r="Z854" s="17"/>
    </row>
    <row r="855">
      <c r="A855" s="341"/>
      <c r="B855" s="168"/>
      <c r="C855" s="354"/>
      <c r="D855" s="353"/>
      <c r="E855" s="341"/>
      <c r="F855" s="168"/>
      <c r="G855" s="341"/>
      <c r="H855" s="168"/>
      <c r="I855" s="347"/>
      <c r="J855" s="187"/>
      <c r="K855" s="347"/>
      <c r="L855" s="187"/>
      <c r="M855" s="347"/>
      <c r="N855" s="187"/>
      <c r="O855" s="341"/>
      <c r="P855" s="168"/>
      <c r="Q855" s="205"/>
      <c r="R855" s="205"/>
      <c r="S855" s="17"/>
      <c r="T855" s="17"/>
      <c r="U855" s="17"/>
      <c r="V855" s="17"/>
      <c r="W855" s="17"/>
      <c r="X855" s="17"/>
      <c r="Y855" s="17"/>
      <c r="Z855" s="17"/>
    </row>
    <row r="856">
      <c r="A856" s="341"/>
      <c r="B856" s="168"/>
      <c r="C856" s="354"/>
      <c r="D856" s="353"/>
      <c r="E856" s="341"/>
      <c r="F856" s="168"/>
      <c r="G856" s="341"/>
      <c r="H856" s="168"/>
      <c r="I856" s="347"/>
      <c r="J856" s="187"/>
      <c r="K856" s="347"/>
      <c r="L856" s="187"/>
      <c r="M856" s="347"/>
      <c r="N856" s="187"/>
      <c r="O856" s="341"/>
      <c r="P856" s="168"/>
      <c r="Q856" s="205"/>
      <c r="R856" s="205"/>
      <c r="S856" s="17"/>
      <c r="T856" s="17"/>
      <c r="U856" s="17"/>
      <c r="V856" s="17"/>
      <c r="W856" s="17"/>
      <c r="X856" s="17"/>
      <c r="Y856" s="17"/>
      <c r="Z856" s="17"/>
    </row>
    <row r="857">
      <c r="A857" s="341"/>
      <c r="B857" s="168"/>
      <c r="C857" s="354"/>
      <c r="D857" s="353"/>
      <c r="E857" s="341"/>
      <c r="F857" s="168"/>
      <c r="G857" s="341"/>
      <c r="H857" s="168"/>
      <c r="I857" s="347"/>
      <c r="J857" s="187"/>
      <c r="K857" s="347"/>
      <c r="L857" s="187"/>
      <c r="M857" s="347"/>
      <c r="N857" s="187"/>
      <c r="O857" s="341"/>
      <c r="P857" s="168"/>
      <c r="Q857" s="205"/>
      <c r="R857" s="205"/>
      <c r="S857" s="17"/>
      <c r="T857" s="17"/>
      <c r="U857" s="17"/>
      <c r="V857" s="17"/>
      <c r="W857" s="17"/>
      <c r="X857" s="17"/>
      <c r="Y857" s="17"/>
      <c r="Z857" s="17"/>
    </row>
    <row r="858">
      <c r="A858" s="341"/>
      <c r="B858" s="168"/>
      <c r="C858" s="354"/>
      <c r="D858" s="353"/>
      <c r="E858" s="341"/>
      <c r="F858" s="168"/>
      <c r="G858" s="341"/>
      <c r="H858" s="168"/>
      <c r="I858" s="347"/>
      <c r="J858" s="187"/>
      <c r="K858" s="347"/>
      <c r="L858" s="187"/>
      <c r="M858" s="347"/>
      <c r="N858" s="187"/>
      <c r="O858" s="341"/>
      <c r="P858" s="168"/>
      <c r="Q858" s="205"/>
      <c r="R858" s="205"/>
      <c r="S858" s="17"/>
      <c r="T858" s="17"/>
      <c r="U858" s="17"/>
      <c r="V858" s="17"/>
      <c r="W858" s="17"/>
      <c r="X858" s="17"/>
      <c r="Y858" s="17"/>
      <c r="Z858" s="17"/>
    </row>
    <row r="859">
      <c r="A859" s="341"/>
      <c r="B859" s="168"/>
      <c r="C859" s="354"/>
      <c r="D859" s="353"/>
      <c r="E859" s="341"/>
      <c r="F859" s="168"/>
      <c r="G859" s="341"/>
      <c r="H859" s="168"/>
      <c r="I859" s="347"/>
      <c r="J859" s="187"/>
      <c r="K859" s="347"/>
      <c r="L859" s="187"/>
      <c r="M859" s="347"/>
      <c r="N859" s="187"/>
      <c r="O859" s="341"/>
      <c r="P859" s="168"/>
      <c r="Q859" s="205"/>
      <c r="R859" s="205"/>
      <c r="S859" s="17"/>
      <c r="T859" s="17"/>
      <c r="U859" s="17"/>
      <c r="V859" s="17"/>
      <c r="W859" s="17"/>
      <c r="X859" s="17"/>
      <c r="Y859" s="17"/>
      <c r="Z859" s="17"/>
    </row>
    <row r="860">
      <c r="A860" s="341"/>
      <c r="B860" s="168"/>
      <c r="C860" s="354"/>
      <c r="D860" s="353"/>
      <c r="E860" s="341"/>
      <c r="F860" s="168"/>
      <c r="G860" s="341"/>
      <c r="H860" s="168"/>
      <c r="I860" s="347"/>
      <c r="J860" s="187"/>
      <c r="K860" s="347"/>
      <c r="L860" s="187"/>
      <c r="M860" s="347"/>
      <c r="N860" s="187"/>
      <c r="O860" s="341"/>
      <c r="P860" s="168"/>
      <c r="Q860" s="205"/>
      <c r="R860" s="205"/>
      <c r="S860" s="17"/>
      <c r="T860" s="17"/>
      <c r="U860" s="17"/>
      <c r="V860" s="17"/>
      <c r="W860" s="17"/>
      <c r="X860" s="17"/>
      <c r="Y860" s="17"/>
      <c r="Z860" s="17"/>
    </row>
    <row r="861">
      <c r="A861" s="341"/>
      <c r="B861" s="168"/>
      <c r="C861" s="354"/>
      <c r="D861" s="353"/>
      <c r="E861" s="341"/>
      <c r="F861" s="168"/>
      <c r="G861" s="341"/>
      <c r="H861" s="168"/>
      <c r="I861" s="347"/>
      <c r="J861" s="187"/>
      <c r="K861" s="347"/>
      <c r="L861" s="187"/>
      <c r="M861" s="347"/>
      <c r="N861" s="187"/>
      <c r="O861" s="341"/>
      <c r="P861" s="168"/>
      <c r="Q861" s="205"/>
      <c r="R861" s="205"/>
      <c r="S861" s="17"/>
      <c r="T861" s="17"/>
      <c r="U861" s="17"/>
      <c r="V861" s="17"/>
      <c r="W861" s="17"/>
      <c r="X861" s="17"/>
      <c r="Y861" s="17"/>
      <c r="Z861" s="17"/>
    </row>
    <row r="862">
      <c r="A862" s="341"/>
      <c r="B862" s="168"/>
      <c r="C862" s="354"/>
      <c r="D862" s="353"/>
      <c r="E862" s="341"/>
      <c r="F862" s="168"/>
      <c r="G862" s="341"/>
      <c r="H862" s="168"/>
      <c r="I862" s="347"/>
      <c r="J862" s="187"/>
      <c r="K862" s="347"/>
      <c r="L862" s="187"/>
      <c r="M862" s="347"/>
      <c r="N862" s="187"/>
      <c r="O862" s="341"/>
      <c r="P862" s="168"/>
      <c r="Q862" s="205"/>
      <c r="R862" s="205"/>
      <c r="S862" s="17"/>
      <c r="T862" s="17"/>
      <c r="U862" s="17"/>
      <c r="V862" s="17"/>
      <c r="W862" s="17"/>
      <c r="X862" s="17"/>
      <c r="Y862" s="17"/>
      <c r="Z862" s="17"/>
    </row>
    <row r="863">
      <c r="A863" s="341"/>
      <c r="B863" s="168"/>
      <c r="C863" s="354"/>
      <c r="D863" s="353"/>
      <c r="E863" s="341"/>
      <c r="F863" s="168"/>
      <c r="G863" s="341"/>
      <c r="H863" s="168"/>
      <c r="I863" s="347"/>
      <c r="J863" s="187"/>
      <c r="K863" s="347"/>
      <c r="L863" s="187"/>
      <c r="M863" s="347"/>
      <c r="N863" s="187"/>
      <c r="O863" s="341"/>
      <c r="P863" s="168"/>
      <c r="Q863" s="205"/>
      <c r="R863" s="205"/>
      <c r="S863" s="17"/>
      <c r="T863" s="17"/>
      <c r="U863" s="17"/>
      <c r="V863" s="17"/>
      <c r="W863" s="17"/>
      <c r="X863" s="17"/>
      <c r="Y863" s="17"/>
      <c r="Z863" s="17"/>
    </row>
    <row r="864">
      <c r="A864" s="341"/>
      <c r="B864" s="168"/>
      <c r="C864" s="354"/>
      <c r="D864" s="353"/>
      <c r="E864" s="341"/>
      <c r="F864" s="168"/>
      <c r="G864" s="341"/>
      <c r="H864" s="168"/>
      <c r="I864" s="347"/>
      <c r="J864" s="187"/>
      <c r="K864" s="347"/>
      <c r="L864" s="187"/>
      <c r="M864" s="347"/>
      <c r="N864" s="187"/>
      <c r="O864" s="341"/>
      <c r="P864" s="168"/>
      <c r="Q864" s="205"/>
      <c r="R864" s="205"/>
      <c r="S864" s="17"/>
      <c r="T864" s="17"/>
      <c r="U864" s="17"/>
      <c r="V864" s="17"/>
      <c r="W864" s="17"/>
      <c r="X864" s="17"/>
      <c r="Y864" s="17"/>
      <c r="Z864" s="17"/>
    </row>
    <row r="865">
      <c r="A865" s="341"/>
      <c r="B865" s="168"/>
      <c r="C865" s="354"/>
      <c r="D865" s="353"/>
      <c r="E865" s="341"/>
      <c r="F865" s="168"/>
      <c r="G865" s="341"/>
      <c r="H865" s="168"/>
      <c r="I865" s="347"/>
      <c r="J865" s="187"/>
      <c r="K865" s="347"/>
      <c r="L865" s="187"/>
      <c r="M865" s="347"/>
      <c r="N865" s="187"/>
      <c r="O865" s="341"/>
      <c r="P865" s="168"/>
      <c r="Q865" s="205"/>
      <c r="R865" s="205"/>
      <c r="S865" s="17"/>
      <c r="T865" s="17"/>
      <c r="U865" s="17"/>
      <c r="V865" s="17"/>
      <c r="W865" s="17"/>
      <c r="X865" s="17"/>
      <c r="Y865" s="17"/>
      <c r="Z865" s="17"/>
    </row>
    <row r="866">
      <c r="A866" s="341"/>
      <c r="B866" s="168"/>
      <c r="C866" s="354"/>
      <c r="D866" s="353"/>
      <c r="E866" s="341"/>
      <c r="F866" s="168"/>
      <c r="G866" s="341"/>
      <c r="H866" s="168"/>
      <c r="I866" s="347"/>
      <c r="J866" s="187"/>
      <c r="K866" s="347"/>
      <c r="L866" s="187"/>
      <c r="M866" s="347"/>
      <c r="N866" s="187"/>
      <c r="O866" s="341"/>
      <c r="P866" s="168"/>
      <c r="Q866" s="205"/>
      <c r="R866" s="205"/>
      <c r="S866" s="17"/>
      <c r="T866" s="17"/>
      <c r="U866" s="17"/>
      <c r="V866" s="17"/>
      <c r="W866" s="17"/>
      <c r="X866" s="17"/>
      <c r="Y866" s="17"/>
      <c r="Z866" s="17"/>
    </row>
    <row r="867">
      <c r="A867" s="341"/>
      <c r="B867" s="168"/>
      <c r="C867" s="354"/>
      <c r="D867" s="353"/>
      <c r="E867" s="341"/>
      <c r="F867" s="168"/>
      <c r="G867" s="341"/>
      <c r="H867" s="168"/>
      <c r="I867" s="347"/>
      <c r="J867" s="187"/>
      <c r="K867" s="347"/>
      <c r="L867" s="187"/>
      <c r="M867" s="347"/>
      <c r="N867" s="187"/>
      <c r="O867" s="341"/>
      <c r="P867" s="168"/>
      <c r="Q867" s="205"/>
      <c r="R867" s="205"/>
      <c r="S867" s="17"/>
      <c r="T867" s="17"/>
      <c r="U867" s="17"/>
      <c r="V867" s="17"/>
      <c r="W867" s="17"/>
      <c r="X867" s="17"/>
      <c r="Y867" s="17"/>
      <c r="Z867" s="17"/>
    </row>
    <row r="868">
      <c r="A868" s="341"/>
      <c r="B868" s="168"/>
      <c r="C868" s="354"/>
      <c r="D868" s="353"/>
      <c r="E868" s="341"/>
      <c r="F868" s="168"/>
      <c r="G868" s="341"/>
      <c r="H868" s="168"/>
      <c r="I868" s="347"/>
      <c r="J868" s="187"/>
      <c r="K868" s="347"/>
      <c r="L868" s="187"/>
      <c r="M868" s="347"/>
      <c r="N868" s="187"/>
      <c r="O868" s="341"/>
      <c r="P868" s="168"/>
      <c r="Q868" s="205"/>
      <c r="R868" s="205"/>
      <c r="S868" s="17"/>
      <c r="T868" s="17"/>
      <c r="U868" s="17"/>
      <c r="V868" s="17"/>
      <c r="W868" s="17"/>
      <c r="X868" s="17"/>
      <c r="Y868" s="17"/>
      <c r="Z868" s="17"/>
    </row>
    <row r="869">
      <c r="A869" s="341"/>
      <c r="B869" s="168"/>
      <c r="C869" s="354"/>
      <c r="D869" s="353"/>
      <c r="E869" s="341"/>
      <c r="F869" s="168"/>
      <c r="G869" s="341"/>
      <c r="H869" s="168"/>
      <c r="I869" s="347"/>
      <c r="J869" s="187"/>
      <c r="K869" s="347"/>
      <c r="L869" s="187"/>
      <c r="M869" s="347"/>
      <c r="N869" s="187"/>
      <c r="O869" s="341"/>
      <c r="P869" s="168"/>
      <c r="Q869" s="205"/>
      <c r="R869" s="205"/>
      <c r="S869" s="17"/>
      <c r="T869" s="17"/>
      <c r="U869" s="17"/>
      <c r="V869" s="17"/>
      <c r="W869" s="17"/>
      <c r="X869" s="17"/>
      <c r="Y869" s="17"/>
      <c r="Z869" s="17"/>
    </row>
    <row r="870">
      <c r="A870" s="341"/>
      <c r="B870" s="168"/>
      <c r="C870" s="354"/>
      <c r="D870" s="353"/>
      <c r="E870" s="341"/>
      <c r="F870" s="168"/>
      <c r="G870" s="341"/>
      <c r="H870" s="168"/>
      <c r="I870" s="347"/>
      <c r="J870" s="187"/>
      <c r="K870" s="347"/>
      <c r="L870" s="187"/>
      <c r="M870" s="347"/>
      <c r="N870" s="187"/>
      <c r="O870" s="341"/>
      <c r="P870" s="168"/>
      <c r="Q870" s="205"/>
      <c r="R870" s="205"/>
      <c r="S870" s="17"/>
      <c r="T870" s="17"/>
      <c r="U870" s="17"/>
      <c r="V870" s="17"/>
      <c r="W870" s="17"/>
      <c r="X870" s="17"/>
      <c r="Y870" s="17"/>
      <c r="Z870" s="17"/>
    </row>
    <row r="871">
      <c r="A871" s="341"/>
      <c r="B871" s="168"/>
      <c r="C871" s="354"/>
      <c r="D871" s="353"/>
      <c r="E871" s="341"/>
      <c r="F871" s="168"/>
      <c r="G871" s="341"/>
      <c r="H871" s="168"/>
      <c r="I871" s="347"/>
      <c r="J871" s="187"/>
      <c r="K871" s="347"/>
      <c r="L871" s="187"/>
      <c r="M871" s="347"/>
      <c r="N871" s="187"/>
      <c r="O871" s="341"/>
      <c r="P871" s="168"/>
      <c r="Q871" s="205"/>
      <c r="R871" s="205"/>
      <c r="S871" s="17"/>
      <c r="T871" s="17"/>
      <c r="U871" s="17"/>
      <c r="V871" s="17"/>
      <c r="W871" s="17"/>
      <c r="X871" s="17"/>
      <c r="Y871" s="17"/>
      <c r="Z871" s="17"/>
    </row>
    <row r="872">
      <c r="A872" s="341"/>
      <c r="B872" s="168"/>
      <c r="C872" s="354"/>
      <c r="D872" s="353"/>
      <c r="E872" s="341"/>
      <c r="F872" s="168"/>
      <c r="G872" s="341"/>
      <c r="H872" s="168"/>
      <c r="I872" s="347"/>
      <c r="J872" s="187"/>
      <c r="K872" s="347"/>
      <c r="L872" s="187"/>
      <c r="M872" s="347"/>
      <c r="N872" s="187"/>
      <c r="O872" s="341"/>
      <c r="P872" s="168"/>
      <c r="Q872" s="205"/>
      <c r="R872" s="205"/>
      <c r="S872" s="17"/>
      <c r="T872" s="17"/>
      <c r="U872" s="17"/>
      <c r="V872" s="17"/>
      <c r="W872" s="17"/>
      <c r="X872" s="17"/>
      <c r="Y872" s="17"/>
      <c r="Z872" s="17"/>
    </row>
    <row r="873">
      <c r="A873" s="341"/>
      <c r="B873" s="168"/>
      <c r="C873" s="354"/>
      <c r="D873" s="353"/>
      <c r="E873" s="341"/>
      <c r="F873" s="168"/>
      <c r="G873" s="341"/>
      <c r="H873" s="168"/>
      <c r="I873" s="347"/>
      <c r="J873" s="187"/>
      <c r="K873" s="347"/>
      <c r="L873" s="187"/>
      <c r="M873" s="347"/>
      <c r="N873" s="187"/>
      <c r="O873" s="341"/>
      <c r="P873" s="168"/>
      <c r="Q873" s="205"/>
      <c r="R873" s="205"/>
      <c r="S873" s="17"/>
      <c r="T873" s="17"/>
      <c r="U873" s="17"/>
      <c r="V873" s="17"/>
      <c r="W873" s="17"/>
      <c r="X873" s="17"/>
      <c r="Y873" s="17"/>
      <c r="Z873" s="17"/>
    </row>
    <row r="874">
      <c r="A874" s="341"/>
      <c r="B874" s="168"/>
      <c r="C874" s="354"/>
      <c r="D874" s="353"/>
      <c r="E874" s="341"/>
      <c r="F874" s="168"/>
      <c r="G874" s="341"/>
      <c r="H874" s="168"/>
      <c r="I874" s="347"/>
      <c r="J874" s="187"/>
      <c r="K874" s="347"/>
      <c r="L874" s="187"/>
      <c r="M874" s="347"/>
      <c r="N874" s="187"/>
      <c r="O874" s="341"/>
      <c r="P874" s="168"/>
      <c r="Q874" s="205"/>
      <c r="R874" s="205"/>
      <c r="S874" s="17"/>
      <c r="T874" s="17"/>
      <c r="U874" s="17"/>
      <c r="V874" s="17"/>
      <c r="W874" s="17"/>
      <c r="X874" s="17"/>
      <c r="Y874" s="17"/>
      <c r="Z874" s="17"/>
    </row>
    <row r="875">
      <c r="A875" s="341"/>
      <c r="B875" s="168"/>
      <c r="C875" s="354"/>
      <c r="D875" s="353"/>
      <c r="E875" s="341"/>
      <c r="F875" s="168"/>
      <c r="G875" s="341"/>
      <c r="H875" s="168"/>
      <c r="I875" s="347"/>
      <c r="J875" s="187"/>
      <c r="K875" s="347"/>
      <c r="L875" s="187"/>
      <c r="M875" s="347"/>
      <c r="N875" s="187"/>
      <c r="O875" s="341"/>
      <c r="P875" s="168"/>
      <c r="Q875" s="205"/>
      <c r="R875" s="205"/>
      <c r="S875" s="17"/>
      <c r="T875" s="17"/>
      <c r="U875" s="17"/>
      <c r="V875" s="17"/>
      <c r="W875" s="17"/>
      <c r="X875" s="17"/>
      <c r="Y875" s="17"/>
      <c r="Z875" s="17"/>
    </row>
    <row r="876">
      <c r="A876" s="341"/>
      <c r="B876" s="168"/>
      <c r="C876" s="354"/>
      <c r="D876" s="353"/>
      <c r="E876" s="341"/>
      <c r="F876" s="168"/>
      <c r="G876" s="341"/>
      <c r="H876" s="168"/>
      <c r="I876" s="347"/>
      <c r="J876" s="187"/>
      <c r="K876" s="347"/>
      <c r="L876" s="187"/>
      <c r="M876" s="347"/>
      <c r="N876" s="187"/>
      <c r="O876" s="341"/>
      <c r="P876" s="168"/>
      <c r="Q876" s="205"/>
      <c r="R876" s="205"/>
      <c r="S876" s="17"/>
      <c r="T876" s="17"/>
      <c r="U876" s="17"/>
      <c r="V876" s="17"/>
      <c r="W876" s="17"/>
      <c r="X876" s="17"/>
      <c r="Y876" s="17"/>
      <c r="Z876" s="17"/>
    </row>
    <row r="877">
      <c r="A877" s="341"/>
      <c r="B877" s="168"/>
      <c r="C877" s="354"/>
      <c r="D877" s="353"/>
      <c r="E877" s="341"/>
      <c r="F877" s="168"/>
      <c r="G877" s="341"/>
      <c r="H877" s="168"/>
      <c r="I877" s="347"/>
      <c r="J877" s="187"/>
      <c r="K877" s="347"/>
      <c r="L877" s="187"/>
      <c r="M877" s="347"/>
      <c r="N877" s="187"/>
      <c r="O877" s="341"/>
      <c r="P877" s="168"/>
      <c r="Q877" s="205"/>
      <c r="R877" s="205"/>
      <c r="S877" s="17"/>
      <c r="T877" s="17"/>
      <c r="U877" s="17"/>
      <c r="V877" s="17"/>
      <c r="W877" s="17"/>
      <c r="X877" s="17"/>
      <c r="Y877" s="17"/>
      <c r="Z877" s="17"/>
    </row>
    <row r="878">
      <c r="A878" s="341"/>
      <c r="B878" s="168"/>
      <c r="C878" s="354"/>
      <c r="D878" s="353"/>
      <c r="E878" s="341"/>
      <c r="F878" s="168"/>
      <c r="G878" s="341"/>
      <c r="H878" s="168"/>
      <c r="I878" s="347"/>
      <c r="J878" s="187"/>
      <c r="K878" s="347"/>
      <c r="L878" s="187"/>
      <c r="M878" s="347"/>
      <c r="N878" s="187"/>
      <c r="O878" s="341"/>
      <c r="P878" s="168"/>
      <c r="Q878" s="205"/>
      <c r="R878" s="205"/>
      <c r="S878" s="17"/>
      <c r="T878" s="17"/>
      <c r="U878" s="17"/>
      <c r="V878" s="17"/>
      <c r="W878" s="17"/>
      <c r="X878" s="17"/>
      <c r="Y878" s="17"/>
      <c r="Z878" s="17"/>
    </row>
    <row r="879">
      <c r="A879" s="341"/>
      <c r="B879" s="168"/>
      <c r="C879" s="354"/>
      <c r="D879" s="353"/>
      <c r="E879" s="341"/>
      <c r="F879" s="168"/>
      <c r="G879" s="341"/>
      <c r="H879" s="168"/>
      <c r="I879" s="347"/>
      <c r="J879" s="187"/>
      <c r="K879" s="347"/>
      <c r="L879" s="187"/>
      <c r="M879" s="347"/>
      <c r="N879" s="187"/>
      <c r="O879" s="341"/>
      <c r="P879" s="168"/>
      <c r="Q879" s="205"/>
      <c r="R879" s="205"/>
      <c r="S879" s="17"/>
      <c r="T879" s="17"/>
      <c r="U879" s="17"/>
      <c r="V879" s="17"/>
      <c r="W879" s="17"/>
      <c r="X879" s="17"/>
      <c r="Y879" s="17"/>
      <c r="Z879" s="17"/>
    </row>
    <row r="880">
      <c r="A880" s="341"/>
      <c r="B880" s="168"/>
      <c r="C880" s="354"/>
      <c r="D880" s="353"/>
      <c r="E880" s="341"/>
      <c r="F880" s="168"/>
      <c r="G880" s="341"/>
      <c r="H880" s="168"/>
      <c r="I880" s="347"/>
      <c r="J880" s="187"/>
      <c r="K880" s="347"/>
      <c r="L880" s="187"/>
      <c r="M880" s="347"/>
      <c r="N880" s="187"/>
      <c r="O880" s="341"/>
      <c r="P880" s="168"/>
      <c r="Q880" s="205"/>
      <c r="R880" s="205"/>
      <c r="S880" s="17"/>
      <c r="T880" s="17"/>
      <c r="U880" s="17"/>
      <c r="V880" s="17"/>
      <c r="W880" s="17"/>
      <c r="X880" s="17"/>
      <c r="Y880" s="17"/>
      <c r="Z880" s="17"/>
    </row>
    <row r="881">
      <c r="A881" s="341"/>
      <c r="B881" s="168"/>
      <c r="C881" s="354"/>
      <c r="D881" s="353"/>
      <c r="E881" s="341"/>
      <c r="F881" s="168"/>
      <c r="G881" s="341"/>
      <c r="H881" s="168"/>
      <c r="I881" s="347"/>
      <c r="J881" s="187"/>
      <c r="K881" s="347"/>
      <c r="L881" s="187"/>
      <c r="M881" s="347"/>
      <c r="N881" s="187"/>
      <c r="O881" s="341"/>
      <c r="P881" s="168"/>
      <c r="Q881" s="205"/>
      <c r="R881" s="205"/>
      <c r="S881" s="17"/>
      <c r="T881" s="17"/>
      <c r="U881" s="17"/>
      <c r="V881" s="17"/>
      <c r="W881" s="17"/>
      <c r="X881" s="17"/>
      <c r="Y881" s="17"/>
      <c r="Z881" s="17"/>
    </row>
    <row r="882">
      <c r="A882" s="341"/>
      <c r="B882" s="168"/>
      <c r="C882" s="354"/>
      <c r="D882" s="353"/>
      <c r="E882" s="341"/>
      <c r="F882" s="168"/>
      <c r="G882" s="341"/>
      <c r="H882" s="168"/>
      <c r="I882" s="347"/>
      <c r="J882" s="187"/>
      <c r="K882" s="347"/>
      <c r="L882" s="187"/>
      <c r="M882" s="347"/>
      <c r="N882" s="187"/>
      <c r="O882" s="341"/>
      <c r="P882" s="168"/>
      <c r="Q882" s="205"/>
      <c r="R882" s="205"/>
      <c r="S882" s="17"/>
      <c r="T882" s="17"/>
      <c r="U882" s="17"/>
      <c r="V882" s="17"/>
      <c r="W882" s="17"/>
      <c r="X882" s="17"/>
      <c r="Y882" s="17"/>
      <c r="Z882" s="17"/>
    </row>
    <row r="883">
      <c r="A883" s="341"/>
      <c r="B883" s="168"/>
      <c r="C883" s="354"/>
      <c r="D883" s="353"/>
      <c r="E883" s="341"/>
      <c r="F883" s="168"/>
      <c r="G883" s="341"/>
      <c r="H883" s="168"/>
      <c r="I883" s="347"/>
      <c r="J883" s="187"/>
      <c r="K883" s="347"/>
      <c r="L883" s="187"/>
      <c r="M883" s="347"/>
      <c r="N883" s="187"/>
      <c r="O883" s="341"/>
      <c r="P883" s="168"/>
      <c r="Q883" s="205"/>
      <c r="R883" s="205"/>
      <c r="S883" s="17"/>
      <c r="T883" s="17"/>
      <c r="U883" s="17"/>
      <c r="V883" s="17"/>
      <c r="W883" s="17"/>
      <c r="X883" s="17"/>
      <c r="Y883" s="17"/>
      <c r="Z883" s="17"/>
    </row>
    <row r="884">
      <c r="A884" s="341"/>
      <c r="B884" s="168"/>
      <c r="C884" s="354"/>
      <c r="D884" s="353"/>
      <c r="E884" s="341"/>
      <c r="F884" s="168"/>
      <c r="G884" s="341"/>
      <c r="H884" s="168"/>
      <c r="I884" s="347"/>
      <c r="J884" s="187"/>
      <c r="K884" s="347"/>
      <c r="L884" s="187"/>
      <c r="M884" s="347"/>
      <c r="N884" s="187"/>
      <c r="O884" s="341"/>
      <c r="P884" s="168"/>
      <c r="Q884" s="205"/>
      <c r="R884" s="205"/>
      <c r="S884" s="17"/>
      <c r="T884" s="17"/>
      <c r="U884" s="17"/>
      <c r="V884" s="17"/>
      <c r="W884" s="17"/>
      <c r="X884" s="17"/>
      <c r="Y884" s="17"/>
      <c r="Z884" s="17"/>
    </row>
    <row r="885">
      <c r="A885" s="341"/>
      <c r="B885" s="168"/>
      <c r="C885" s="354"/>
      <c r="D885" s="353"/>
      <c r="E885" s="341"/>
      <c r="F885" s="168"/>
      <c r="G885" s="341"/>
      <c r="H885" s="168"/>
      <c r="I885" s="347"/>
      <c r="J885" s="187"/>
      <c r="K885" s="347"/>
      <c r="L885" s="187"/>
      <c r="M885" s="347"/>
      <c r="N885" s="187"/>
      <c r="O885" s="341"/>
      <c r="P885" s="168"/>
      <c r="Q885" s="205"/>
      <c r="R885" s="205"/>
      <c r="S885" s="17"/>
      <c r="T885" s="17"/>
      <c r="U885" s="17"/>
      <c r="V885" s="17"/>
      <c r="W885" s="17"/>
      <c r="X885" s="17"/>
      <c r="Y885" s="17"/>
      <c r="Z885" s="17"/>
    </row>
    <row r="886">
      <c r="A886" s="341"/>
      <c r="B886" s="168"/>
      <c r="C886" s="354"/>
      <c r="D886" s="353"/>
      <c r="E886" s="341"/>
      <c r="F886" s="168"/>
      <c r="G886" s="341"/>
      <c r="H886" s="168"/>
      <c r="I886" s="347"/>
      <c r="J886" s="187"/>
      <c r="K886" s="347"/>
      <c r="L886" s="187"/>
      <c r="M886" s="347"/>
      <c r="N886" s="187"/>
      <c r="O886" s="341"/>
      <c r="P886" s="168"/>
      <c r="Q886" s="205"/>
      <c r="R886" s="205"/>
      <c r="S886" s="17"/>
      <c r="T886" s="17"/>
      <c r="U886" s="17"/>
      <c r="V886" s="17"/>
      <c r="W886" s="17"/>
      <c r="X886" s="17"/>
      <c r="Y886" s="17"/>
      <c r="Z886" s="17"/>
    </row>
    <row r="887">
      <c r="A887" s="341"/>
      <c r="B887" s="168"/>
      <c r="C887" s="354"/>
      <c r="D887" s="353"/>
      <c r="E887" s="341"/>
      <c r="F887" s="168"/>
      <c r="G887" s="341"/>
      <c r="H887" s="168"/>
      <c r="I887" s="347"/>
      <c r="J887" s="187"/>
      <c r="K887" s="347"/>
      <c r="L887" s="187"/>
      <c r="M887" s="347"/>
      <c r="N887" s="187"/>
      <c r="O887" s="341"/>
      <c r="P887" s="168"/>
      <c r="Q887" s="205"/>
      <c r="R887" s="205"/>
      <c r="S887" s="17"/>
      <c r="T887" s="17"/>
      <c r="U887" s="17"/>
      <c r="V887" s="17"/>
      <c r="W887" s="17"/>
      <c r="X887" s="17"/>
      <c r="Y887" s="17"/>
      <c r="Z887" s="17"/>
    </row>
    <row r="888">
      <c r="A888" s="341"/>
      <c r="B888" s="168"/>
      <c r="C888" s="354"/>
      <c r="D888" s="353"/>
      <c r="E888" s="341"/>
      <c r="F888" s="168"/>
      <c r="G888" s="341"/>
      <c r="H888" s="168"/>
      <c r="I888" s="347"/>
      <c r="J888" s="187"/>
      <c r="K888" s="347"/>
      <c r="L888" s="187"/>
      <c r="M888" s="347"/>
      <c r="N888" s="187"/>
      <c r="O888" s="341"/>
      <c r="P888" s="168"/>
      <c r="Q888" s="205"/>
      <c r="R888" s="205"/>
      <c r="S888" s="17"/>
      <c r="T888" s="17"/>
      <c r="U888" s="17"/>
      <c r="V888" s="17"/>
      <c r="W888" s="17"/>
      <c r="X888" s="17"/>
      <c r="Y888" s="17"/>
      <c r="Z888" s="17"/>
    </row>
    <row r="889">
      <c r="A889" s="341"/>
      <c r="B889" s="168"/>
      <c r="C889" s="354"/>
      <c r="D889" s="353"/>
      <c r="E889" s="341"/>
      <c r="F889" s="168"/>
      <c r="G889" s="341"/>
      <c r="H889" s="168"/>
      <c r="I889" s="347"/>
      <c r="J889" s="187"/>
      <c r="K889" s="347"/>
      <c r="L889" s="187"/>
      <c r="M889" s="347"/>
      <c r="N889" s="187"/>
      <c r="O889" s="341"/>
      <c r="P889" s="168"/>
      <c r="Q889" s="205"/>
      <c r="R889" s="205"/>
      <c r="S889" s="17"/>
      <c r="T889" s="17"/>
      <c r="U889" s="17"/>
      <c r="V889" s="17"/>
      <c r="W889" s="17"/>
      <c r="X889" s="17"/>
      <c r="Y889" s="17"/>
      <c r="Z889" s="17"/>
    </row>
    <row r="890">
      <c r="A890" s="341"/>
      <c r="B890" s="168"/>
      <c r="C890" s="354"/>
      <c r="D890" s="353"/>
      <c r="E890" s="341"/>
      <c r="F890" s="168"/>
      <c r="G890" s="341"/>
      <c r="H890" s="168"/>
      <c r="I890" s="347"/>
      <c r="J890" s="187"/>
      <c r="K890" s="347"/>
      <c r="L890" s="187"/>
      <c r="M890" s="347"/>
      <c r="N890" s="187"/>
      <c r="O890" s="341"/>
      <c r="P890" s="168"/>
      <c r="Q890" s="205"/>
      <c r="R890" s="205"/>
      <c r="S890" s="17"/>
      <c r="T890" s="17"/>
      <c r="U890" s="17"/>
      <c r="V890" s="17"/>
      <c r="W890" s="17"/>
      <c r="X890" s="17"/>
      <c r="Y890" s="17"/>
      <c r="Z890" s="17"/>
    </row>
    <row r="891">
      <c r="A891" s="341"/>
      <c r="B891" s="168"/>
      <c r="C891" s="354"/>
      <c r="D891" s="353"/>
      <c r="E891" s="341"/>
      <c r="F891" s="168"/>
      <c r="G891" s="341"/>
      <c r="H891" s="168"/>
      <c r="I891" s="347"/>
      <c r="J891" s="187"/>
      <c r="K891" s="347"/>
      <c r="L891" s="187"/>
      <c r="M891" s="347"/>
      <c r="N891" s="187"/>
      <c r="O891" s="341"/>
      <c r="P891" s="168"/>
      <c r="Q891" s="205"/>
      <c r="R891" s="205"/>
      <c r="S891" s="17"/>
      <c r="T891" s="17"/>
      <c r="U891" s="17"/>
      <c r="V891" s="17"/>
      <c r="W891" s="17"/>
      <c r="X891" s="17"/>
      <c r="Y891" s="17"/>
      <c r="Z891" s="17"/>
    </row>
    <row r="892">
      <c r="A892" s="341"/>
      <c r="B892" s="168"/>
      <c r="C892" s="354"/>
      <c r="D892" s="353"/>
      <c r="E892" s="341"/>
      <c r="F892" s="168"/>
      <c r="G892" s="341"/>
      <c r="H892" s="168"/>
      <c r="I892" s="347"/>
      <c r="J892" s="187"/>
      <c r="K892" s="347"/>
      <c r="L892" s="187"/>
      <c r="M892" s="347"/>
      <c r="N892" s="187"/>
      <c r="O892" s="341"/>
      <c r="P892" s="168"/>
      <c r="Q892" s="205"/>
      <c r="R892" s="205"/>
      <c r="S892" s="17"/>
      <c r="T892" s="17"/>
      <c r="U892" s="17"/>
      <c r="V892" s="17"/>
      <c r="W892" s="17"/>
      <c r="X892" s="17"/>
      <c r="Y892" s="17"/>
      <c r="Z892" s="17"/>
    </row>
    <row r="893">
      <c r="A893" s="341"/>
      <c r="B893" s="168"/>
      <c r="C893" s="354"/>
      <c r="D893" s="353"/>
      <c r="E893" s="341"/>
      <c r="F893" s="168"/>
      <c r="G893" s="341"/>
      <c r="H893" s="168"/>
      <c r="I893" s="347"/>
      <c r="J893" s="187"/>
      <c r="K893" s="347"/>
      <c r="L893" s="187"/>
      <c r="M893" s="347"/>
      <c r="N893" s="187"/>
      <c r="O893" s="341"/>
      <c r="P893" s="168"/>
      <c r="Q893" s="205"/>
      <c r="R893" s="205"/>
      <c r="S893" s="17"/>
      <c r="T893" s="17"/>
      <c r="U893" s="17"/>
      <c r="V893" s="17"/>
      <c r="W893" s="17"/>
      <c r="X893" s="17"/>
      <c r="Y893" s="17"/>
      <c r="Z893" s="17"/>
    </row>
    <row r="894">
      <c r="A894" s="341"/>
      <c r="B894" s="168"/>
      <c r="C894" s="354"/>
      <c r="D894" s="353"/>
      <c r="E894" s="341"/>
      <c r="F894" s="168"/>
      <c r="G894" s="341"/>
      <c r="H894" s="168"/>
      <c r="I894" s="347"/>
      <c r="J894" s="187"/>
      <c r="K894" s="347"/>
      <c r="L894" s="187"/>
      <c r="M894" s="347"/>
      <c r="N894" s="187"/>
      <c r="O894" s="341"/>
      <c r="P894" s="168"/>
      <c r="Q894" s="205"/>
      <c r="R894" s="205"/>
      <c r="S894" s="17"/>
      <c r="T894" s="17"/>
      <c r="U894" s="17"/>
      <c r="V894" s="17"/>
      <c r="W894" s="17"/>
      <c r="X894" s="17"/>
      <c r="Y894" s="17"/>
      <c r="Z894" s="17"/>
    </row>
    <row r="895">
      <c r="A895" s="341"/>
      <c r="B895" s="168"/>
      <c r="C895" s="354"/>
      <c r="D895" s="353"/>
      <c r="E895" s="341"/>
      <c r="F895" s="168"/>
      <c r="G895" s="341"/>
      <c r="H895" s="168"/>
      <c r="I895" s="347"/>
      <c r="J895" s="187"/>
      <c r="K895" s="347"/>
      <c r="L895" s="187"/>
      <c r="M895" s="347"/>
      <c r="N895" s="187"/>
      <c r="O895" s="341"/>
      <c r="P895" s="168"/>
      <c r="Q895" s="205"/>
      <c r="R895" s="205"/>
      <c r="S895" s="17"/>
      <c r="T895" s="17"/>
      <c r="U895" s="17"/>
      <c r="V895" s="17"/>
      <c r="W895" s="17"/>
      <c r="X895" s="17"/>
      <c r="Y895" s="17"/>
      <c r="Z895" s="17"/>
    </row>
    <row r="896">
      <c r="A896" s="341"/>
      <c r="B896" s="168"/>
      <c r="C896" s="354"/>
      <c r="D896" s="353"/>
      <c r="E896" s="341"/>
      <c r="F896" s="168"/>
      <c r="G896" s="341"/>
      <c r="H896" s="168"/>
      <c r="I896" s="347"/>
      <c r="J896" s="187"/>
      <c r="K896" s="347"/>
      <c r="L896" s="187"/>
      <c r="M896" s="347"/>
      <c r="N896" s="187"/>
      <c r="O896" s="341"/>
      <c r="P896" s="168"/>
      <c r="Q896" s="205"/>
      <c r="R896" s="205"/>
      <c r="S896" s="17"/>
      <c r="T896" s="17"/>
      <c r="U896" s="17"/>
      <c r="V896" s="17"/>
      <c r="W896" s="17"/>
      <c r="X896" s="17"/>
      <c r="Y896" s="17"/>
      <c r="Z896" s="17"/>
    </row>
    <row r="897">
      <c r="A897" s="341"/>
      <c r="B897" s="168"/>
      <c r="C897" s="354"/>
      <c r="D897" s="353"/>
      <c r="E897" s="341"/>
      <c r="F897" s="168"/>
      <c r="G897" s="341"/>
      <c r="H897" s="168"/>
      <c r="I897" s="347"/>
      <c r="J897" s="187"/>
      <c r="K897" s="347"/>
      <c r="L897" s="187"/>
      <c r="M897" s="347"/>
      <c r="N897" s="187"/>
      <c r="O897" s="341"/>
      <c r="P897" s="168"/>
      <c r="Q897" s="205"/>
      <c r="R897" s="205"/>
      <c r="S897" s="17"/>
      <c r="T897" s="17"/>
      <c r="U897" s="17"/>
      <c r="V897" s="17"/>
      <c r="W897" s="17"/>
      <c r="X897" s="17"/>
      <c r="Y897" s="17"/>
      <c r="Z897" s="17"/>
    </row>
    <row r="898">
      <c r="A898" s="341"/>
      <c r="B898" s="168"/>
      <c r="C898" s="354"/>
      <c r="D898" s="353"/>
      <c r="E898" s="341"/>
      <c r="F898" s="168"/>
      <c r="G898" s="341"/>
      <c r="H898" s="168"/>
      <c r="I898" s="347"/>
      <c r="J898" s="187"/>
      <c r="K898" s="347"/>
      <c r="L898" s="187"/>
      <c r="M898" s="347"/>
      <c r="N898" s="187"/>
      <c r="O898" s="341"/>
      <c r="P898" s="168"/>
      <c r="Q898" s="205"/>
      <c r="R898" s="205"/>
      <c r="S898" s="17"/>
      <c r="T898" s="17"/>
      <c r="U898" s="17"/>
      <c r="V898" s="17"/>
      <c r="W898" s="17"/>
      <c r="X898" s="17"/>
      <c r="Y898" s="17"/>
      <c r="Z898" s="17"/>
    </row>
    <row r="899">
      <c r="A899" s="341"/>
      <c r="B899" s="168"/>
      <c r="C899" s="354"/>
      <c r="D899" s="353"/>
      <c r="E899" s="341"/>
      <c r="F899" s="168"/>
      <c r="G899" s="341"/>
      <c r="H899" s="168"/>
      <c r="I899" s="347"/>
      <c r="J899" s="187"/>
      <c r="K899" s="347"/>
      <c r="L899" s="187"/>
      <c r="M899" s="347"/>
      <c r="N899" s="187"/>
      <c r="O899" s="341"/>
      <c r="P899" s="168"/>
      <c r="Q899" s="205"/>
      <c r="R899" s="205"/>
      <c r="S899" s="17"/>
      <c r="T899" s="17"/>
      <c r="U899" s="17"/>
      <c r="V899" s="17"/>
      <c r="W899" s="17"/>
      <c r="X899" s="17"/>
      <c r="Y899" s="17"/>
      <c r="Z899" s="17"/>
    </row>
    <row r="900">
      <c r="A900" s="341"/>
      <c r="B900" s="168"/>
      <c r="C900" s="354"/>
      <c r="D900" s="353"/>
      <c r="E900" s="341"/>
      <c r="F900" s="168"/>
      <c r="G900" s="341"/>
      <c r="H900" s="168"/>
      <c r="I900" s="347"/>
      <c r="J900" s="187"/>
      <c r="K900" s="347"/>
      <c r="L900" s="187"/>
      <c r="M900" s="347"/>
      <c r="N900" s="187"/>
      <c r="O900" s="341"/>
      <c r="P900" s="168"/>
      <c r="Q900" s="205"/>
      <c r="R900" s="205"/>
      <c r="S900" s="17"/>
      <c r="T900" s="17"/>
      <c r="U900" s="17"/>
      <c r="V900" s="17"/>
      <c r="W900" s="17"/>
      <c r="X900" s="17"/>
      <c r="Y900" s="17"/>
      <c r="Z900" s="17"/>
    </row>
    <row r="901">
      <c r="A901" s="341"/>
      <c r="B901" s="168"/>
      <c r="C901" s="354"/>
      <c r="D901" s="353"/>
      <c r="E901" s="341"/>
      <c r="F901" s="168"/>
      <c r="G901" s="341"/>
      <c r="H901" s="168"/>
      <c r="I901" s="347"/>
      <c r="J901" s="187"/>
      <c r="K901" s="347"/>
      <c r="L901" s="187"/>
      <c r="M901" s="347"/>
      <c r="N901" s="187"/>
      <c r="O901" s="341"/>
      <c r="P901" s="168"/>
      <c r="Q901" s="205"/>
      <c r="R901" s="205"/>
      <c r="S901" s="17"/>
      <c r="T901" s="17"/>
      <c r="U901" s="17"/>
      <c r="V901" s="17"/>
      <c r="W901" s="17"/>
      <c r="X901" s="17"/>
      <c r="Y901" s="17"/>
      <c r="Z901" s="17"/>
    </row>
    <row r="902">
      <c r="A902" s="341"/>
      <c r="B902" s="168"/>
      <c r="C902" s="354"/>
      <c r="D902" s="353"/>
      <c r="E902" s="341"/>
      <c r="F902" s="168"/>
      <c r="G902" s="341"/>
      <c r="H902" s="168"/>
      <c r="I902" s="347"/>
      <c r="J902" s="187"/>
      <c r="K902" s="347"/>
      <c r="L902" s="187"/>
      <c r="M902" s="347"/>
      <c r="N902" s="187"/>
      <c r="O902" s="341"/>
      <c r="P902" s="168"/>
      <c r="Q902" s="205"/>
      <c r="R902" s="205"/>
      <c r="S902" s="17"/>
      <c r="T902" s="17"/>
      <c r="U902" s="17"/>
      <c r="V902" s="17"/>
      <c r="W902" s="17"/>
      <c r="X902" s="17"/>
      <c r="Y902" s="17"/>
      <c r="Z902" s="17"/>
    </row>
    <row r="903">
      <c r="A903" s="341"/>
      <c r="B903" s="168"/>
      <c r="C903" s="354"/>
      <c r="D903" s="353"/>
      <c r="E903" s="341"/>
      <c r="F903" s="168"/>
      <c r="G903" s="341"/>
      <c r="H903" s="168"/>
      <c r="I903" s="347"/>
      <c r="J903" s="187"/>
      <c r="K903" s="347"/>
      <c r="L903" s="187"/>
      <c r="M903" s="347"/>
      <c r="N903" s="187"/>
      <c r="O903" s="341"/>
      <c r="P903" s="168"/>
      <c r="Q903" s="205"/>
      <c r="R903" s="205"/>
      <c r="S903" s="17"/>
      <c r="T903" s="17"/>
      <c r="U903" s="17"/>
      <c r="V903" s="17"/>
      <c r="W903" s="17"/>
      <c r="X903" s="17"/>
      <c r="Y903" s="17"/>
      <c r="Z903" s="17"/>
    </row>
    <row r="904">
      <c r="A904" s="341"/>
      <c r="B904" s="168"/>
      <c r="C904" s="354"/>
      <c r="D904" s="353"/>
      <c r="E904" s="341"/>
      <c r="F904" s="168"/>
      <c r="G904" s="341"/>
      <c r="H904" s="168"/>
      <c r="I904" s="347"/>
      <c r="J904" s="187"/>
      <c r="K904" s="347"/>
      <c r="L904" s="187"/>
      <c r="M904" s="347"/>
      <c r="N904" s="187"/>
      <c r="O904" s="341"/>
      <c r="P904" s="168"/>
      <c r="Q904" s="205"/>
      <c r="R904" s="205"/>
      <c r="S904" s="17"/>
      <c r="T904" s="17"/>
      <c r="U904" s="17"/>
      <c r="V904" s="17"/>
      <c r="W904" s="17"/>
      <c r="X904" s="17"/>
      <c r="Y904" s="17"/>
      <c r="Z904" s="17"/>
    </row>
    <row r="905">
      <c r="A905" s="341"/>
      <c r="B905" s="168"/>
      <c r="C905" s="354"/>
      <c r="D905" s="353"/>
      <c r="E905" s="341"/>
      <c r="F905" s="168"/>
      <c r="G905" s="341"/>
      <c r="H905" s="168"/>
      <c r="I905" s="347"/>
      <c r="J905" s="187"/>
      <c r="K905" s="347"/>
      <c r="L905" s="187"/>
      <c r="M905" s="347"/>
      <c r="N905" s="187"/>
      <c r="O905" s="341"/>
      <c r="P905" s="168"/>
      <c r="Q905" s="205"/>
      <c r="R905" s="205"/>
      <c r="S905" s="17"/>
      <c r="T905" s="17"/>
      <c r="U905" s="17"/>
      <c r="V905" s="17"/>
      <c r="W905" s="17"/>
      <c r="X905" s="17"/>
      <c r="Y905" s="17"/>
      <c r="Z905" s="17"/>
    </row>
    <row r="906">
      <c r="A906" s="341"/>
      <c r="B906" s="168"/>
      <c r="C906" s="354"/>
      <c r="D906" s="353"/>
      <c r="E906" s="341"/>
      <c r="F906" s="168"/>
      <c r="G906" s="341"/>
      <c r="H906" s="168"/>
      <c r="I906" s="347"/>
      <c r="J906" s="187"/>
      <c r="K906" s="347"/>
      <c r="L906" s="187"/>
      <c r="M906" s="347"/>
      <c r="N906" s="187"/>
      <c r="O906" s="341"/>
      <c r="P906" s="168"/>
      <c r="Q906" s="205"/>
      <c r="R906" s="205"/>
      <c r="S906" s="17"/>
      <c r="T906" s="17"/>
      <c r="U906" s="17"/>
      <c r="V906" s="17"/>
      <c r="W906" s="17"/>
      <c r="X906" s="17"/>
      <c r="Y906" s="17"/>
      <c r="Z906" s="17"/>
    </row>
    <row r="907">
      <c r="A907" s="341"/>
      <c r="B907" s="168"/>
      <c r="C907" s="354"/>
      <c r="D907" s="353"/>
      <c r="E907" s="341"/>
      <c r="F907" s="168"/>
      <c r="G907" s="341"/>
      <c r="H907" s="168"/>
      <c r="I907" s="347"/>
      <c r="J907" s="187"/>
      <c r="K907" s="347"/>
      <c r="L907" s="187"/>
      <c r="M907" s="347"/>
      <c r="N907" s="187"/>
      <c r="O907" s="341"/>
      <c r="P907" s="168"/>
      <c r="Q907" s="205"/>
      <c r="R907" s="205"/>
      <c r="S907" s="17"/>
      <c r="T907" s="17"/>
      <c r="U907" s="17"/>
      <c r="V907" s="17"/>
      <c r="W907" s="17"/>
      <c r="X907" s="17"/>
      <c r="Y907" s="17"/>
      <c r="Z907" s="17"/>
    </row>
    <row r="908">
      <c r="A908" s="341"/>
      <c r="B908" s="168"/>
      <c r="C908" s="354"/>
      <c r="D908" s="353"/>
      <c r="E908" s="341"/>
      <c r="F908" s="168"/>
      <c r="G908" s="341"/>
      <c r="H908" s="168"/>
      <c r="I908" s="347"/>
      <c r="J908" s="187"/>
      <c r="K908" s="347"/>
      <c r="L908" s="187"/>
      <c r="M908" s="347"/>
      <c r="N908" s="187"/>
      <c r="O908" s="341"/>
      <c r="P908" s="168"/>
      <c r="Q908" s="205"/>
      <c r="R908" s="205"/>
      <c r="S908" s="17"/>
      <c r="T908" s="17"/>
      <c r="U908" s="17"/>
      <c r="V908" s="17"/>
      <c r="W908" s="17"/>
      <c r="X908" s="17"/>
      <c r="Y908" s="17"/>
      <c r="Z908" s="17"/>
    </row>
    <row r="909">
      <c r="A909" s="341"/>
      <c r="B909" s="168"/>
      <c r="C909" s="354"/>
      <c r="D909" s="353"/>
      <c r="E909" s="341"/>
      <c r="F909" s="168"/>
      <c r="G909" s="341"/>
      <c r="H909" s="168"/>
      <c r="I909" s="347"/>
      <c r="J909" s="187"/>
      <c r="K909" s="347"/>
      <c r="L909" s="187"/>
      <c r="M909" s="347"/>
      <c r="N909" s="187"/>
      <c r="O909" s="341"/>
      <c r="P909" s="168"/>
      <c r="Q909" s="205"/>
      <c r="R909" s="205"/>
      <c r="S909" s="17"/>
      <c r="T909" s="17"/>
      <c r="U909" s="17"/>
      <c r="V909" s="17"/>
      <c r="W909" s="17"/>
      <c r="X909" s="17"/>
      <c r="Y909" s="17"/>
      <c r="Z909" s="17"/>
    </row>
    <row r="910">
      <c r="A910" s="341"/>
      <c r="B910" s="168"/>
      <c r="C910" s="354"/>
      <c r="D910" s="353"/>
      <c r="E910" s="341"/>
      <c r="F910" s="168"/>
      <c r="G910" s="341"/>
      <c r="H910" s="168"/>
      <c r="I910" s="347"/>
      <c r="J910" s="187"/>
      <c r="K910" s="347"/>
      <c r="L910" s="187"/>
      <c r="M910" s="347"/>
      <c r="N910" s="187"/>
      <c r="O910" s="341"/>
      <c r="P910" s="168"/>
      <c r="Q910" s="205"/>
      <c r="R910" s="205"/>
      <c r="S910" s="17"/>
      <c r="T910" s="17"/>
      <c r="U910" s="17"/>
      <c r="V910" s="17"/>
      <c r="W910" s="17"/>
      <c r="X910" s="17"/>
      <c r="Y910" s="17"/>
      <c r="Z910" s="17"/>
    </row>
    <row r="911">
      <c r="A911" s="341"/>
      <c r="B911" s="168"/>
      <c r="C911" s="354"/>
      <c r="D911" s="353"/>
      <c r="E911" s="341"/>
      <c r="F911" s="168"/>
      <c r="G911" s="341"/>
      <c r="H911" s="168"/>
      <c r="I911" s="347"/>
      <c r="J911" s="187"/>
      <c r="K911" s="347"/>
      <c r="L911" s="187"/>
      <c r="M911" s="347"/>
      <c r="N911" s="187"/>
      <c r="O911" s="341"/>
      <c r="P911" s="168"/>
      <c r="Q911" s="205"/>
      <c r="R911" s="205"/>
      <c r="S911" s="17"/>
      <c r="T911" s="17"/>
      <c r="U911" s="17"/>
      <c r="V911" s="17"/>
      <c r="W911" s="17"/>
      <c r="X911" s="17"/>
      <c r="Y911" s="17"/>
      <c r="Z911" s="17"/>
    </row>
    <row r="912">
      <c r="A912" s="341"/>
      <c r="B912" s="168"/>
      <c r="C912" s="354"/>
      <c r="D912" s="353"/>
      <c r="E912" s="341"/>
      <c r="F912" s="168"/>
      <c r="G912" s="341"/>
      <c r="H912" s="168"/>
      <c r="I912" s="347"/>
      <c r="J912" s="187"/>
      <c r="K912" s="347"/>
      <c r="L912" s="187"/>
      <c r="M912" s="347"/>
      <c r="N912" s="187"/>
      <c r="O912" s="341"/>
      <c r="P912" s="168"/>
      <c r="Q912" s="205"/>
      <c r="R912" s="205"/>
      <c r="S912" s="17"/>
      <c r="T912" s="17"/>
      <c r="U912" s="17"/>
      <c r="V912" s="17"/>
      <c r="W912" s="17"/>
      <c r="X912" s="17"/>
      <c r="Y912" s="17"/>
      <c r="Z912" s="17"/>
    </row>
    <row r="913">
      <c r="A913" s="341"/>
      <c r="B913" s="168"/>
      <c r="C913" s="354"/>
      <c r="D913" s="353"/>
      <c r="E913" s="341"/>
      <c r="F913" s="168"/>
      <c r="G913" s="341"/>
      <c r="H913" s="168"/>
      <c r="I913" s="347"/>
      <c r="J913" s="187"/>
      <c r="K913" s="347"/>
      <c r="L913" s="187"/>
      <c r="M913" s="347"/>
      <c r="N913" s="187"/>
      <c r="O913" s="341"/>
      <c r="P913" s="168"/>
      <c r="Q913" s="205"/>
      <c r="R913" s="205"/>
      <c r="S913" s="17"/>
      <c r="T913" s="17"/>
      <c r="U913" s="17"/>
      <c r="V913" s="17"/>
      <c r="W913" s="17"/>
      <c r="X913" s="17"/>
      <c r="Y913" s="17"/>
      <c r="Z913" s="17"/>
    </row>
    <row r="914">
      <c r="A914" s="341"/>
      <c r="B914" s="168"/>
      <c r="C914" s="354"/>
      <c r="D914" s="353"/>
      <c r="E914" s="341"/>
      <c r="F914" s="168"/>
      <c r="G914" s="341"/>
      <c r="H914" s="168"/>
      <c r="I914" s="347"/>
      <c r="J914" s="187"/>
      <c r="K914" s="347"/>
      <c r="L914" s="187"/>
      <c r="M914" s="347"/>
      <c r="N914" s="187"/>
      <c r="O914" s="341"/>
      <c r="P914" s="168"/>
      <c r="Q914" s="205"/>
      <c r="R914" s="205"/>
      <c r="S914" s="17"/>
      <c r="T914" s="17"/>
      <c r="U914" s="17"/>
      <c r="V914" s="17"/>
      <c r="W914" s="17"/>
      <c r="X914" s="17"/>
      <c r="Y914" s="17"/>
      <c r="Z914" s="17"/>
    </row>
    <row r="915">
      <c r="A915" s="341"/>
      <c r="B915" s="168"/>
      <c r="C915" s="354"/>
      <c r="D915" s="353"/>
      <c r="E915" s="341"/>
      <c r="F915" s="168"/>
      <c r="G915" s="341"/>
      <c r="H915" s="168"/>
      <c r="I915" s="347"/>
      <c r="J915" s="187"/>
      <c r="K915" s="347"/>
      <c r="L915" s="187"/>
      <c r="M915" s="347"/>
      <c r="N915" s="187"/>
      <c r="O915" s="341"/>
      <c r="P915" s="168"/>
      <c r="Q915" s="205"/>
      <c r="R915" s="205"/>
      <c r="S915" s="17"/>
      <c r="T915" s="17"/>
      <c r="U915" s="17"/>
      <c r="V915" s="17"/>
      <c r="W915" s="17"/>
      <c r="X915" s="17"/>
      <c r="Y915" s="17"/>
      <c r="Z915" s="17"/>
    </row>
    <row r="916">
      <c r="A916" s="341"/>
      <c r="B916" s="168"/>
      <c r="C916" s="354"/>
      <c r="D916" s="353"/>
      <c r="E916" s="341"/>
      <c r="F916" s="168"/>
      <c r="G916" s="341"/>
      <c r="H916" s="168"/>
      <c r="I916" s="347"/>
      <c r="J916" s="187"/>
      <c r="K916" s="347"/>
      <c r="L916" s="187"/>
      <c r="M916" s="347"/>
      <c r="N916" s="187"/>
      <c r="O916" s="341"/>
      <c r="P916" s="168"/>
      <c r="Q916" s="205"/>
      <c r="R916" s="205"/>
      <c r="S916" s="17"/>
      <c r="T916" s="17"/>
      <c r="U916" s="17"/>
      <c r="V916" s="17"/>
      <c r="W916" s="17"/>
      <c r="X916" s="17"/>
      <c r="Y916" s="17"/>
      <c r="Z916" s="17"/>
    </row>
    <row r="917">
      <c r="A917" s="341"/>
      <c r="B917" s="168"/>
      <c r="C917" s="354"/>
      <c r="D917" s="353"/>
      <c r="E917" s="341"/>
      <c r="F917" s="168"/>
      <c r="G917" s="341"/>
      <c r="H917" s="168"/>
      <c r="I917" s="347"/>
      <c r="J917" s="187"/>
      <c r="K917" s="347"/>
      <c r="L917" s="187"/>
      <c r="M917" s="347"/>
      <c r="N917" s="187"/>
      <c r="O917" s="341"/>
      <c r="P917" s="168"/>
      <c r="Q917" s="205"/>
      <c r="R917" s="205"/>
      <c r="S917" s="17"/>
      <c r="T917" s="17"/>
      <c r="U917" s="17"/>
      <c r="V917" s="17"/>
      <c r="W917" s="17"/>
      <c r="X917" s="17"/>
      <c r="Y917" s="17"/>
      <c r="Z917" s="17"/>
    </row>
    <row r="918">
      <c r="A918" s="341"/>
      <c r="B918" s="168"/>
      <c r="C918" s="354"/>
      <c r="D918" s="353"/>
      <c r="E918" s="341"/>
      <c r="F918" s="168"/>
      <c r="G918" s="341"/>
      <c r="H918" s="168"/>
      <c r="I918" s="347"/>
      <c r="J918" s="187"/>
      <c r="K918" s="347"/>
      <c r="L918" s="187"/>
      <c r="M918" s="347"/>
      <c r="N918" s="187"/>
      <c r="O918" s="341"/>
      <c r="P918" s="168"/>
      <c r="Q918" s="205"/>
      <c r="R918" s="205"/>
      <c r="S918" s="17"/>
      <c r="T918" s="17"/>
      <c r="U918" s="17"/>
      <c r="V918" s="17"/>
      <c r="W918" s="17"/>
      <c r="X918" s="17"/>
      <c r="Y918" s="17"/>
      <c r="Z918" s="17"/>
    </row>
    <row r="919">
      <c r="A919" s="341"/>
      <c r="B919" s="168"/>
      <c r="C919" s="354"/>
      <c r="D919" s="353"/>
      <c r="E919" s="341"/>
      <c r="F919" s="168"/>
      <c r="G919" s="341"/>
      <c r="H919" s="168"/>
      <c r="I919" s="347"/>
      <c r="J919" s="187"/>
      <c r="K919" s="347"/>
      <c r="L919" s="187"/>
      <c r="M919" s="347"/>
      <c r="N919" s="187"/>
      <c r="O919" s="341"/>
      <c r="P919" s="168"/>
      <c r="Q919" s="205"/>
      <c r="R919" s="205"/>
      <c r="S919" s="17"/>
      <c r="T919" s="17"/>
      <c r="U919" s="17"/>
      <c r="V919" s="17"/>
      <c r="W919" s="17"/>
      <c r="X919" s="17"/>
      <c r="Y919" s="17"/>
      <c r="Z919" s="17"/>
    </row>
    <row r="920">
      <c r="A920" s="341"/>
      <c r="B920" s="168"/>
      <c r="C920" s="354"/>
      <c r="D920" s="353"/>
      <c r="E920" s="341"/>
      <c r="F920" s="168"/>
      <c r="G920" s="341"/>
      <c r="H920" s="168"/>
      <c r="I920" s="347"/>
      <c r="J920" s="187"/>
      <c r="K920" s="347"/>
      <c r="L920" s="187"/>
      <c r="M920" s="347"/>
      <c r="N920" s="187"/>
      <c r="O920" s="341"/>
      <c r="P920" s="168"/>
      <c r="Q920" s="205"/>
      <c r="R920" s="205"/>
      <c r="S920" s="17"/>
      <c r="T920" s="17"/>
      <c r="U920" s="17"/>
      <c r="V920" s="17"/>
      <c r="W920" s="17"/>
      <c r="X920" s="17"/>
      <c r="Y920" s="17"/>
      <c r="Z920" s="17"/>
    </row>
    <row r="921">
      <c r="A921" s="341"/>
      <c r="B921" s="168"/>
      <c r="C921" s="354"/>
      <c r="D921" s="353"/>
      <c r="E921" s="341"/>
      <c r="F921" s="168"/>
      <c r="G921" s="341"/>
      <c r="H921" s="168"/>
      <c r="I921" s="347"/>
      <c r="J921" s="187"/>
      <c r="K921" s="347"/>
      <c r="L921" s="187"/>
      <c r="M921" s="347"/>
      <c r="N921" s="187"/>
      <c r="O921" s="341"/>
      <c r="P921" s="168"/>
      <c r="Q921" s="205"/>
      <c r="R921" s="205"/>
      <c r="S921" s="17"/>
      <c r="T921" s="17"/>
      <c r="U921" s="17"/>
      <c r="V921" s="17"/>
      <c r="W921" s="17"/>
      <c r="X921" s="17"/>
      <c r="Y921" s="17"/>
      <c r="Z921" s="17"/>
    </row>
    <row r="922">
      <c r="A922" s="341"/>
      <c r="B922" s="168"/>
      <c r="C922" s="354"/>
      <c r="D922" s="353"/>
      <c r="E922" s="341"/>
      <c r="F922" s="168"/>
      <c r="G922" s="341"/>
      <c r="H922" s="168"/>
      <c r="I922" s="347"/>
      <c r="J922" s="187"/>
      <c r="K922" s="347"/>
      <c r="L922" s="187"/>
      <c r="M922" s="347"/>
      <c r="N922" s="187"/>
      <c r="O922" s="341"/>
      <c r="P922" s="168"/>
      <c r="Q922" s="205"/>
      <c r="R922" s="205"/>
      <c r="S922" s="17"/>
      <c r="T922" s="17"/>
      <c r="U922" s="17"/>
      <c r="V922" s="17"/>
      <c r="W922" s="17"/>
      <c r="X922" s="17"/>
      <c r="Y922" s="17"/>
      <c r="Z922" s="17"/>
    </row>
    <row r="923">
      <c r="A923" s="341"/>
      <c r="B923" s="168"/>
      <c r="C923" s="354"/>
      <c r="D923" s="353"/>
      <c r="E923" s="341"/>
      <c r="F923" s="168"/>
      <c r="G923" s="341"/>
      <c r="H923" s="168"/>
      <c r="I923" s="347"/>
      <c r="J923" s="187"/>
      <c r="K923" s="347"/>
      <c r="L923" s="187"/>
      <c r="M923" s="347"/>
      <c r="N923" s="187"/>
      <c r="O923" s="341"/>
      <c r="P923" s="168"/>
      <c r="Q923" s="205"/>
      <c r="R923" s="205"/>
      <c r="S923" s="17"/>
      <c r="T923" s="17"/>
      <c r="U923" s="17"/>
      <c r="V923" s="17"/>
      <c r="W923" s="17"/>
      <c r="X923" s="17"/>
      <c r="Y923" s="17"/>
      <c r="Z923" s="17"/>
    </row>
    <row r="924">
      <c r="A924" s="341"/>
      <c r="B924" s="168"/>
      <c r="C924" s="354"/>
      <c r="D924" s="353"/>
      <c r="E924" s="341"/>
      <c r="F924" s="168"/>
      <c r="G924" s="341"/>
      <c r="H924" s="168"/>
      <c r="I924" s="347"/>
      <c r="J924" s="187"/>
      <c r="K924" s="347"/>
      <c r="L924" s="187"/>
      <c r="M924" s="347"/>
      <c r="N924" s="187"/>
      <c r="O924" s="341"/>
      <c r="P924" s="168"/>
      <c r="Q924" s="205"/>
      <c r="R924" s="205"/>
      <c r="S924" s="17"/>
      <c r="T924" s="17"/>
      <c r="U924" s="17"/>
      <c r="V924" s="17"/>
      <c r="W924" s="17"/>
      <c r="X924" s="17"/>
      <c r="Y924" s="17"/>
      <c r="Z924" s="17"/>
    </row>
    <row r="925">
      <c r="A925" s="341"/>
      <c r="B925" s="168"/>
      <c r="C925" s="354"/>
      <c r="D925" s="353"/>
      <c r="E925" s="341"/>
      <c r="F925" s="168"/>
      <c r="G925" s="341"/>
      <c r="H925" s="168"/>
      <c r="I925" s="347"/>
      <c r="J925" s="187"/>
      <c r="K925" s="347"/>
      <c r="L925" s="187"/>
      <c r="M925" s="347"/>
      <c r="N925" s="187"/>
      <c r="O925" s="341"/>
      <c r="P925" s="168"/>
      <c r="Q925" s="205"/>
      <c r="R925" s="205"/>
      <c r="S925" s="17"/>
      <c r="T925" s="17"/>
      <c r="U925" s="17"/>
      <c r="V925" s="17"/>
      <c r="W925" s="17"/>
      <c r="X925" s="17"/>
      <c r="Y925" s="17"/>
      <c r="Z925" s="17"/>
    </row>
    <row r="926">
      <c r="A926" s="341"/>
      <c r="B926" s="168"/>
      <c r="C926" s="354"/>
      <c r="D926" s="353"/>
      <c r="E926" s="341"/>
      <c r="F926" s="168"/>
      <c r="G926" s="341"/>
      <c r="H926" s="168"/>
      <c r="I926" s="347"/>
      <c r="J926" s="187"/>
      <c r="K926" s="347"/>
      <c r="L926" s="187"/>
      <c r="M926" s="347"/>
      <c r="N926" s="187"/>
      <c r="O926" s="341"/>
      <c r="P926" s="168"/>
      <c r="Q926" s="205"/>
      <c r="R926" s="205"/>
      <c r="S926" s="17"/>
      <c r="T926" s="17"/>
      <c r="U926" s="17"/>
      <c r="V926" s="17"/>
      <c r="W926" s="17"/>
      <c r="X926" s="17"/>
      <c r="Y926" s="17"/>
      <c r="Z926" s="17"/>
    </row>
    <row r="927">
      <c r="A927" s="341"/>
      <c r="B927" s="168"/>
      <c r="C927" s="354"/>
      <c r="D927" s="353"/>
      <c r="E927" s="341"/>
      <c r="F927" s="168"/>
      <c r="G927" s="341"/>
      <c r="H927" s="168"/>
      <c r="I927" s="347"/>
      <c r="J927" s="187"/>
      <c r="K927" s="347"/>
      <c r="L927" s="187"/>
      <c r="M927" s="347"/>
      <c r="N927" s="187"/>
      <c r="O927" s="341"/>
      <c r="P927" s="168"/>
      <c r="Q927" s="205"/>
      <c r="R927" s="205"/>
      <c r="S927" s="17"/>
      <c r="T927" s="17"/>
      <c r="U927" s="17"/>
      <c r="V927" s="17"/>
      <c r="W927" s="17"/>
      <c r="X927" s="17"/>
      <c r="Y927" s="17"/>
      <c r="Z927" s="17"/>
    </row>
    <row r="928">
      <c r="A928" s="341"/>
      <c r="B928" s="168"/>
      <c r="C928" s="354"/>
      <c r="D928" s="353"/>
      <c r="E928" s="341"/>
      <c r="F928" s="168"/>
      <c r="G928" s="341"/>
      <c r="H928" s="168"/>
      <c r="I928" s="347"/>
      <c r="J928" s="187"/>
      <c r="K928" s="347"/>
      <c r="L928" s="187"/>
      <c r="M928" s="347"/>
      <c r="N928" s="187"/>
      <c r="O928" s="341"/>
      <c r="P928" s="168"/>
      <c r="Q928" s="205"/>
      <c r="R928" s="205"/>
      <c r="S928" s="17"/>
      <c r="T928" s="17"/>
      <c r="U928" s="17"/>
      <c r="V928" s="17"/>
      <c r="W928" s="17"/>
      <c r="X928" s="17"/>
      <c r="Y928" s="17"/>
      <c r="Z928" s="17"/>
    </row>
    <row r="929">
      <c r="A929" s="341"/>
      <c r="B929" s="168"/>
      <c r="C929" s="354"/>
      <c r="D929" s="353"/>
      <c r="E929" s="341"/>
      <c r="F929" s="168"/>
      <c r="G929" s="341"/>
      <c r="H929" s="168"/>
      <c r="I929" s="347"/>
      <c r="J929" s="187"/>
      <c r="K929" s="347"/>
      <c r="L929" s="187"/>
      <c r="M929" s="347"/>
      <c r="N929" s="187"/>
      <c r="O929" s="341"/>
      <c r="P929" s="168"/>
      <c r="Q929" s="205"/>
      <c r="R929" s="205"/>
      <c r="S929" s="17"/>
      <c r="T929" s="17"/>
      <c r="U929" s="17"/>
      <c r="V929" s="17"/>
      <c r="W929" s="17"/>
      <c r="X929" s="17"/>
      <c r="Y929" s="17"/>
      <c r="Z929" s="17"/>
    </row>
    <row r="930">
      <c r="A930" s="341"/>
      <c r="B930" s="168"/>
      <c r="C930" s="354"/>
      <c r="D930" s="353"/>
      <c r="E930" s="341"/>
      <c r="F930" s="168"/>
      <c r="G930" s="341"/>
      <c r="H930" s="168"/>
      <c r="I930" s="347"/>
      <c r="J930" s="187"/>
      <c r="K930" s="347"/>
      <c r="L930" s="187"/>
      <c r="M930" s="347"/>
      <c r="N930" s="187"/>
      <c r="O930" s="341"/>
      <c r="P930" s="168"/>
      <c r="Q930" s="205"/>
      <c r="R930" s="205"/>
      <c r="S930" s="17"/>
      <c r="T930" s="17"/>
      <c r="U930" s="17"/>
      <c r="V930" s="17"/>
      <c r="W930" s="17"/>
      <c r="X930" s="17"/>
      <c r="Y930" s="17"/>
      <c r="Z930" s="17"/>
    </row>
    <row r="931">
      <c r="A931" s="341"/>
      <c r="B931" s="168"/>
      <c r="C931" s="354"/>
      <c r="D931" s="353"/>
      <c r="E931" s="341"/>
      <c r="F931" s="168"/>
      <c r="G931" s="341"/>
      <c r="H931" s="168"/>
      <c r="I931" s="347"/>
      <c r="J931" s="187"/>
      <c r="K931" s="347"/>
      <c r="L931" s="187"/>
      <c r="M931" s="347"/>
      <c r="N931" s="187"/>
      <c r="O931" s="341"/>
      <c r="P931" s="168"/>
      <c r="Q931" s="205"/>
      <c r="R931" s="205"/>
      <c r="S931" s="17"/>
      <c r="T931" s="17"/>
      <c r="U931" s="17"/>
      <c r="V931" s="17"/>
      <c r="W931" s="17"/>
      <c r="X931" s="17"/>
      <c r="Y931" s="17"/>
      <c r="Z931" s="17"/>
    </row>
    <row r="932">
      <c r="A932" s="341"/>
      <c r="B932" s="168"/>
      <c r="C932" s="354"/>
      <c r="D932" s="353"/>
      <c r="E932" s="341"/>
      <c r="F932" s="168"/>
      <c r="G932" s="341"/>
      <c r="H932" s="168"/>
      <c r="I932" s="347"/>
      <c r="J932" s="187"/>
      <c r="K932" s="347"/>
      <c r="L932" s="187"/>
      <c r="M932" s="347"/>
      <c r="N932" s="187"/>
      <c r="O932" s="341"/>
      <c r="P932" s="168"/>
      <c r="Q932" s="205"/>
      <c r="R932" s="205"/>
      <c r="S932" s="17"/>
      <c r="T932" s="17"/>
      <c r="U932" s="17"/>
      <c r="V932" s="17"/>
      <c r="W932" s="17"/>
      <c r="X932" s="17"/>
      <c r="Y932" s="17"/>
      <c r="Z932" s="17"/>
    </row>
    <row r="933">
      <c r="A933" s="341"/>
      <c r="B933" s="168"/>
      <c r="C933" s="354"/>
      <c r="D933" s="353"/>
      <c r="E933" s="341"/>
      <c r="F933" s="168"/>
      <c r="G933" s="341"/>
      <c r="H933" s="168"/>
      <c r="I933" s="347"/>
      <c r="J933" s="187"/>
      <c r="K933" s="347"/>
      <c r="L933" s="187"/>
      <c r="M933" s="347"/>
      <c r="N933" s="187"/>
      <c r="O933" s="341"/>
      <c r="P933" s="168"/>
      <c r="Q933" s="205"/>
      <c r="R933" s="205"/>
      <c r="S933" s="17"/>
      <c r="T933" s="17"/>
      <c r="U933" s="17"/>
      <c r="V933" s="17"/>
      <c r="W933" s="17"/>
      <c r="X933" s="17"/>
      <c r="Y933" s="17"/>
      <c r="Z933" s="17"/>
    </row>
    <row r="934">
      <c r="A934" s="341"/>
      <c r="B934" s="168"/>
      <c r="C934" s="354"/>
      <c r="D934" s="353"/>
      <c r="E934" s="341"/>
      <c r="F934" s="168"/>
      <c r="G934" s="341"/>
      <c r="H934" s="168"/>
      <c r="I934" s="347"/>
      <c r="J934" s="187"/>
      <c r="K934" s="347"/>
      <c r="L934" s="187"/>
      <c r="M934" s="347"/>
      <c r="N934" s="187"/>
      <c r="O934" s="341"/>
      <c r="P934" s="168"/>
      <c r="Q934" s="205"/>
      <c r="R934" s="205"/>
      <c r="S934" s="17"/>
      <c r="T934" s="17"/>
      <c r="U934" s="17"/>
      <c r="V934" s="17"/>
      <c r="W934" s="17"/>
      <c r="X934" s="17"/>
      <c r="Y934" s="17"/>
      <c r="Z934" s="17"/>
    </row>
    <row r="935">
      <c r="A935" s="341"/>
      <c r="B935" s="168"/>
      <c r="C935" s="354"/>
      <c r="D935" s="353"/>
      <c r="E935" s="341"/>
      <c r="F935" s="168"/>
      <c r="G935" s="341"/>
      <c r="H935" s="168"/>
      <c r="I935" s="347"/>
      <c r="J935" s="187"/>
      <c r="K935" s="347"/>
      <c r="L935" s="187"/>
      <c r="M935" s="347"/>
      <c r="N935" s="187"/>
      <c r="O935" s="341"/>
      <c r="P935" s="168"/>
      <c r="Q935" s="205"/>
      <c r="R935" s="205"/>
      <c r="S935" s="17"/>
      <c r="T935" s="17"/>
      <c r="U935" s="17"/>
      <c r="V935" s="17"/>
      <c r="W935" s="17"/>
      <c r="X935" s="17"/>
      <c r="Y935" s="17"/>
      <c r="Z935" s="17"/>
    </row>
    <row r="936">
      <c r="A936" s="341"/>
      <c r="B936" s="168"/>
      <c r="C936" s="354"/>
      <c r="D936" s="353"/>
      <c r="E936" s="341"/>
      <c r="F936" s="168"/>
      <c r="G936" s="341"/>
      <c r="H936" s="168"/>
      <c r="I936" s="347"/>
      <c r="J936" s="187"/>
      <c r="K936" s="347"/>
      <c r="L936" s="187"/>
      <c r="M936" s="347"/>
      <c r="N936" s="187"/>
      <c r="O936" s="341"/>
      <c r="P936" s="168"/>
      <c r="Q936" s="205"/>
      <c r="R936" s="205"/>
      <c r="S936" s="17"/>
      <c r="T936" s="17"/>
      <c r="U936" s="17"/>
      <c r="V936" s="17"/>
      <c r="W936" s="17"/>
      <c r="X936" s="17"/>
      <c r="Y936" s="17"/>
      <c r="Z936" s="17"/>
    </row>
    <row r="937">
      <c r="A937" s="341"/>
      <c r="B937" s="168"/>
      <c r="C937" s="354"/>
      <c r="D937" s="353"/>
      <c r="E937" s="341"/>
      <c r="F937" s="168"/>
      <c r="G937" s="341"/>
      <c r="H937" s="168"/>
      <c r="I937" s="347"/>
      <c r="J937" s="187"/>
      <c r="K937" s="347"/>
      <c r="L937" s="187"/>
      <c r="M937" s="347"/>
      <c r="N937" s="187"/>
      <c r="O937" s="341"/>
      <c r="P937" s="168"/>
      <c r="Q937" s="205"/>
      <c r="R937" s="205"/>
      <c r="S937" s="17"/>
      <c r="T937" s="17"/>
      <c r="U937" s="17"/>
      <c r="V937" s="17"/>
      <c r="W937" s="17"/>
      <c r="X937" s="17"/>
      <c r="Y937" s="17"/>
      <c r="Z937" s="17"/>
    </row>
    <row r="938">
      <c r="A938" s="341"/>
      <c r="B938" s="168"/>
      <c r="C938" s="354"/>
      <c r="D938" s="353"/>
      <c r="E938" s="341"/>
      <c r="F938" s="168"/>
      <c r="G938" s="341"/>
      <c r="H938" s="168"/>
      <c r="I938" s="347"/>
      <c r="J938" s="187"/>
      <c r="K938" s="347"/>
      <c r="L938" s="187"/>
      <c r="M938" s="347"/>
      <c r="N938" s="187"/>
      <c r="O938" s="341"/>
      <c r="P938" s="168"/>
      <c r="Q938" s="205"/>
      <c r="R938" s="205"/>
      <c r="S938" s="17"/>
      <c r="T938" s="17"/>
      <c r="U938" s="17"/>
      <c r="V938" s="17"/>
      <c r="W938" s="17"/>
      <c r="X938" s="17"/>
      <c r="Y938" s="17"/>
      <c r="Z938" s="17"/>
    </row>
    <row r="939">
      <c r="A939" s="341"/>
      <c r="B939" s="168"/>
      <c r="C939" s="354"/>
      <c r="D939" s="353"/>
      <c r="E939" s="341"/>
      <c r="F939" s="168"/>
      <c r="G939" s="341"/>
      <c r="H939" s="168"/>
      <c r="I939" s="347"/>
      <c r="J939" s="187"/>
      <c r="K939" s="347"/>
      <c r="L939" s="187"/>
      <c r="M939" s="347"/>
      <c r="N939" s="187"/>
      <c r="O939" s="341"/>
      <c r="P939" s="168"/>
      <c r="Q939" s="205"/>
      <c r="R939" s="205"/>
      <c r="S939" s="17"/>
      <c r="T939" s="17"/>
      <c r="U939" s="17"/>
      <c r="V939" s="17"/>
      <c r="W939" s="17"/>
      <c r="X939" s="17"/>
      <c r="Y939" s="17"/>
      <c r="Z939" s="17"/>
    </row>
    <row r="940">
      <c r="A940" s="341"/>
      <c r="B940" s="168"/>
      <c r="C940" s="354"/>
      <c r="D940" s="353"/>
      <c r="E940" s="341"/>
      <c r="F940" s="168"/>
      <c r="G940" s="341"/>
      <c r="H940" s="168"/>
      <c r="I940" s="347"/>
      <c r="J940" s="187"/>
      <c r="K940" s="347"/>
      <c r="L940" s="187"/>
      <c r="M940" s="347"/>
      <c r="N940" s="187"/>
      <c r="O940" s="341"/>
      <c r="P940" s="168"/>
      <c r="Q940" s="205"/>
      <c r="R940" s="205"/>
      <c r="S940" s="17"/>
      <c r="T940" s="17"/>
      <c r="U940" s="17"/>
      <c r="V940" s="17"/>
      <c r="W940" s="17"/>
      <c r="X940" s="17"/>
      <c r="Y940" s="17"/>
      <c r="Z940" s="17"/>
    </row>
    <row r="941">
      <c r="A941" s="341"/>
      <c r="B941" s="168"/>
      <c r="C941" s="354"/>
      <c r="D941" s="353"/>
      <c r="E941" s="341"/>
      <c r="F941" s="168"/>
      <c r="G941" s="341"/>
      <c r="H941" s="168"/>
      <c r="I941" s="347"/>
      <c r="J941" s="187"/>
      <c r="K941" s="347"/>
      <c r="L941" s="187"/>
      <c r="M941" s="347"/>
      <c r="N941" s="187"/>
      <c r="O941" s="341"/>
      <c r="P941" s="168"/>
      <c r="Q941" s="205"/>
      <c r="R941" s="205"/>
      <c r="S941" s="17"/>
      <c r="T941" s="17"/>
      <c r="U941" s="17"/>
      <c r="V941" s="17"/>
      <c r="W941" s="17"/>
      <c r="X941" s="17"/>
      <c r="Y941" s="17"/>
      <c r="Z941" s="17"/>
    </row>
    <row r="942">
      <c r="A942" s="341"/>
      <c r="B942" s="168"/>
      <c r="C942" s="354"/>
      <c r="D942" s="353"/>
      <c r="E942" s="341"/>
      <c r="F942" s="168"/>
      <c r="G942" s="341"/>
      <c r="H942" s="168"/>
      <c r="I942" s="347"/>
      <c r="J942" s="187"/>
      <c r="K942" s="347"/>
      <c r="L942" s="187"/>
      <c r="M942" s="347"/>
      <c r="N942" s="187"/>
      <c r="O942" s="341"/>
      <c r="P942" s="168"/>
      <c r="Q942" s="205"/>
      <c r="R942" s="205"/>
      <c r="S942" s="17"/>
      <c r="T942" s="17"/>
      <c r="U942" s="17"/>
      <c r="V942" s="17"/>
      <c r="W942" s="17"/>
      <c r="X942" s="17"/>
      <c r="Y942" s="17"/>
      <c r="Z942" s="17"/>
    </row>
    <row r="943">
      <c r="A943" s="341"/>
      <c r="B943" s="168"/>
      <c r="C943" s="354"/>
      <c r="D943" s="353"/>
      <c r="E943" s="341"/>
      <c r="F943" s="168"/>
      <c r="G943" s="341"/>
      <c r="H943" s="168"/>
      <c r="I943" s="347"/>
      <c r="J943" s="187"/>
      <c r="K943" s="347"/>
      <c r="L943" s="187"/>
      <c r="M943" s="347"/>
      <c r="N943" s="187"/>
      <c r="O943" s="341"/>
      <c r="P943" s="168"/>
      <c r="Q943" s="205"/>
      <c r="R943" s="205"/>
      <c r="S943" s="17"/>
      <c r="T943" s="17"/>
      <c r="U943" s="17"/>
      <c r="V943" s="17"/>
      <c r="W943" s="17"/>
      <c r="X943" s="17"/>
      <c r="Y943" s="17"/>
      <c r="Z943" s="17"/>
    </row>
    <row r="944">
      <c r="A944" s="341"/>
      <c r="B944" s="168"/>
      <c r="C944" s="354"/>
      <c r="D944" s="353"/>
      <c r="E944" s="341"/>
      <c r="F944" s="168"/>
      <c r="G944" s="341"/>
      <c r="H944" s="168"/>
      <c r="I944" s="347"/>
      <c r="J944" s="187"/>
      <c r="K944" s="347"/>
      <c r="L944" s="187"/>
      <c r="M944" s="347"/>
      <c r="N944" s="187"/>
      <c r="O944" s="341"/>
      <c r="P944" s="168"/>
      <c r="Q944" s="205"/>
      <c r="R944" s="205"/>
      <c r="S944" s="17"/>
      <c r="T944" s="17"/>
      <c r="U944" s="17"/>
      <c r="V944" s="17"/>
      <c r="W944" s="17"/>
      <c r="X944" s="17"/>
      <c r="Y944" s="17"/>
      <c r="Z944" s="17"/>
    </row>
    <row r="945">
      <c r="A945" s="341"/>
      <c r="B945" s="168"/>
      <c r="C945" s="354"/>
      <c r="D945" s="353"/>
      <c r="E945" s="341"/>
      <c r="F945" s="168"/>
      <c r="G945" s="341"/>
      <c r="H945" s="168"/>
      <c r="I945" s="347"/>
      <c r="J945" s="187"/>
      <c r="K945" s="347"/>
      <c r="L945" s="187"/>
      <c r="M945" s="347"/>
      <c r="N945" s="187"/>
      <c r="O945" s="341"/>
      <c r="P945" s="168"/>
      <c r="Q945" s="205"/>
      <c r="R945" s="205"/>
      <c r="S945" s="17"/>
      <c r="T945" s="17"/>
      <c r="U945" s="17"/>
      <c r="V945" s="17"/>
      <c r="W945" s="17"/>
      <c r="X945" s="17"/>
      <c r="Y945" s="17"/>
      <c r="Z945" s="17"/>
    </row>
    <row r="946">
      <c r="A946" s="341"/>
      <c r="B946" s="168"/>
      <c r="C946" s="354"/>
      <c r="D946" s="353"/>
      <c r="E946" s="341"/>
      <c r="F946" s="168"/>
      <c r="G946" s="341"/>
      <c r="H946" s="168"/>
      <c r="I946" s="347"/>
      <c r="J946" s="187"/>
      <c r="K946" s="347"/>
      <c r="L946" s="187"/>
      <c r="M946" s="347"/>
      <c r="N946" s="187"/>
      <c r="O946" s="341"/>
      <c r="P946" s="168"/>
      <c r="Q946" s="205"/>
      <c r="R946" s="205"/>
      <c r="S946" s="17"/>
      <c r="T946" s="17"/>
      <c r="U946" s="17"/>
      <c r="V946" s="17"/>
      <c r="W946" s="17"/>
      <c r="X946" s="17"/>
      <c r="Y946" s="17"/>
      <c r="Z946" s="17"/>
    </row>
    <row r="947">
      <c r="A947" s="341"/>
      <c r="B947" s="168"/>
      <c r="C947" s="354"/>
      <c r="D947" s="353"/>
      <c r="E947" s="341"/>
      <c r="F947" s="168"/>
      <c r="G947" s="341"/>
      <c r="H947" s="168"/>
      <c r="I947" s="347"/>
      <c r="J947" s="187"/>
      <c r="K947" s="347"/>
      <c r="L947" s="187"/>
      <c r="M947" s="347"/>
      <c r="N947" s="187"/>
      <c r="O947" s="341"/>
      <c r="P947" s="168"/>
      <c r="Q947" s="205"/>
      <c r="R947" s="205"/>
      <c r="S947" s="17"/>
      <c r="T947" s="17"/>
      <c r="U947" s="17"/>
      <c r="V947" s="17"/>
      <c r="W947" s="17"/>
      <c r="X947" s="17"/>
      <c r="Y947" s="17"/>
      <c r="Z947" s="17"/>
    </row>
    <row r="948">
      <c r="A948" s="341"/>
      <c r="B948" s="168"/>
      <c r="C948" s="354"/>
      <c r="D948" s="353"/>
      <c r="E948" s="341"/>
      <c r="F948" s="168"/>
      <c r="G948" s="341"/>
      <c r="H948" s="168"/>
      <c r="I948" s="347"/>
      <c r="J948" s="187"/>
      <c r="K948" s="347"/>
      <c r="L948" s="187"/>
      <c r="M948" s="347"/>
      <c r="N948" s="187"/>
      <c r="O948" s="341"/>
      <c r="P948" s="168"/>
      <c r="Q948" s="205"/>
      <c r="R948" s="205"/>
      <c r="S948" s="17"/>
      <c r="T948" s="17"/>
      <c r="U948" s="17"/>
      <c r="V948" s="17"/>
      <c r="W948" s="17"/>
      <c r="X948" s="17"/>
      <c r="Y948" s="17"/>
      <c r="Z948" s="17"/>
    </row>
    <row r="949">
      <c r="A949" s="341"/>
      <c r="B949" s="168"/>
      <c r="C949" s="354"/>
      <c r="D949" s="353"/>
      <c r="E949" s="341"/>
      <c r="F949" s="168"/>
      <c r="G949" s="341"/>
      <c r="H949" s="168"/>
      <c r="I949" s="347"/>
      <c r="J949" s="187"/>
      <c r="K949" s="347"/>
      <c r="L949" s="187"/>
      <c r="M949" s="347"/>
      <c r="N949" s="187"/>
      <c r="O949" s="341"/>
      <c r="P949" s="168"/>
      <c r="Q949" s="205"/>
      <c r="R949" s="205"/>
      <c r="S949" s="17"/>
      <c r="T949" s="17"/>
      <c r="U949" s="17"/>
      <c r="V949" s="17"/>
      <c r="W949" s="17"/>
      <c r="X949" s="17"/>
      <c r="Y949" s="17"/>
      <c r="Z949" s="17"/>
    </row>
    <row r="950">
      <c r="A950" s="341"/>
      <c r="B950" s="168"/>
      <c r="C950" s="354"/>
      <c r="D950" s="353"/>
      <c r="E950" s="341"/>
      <c r="F950" s="168"/>
      <c r="G950" s="341"/>
      <c r="H950" s="168"/>
      <c r="I950" s="347"/>
      <c r="J950" s="187"/>
      <c r="K950" s="347"/>
      <c r="L950" s="187"/>
      <c r="M950" s="347"/>
      <c r="N950" s="187"/>
      <c r="O950" s="341"/>
      <c r="P950" s="168"/>
      <c r="Q950" s="205"/>
      <c r="R950" s="205"/>
      <c r="S950" s="17"/>
      <c r="T950" s="17"/>
      <c r="U950" s="17"/>
      <c r="V950" s="17"/>
      <c r="W950" s="17"/>
      <c r="X950" s="17"/>
      <c r="Y950" s="17"/>
      <c r="Z950" s="17"/>
    </row>
    <row r="951">
      <c r="A951" s="341"/>
      <c r="B951" s="168"/>
      <c r="C951" s="354"/>
      <c r="D951" s="353"/>
      <c r="E951" s="341"/>
      <c r="F951" s="168"/>
      <c r="G951" s="341"/>
      <c r="H951" s="168"/>
      <c r="I951" s="347"/>
      <c r="J951" s="187"/>
      <c r="K951" s="347"/>
      <c r="L951" s="187"/>
      <c r="M951" s="347"/>
      <c r="N951" s="187"/>
      <c r="O951" s="341"/>
      <c r="P951" s="168"/>
      <c r="Q951" s="205"/>
      <c r="R951" s="205"/>
      <c r="S951" s="17"/>
      <c r="T951" s="17"/>
      <c r="U951" s="17"/>
      <c r="V951" s="17"/>
      <c r="W951" s="17"/>
      <c r="X951" s="17"/>
      <c r="Y951" s="17"/>
      <c r="Z951" s="17"/>
    </row>
    <row r="952">
      <c r="A952" s="341"/>
      <c r="B952" s="168"/>
      <c r="C952" s="354"/>
      <c r="D952" s="353"/>
      <c r="E952" s="341"/>
      <c r="F952" s="168"/>
      <c r="G952" s="341"/>
      <c r="H952" s="168"/>
      <c r="I952" s="347"/>
      <c r="J952" s="187"/>
      <c r="K952" s="347"/>
      <c r="L952" s="187"/>
      <c r="M952" s="347"/>
      <c r="N952" s="187"/>
      <c r="O952" s="341"/>
      <c r="P952" s="168"/>
      <c r="Q952" s="205"/>
      <c r="R952" s="205"/>
      <c r="S952" s="17"/>
      <c r="T952" s="17"/>
      <c r="U952" s="17"/>
      <c r="V952" s="17"/>
      <c r="W952" s="17"/>
      <c r="X952" s="17"/>
      <c r="Y952" s="17"/>
      <c r="Z952" s="17"/>
    </row>
    <row r="953">
      <c r="A953" s="341"/>
      <c r="B953" s="168"/>
      <c r="C953" s="354"/>
      <c r="D953" s="353"/>
      <c r="E953" s="341"/>
      <c r="F953" s="168"/>
      <c r="G953" s="341"/>
      <c r="H953" s="168"/>
      <c r="I953" s="347"/>
      <c r="J953" s="187"/>
      <c r="K953" s="347"/>
      <c r="L953" s="187"/>
      <c r="M953" s="347"/>
      <c r="N953" s="187"/>
      <c r="O953" s="341"/>
      <c r="P953" s="168"/>
      <c r="Q953" s="205"/>
      <c r="R953" s="205"/>
      <c r="S953" s="17"/>
      <c r="T953" s="17"/>
      <c r="U953" s="17"/>
      <c r="V953" s="17"/>
      <c r="W953" s="17"/>
      <c r="X953" s="17"/>
      <c r="Y953" s="17"/>
      <c r="Z953" s="17"/>
    </row>
    <row r="954">
      <c r="A954" s="341"/>
      <c r="B954" s="168"/>
      <c r="C954" s="354"/>
      <c r="D954" s="353"/>
      <c r="E954" s="341"/>
      <c r="F954" s="168"/>
      <c r="G954" s="341"/>
      <c r="H954" s="168"/>
      <c r="I954" s="347"/>
      <c r="J954" s="187"/>
      <c r="K954" s="347"/>
      <c r="L954" s="187"/>
      <c r="M954" s="347"/>
      <c r="N954" s="187"/>
      <c r="O954" s="341"/>
      <c r="P954" s="168"/>
      <c r="Q954" s="205"/>
      <c r="R954" s="205"/>
      <c r="S954" s="17"/>
      <c r="T954" s="17"/>
      <c r="U954" s="17"/>
      <c r="V954" s="17"/>
      <c r="W954" s="17"/>
      <c r="X954" s="17"/>
      <c r="Y954" s="17"/>
      <c r="Z954" s="17"/>
    </row>
    <row r="955">
      <c r="A955" s="341"/>
      <c r="B955" s="168"/>
      <c r="C955" s="354"/>
      <c r="D955" s="353"/>
      <c r="E955" s="341"/>
      <c r="F955" s="168"/>
      <c r="G955" s="341"/>
      <c r="H955" s="168"/>
      <c r="I955" s="347"/>
      <c r="J955" s="187"/>
      <c r="K955" s="347"/>
      <c r="L955" s="187"/>
      <c r="M955" s="347"/>
      <c r="N955" s="187"/>
      <c r="O955" s="341"/>
      <c r="P955" s="168"/>
      <c r="Q955" s="205"/>
      <c r="R955" s="205"/>
      <c r="S955" s="17"/>
      <c r="T955" s="17"/>
      <c r="U955" s="17"/>
      <c r="V955" s="17"/>
      <c r="W955" s="17"/>
      <c r="X955" s="17"/>
      <c r="Y955" s="17"/>
      <c r="Z955" s="17"/>
    </row>
    <row r="956">
      <c r="A956" s="341"/>
      <c r="B956" s="168"/>
      <c r="C956" s="354"/>
      <c r="D956" s="353"/>
      <c r="E956" s="341"/>
      <c r="F956" s="168"/>
      <c r="G956" s="341"/>
      <c r="H956" s="168"/>
      <c r="I956" s="347"/>
      <c r="J956" s="187"/>
      <c r="K956" s="347"/>
      <c r="L956" s="187"/>
      <c r="M956" s="347"/>
      <c r="N956" s="187"/>
      <c r="O956" s="341"/>
      <c r="P956" s="168"/>
      <c r="Q956" s="205"/>
      <c r="R956" s="205"/>
      <c r="S956" s="17"/>
      <c r="T956" s="17"/>
      <c r="U956" s="17"/>
      <c r="V956" s="17"/>
      <c r="W956" s="17"/>
      <c r="X956" s="17"/>
      <c r="Y956" s="17"/>
      <c r="Z956" s="17"/>
    </row>
    <row r="957">
      <c r="A957" s="341"/>
      <c r="B957" s="168"/>
      <c r="C957" s="354"/>
      <c r="D957" s="353"/>
      <c r="E957" s="341"/>
      <c r="F957" s="168"/>
      <c r="G957" s="341"/>
      <c r="H957" s="168"/>
      <c r="I957" s="347"/>
      <c r="J957" s="187"/>
      <c r="K957" s="347"/>
      <c r="L957" s="187"/>
      <c r="M957" s="347"/>
      <c r="N957" s="187"/>
      <c r="O957" s="341"/>
      <c r="P957" s="168"/>
      <c r="Q957" s="205"/>
      <c r="R957" s="205"/>
      <c r="S957" s="17"/>
      <c r="T957" s="17"/>
      <c r="U957" s="17"/>
      <c r="V957" s="17"/>
      <c r="W957" s="17"/>
      <c r="X957" s="17"/>
      <c r="Y957" s="17"/>
      <c r="Z957" s="17"/>
    </row>
    <row r="958">
      <c r="A958" s="341"/>
      <c r="B958" s="168"/>
      <c r="C958" s="354"/>
      <c r="D958" s="353"/>
      <c r="E958" s="341"/>
      <c r="F958" s="168"/>
      <c r="G958" s="341"/>
      <c r="H958" s="168"/>
      <c r="I958" s="347"/>
      <c r="J958" s="187"/>
      <c r="K958" s="347"/>
      <c r="L958" s="187"/>
      <c r="M958" s="347"/>
      <c r="N958" s="187"/>
      <c r="O958" s="341"/>
      <c r="P958" s="168"/>
      <c r="Q958" s="205"/>
      <c r="R958" s="205"/>
      <c r="S958" s="17"/>
      <c r="T958" s="17"/>
      <c r="U958" s="17"/>
      <c r="V958" s="17"/>
      <c r="W958" s="17"/>
      <c r="X958" s="17"/>
      <c r="Y958" s="17"/>
      <c r="Z958" s="17"/>
    </row>
    <row r="959">
      <c r="A959" s="341"/>
      <c r="B959" s="168"/>
      <c r="C959" s="354"/>
      <c r="D959" s="353"/>
      <c r="E959" s="341"/>
      <c r="F959" s="168"/>
      <c r="G959" s="341"/>
      <c r="H959" s="168"/>
      <c r="I959" s="347"/>
      <c r="J959" s="187"/>
      <c r="K959" s="347"/>
      <c r="L959" s="187"/>
      <c r="M959" s="347"/>
      <c r="N959" s="187"/>
      <c r="O959" s="341"/>
      <c r="P959" s="168"/>
      <c r="Q959" s="205"/>
      <c r="R959" s="205"/>
      <c r="S959" s="17"/>
      <c r="T959" s="17"/>
      <c r="U959" s="17"/>
      <c r="V959" s="17"/>
      <c r="W959" s="17"/>
      <c r="X959" s="17"/>
      <c r="Y959" s="17"/>
      <c r="Z959" s="17"/>
    </row>
    <row r="960">
      <c r="A960" s="341"/>
      <c r="B960" s="168"/>
      <c r="C960" s="354"/>
      <c r="D960" s="353"/>
      <c r="E960" s="341"/>
      <c r="F960" s="168"/>
      <c r="G960" s="341"/>
      <c r="H960" s="168"/>
      <c r="I960" s="347"/>
      <c r="J960" s="187"/>
      <c r="K960" s="347"/>
      <c r="L960" s="187"/>
      <c r="M960" s="347"/>
      <c r="N960" s="187"/>
      <c r="O960" s="341"/>
      <c r="P960" s="168"/>
      <c r="Q960" s="205"/>
      <c r="R960" s="205"/>
      <c r="S960" s="17"/>
      <c r="T960" s="17"/>
      <c r="U960" s="17"/>
      <c r="V960" s="17"/>
      <c r="W960" s="17"/>
      <c r="X960" s="17"/>
      <c r="Y960" s="17"/>
      <c r="Z960" s="17"/>
    </row>
    <row r="961">
      <c r="A961" s="341"/>
      <c r="B961" s="168"/>
      <c r="C961" s="354"/>
      <c r="D961" s="353"/>
      <c r="E961" s="341"/>
      <c r="F961" s="168"/>
      <c r="G961" s="341"/>
      <c r="H961" s="168"/>
      <c r="I961" s="347"/>
      <c r="J961" s="187"/>
      <c r="K961" s="347"/>
      <c r="L961" s="187"/>
      <c r="M961" s="347"/>
      <c r="N961" s="187"/>
      <c r="O961" s="341"/>
      <c r="P961" s="168"/>
      <c r="Q961" s="205"/>
      <c r="R961" s="205"/>
      <c r="S961" s="17"/>
      <c r="T961" s="17"/>
      <c r="U961" s="17"/>
      <c r="V961" s="17"/>
      <c r="W961" s="17"/>
      <c r="X961" s="17"/>
      <c r="Y961" s="17"/>
      <c r="Z961" s="17"/>
    </row>
    <row r="962">
      <c r="A962" s="341"/>
      <c r="B962" s="168"/>
      <c r="C962" s="354"/>
      <c r="D962" s="353"/>
      <c r="E962" s="341"/>
      <c r="F962" s="168"/>
      <c r="G962" s="341"/>
      <c r="H962" s="168"/>
      <c r="I962" s="347"/>
      <c r="J962" s="187"/>
      <c r="K962" s="347"/>
      <c r="L962" s="187"/>
      <c r="M962" s="347"/>
      <c r="N962" s="187"/>
      <c r="O962" s="341"/>
      <c r="P962" s="168"/>
      <c r="Q962" s="205"/>
      <c r="R962" s="205"/>
      <c r="S962" s="17"/>
      <c r="T962" s="17"/>
      <c r="U962" s="17"/>
      <c r="V962" s="17"/>
      <c r="W962" s="17"/>
      <c r="X962" s="17"/>
      <c r="Y962" s="17"/>
      <c r="Z962" s="17"/>
    </row>
    <row r="963">
      <c r="A963" s="341"/>
      <c r="B963" s="168"/>
      <c r="C963" s="354"/>
      <c r="D963" s="353"/>
      <c r="E963" s="341"/>
      <c r="F963" s="168"/>
      <c r="G963" s="341"/>
      <c r="H963" s="168"/>
      <c r="I963" s="347"/>
      <c r="J963" s="187"/>
      <c r="K963" s="347"/>
      <c r="L963" s="187"/>
      <c r="M963" s="347"/>
      <c r="N963" s="187"/>
      <c r="O963" s="341"/>
      <c r="P963" s="168"/>
      <c r="Q963" s="205"/>
      <c r="R963" s="205"/>
      <c r="S963" s="17"/>
      <c r="T963" s="17"/>
      <c r="U963" s="17"/>
      <c r="V963" s="17"/>
      <c r="W963" s="17"/>
      <c r="X963" s="17"/>
      <c r="Y963" s="17"/>
      <c r="Z963" s="17"/>
    </row>
    <row r="964">
      <c r="A964" s="341"/>
      <c r="B964" s="168"/>
      <c r="C964" s="354"/>
      <c r="D964" s="353"/>
      <c r="E964" s="341"/>
      <c r="F964" s="168"/>
      <c r="G964" s="341"/>
      <c r="H964" s="168"/>
      <c r="I964" s="347"/>
      <c r="J964" s="187"/>
      <c r="K964" s="347"/>
      <c r="L964" s="187"/>
      <c r="M964" s="347"/>
      <c r="N964" s="187"/>
      <c r="O964" s="341"/>
      <c r="P964" s="168"/>
      <c r="Q964" s="205"/>
      <c r="R964" s="205"/>
      <c r="S964" s="17"/>
      <c r="T964" s="17"/>
      <c r="U964" s="17"/>
      <c r="V964" s="17"/>
      <c r="W964" s="17"/>
      <c r="X964" s="17"/>
      <c r="Y964" s="17"/>
      <c r="Z964" s="17"/>
    </row>
    <row r="965">
      <c r="A965" s="341"/>
      <c r="B965" s="168"/>
      <c r="C965" s="354"/>
      <c r="D965" s="353"/>
      <c r="E965" s="341"/>
      <c r="F965" s="168"/>
      <c r="G965" s="341"/>
      <c r="H965" s="168"/>
      <c r="I965" s="347"/>
      <c r="J965" s="187"/>
      <c r="K965" s="347"/>
      <c r="L965" s="187"/>
      <c r="M965" s="347"/>
      <c r="N965" s="187"/>
      <c r="O965" s="341"/>
      <c r="P965" s="168"/>
      <c r="Q965" s="205"/>
      <c r="R965" s="205"/>
      <c r="S965" s="17"/>
      <c r="T965" s="17"/>
      <c r="U965" s="17"/>
      <c r="V965" s="17"/>
      <c r="W965" s="17"/>
      <c r="X965" s="17"/>
      <c r="Y965" s="17"/>
      <c r="Z965" s="17"/>
    </row>
    <row r="966">
      <c r="A966" s="341"/>
      <c r="B966" s="168"/>
      <c r="C966" s="354"/>
      <c r="D966" s="353"/>
      <c r="E966" s="341"/>
      <c r="F966" s="168"/>
      <c r="G966" s="341"/>
      <c r="H966" s="168"/>
      <c r="I966" s="347"/>
      <c r="J966" s="187"/>
      <c r="K966" s="347"/>
      <c r="L966" s="187"/>
      <c r="M966" s="347"/>
      <c r="N966" s="187"/>
      <c r="O966" s="341"/>
      <c r="P966" s="168"/>
      <c r="Q966" s="205"/>
      <c r="R966" s="205"/>
      <c r="S966" s="17"/>
      <c r="T966" s="17"/>
      <c r="U966" s="17"/>
      <c r="V966" s="17"/>
      <c r="W966" s="17"/>
      <c r="X966" s="17"/>
      <c r="Y966" s="17"/>
      <c r="Z966" s="17"/>
    </row>
    <row r="967">
      <c r="A967" s="341"/>
      <c r="B967" s="168"/>
      <c r="C967" s="354"/>
      <c r="D967" s="353"/>
      <c r="E967" s="341"/>
      <c r="F967" s="168"/>
      <c r="G967" s="341"/>
      <c r="H967" s="168"/>
      <c r="I967" s="347"/>
      <c r="J967" s="187"/>
      <c r="K967" s="347"/>
      <c r="L967" s="187"/>
      <c r="M967" s="347"/>
      <c r="N967" s="187"/>
      <c r="O967" s="341"/>
      <c r="P967" s="168"/>
      <c r="Q967" s="205"/>
      <c r="R967" s="205"/>
      <c r="S967" s="17"/>
      <c r="T967" s="17"/>
      <c r="U967" s="17"/>
      <c r="V967" s="17"/>
      <c r="W967" s="17"/>
      <c r="X967" s="17"/>
      <c r="Y967" s="17"/>
      <c r="Z967" s="17"/>
    </row>
    <row r="968">
      <c r="A968" s="341"/>
      <c r="B968" s="168"/>
      <c r="C968" s="354"/>
      <c r="D968" s="353"/>
      <c r="E968" s="341"/>
      <c r="F968" s="168"/>
      <c r="G968" s="341"/>
      <c r="H968" s="168"/>
      <c r="I968" s="347"/>
      <c r="J968" s="187"/>
      <c r="K968" s="347"/>
      <c r="L968" s="187"/>
      <c r="M968" s="347"/>
      <c r="N968" s="187"/>
      <c r="O968" s="341"/>
      <c r="P968" s="168"/>
      <c r="Q968" s="205"/>
      <c r="R968" s="205"/>
      <c r="S968" s="17"/>
      <c r="T968" s="17"/>
      <c r="U968" s="17"/>
      <c r="V968" s="17"/>
      <c r="W968" s="17"/>
      <c r="X968" s="17"/>
      <c r="Y968" s="17"/>
      <c r="Z968" s="17"/>
    </row>
    <row r="969">
      <c r="A969" s="341"/>
      <c r="B969" s="168"/>
      <c r="C969" s="354"/>
      <c r="D969" s="353"/>
      <c r="E969" s="341"/>
      <c r="F969" s="168"/>
      <c r="G969" s="341"/>
      <c r="H969" s="168"/>
      <c r="I969" s="347"/>
      <c r="J969" s="187"/>
      <c r="K969" s="347"/>
      <c r="L969" s="187"/>
      <c r="M969" s="347"/>
      <c r="N969" s="187"/>
      <c r="O969" s="341"/>
      <c r="P969" s="168"/>
      <c r="Q969" s="205"/>
      <c r="R969" s="205"/>
      <c r="S969" s="17"/>
      <c r="T969" s="17"/>
      <c r="U969" s="17"/>
      <c r="V969" s="17"/>
      <c r="W969" s="17"/>
      <c r="X969" s="17"/>
      <c r="Y969" s="17"/>
      <c r="Z969" s="17"/>
    </row>
    <row r="970">
      <c r="A970" s="341"/>
      <c r="B970" s="168"/>
      <c r="C970" s="354"/>
      <c r="D970" s="353"/>
      <c r="E970" s="341"/>
      <c r="F970" s="168"/>
      <c r="G970" s="341"/>
      <c r="H970" s="168"/>
      <c r="I970" s="347"/>
      <c r="J970" s="187"/>
      <c r="K970" s="347"/>
      <c r="L970" s="187"/>
      <c r="M970" s="347"/>
      <c r="N970" s="187"/>
      <c r="O970" s="341"/>
      <c r="P970" s="168"/>
      <c r="Q970" s="205"/>
      <c r="R970" s="205"/>
      <c r="S970" s="17"/>
      <c r="T970" s="17"/>
      <c r="U970" s="17"/>
      <c r="V970" s="17"/>
      <c r="W970" s="17"/>
      <c r="X970" s="17"/>
      <c r="Y970" s="17"/>
      <c r="Z970" s="17"/>
    </row>
    <row r="971">
      <c r="A971" s="341"/>
      <c r="B971" s="168"/>
      <c r="C971" s="354"/>
      <c r="D971" s="353"/>
      <c r="E971" s="341"/>
      <c r="F971" s="168"/>
      <c r="G971" s="341"/>
      <c r="H971" s="168"/>
      <c r="I971" s="347"/>
      <c r="J971" s="187"/>
      <c r="K971" s="347"/>
      <c r="L971" s="187"/>
      <c r="M971" s="347"/>
      <c r="N971" s="187"/>
      <c r="O971" s="341"/>
      <c r="P971" s="168"/>
      <c r="Q971" s="205"/>
      <c r="R971" s="205"/>
      <c r="S971" s="17"/>
      <c r="T971" s="17"/>
      <c r="U971" s="17"/>
      <c r="V971" s="17"/>
      <c r="W971" s="17"/>
      <c r="X971" s="17"/>
      <c r="Y971" s="17"/>
      <c r="Z971" s="17"/>
    </row>
    <row r="972">
      <c r="A972" s="341"/>
      <c r="B972" s="168"/>
      <c r="C972" s="354"/>
      <c r="D972" s="353"/>
      <c r="E972" s="341"/>
      <c r="F972" s="168"/>
      <c r="G972" s="341"/>
      <c r="H972" s="168"/>
      <c r="I972" s="347"/>
      <c r="J972" s="187"/>
      <c r="K972" s="347"/>
      <c r="L972" s="187"/>
      <c r="M972" s="347"/>
      <c r="N972" s="187"/>
      <c r="O972" s="341"/>
      <c r="P972" s="168"/>
      <c r="Q972" s="205"/>
      <c r="R972" s="205"/>
      <c r="S972" s="17"/>
      <c r="T972" s="17"/>
      <c r="U972" s="17"/>
      <c r="V972" s="17"/>
      <c r="W972" s="17"/>
      <c r="X972" s="17"/>
      <c r="Y972" s="17"/>
      <c r="Z972" s="17"/>
    </row>
    <row r="973">
      <c r="A973" s="341"/>
      <c r="B973" s="168"/>
      <c r="C973" s="354"/>
      <c r="D973" s="353"/>
      <c r="E973" s="341"/>
      <c r="F973" s="168"/>
      <c r="G973" s="341"/>
      <c r="H973" s="168"/>
      <c r="I973" s="347"/>
      <c r="J973" s="187"/>
      <c r="K973" s="347"/>
      <c r="L973" s="187"/>
      <c r="M973" s="347"/>
      <c r="N973" s="187"/>
      <c r="O973" s="341"/>
      <c r="P973" s="168"/>
      <c r="Q973" s="205"/>
      <c r="R973" s="205"/>
      <c r="S973" s="17"/>
      <c r="T973" s="17"/>
      <c r="U973" s="17"/>
      <c r="V973" s="17"/>
      <c r="W973" s="17"/>
      <c r="X973" s="17"/>
      <c r="Y973" s="17"/>
      <c r="Z973" s="17"/>
    </row>
    <row r="974">
      <c r="A974" s="341"/>
      <c r="B974" s="168"/>
      <c r="C974" s="354"/>
      <c r="D974" s="353"/>
      <c r="E974" s="341"/>
      <c r="F974" s="168"/>
      <c r="G974" s="341"/>
      <c r="H974" s="168"/>
      <c r="I974" s="347"/>
      <c r="J974" s="187"/>
      <c r="K974" s="347"/>
      <c r="L974" s="187"/>
      <c r="M974" s="347"/>
      <c r="N974" s="187"/>
      <c r="O974" s="341"/>
      <c r="P974" s="168"/>
      <c r="Q974" s="205"/>
      <c r="R974" s="205"/>
      <c r="S974" s="17"/>
      <c r="T974" s="17"/>
      <c r="U974" s="17"/>
      <c r="V974" s="17"/>
      <c r="W974" s="17"/>
      <c r="X974" s="17"/>
      <c r="Y974" s="17"/>
      <c r="Z974" s="17"/>
    </row>
    <row r="975">
      <c r="A975" s="341"/>
      <c r="B975" s="168"/>
      <c r="C975" s="354"/>
      <c r="D975" s="353"/>
      <c r="E975" s="341"/>
      <c r="F975" s="168"/>
      <c r="G975" s="341"/>
      <c r="H975" s="168"/>
      <c r="I975" s="347"/>
      <c r="J975" s="187"/>
      <c r="K975" s="347"/>
      <c r="L975" s="187"/>
      <c r="M975" s="347"/>
      <c r="N975" s="187"/>
      <c r="O975" s="341"/>
      <c r="P975" s="168"/>
      <c r="Q975" s="205"/>
      <c r="R975" s="205"/>
      <c r="S975" s="17"/>
      <c r="T975" s="17"/>
      <c r="U975" s="17"/>
      <c r="V975" s="17"/>
      <c r="W975" s="17"/>
      <c r="X975" s="17"/>
      <c r="Y975" s="17"/>
      <c r="Z975" s="17"/>
    </row>
    <row r="976">
      <c r="A976" s="341"/>
      <c r="B976" s="168"/>
      <c r="C976" s="354"/>
      <c r="D976" s="353"/>
      <c r="E976" s="341"/>
      <c r="F976" s="168"/>
      <c r="G976" s="341"/>
      <c r="H976" s="168"/>
      <c r="I976" s="347"/>
      <c r="J976" s="187"/>
      <c r="K976" s="347"/>
      <c r="L976" s="187"/>
      <c r="M976" s="347"/>
      <c r="N976" s="187"/>
      <c r="O976" s="341"/>
      <c r="P976" s="168"/>
      <c r="Q976" s="205"/>
      <c r="R976" s="205"/>
      <c r="S976" s="17"/>
      <c r="T976" s="17"/>
      <c r="U976" s="17"/>
      <c r="V976" s="17"/>
      <c r="W976" s="17"/>
      <c r="X976" s="17"/>
      <c r="Y976" s="17"/>
      <c r="Z976" s="17"/>
    </row>
    <row r="977">
      <c r="A977" s="341"/>
      <c r="B977" s="168"/>
      <c r="C977" s="354"/>
      <c r="D977" s="353"/>
      <c r="E977" s="341"/>
      <c r="F977" s="168"/>
      <c r="G977" s="341"/>
      <c r="H977" s="168"/>
      <c r="I977" s="347"/>
      <c r="J977" s="187"/>
      <c r="K977" s="347"/>
      <c r="L977" s="187"/>
      <c r="M977" s="347"/>
      <c r="N977" s="187"/>
      <c r="O977" s="341"/>
      <c r="P977" s="168"/>
      <c r="Q977" s="205"/>
      <c r="R977" s="205"/>
      <c r="S977" s="17"/>
      <c r="T977" s="17"/>
      <c r="U977" s="17"/>
      <c r="V977" s="17"/>
      <c r="W977" s="17"/>
      <c r="X977" s="17"/>
      <c r="Y977" s="17"/>
      <c r="Z977" s="17"/>
    </row>
    <row r="978">
      <c r="A978" s="341"/>
      <c r="B978" s="168"/>
      <c r="C978" s="354"/>
      <c r="D978" s="353"/>
      <c r="E978" s="341"/>
      <c r="F978" s="168"/>
      <c r="G978" s="341"/>
      <c r="H978" s="168"/>
      <c r="I978" s="347"/>
      <c r="J978" s="187"/>
      <c r="K978" s="347"/>
      <c r="L978" s="187"/>
      <c r="M978" s="347"/>
      <c r="N978" s="187"/>
      <c r="O978" s="341"/>
      <c r="P978" s="168"/>
      <c r="Q978" s="205"/>
      <c r="R978" s="205"/>
      <c r="S978" s="17"/>
      <c r="T978" s="17"/>
      <c r="U978" s="17"/>
      <c r="V978" s="17"/>
      <c r="W978" s="17"/>
      <c r="X978" s="17"/>
      <c r="Y978" s="17"/>
      <c r="Z978" s="17"/>
    </row>
    <row r="979">
      <c r="A979" s="341"/>
      <c r="B979" s="168"/>
      <c r="C979" s="354"/>
      <c r="D979" s="353"/>
      <c r="E979" s="341"/>
      <c r="F979" s="168"/>
      <c r="G979" s="341"/>
      <c r="H979" s="168"/>
      <c r="I979" s="347"/>
      <c r="J979" s="187"/>
      <c r="K979" s="347"/>
      <c r="L979" s="187"/>
      <c r="M979" s="347"/>
      <c r="N979" s="187"/>
      <c r="O979" s="341"/>
      <c r="P979" s="168"/>
      <c r="Q979" s="205"/>
      <c r="R979" s="205"/>
      <c r="S979" s="17"/>
      <c r="T979" s="17"/>
      <c r="U979" s="17"/>
      <c r="V979" s="17"/>
      <c r="W979" s="17"/>
      <c r="X979" s="17"/>
      <c r="Y979" s="17"/>
      <c r="Z979" s="17"/>
    </row>
    <row r="980">
      <c r="A980" s="341"/>
      <c r="B980" s="168"/>
      <c r="C980" s="354"/>
      <c r="D980" s="353"/>
      <c r="E980" s="341"/>
      <c r="F980" s="168"/>
      <c r="G980" s="341"/>
      <c r="H980" s="168"/>
      <c r="I980" s="347"/>
      <c r="J980" s="187"/>
      <c r="K980" s="347"/>
      <c r="L980" s="187"/>
      <c r="M980" s="347"/>
      <c r="N980" s="187"/>
      <c r="O980" s="341"/>
      <c r="P980" s="168"/>
      <c r="Q980" s="205"/>
      <c r="R980" s="205"/>
      <c r="S980" s="17"/>
      <c r="T980" s="17"/>
      <c r="U980" s="17"/>
      <c r="V980" s="17"/>
      <c r="W980" s="17"/>
      <c r="X980" s="17"/>
      <c r="Y980" s="17"/>
      <c r="Z980" s="17"/>
    </row>
    <row r="981">
      <c r="A981" s="341"/>
      <c r="B981" s="168"/>
      <c r="C981" s="354"/>
      <c r="D981" s="353"/>
      <c r="E981" s="341"/>
      <c r="F981" s="168"/>
      <c r="G981" s="341"/>
      <c r="H981" s="168"/>
      <c r="I981" s="347"/>
      <c r="J981" s="187"/>
      <c r="K981" s="347"/>
      <c r="L981" s="187"/>
      <c r="M981" s="347"/>
      <c r="N981" s="187"/>
      <c r="O981" s="341"/>
      <c r="P981" s="168"/>
      <c r="Q981" s="205"/>
      <c r="R981" s="205"/>
      <c r="S981" s="17"/>
      <c r="T981" s="17"/>
      <c r="U981" s="17"/>
      <c r="V981" s="17"/>
      <c r="W981" s="17"/>
      <c r="X981" s="17"/>
      <c r="Y981" s="17"/>
      <c r="Z981" s="17"/>
    </row>
    <row r="982">
      <c r="A982" s="341"/>
      <c r="B982" s="168"/>
      <c r="C982" s="354"/>
      <c r="D982" s="353"/>
      <c r="E982" s="341"/>
      <c r="F982" s="168"/>
      <c r="G982" s="341"/>
      <c r="H982" s="168"/>
      <c r="I982" s="347"/>
      <c r="J982" s="187"/>
      <c r="K982" s="347"/>
      <c r="L982" s="187"/>
      <c r="M982" s="347"/>
      <c r="N982" s="187"/>
      <c r="O982" s="341"/>
      <c r="P982" s="168"/>
      <c r="Q982" s="205"/>
      <c r="R982" s="205"/>
      <c r="S982" s="17"/>
      <c r="T982" s="17"/>
      <c r="U982" s="17"/>
      <c r="V982" s="17"/>
      <c r="W982" s="17"/>
      <c r="X982" s="17"/>
      <c r="Y982" s="17"/>
      <c r="Z982" s="17"/>
    </row>
    <row r="983">
      <c r="A983" s="341"/>
      <c r="B983" s="168"/>
      <c r="C983" s="354"/>
      <c r="D983" s="353"/>
      <c r="E983" s="341"/>
      <c r="F983" s="168"/>
      <c r="G983" s="341"/>
      <c r="H983" s="168"/>
      <c r="I983" s="347"/>
      <c r="J983" s="187"/>
      <c r="K983" s="347"/>
      <c r="L983" s="187"/>
      <c r="M983" s="347"/>
      <c r="N983" s="187"/>
      <c r="O983" s="341"/>
      <c r="P983" s="168"/>
      <c r="Q983" s="205"/>
      <c r="R983" s="205"/>
      <c r="S983" s="17"/>
      <c r="T983" s="17"/>
      <c r="U983" s="17"/>
      <c r="V983" s="17"/>
      <c r="W983" s="17"/>
      <c r="X983" s="17"/>
      <c r="Y983" s="17"/>
      <c r="Z983" s="17"/>
    </row>
    <row r="984">
      <c r="A984" s="341"/>
      <c r="B984" s="168"/>
      <c r="C984" s="354"/>
      <c r="D984" s="353"/>
      <c r="E984" s="341"/>
      <c r="F984" s="168"/>
      <c r="G984" s="341"/>
      <c r="H984" s="168"/>
      <c r="I984" s="347"/>
      <c r="J984" s="187"/>
      <c r="K984" s="347"/>
      <c r="L984" s="187"/>
      <c r="M984" s="347"/>
      <c r="N984" s="187"/>
      <c r="O984" s="341"/>
      <c r="P984" s="168"/>
      <c r="Q984" s="205"/>
      <c r="R984" s="205"/>
      <c r="S984" s="17"/>
      <c r="T984" s="17"/>
      <c r="U984" s="17"/>
      <c r="V984" s="17"/>
      <c r="W984" s="17"/>
      <c r="X984" s="17"/>
      <c r="Y984" s="17"/>
      <c r="Z984" s="17"/>
    </row>
    <row r="985">
      <c r="A985" s="341"/>
      <c r="B985" s="168"/>
      <c r="C985" s="354"/>
      <c r="D985" s="353"/>
      <c r="E985" s="341"/>
      <c r="F985" s="168"/>
      <c r="G985" s="341"/>
      <c r="H985" s="168"/>
      <c r="I985" s="347"/>
      <c r="J985" s="187"/>
      <c r="K985" s="347"/>
      <c r="L985" s="187"/>
      <c r="M985" s="347"/>
      <c r="N985" s="187"/>
      <c r="O985" s="341"/>
      <c r="P985" s="168"/>
      <c r="Q985" s="205"/>
      <c r="R985" s="205"/>
      <c r="S985" s="17"/>
      <c r="T985" s="17"/>
      <c r="U985" s="17"/>
      <c r="V985" s="17"/>
      <c r="W985" s="17"/>
      <c r="X985" s="17"/>
      <c r="Y985" s="17"/>
      <c r="Z985" s="17"/>
    </row>
    <row r="986">
      <c r="A986" s="341"/>
      <c r="B986" s="168"/>
      <c r="C986" s="354"/>
      <c r="D986" s="353"/>
      <c r="E986" s="341"/>
      <c r="F986" s="168"/>
      <c r="G986" s="341"/>
      <c r="H986" s="168"/>
      <c r="I986" s="347"/>
      <c r="J986" s="187"/>
      <c r="K986" s="347"/>
      <c r="L986" s="187"/>
      <c r="M986" s="347"/>
      <c r="N986" s="187"/>
      <c r="O986" s="341"/>
      <c r="P986" s="168"/>
      <c r="Q986" s="205"/>
      <c r="R986" s="205"/>
      <c r="S986" s="17"/>
      <c r="T986" s="17"/>
      <c r="U986" s="17"/>
      <c r="V986" s="17"/>
      <c r="W986" s="17"/>
      <c r="X986" s="17"/>
      <c r="Y986" s="17"/>
      <c r="Z986" s="17"/>
    </row>
    <row r="987">
      <c r="A987" s="341"/>
      <c r="B987" s="168"/>
      <c r="C987" s="354"/>
      <c r="D987" s="353"/>
      <c r="E987" s="341"/>
      <c r="F987" s="168"/>
      <c r="G987" s="341"/>
      <c r="H987" s="168"/>
      <c r="I987" s="347"/>
      <c r="J987" s="187"/>
      <c r="K987" s="347"/>
      <c r="L987" s="187"/>
      <c r="M987" s="347"/>
      <c r="N987" s="187"/>
      <c r="O987" s="341"/>
      <c r="P987" s="168"/>
      <c r="Q987" s="205"/>
      <c r="R987" s="205"/>
      <c r="S987" s="17"/>
      <c r="T987" s="17"/>
      <c r="U987" s="17"/>
      <c r="V987" s="17"/>
      <c r="W987" s="17"/>
      <c r="X987" s="17"/>
      <c r="Y987" s="17"/>
      <c r="Z987" s="17"/>
    </row>
    <row r="988">
      <c r="A988" s="341"/>
      <c r="B988" s="168"/>
      <c r="C988" s="354"/>
      <c r="D988" s="353"/>
      <c r="E988" s="341"/>
      <c r="F988" s="168"/>
      <c r="G988" s="341"/>
      <c r="H988" s="168"/>
      <c r="I988" s="347"/>
      <c r="J988" s="187"/>
      <c r="K988" s="347"/>
      <c r="L988" s="187"/>
      <c r="M988" s="347"/>
      <c r="N988" s="187"/>
      <c r="O988" s="341"/>
      <c r="P988" s="168"/>
      <c r="Q988" s="205"/>
      <c r="R988" s="205"/>
      <c r="S988" s="17"/>
      <c r="T988" s="17"/>
      <c r="U988" s="17"/>
      <c r="V988" s="17"/>
      <c r="W988" s="17"/>
      <c r="X988" s="17"/>
      <c r="Y988" s="17"/>
      <c r="Z988" s="17"/>
    </row>
    <row r="989">
      <c r="A989" s="341"/>
      <c r="B989" s="168"/>
      <c r="C989" s="354"/>
      <c r="D989" s="353"/>
      <c r="E989" s="341"/>
      <c r="F989" s="168"/>
      <c r="G989" s="341"/>
      <c r="H989" s="168"/>
      <c r="I989" s="347"/>
      <c r="J989" s="187"/>
      <c r="K989" s="347"/>
      <c r="L989" s="187"/>
      <c r="M989" s="347"/>
      <c r="N989" s="187"/>
      <c r="O989" s="341"/>
      <c r="P989" s="168"/>
      <c r="Q989" s="205"/>
      <c r="R989" s="205"/>
      <c r="S989" s="17"/>
      <c r="T989" s="17"/>
      <c r="U989" s="17"/>
      <c r="V989" s="17"/>
      <c r="W989" s="17"/>
      <c r="X989" s="17"/>
      <c r="Y989" s="17"/>
      <c r="Z989" s="17"/>
    </row>
    <row r="990">
      <c r="A990" s="341"/>
      <c r="B990" s="168"/>
      <c r="C990" s="354"/>
      <c r="D990" s="353"/>
      <c r="E990" s="341"/>
      <c r="F990" s="168"/>
      <c r="G990" s="341"/>
      <c r="H990" s="168"/>
      <c r="I990" s="347"/>
      <c r="J990" s="187"/>
      <c r="K990" s="347"/>
      <c r="L990" s="187"/>
      <c r="M990" s="347"/>
      <c r="N990" s="187"/>
      <c r="O990" s="341"/>
      <c r="P990" s="168"/>
      <c r="Q990" s="205"/>
      <c r="R990" s="205"/>
      <c r="S990" s="17"/>
      <c r="T990" s="17"/>
      <c r="U990" s="17"/>
      <c r="V990" s="17"/>
      <c r="W990" s="17"/>
      <c r="X990" s="17"/>
      <c r="Y990" s="17"/>
      <c r="Z990" s="17"/>
    </row>
    <row r="991">
      <c r="A991" s="341"/>
      <c r="B991" s="168"/>
      <c r="C991" s="354"/>
      <c r="D991" s="353"/>
      <c r="E991" s="341"/>
      <c r="F991" s="168"/>
      <c r="G991" s="341"/>
      <c r="H991" s="168"/>
      <c r="I991" s="347"/>
      <c r="J991" s="187"/>
      <c r="K991" s="347"/>
      <c r="L991" s="187"/>
      <c r="M991" s="347"/>
      <c r="N991" s="187"/>
      <c r="O991" s="341"/>
      <c r="P991" s="168"/>
      <c r="Q991" s="205"/>
      <c r="R991" s="205"/>
      <c r="S991" s="17"/>
      <c r="T991" s="17"/>
      <c r="U991" s="17"/>
      <c r="V991" s="17"/>
      <c r="W991" s="17"/>
      <c r="X991" s="17"/>
      <c r="Y991" s="17"/>
      <c r="Z991" s="17"/>
    </row>
    <row r="992">
      <c r="A992" s="341"/>
      <c r="B992" s="168"/>
      <c r="C992" s="354"/>
      <c r="D992" s="353"/>
      <c r="E992" s="341"/>
      <c r="F992" s="168"/>
      <c r="G992" s="341"/>
      <c r="H992" s="168"/>
      <c r="I992" s="347"/>
      <c r="J992" s="187"/>
      <c r="K992" s="347"/>
      <c r="L992" s="187"/>
      <c r="M992" s="347"/>
      <c r="N992" s="187"/>
      <c r="O992" s="341"/>
      <c r="P992" s="168"/>
      <c r="Q992" s="205"/>
      <c r="R992" s="205"/>
      <c r="S992" s="17"/>
      <c r="T992" s="17"/>
      <c r="U992" s="17"/>
      <c r="V992" s="17"/>
      <c r="W992" s="17"/>
      <c r="X992" s="17"/>
      <c r="Y992" s="17"/>
      <c r="Z992" s="17"/>
    </row>
    <row r="993">
      <c r="A993" s="341"/>
      <c r="B993" s="168"/>
      <c r="C993" s="354"/>
      <c r="D993" s="353"/>
      <c r="E993" s="341"/>
      <c r="F993" s="168"/>
      <c r="G993" s="341"/>
      <c r="H993" s="168"/>
      <c r="I993" s="347"/>
      <c r="J993" s="187"/>
      <c r="K993" s="347"/>
      <c r="L993" s="187"/>
      <c r="M993" s="347"/>
      <c r="N993" s="187"/>
      <c r="O993" s="341"/>
      <c r="P993" s="168"/>
      <c r="Q993" s="205"/>
      <c r="R993" s="205"/>
      <c r="S993" s="17"/>
      <c r="T993" s="17"/>
      <c r="U993" s="17"/>
      <c r="V993" s="17"/>
      <c r="W993" s="17"/>
      <c r="X993" s="17"/>
      <c r="Y993" s="17"/>
      <c r="Z993" s="17"/>
    </row>
    <row r="994">
      <c r="A994" s="341"/>
      <c r="B994" s="168"/>
      <c r="C994" s="354"/>
      <c r="D994" s="353"/>
      <c r="E994" s="341"/>
      <c r="F994" s="168"/>
      <c r="G994" s="341"/>
      <c r="H994" s="168"/>
      <c r="I994" s="347"/>
      <c r="J994" s="187"/>
      <c r="K994" s="347"/>
      <c r="L994" s="187"/>
      <c r="M994" s="347"/>
      <c r="N994" s="187"/>
      <c r="O994" s="341"/>
      <c r="P994" s="168"/>
      <c r="Q994" s="205"/>
      <c r="R994" s="205"/>
      <c r="S994" s="17"/>
      <c r="T994" s="17"/>
      <c r="U994" s="17"/>
      <c r="V994" s="17"/>
      <c r="W994" s="17"/>
      <c r="X994" s="17"/>
      <c r="Y994" s="17"/>
      <c r="Z994" s="17"/>
    </row>
    <row r="995">
      <c r="A995" s="341"/>
      <c r="B995" s="168"/>
      <c r="C995" s="354"/>
      <c r="D995" s="353"/>
      <c r="E995" s="341"/>
      <c r="F995" s="168"/>
      <c r="G995" s="341"/>
      <c r="H995" s="168"/>
      <c r="I995" s="347"/>
      <c r="J995" s="187"/>
      <c r="K995" s="347"/>
      <c r="L995" s="187"/>
      <c r="M995" s="347"/>
      <c r="N995" s="187"/>
      <c r="O995" s="341"/>
      <c r="P995" s="168"/>
      <c r="Q995" s="205"/>
      <c r="R995" s="205"/>
      <c r="S995" s="17"/>
      <c r="T995" s="17"/>
      <c r="U995" s="17"/>
      <c r="V995" s="17"/>
      <c r="W995" s="17"/>
      <c r="X995" s="17"/>
      <c r="Y995" s="17"/>
      <c r="Z995" s="17"/>
    </row>
    <row r="996">
      <c r="A996" s="341"/>
      <c r="B996" s="168"/>
      <c r="C996" s="354"/>
      <c r="D996" s="353"/>
      <c r="E996" s="341"/>
      <c r="F996" s="168"/>
      <c r="G996" s="341"/>
      <c r="H996" s="168"/>
      <c r="I996" s="347"/>
      <c r="J996" s="187"/>
      <c r="K996" s="347"/>
      <c r="L996" s="187"/>
      <c r="M996" s="347"/>
      <c r="N996" s="187"/>
      <c r="O996" s="341"/>
      <c r="P996" s="168"/>
      <c r="Q996" s="205"/>
      <c r="R996" s="205"/>
      <c r="S996" s="17"/>
      <c r="T996" s="17"/>
      <c r="U996" s="17"/>
      <c r="V996" s="17"/>
      <c r="W996" s="17"/>
      <c r="X996" s="17"/>
      <c r="Y996" s="17"/>
      <c r="Z996" s="17"/>
    </row>
    <row r="997">
      <c r="A997" s="341"/>
      <c r="B997" s="168"/>
      <c r="C997" s="354"/>
      <c r="D997" s="353"/>
      <c r="E997" s="341"/>
      <c r="F997" s="168"/>
      <c r="G997" s="341"/>
      <c r="H997" s="168"/>
      <c r="I997" s="347"/>
      <c r="J997" s="187"/>
      <c r="K997" s="347"/>
      <c r="L997" s="187"/>
      <c r="M997" s="347"/>
      <c r="N997" s="187"/>
      <c r="O997" s="341"/>
      <c r="P997" s="168"/>
      <c r="Q997" s="205"/>
      <c r="R997" s="205"/>
      <c r="S997" s="17"/>
      <c r="T997" s="17"/>
      <c r="U997" s="17"/>
      <c r="V997" s="17"/>
      <c r="W997" s="17"/>
      <c r="X997" s="17"/>
      <c r="Y997" s="17"/>
      <c r="Z997" s="17"/>
    </row>
    <row r="998">
      <c r="A998" s="341"/>
      <c r="B998" s="168"/>
      <c r="C998" s="354"/>
      <c r="D998" s="353"/>
      <c r="E998" s="341"/>
      <c r="F998" s="168"/>
      <c r="G998" s="341"/>
      <c r="H998" s="168"/>
      <c r="I998" s="347"/>
      <c r="J998" s="187"/>
      <c r="K998" s="347"/>
      <c r="L998" s="187"/>
      <c r="M998" s="347"/>
      <c r="N998" s="187"/>
      <c r="O998" s="341"/>
      <c r="P998" s="168"/>
      <c r="Q998" s="205"/>
      <c r="R998" s="205"/>
      <c r="S998" s="17"/>
      <c r="T998" s="17"/>
      <c r="U998" s="17"/>
      <c r="V998" s="17"/>
      <c r="W998" s="17"/>
      <c r="X998" s="17"/>
      <c r="Y998" s="17"/>
      <c r="Z998" s="17"/>
    </row>
    <row r="999">
      <c r="A999" s="341"/>
      <c r="B999" s="168"/>
      <c r="C999" s="354"/>
      <c r="D999" s="353"/>
      <c r="E999" s="341"/>
      <c r="F999" s="168"/>
      <c r="G999" s="341"/>
      <c r="H999" s="168"/>
      <c r="I999" s="347"/>
      <c r="J999" s="187"/>
      <c r="K999" s="347"/>
      <c r="L999" s="187"/>
      <c r="M999" s="347"/>
      <c r="N999" s="187"/>
      <c r="O999" s="341"/>
      <c r="P999" s="168"/>
      <c r="Q999" s="205"/>
      <c r="R999" s="205"/>
      <c r="S999" s="17"/>
      <c r="T999" s="17"/>
      <c r="U999" s="17"/>
      <c r="V999" s="17"/>
      <c r="W999" s="17"/>
      <c r="X999" s="17"/>
      <c r="Y999" s="17"/>
      <c r="Z999" s="17"/>
    </row>
    <row r="1000">
      <c r="A1000" s="341"/>
      <c r="B1000" s="168"/>
      <c r="C1000" s="354"/>
      <c r="D1000" s="353"/>
      <c r="E1000" s="341"/>
      <c r="F1000" s="168"/>
      <c r="G1000" s="341"/>
      <c r="H1000" s="168"/>
      <c r="I1000" s="347"/>
      <c r="J1000" s="187"/>
      <c r="K1000" s="347"/>
      <c r="L1000" s="187"/>
      <c r="M1000" s="347"/>
      <c r="N1000" s="187"/>
      <c r="O1000" s="341"/>
      <c r="P1000" s="168"/>
      <c r="Q1000" s="205"/>
      <c r="R1000" s="205"/>
      <c r="S1000" s="17"/>
      <c r="T1000" s="17"/>
      <c r="U1000" s="17"/>
      <c r="V1000" s="17"/>
      <c r="W1000" s="17"/>
      <c r="X1000" s="17"/>
      <c r="Y1000" s="17"/>
      <c r="Z1000" s="17"/>
    </row>
    <row r="1001">
      <c r="A1001" s="341"/>
      <c r="B1001" s="168"/>
      <c r="C1001" s="354"/>
      <c r="D1001" s="353"/>
      <c r="E1001" s="341"/>
      <c r="F1001" s="168"/>
      <c r="G1001" s="341"/>
      <c r="H1001" s="168"/>
      <c r="I1001" s="347"/>
      <c r="J1001" s="187"/>
      <c r="K1001" s="347"/>
      <c r="L1001" s="187"/>
      <c r="M1001" s="347"/>
      <c r="N1001" s="187"/>
      <c r="O1001" s="341"/>
      <c r="P1001" s="168"/>
      <c r="Q1001" s="341"/>
      <c r="R1001" s="168"/>
      <c r="S1001" s="17"/>
      <c r="T1001" s="17"/>
      <c r="U1001" s="17"/>
      <c r="V1001" s="17"/>
      <c r="W1001" s="17"/>
      <c r="X1001" s="17"/>
      <c r="Y1001" s="17"/>
      <c r="Z1001" s="17"/>
    </row>
    <row r="1002">
      <c r="A1002" s="341"/>
      <c r="B1002" s="168"/>
      <c r="C1002" s="354"/>
      <c r="D1002" s="353"/>
      <c r="E1002" s="341"/>
      <c r="F1002" s="168"/>
      <c r="G1002" s="341"/>
      <c r="H1002" s="168"/>
      <c r="I1002" s="347"/>
      <c r="J1002" s="187"/>
      <c r="K1002" s="347"/>
      <c r="L1002" s="187"/>
      <c r="M1002" s="347"/>
      <c r="N1002" s="187"/>
      <c r="O1002" s="341"/>
      <c r="P1002" s="168"/>
      <c r="Q1002" s="341"/>
      <c r="R1002" s="168"/>
      <c r="S1002" s="17"/>
      <c r="T1002" s="17"/>
      <c r="U1002" s="17"/>
      <c r="V1002" s="17"/>
      <c r="W1002" s="17"/>
      <c r="X1002" s="17"/>
      <c r="Y1002" s="17"/>
      <c r="Z1002" s="17"/>
    </row>
    <row r="1003">
      <c r="A1003" s="341"/>
      <c r="B1003" s="168"/>
      <c r="C1003" s="354"/>
      <c r="D1003" s="353"/>
      <c r="E1003" s="341"/>
      <c r="F1003" s="168"/>
      <c r="G1003" s="341"/>
      <c r="H1003" s="168"/>
      <c r="I1003" s="347"/>
      <c r="J1003" s="187"/>
      <c r="K1003" s="347"/>
      <c r="L1003" s="187"/>
      <c r="M1003" s="347"/>
      <c r="N1003" s="187"/>
      <c r="O1003" s="341"/>
      <c r="P1003" s="168"/>
      <c r="Q1003" s="341"/>
      <c r="R1003" s="168"/>
      <c r="S1003" s="17"/>
      <c r="T1003" s="17"/>
      <c r="U1003" s="17"/>
      <c r="V1003" s="17"/>
      <c r="W1003" s="17"/>
      <c r="X1003" s="17"/>
      <c r="Y1003" s="17"/>
      <c r="Z1003" s="17"/>
    </row>
    <row r="1004">
      <c r="A1004" s="341"/>
      <c r="B1004" s="168"/>
      <c r="C1004" s="354"/>
      <c r="D1004" s="353"/>
      <c r="E1004" s="341"/>
      <c r="F1004" s="168"/>
      <c r="G1004" s="341"/>
      <c r="H1004" s="168"/>
      <c r="I1004" s="347"/>
      <c r="J1004" s="187"/>
      <c r="K1004" s="347"/>
      <c r="L1004" s="187"/>
      <c r="M1004" s="347"/>
      <c r="N1004" s="187"/>
      <c r="O1004" s="341"/>
      <c r="P1004" s="168"/>
      <c r="Q1004" s="341"/>
      <c r="R1004" s="168"/>
      <c r="S1004" s="17"/>
      <c r="T1004" s="17"/>
      <c r="U1004" s="17"/>
      <c r="V1004" s="17"/>
      <c r="W1004" s="17"/>
      <c r="X1004" s="17"/>
      <c r="Y1004" s="17"/>
      <c r="Z1004" s="17"/>
    </row>
    <row r="1005">
      <c r="A1005" s="341"/>
      <c r="B1005" s="168"/>
      <c r="C1005" s="354"/>
      <c r="D1005" s="353"/>
      <c r="E1005" s="341"/>
      <c r="F1005" s="168"/>
      <c r="G1005" s="341"/>
      <c r="H1005" s="168"/>
      <c r="I1005" s="347"/>
      <c r="J1005" s="187"/>
      <c r="K1005" s="347"/>
      <c r="L1005" s="187"/>
      <c r="M1005" s="347"/>
      <c r="N1005" s="187"/>
      <c r="O1005" s="341"/>
      <c r="P1005" s="168"/>
      <c r="Q1005" s="341"/>
      <c r="R1005" s="168"/>
      <c r="S1005" s="17"/>
      <c r="T1005" s="17"/>
      <c r="U1005" s="17"/>
      <c r="V1005" s="17"/>
      <c r="W1005" s="17"/>
      <c r="X1005" s="17"/>
      <c r="Y1005" s="17"/>
      <c r="Z1005" s="17"/>
    </row>
    <row r="1006">
      <c r="A1006" s="341"/>
      <c r="B1006" s="168"/>
      <c r="C1006" s="354"/>
      <c r="D1006" s="353"/>
      <c r="E1006" s="341"/>
      <c r="F1006" s="168"/>
      <c r="G1006" s="341"/>
      <c r="H1006" s="168"/>
      <c r="I1006" s="347"/>
      <c r="J1006" s="187"/>
      <c r="K1006" s="347"/>
      <c r="L1006" s="187"/>
      <c r="M1006" s="347"/>
      <c r="N1006" s="187"/>
      <c r="O1006" s="341"/>
      <c r="P1006" s="168"/>
      <c r="Q1006" s="341"/>
      <c r="R1006" s="168"/>
      <c r="S1006" s="17"/>
      <c r="T1006" s="17"/>
      <c r="U1006" s="17"/>
      <c r="V1006" s="17"/>
      <c r="W1006" s="17"/>
      <c r="X1006" s="17"/>
      <c r="Y1006" s="17"/>
      <c r="Z1006" s="17"/>
    </row>
    <row r="1007">
      <c r="A1007" s="341"/>
      <c r="B1007" s="168"/>
      <c r="C1007" s="354"/>
      <c r="D1007" s="353"/>
      <c r="E1007" s="341"/>
      <c r="F1007" s="168"/>
      <c r="G1007" s="341"/>
      <c r="H1007" s="168"/>
      <c r="I1007" s="347"/>
      <c r="J1007" s="187"/>
      <c r="K1007" s="347"/>
      <c r="L1007" s="187"/>
      <c r="M1007" s="347"/>
      <c r="N1007" s="187"/>
      <c r="O1007" s="341"/>
      <c r="P1007" s="168"/>
      <c r="Q1007" s="341"/>
      <c r="R1007" s="168"/>
      <c r="S1007" s="17"/>
      <c r="T1007" s="17"/>
      <c r="U1007" s="17"/>
      <c r="V1007" s="17"/>
      <c r="W1007" s="17"/>
      <c r="X1007" s="17"/>
      <c r="Y1007" s="17"/>
      <c r="Z1007" s="17"/>
    </row>
    <row r="1008">
      <c r="A1008" s="341"/>
      <c r="B1008" s="168"/>
      <c r="C1008" s="354"/>
      <c r="D1008" s="353"/>
      <c r="E1008" s="341"/>
      <c r="F1008" s="168"/>
      <c r="G1008" s="341"/>
      <c r="H1008" s="168"/>
      <c r="I1008" s="347"/>
      <c r="J1008" s="187"/>
      <c r="K1008" s="347"/>
      <c r="L1008" s="187"/>
      <c r="M1008" s="347"/>
      <c r="N1008" s="187"/>
      <c r="O1008" s="341"/>
      <c r="P1008" s="168"/>
      <c r="Q1008" s="341"/>
      <c r="R1008" s="168"/>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5518</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64" t="s">
        <v>5519</v>
      </c>
      <c r="S1" s="306"/>
      <c r="T1" s="306"/>
      <c r="U1" s="306"/>
      <c r="V1" s="306"/>
    </row>
    <row r="2">
      <c r="A2" s="334" t="s">
        <v>5520</v>
      </c>
      <c r="B2" s="72" t="s">
        <v>5521</v>
      </c>
      <c r="C2" s="334" t="str">
        <f>IFERROR(__xludf.DUMMYFUNCTION("GOOGLETRANSLATE(A2,""zh-tw"",""ja"")"),"小道具名")</f>
        <v>小道具名</v>
      </c>
      <c r="D2" s="72" t="str">
        <f>IFERROR(__xludf.DUMMYFUNCTION("GOOGLETRANSLATE(B2,""zh-tw"",""ja"")"),"効果")</f>
        <v>効果</v>
      </c>
      <c r="E2" s="336" t="str">
        <f>IFERROR(__xludf.DUMMYFUNCTION("GOOGLETRANSLATE(A2,""zh-tw"",""en"")"),"Prop name")</f>
        <v>Prop name</v>
      </c>
      <c r="F2" s="69" t="str">
        <f>IFERROR(__xludf.DUMMYFUNCTION("GOOGLETRANSLATE(B2,""zh-tw"",""en"")"),"Effect")</f>
        <v>Effect</v>
      </c>
      <c r="G2" s="334" t="str">
        <f>IFERROR(__xludf.DUMMYFUNCTION("GOOGLETRANSLATE(A2,""zh-tw"",""zh"")"),"道具名称")</f>
        <v>道具名称</v>
      </c>
      <c r="H2" s="72" t="str">
        <f>IFERROR(__xludf.DUMMYFUNCTION("GOOGLETRANSLATE(B2,""zh-tw"",""zh"")"),"效果")</f>
        <v>效果</v>
      </c>
      <c r="I2" s="335" t="str">
        <f>IFERROR(__xludf.DUMMYFUNCTION("GOOGLETRANSLATE(A2,""zh-tw"",""es-MX"")"),"Nombre de la propiedad")</f>
        <v>Nombre de la propiedad</v>
      </c>
      <c r="J2" s="34" t="str">
        <f>IFERROR(__xludf.DUMMYFUNCTION("GOOGLETRANSLATE(B2,""zh-tw"",""es-MX"")"),"Efecto")</f>
        <v>Efecto</v>
      </c>
      <c r="K2" s="335" t="str">
        <f>IFERROR(__xludf.DUMMYFUNCTION("GOOGLETRANSLATE(A2,""zh-tw"",""KO"")"),"소품 이름")</f>
        <v>소품 이름</v>
      </c>
      <c r="L2" s="34" t="str">
        <f>IFERROR(__xludf.DUMMYFUNCTION("GOOGLETRANSLATE(B2,""zh-tw"",""KO"")"),"효과")</f>
        <v>효과</v>
      </c>
      <c r="M2" s="335" t="str">
        <f>IFERROR(__xludf.DUMMYFUNCTION("GOOGLETRANSLATE(A2,""zh-tw"",""ru"")"),"Имя реквизита")</f>
        <v>Имя реквизита</v>
      </c>
      <c r="N2" s="34" t="str">
        <f>IFERROR(__xludf.DUMMYFUNCTION("GOOGLETRANSLATE(B2,""zh-tw"",""ru"")"),"Эффект")</f>
        <v>Эффект</v>
      </c>
      <c r="O2" s="334" t="s">
        <v>5522</v>
      </c>
      <c r="P2" s="72" t="s">
        <v>5523</v>
      </c>
      <c r="Q2" s="365" t="s">
        <v>5524</v>
      </c>
      <c r="R2" s="366" t="s">
        <v>5525</v>
      </c>
      <c r="S2" s="367"/>
      <c r="T2" s="367"/>
      <c r="U2" s="367"/>
      <c r="V2" s="367"/>
    </row>
    <row r="3">
      <c r="A3" s="339" t="s">
        <v>5526</v>
      </c>
      <c r="B3" s="167" t="s">
        <v>5527</v>
      </c>
      <c r="C3" s="339" t="s">
        <v>5528</v>
      </c>
      <c r="D3" s="167" t="s">
        <v>5529</v>
      </c>
      <c r="E3" s="339" t="s">
        <v>5530</v>
      </c>
      <c r="F3" s="167" t="s">
        <v>5531</v>
      </c>
      <c r="G3" s="339" t="str">
        <f>IFERROR(__xludf.DUMMYFUNCTION("GOOGLETRANSLATE(A3,""zh-tw"",""zh"")"),"好喝的牛奶")</f>
        <v>好喝的牛奶</v>
      </c>
      <c r="H3" s="167" t="str">
        <f>IFERROR(__xludf.DUMMYFUNCTION("GOOGLETRANSLATE(B3,""zh-tw"",""zh"")"),"回复体力120，自动回复效果")</f>
        <v>回复体力120，自动回复效果</v>
      </c>
      <c r="I3" s="341" t="str">
        <f>IFERROR(__xludf.DUMMYFUNCTION("GOOGLETRANSLATE(A3,""zh-tw"",""es-MX"")"),"Leche deliciosa")</f>
        <v>Leche deliciosa</v>
      </c>
      <c r="J3" s="168" t="str">
        <f>IFERROR(__xludf.DUMMYFUNCTION("GOOGLETRANSLATE(B3,""zh-tw"",""es-MX"")"),"Restaura 120 de resistencia; efecto de recuperación automática de resistencia.")</f>
        <v>Restaura 120 de resistencia; efecto de recuperación automática de resistencia.</v>
      </c>
      <c r="K3" s="341" t="str">
        <f>IFERROR(__xludf.DUMMYFUNCTION("GOOGLETRANSLATE(A3,""zh-tw"",""KO"")"),"맛있는 우유")</f>
        <v>맛있는 우유</v>
      </c>
      <c r="L3" s="167" t="s">
        <v>5532</v>
      </c>
      <c r="M3" s="341" t="str">
        <f>IFERROR(__xludf.DUMMYFUNCTION("GOOGLETRANSLATE(A3,""zh-tw"",""ru"")"),"Вкусное молоко")</f>
        <v>Вкусное молоко</v>
      </c>
      <c r="N3" s="168" t="str">
        <f>IFERROR(__xludf.DUMMYFUNCTION("GOOGLETRANSLATE(B3,""zh-tw"",""ru"")"),"Восстанавливает 120 единиц выносливости; эффект автоматического восстановления выносливости.")</f>
        <v>Восстанавливает 120 единиц выносливости; эффект автоматического восстановления выносливости.</v>
      </c>
      <c r="O3" s="339" t="s">
        <v>5533</v>
      </c>
      <c r="P3" s="167" t="s">
        <v>5534</v>
      </c>
      <c r="Q3" s="346" t="s">
        <v>5535</v>
      </c>
      <c r="R3" s="170" t="s">
        <v>5536</v>
      </c>
      <c r="S3" s="17"/>
      <c r="T3" s="17"/>
      <c r="U3" s="17"/>
      <c r="V3" s="17"/>
    </row>
    <row r="4">
      <c r="A4" s="339" t="s">
        <v>5537</v>
      </c>
      <c r="B4" s="167" t="s">
        <v>5538</v>
      </c>
      <c r="C4" s="339" t="s">
        <v>5539</v>
      </c>
      <c r="D4" s="167" t="s">
        <v>5540</v>
      </c>
      <c r="E4" s="339" t="s">
        <v>5541</v>
      </c>
      <c r="F4" s="167" t="s">
        <v>5542</v>
      </c>
      <c r="G4" s="339" t="str">
        <f>IFERROR(__xludf.DUMMYFUNCTION("GOOGLETRANSLATE(A4,""zh-tw"",""zh"")"),"胡萝卜牛奶")</f>
        <v>胡萝卜牛奶</v>
      </c>
      <c r="H4" s="167" t="str">
        <f>IFERROR(__xludf.DUMMYFUNCTION("GOOGLETRANSLATE(B4,""zh-tw"",""zh"")"),"回复体力75，消除异常")</f>
        <v>回复体力75，消除异常</v>
      </c>
      <c r="I4" s="341" t="str">
        <f>IFERROR(__xludf.DUMMYFUNCTION("GOOGLETRANSLATE(A4,""zh-tw"",""es-MX"")"),"Leche de zanahoria")</f>
        <v>Leche de zanahoria</v>
      </c>
      <c r="J4" s="168" t="str">
        <f>IFERROR(__xludf.DUMMYFUNCTION("GOOGLETRANSLATE(B4,""zh-tw"",""es-MX"")"),"Restaura 75 puntos de resistencia y elimina los estados alterados.")</f>
        <v>Restaura 75 puntos de resistencia y elimina los estados alterados.</v>
      </c>
      <c r="K4" s="341" t="str">
        <f>IFERROR(__xludf.DUMMYFUNCTION("GOOGLETRANSLATE(A4,""zh-tw"",""KO"")"),"당근 우유")</f>
        <v>당근 우유</v>
      </c>
      <c r="L4" s="167" t="s">
        <v>5543</v>
      </c>
      <c r="M4" s="341" t="str">
        <f>IFERROR(__xludf.DUMMYFUNCTION("GOOGLETRANSLATE(A4,""zh-tw"",""ru"")"),"Морковное молоко")</f>
        <v>Морковное молоко</v>
      </c>
      <c r="N4" s="168" t="str">
        <f>IFERROR(__xludf.DUMMYFUNCTION("GOOGLETRANSLATE(B4,""zh-tw"",""ru"")"),"Восстанавливает 75 единиц выносливости и снимает аномальное состояние.")</f>
        <v>Восстанавливает 75 единиц выносливости и снимает аномальное состояние.</v>
      </c>
      <c r="O4" s="339" t="s">
        <v>5544</v>
      </c>
      <c r="P4" s="167" t="s">
        <v>5545</v>
      </c>
      <c r="Q4" s="346" t="s">
        <v>5546</v>
      </c>
      <c r="R4" s="170" t="s">
        <v>5547</v>
      </c>
      <c r="S4" s="17"/>
      <c r="T4" s="17"/>
      <c r="U4" s="17"/>
      <c r="V4" s="17"/>
    </row>
    <row r="5">
      <c r="A5" s="339" t="s">
        <v>5548</v>
      </c>
      <c r="B5" s="167" t="s">
        <v>5549</v>
      </c>
      <c r="C5" s="339" t="s">
        <v>5550</v>
      </c>
      <c r="D5" s="167" t="s">
        <v>5551</v>
      </c>
      <c r="E5" s="339" t="s">
        <v>5552</v>
      </c>
      <c r="F5" s="167" t="s">
        <v>5553</v>
      </c>
      <c r="G5" s="339" t="str">
        <f>IFERROR(__xludf.DUMMYFUNCTION("GOOGLETRANSLATE(A5,""zh-tw"",""zh"")"),"草莓味牛奶")</f>
        <v>草莓味牛奶</v>
      </c>
      <c r="H5" s="167" t="str">
        <f>IFERROR(__xludf.DUMMYFUNCTION("GOOGLETRANSLATE(B5,""zh-tw"",""zh"")"),"回复体力75，提高50%攻击")</f>
        <v>回复体力75，提高50%攻击</v>
      </c>
      <c r="I5" s="341" t="str">
        <f>IFERROR(__xludf.DUMMYFUNCTION("GOOGLETRANSLATE(A5,""zh-tw"",""es-MX"")"),"Leche de fresa")</f>
        <v>Leche de fresa</v>
      </c>
      <c r="J5" s="168" t="str">
        <f>IFERROR(__xludf.DUMMYFUNCTION("GOOGLETRANSLATE(B5,""zh-tw"",""es-MX"")"),"Restaura 75 puntos de resistencia y aumenta el ataque en un 50%.")</f>
        <v>Restaura 75 puntos de resistencia y aumenta el ataque en un 50%.</v>
      </c>
      <c r="K5" s="339" t="s">
        <v>5554</v>
      </c>
      <c r="L5" s="168" t="str">
        <f>IFERROR(__xludf.DUMMYFUNCTION("GOOGLETRANSLATE(B5,""zh-tw"",""KO"")"),"체력을 75 회복하고 공격력을 50% 증가시킵니다.")</f>
        <v>체력을 75 회복하고 공격력을 50% 증가시킵니다.</v>
      </c>
      <c r="M5" s="341" t="str">
        <f>IFERROR(__xludf.DUMMYFUNCTION("GOOGLETRANSLATE(A5,""zh-tw"",""ru"")"),"Клубничное молоко")</f>
        <v>Клубничное молоко</v>
      </c>
      <c r="N5" s="168" t="str">
        <f>IFERROR(__xludf.DUMMYFUNCTION("GOOGLETRANSLATE(B5,""zh-tw"",""ru"")"),"Восстанавливает 75 единиц выносливости и увеличивает атаку на 50%.")</f>
        <v>Восстанавливает 75 единиц выносливости и увеличивает атаку на 50%.</v>
      </c>
      <c r="O5" s="339" t="s">
        <v>5555</v>
      </c>
      <c r="P5" s="167" t="s">
        <v>5556</v>
      </c>
      <c r="Q5" s="346" t="s">
        <v>5557</v>
      </c>
      <c r="R5" s="170" t="s">
        <v>5558</v>
      </c>
      <c r="S5" s="17"/>
      <c r="T5" s="17"/>
      <c r="U5" s="17"/>
      <c r="V5" s="17"/>
    </row>
    <row r="6">
      <c r="A6" s="339" t="s">
        <v>5559</v>
      </c>
      <c r="B6" s="167" t="s">
        <v>5560</v>
      </c>
      <c r="C6" s="339" t="s">
        <v>5561</v>
      </c>
      <c r="D6" s="167" t="s">
        <v>5562</v>
      </c>
      <c r="E6" s="339" t="s">
        <v>5563</v>
      </c>
      <c r="F6" s="167" t="s">
        <v>5564</v>
      </c>
      <c r="G6" s="339" t="str">
        <f>IFERROR(__xludf.DUMMYFUNCTION("GOOGLETRANSLATE(A6,""zh-tw"",""zh"")"),"蜜瓜味牛奶")</f>
        <v>蜜瓜味牛奶</v>
      </c>
      <c r="H6" s="167" t="str">
        <f>IFERROR(__xludf.DUMMYFUNCTION("GOOGLETRANSLATE(B6,""zh-tw"",""zh"")"),"回复体力75，提高50%魔力")</f>
        <v>回复体力75，提高50%魔力</v>
      </c>
      <c r="I6" s="341" t="str">
        <f>IFERROR(__xludf.DUMMYFUNCTION("GOOGLETRANSLATE(A6,""zh-tw"",""es-MX"")"),"leche con sabor a melón dulce")</f>
        <v>leche con sabor a melón dulce</v>
      </c>
      <c r="J6" s="168" t="str">
        <f>IFERROR(__xludf.DUMMYFUNCTION("GOOGLETRANSLATE(B6,""zh-tw"",""es-MX"")"),"Restaura 75 PV y aumenta la magia en un 50%.")</f>
        <v>Restaura 75 PV y aumenta la magia en un 50%.</v>
      </c>
      <c r="K6" s="339" t="s">
        <v>5565</v>
      </c>
      <c r="L6" s="168" t="str">
        <f>IFERROR(__xludf.DUMMYFUNCTION("GOOGLETRANSLATE(B6,""zh-tw"",""KO"")"),"체력을 75 회복하고 마나를 50% 증가시킵니다.")</f>
        <v>체력을 75 회복하고 마나를 50% 증가시킵니다.</v>
      </c>
      <c r="M6" s="341" t="str">
        <f>IFERROR(__xludf.DUMMYFUNCTION("GOOGLETRANSLATE(A6,""zh-tw"",""ru"")"),"Молоко со вкусом дыни Honeydew")</f>
        <v>Молоко со вкусом дыни Honeydew</v>
      </c>
      <c r="N6" s="168" t="str">
        <f>IFERROR(__xludf.DUMMYFUNCTION("GOOGLETRANSLATE(B6,""zh-tw"",""ru"")"),"Восстанавливает 75 HP и увеличивает магию на 50%")</f>
        <v>Восстанавливает 75 HP и увеличивает магию на 50%</v>
      </c>
      <c r="O6" s="339" t="s">
        <v>5566</v>
      </c>
      <c r="P6" s="167" t="s">
        <v>5567</v>
      </c>
      <c r="Q6" s="346" t="s">
        <v>5568</v>
      </c>
      <c r="R6" s="170" t="s">
        <v>5569</v>
      </c>
      <c r="S6" s="17"/>
      <c r="T6" s="17"/>
      <c r="U6" s="17"/>
      <c r="V6" s="17"/>
    </row>
    <row r="7">
      <c r="A7" s="339" t="s">
        <v>5570</v>
      </c>
      <c r="B7" s="167" t="s">
        <v>5571</v>
      </c>
      <c r="C7" s="339" t="s">
        <v>5572</v>
      </c>
      <c r="D7" s="167" t="s">
        <v>5573</v>
      </c>
      <c r="E7" s="339" t="s">
        <v>5574</v>
      </c>
      <c r="F7" s="167" t="s">
        <v>5575</v>
      </c>
      <c r="G7" s="339" t="str">
        <f>IFERROR(__xludf.DUMMYFUNCTION("GOOGLETRANSLATE(A7,""zh-tw"",""zh"")"),"香蕉味牛奶")</f>
        <v>香蕉味牛奶</v>
      </c>
      <c r="H7" s="167" t="str">
        <f>IFERROR(__xludf.DUMMYFUNCTION("GOOGLETRANSLATE(B7,""zh-tw"",""zh"")"),"回复体力75，移速增强")</f>
        <v>回复体力75，移速增强</v>
      </c>
      <c r="I7" s="341" t="str">
        <f>IFERROR(__xludf.DUMMYFUNCTION("GOOGLETRANSLATE(A7,""zh-tw"",""es-MX"")"),"leche con sabor a plátano")</f>
        <v>leche con sabor a plátano</v>
      </c>
      <c r="J7" s="168" t="str">
        <f>IFERROR(__xludf.DUMMYFUNCTION("GOOGLETRANSLATE(B7,""zh-tw"",""es-MX"")"),"Restaura 75 puntos de resistencia y aumenta la velocidad de movimiento.")</f>
        <v>Restaura 75 puntos de resistencia y aumenta la velocidad de movimiento.</v>
      </c>
      <c r="K7" s="341" t="str">
        <f>IFERROR(__xludf.DUMMYFUNCTION("GOOGLETRANSLATE(A7,""zh-tw"",""KO"")"),"바나나맛 우유")</f>
        <v>바나나맛 우유</v>
      </c>
      <c r="L7" s="167" t="s">
        <v>5576</v>
      </c>
      <c r="M7" s="341" t="str">
        <f>IFERROR(__xludf.DUMMYFUNCTION("GOOGLETRANSLATE(A7,""zh-tw"",""ru"")"),"Банановое молоко")</f>
        <v>Банановое молоко</v>
      </c>
      <c r="N7" s="168"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39" t="s">
        <v>5577</v>
      </c>
      <c r="P7" s="167" t="s">
        <v>5578</v>
      </c>
      <c r="Q7" s="346" t="s">
        <v>5579</v>
      </c>
      <c r="R7" s="170" t="s">
        <v>5580</v>
      </c>
      <c r="S7" s="17"/>
      <c r="T7" s="17"/>
      <c r="U7" s="17"/>
      <c r="V7" s="17"/>
    </row>
    <row r="8">
      <c r="A8" s="339" t="s">
        <v>5581</v>
      </c>
      <c r="B8" s="167" t="s">
        <v>5582</v>
      </c>
      <c r="C8" s="339" t="s">
        <v>5583</v>
      </c>
      <c r="D8" s="167" t="s">
        <v>5584</v>
      </c>
      <c r="E8" s="339" t="s">
        <v>5585</v>
      </c>
      <c r="F8" s="167" t="s">
        <v>5586</v>
      </c>
      <c r="G8" s="339" t="str">
        <f>IFERROR(__xludf.DUMMYFUNCTION("GOOGLETRANSLATE(A8,""zh-tw"",""zh"")"),"巧克力牛奶")</f>
        <v>巧克力牛奶</v>
      </c>
      <c r="H8" s="167" t="str">
        <f>IFERROR(__xludf.DUMMYFUNCTION("GOOGLETRANSLATE(B8,""zh-tw"",""zh"")"),"回复体力78，霸体效果
(未实装)")</f>
        <v>回复体力78，霸体效果
(未实装)</v>
      </c>
      <c r="I8" s="341" t="str">
        <f>IFERROR(__xludf.DUMMYFUNCTION("GOOGLETRANSLATE(A8,""zh-tw"",""es-MX"")"),"Leche con chocolate")</f>
        <v>Leche con chocolate</v>
      </c>
      <c r="J8" s="168" t="str">
        <f>IFERROR(__xludf.DUMMYFUNCTION("GOOGLETRANSLATE(B8,""zh-tw"",""es-MX"")"),"Restaura 78 HP y otorga efecto de superarmación.
(Aún no implementado)")</f>
        <v>Restaura 78 HP y otorga efecto de superarmación.
(Aún no implementado)</v>
      </c>
      <c r="K8" s="339" t="s">
        <v>5587</v>
      </c>
      <c r="L8" s="168" t="str">
        <f>IFERROR(__xludf.DUMMYFUNCTION("GOOGLETRANSLATE(B8,""zh-tw"",""KO"")"),"체력 78 회복, 슈퍼아머 효과 부여
(아직 구현되지 않음)")</f>
        <v>체력 78 회복, 슈퍼아머 효과 부여
(아직 구현되지 않음)</v>
      </c>
      <c r="M8" s="341" t="str">
        <f>IFERROR(__xludf.DUMMYFUNCTION("GOOGLETRANSLATE(A8,""zh-tw"",""ru"")"),"Шоколадное молоко")</f>
        <v>Шоколадное молоко</v>
      </c>
      <c r="N8" s="168"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39" t="s">
        <v>5588</v>
      </c>
      <c r="P8" s="167" t="s">
        <v>5589</v>
      </c>
      <c r="Q8" s="346" t="s">
        <v>5590</v>
      </c>
      <c r="R8" s="170" t="s">
        <v>5591</v>
      </c>
      <c r="S8" s="17"/>
      <c r="T8" s="17"/>
      <c r="U8" s="17"/>
      <c r="V8" s="17"/>
    </row>
    <row r="9">
      <c r="A9" s="339" t="s">
        <v>5592</v>
      </c>
      <c r="B9" s="167" t="s">
        <v>5593</v>
      </c>
      <c r="C9" s="339" t="s">
        <v>5594</v>
      </c>
      <c r="D9" s="167" t="s">
        <v>5595</v>
      </c>
      <c r="E9" s="339" t="s">
        <v>5596</v>
      </c>
      <c r="F9" s="167" t="s">
        <v>5597</v>
      </c>
      <c r="G9" s="339" t="str">
        <f>IFERROR(__xludf.DUMMYFUNCTION("GOOGLETRANSLATE(A9,""zh-tw"",""zh"")"),"逆流可乐")</f>
        <v>逆流可乐</v>
      </c>
      <c r="H9" s="167" t="str">
        <f>IFERROR(__xludf.DUMMYFUNCTION("GOOGLETRANSLATE(B9,""zh-tw"",""zh"")"),"(战斗效果未实装)")</f>
        <v>(战斗效果未实装)</v>
      </c>
      <c r="I9" s="339" t="s">
        <v>5596</v>
      </c>
      <c r="J9" s="168" t="str">
        <f>IFERROR(__xludf.DUMMYFUNCTION("GOOGLETRANSLATE(B9,""zh-tw"",""es-MX"")"),"(Efectos de combate aún no implementados)")</f>
        <v>(Efectos de combate aún no implementados)</v>
      </c>
      <c r="K9" s="339" t="s">
        <v>5598</v>
      </c>
      <c r="L9" s="168" t="str">
        <f>IFERROR(__xludf.DUMMYFUNCTION("GOOGLETRANSLATE(B9,""zh-tw"",""KO"")"),"(전투 효과는 아직 구현되지 않았습니다)")</f>
        <v>(전투 효과는 아직 구현되지 않았습니다)</v>
      </c>
      <c r="M9" s="341" t="str">
        <f>IFERROR(__xludf.DUMMYFUNCTION("GOOGLETRANSLATE(A9,""zh-tw"",""ru"")"),"Обратная кола")</f>
        <v>Обратная кола</v>
      </c>
      <c r="N9" s="168" t="str">
        <f>IFERROR(__xludf.DUMMYFUNCTION("GOOGLETRANSLATE(B9,""zh-tw"",""ru"")"),"(Боевые эффекты пока не реализованы)")</f>
        <v>(Боевые эффекты пока не реализованы)</v>
      </c>
      <c r="O9" s="339" t="s">
        <v>5596</v>
      </c>
      <c r="P9" s="167" t="s">
        <v>5599</v>
      </c>
      <c r="Q9" s="346" t="s">
        <v>5596</v>
      </c>
      <c r="R9" s="170" t="s">
        <v>5600</v>
      </c>
      <c r="S9" s="17"/>
      <c r="T9" s="17"/>
      <c r="U9" s="17"/>
      <c r="V9" s="17"/>
    </row>
    <row r="10">
      <c r="A10" s="339" t="s">
        <v>5601</v>
      </c>
      <c r="B10" s="167" t="s">
        <v>5602</v>
      </c>
      <c r="C10" s="339" t="s">
        <v>5603</v>
      </c>
      <c r="D10" s="167" t="s">
        <v>5604</v>
      </c>
      <c r="E10" s="339" t="s">
        <v>5605</v>
      </c>
      <c r="F10" s="167" t="s">
        <v>5606</v>
      </c>
      <c r="G10" s="339" t="str">
        <f>IFERROR(__xludf.DUMMYFUNCTION("GOOGLETRANSLATE(A10,""zh-tw"",""zh"")"),"粉色金平糖")</f>
        <v>粉色金平糖</v>
      </c>
      <c r="H10" s="167" t="str">
        <f>IFERROR(__xludf.DUMMYFUNCTION("GOOGLETRANSLATE(B10,""zh-tw"",""zh"")"),"使妹妹处于发情状态
哥哥会处于兴奋状态
(哥哥未实装)")</f>
        <v>使妹妹处于发情状态
哥哥会处于兴奋状态
(哥哥未实装)</v>
      </c>
      <c r="I10" s="341" t="str">
        <f>IFERROR(__xludf.DUMMYFUNCTION("GOOGLETRANSLATE(A10,""zh-tw"",""es-MX"")"),"Konpeito rosa")</f>
        <v>Konpeito rosa</v>
      </c>
      <c r="J10" s="168" t="str">
        <f>IFERROR(__xludf.DUMMYFUNCTION("GOOGLETRANSLATE(B10,""zh-tw"",""es-MX"")"),"Provocar el celo en la hermana menor excitará al hermano mayor.
(El hermano mayor aún no está implementado).")</f>
        <v>Provocar el celo en la hermana menor excitará al hermano mayor.
(El hermano mayor aún no está implementado).</v>
      </c>
      <c r="K10" s="339" t="s">
        <v>5607</v>
      </c>
      <c r="L10" s="167" t="s">
        <v>5608</v>
      </c>
      <c r="M10" s="341" t="str">
        <f>IFERROR(__xludf.DUMMYFUNCTION("GOOGLETRANSLATE(A10,""zh-tw"",""ru"")"),"Розовый Конпейто")</f>
        <v>Розовый Конпейто</v>
      </c>
      <c r="N10" s="168" t="str">
        <f>IFERROR(__xludf.DUMMYFUNCTION("GOOGLETRANSLATE(B10,""zh-tw"",""ru"")"),"Если младшая сестра войдет в состояние течки, старший брат войдет в состояние возбуждения.
(Старший брат пока не реализован.)")</f>
        <v>Если младшая сестра войдет в состояние течки, старший брат войдет в состояние возбуждения.
(Старший брат пока не реализован.)</v>
      </c>
      <c r="O10" s="339" t="s">
        <v>5609</v>
      </c>
      <c r="P10" s="167" t="s">
        <v>5610</v>
      </c>
      <c r="Q10" s="346" t="s">
        <v>5611</v>
      </c>
      <c r="R10" s="170" t="s">
        <v>5612</v>
      </c>
      <c r="S10" s="17"/>
      <c r="T10" s="17"/>
      <c r="U10" s="17"/>
      <c r="V10" s="17"/>
    </row>
    <row r="11">
      <c r="A11" s="339" t="s">
        <v>5613</v>
      </c>
      <c r="B11" s="167" t="s">
        <v>5614</v>
      </c>
      <c r="C11" s="339" t="s">
        <v>5615</v>
      </c>
      <c r="D11" s="167" t="s">
        <v>5616</v>
      </c>
      <c r="E11" s="339" t="s">
        <v>5617</v>
      </c>
      <c r="F11" s="167" t="s">
        <v>5618</v>
      </c>
      <c r="G11" s="339" t="str">
        <f>IFERROR(__xludf.DUMMYFUNCTION("GOOGLETRANSLATE(A11,""zh-tw"",""zh"")"),"蓝色金平糖")</f>
        <v>蓝色金平糖</v>
      </c>
      <c r="H11" s="16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41" t="str">
        <f>IFERROR(__xludf.DUMMYFUNCTION("GOOGLETRANSLATE(A11,""zh-tw"",""es-MX"")"),"Konpeito azul")</f>
        <v>Konpeito azul</v>
      </c>
      <c r="J11" s="168" t="str">
        <f>IFERROR(__xludf.DUMMYFUNCTION("GOOGLETRANSLATE(B11,""zh-tw"",""es-MX"")"),"Hace que la hermana pequeña tenga sueño (se puede combinar con platos de carne). Reduce el nivel de excitación del hermano mayor. Si le das dos pastillas a la hermana pequeña, tendrá sueño inmediatamente y dormirá muy bien esa noche.")</f>
        <v>Hace que la hermana pequeña tenga sueño (se puede combinar con platos de carne). Reduce el nivel de excitación del hermano mayor. Si le das dos pastillas a la hermana pequeña, tendrá sueño inmediatamente y dormirá muy bien esa noche.</v>
      </c>
      <c r="K11" s="339" t="s">
        <v>5619</v>
      </c>
      <c r="L11" s="167" t="s">
        <v>5620</v>
      </c>
      <c r="M11" s="341" t="str">
        <f>IFERROR(__xludf.DUMMYFUNCTION("GOOGLETRANSLATE(A11,""zh-tw"",""ru"")"),"Синий Конпейто")</f>
        <v>Синий Конпейто</v>
      </c>
      <c r="N11" s="168" t="str">
        <f>IFERROR(__xludf.DUMMYFUNCTION("GOOGLETRANSLATE(B11,""zh-tw"",""ru"")"),"Вызывает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f>
        <v>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v>
      </c>
      <c r="O11" s="339" t="s">
        <v>5621</v>
      </c>
      <c r="P11" s="167" t="s">
        <v>5622</v>
      </c>
      <c r="Q11" s="346" t="s">
        <v>5623</v>
      </c>
      <c r="R11" s="170" t="s">
        <v>5624</v>
      </c>
      <c r="S11" s="17"/>
      <c r="T11" s="17"/>
      <c r="U11" s="17"/>
      <c r="V11" s="17"/>
    </row>
    <row r="12">
      <c r="A12" s="339" t="s">
        <v>5625</v>
      </c>
      <c r="B12" s="167" t="s">
        <v>5626</v>
      </c>
      <c r="C12" s="339" t="s">
        <v>5627</v>
      </c>
      <c r="D12" s="167" t="s">
        <v>594</v>
      </c>
      <c r="E12" s="339" t="s">
        <v>5628</v>
      </c>
      <c r="F12" s="167" t="s">
        <v>5629</v>
      </c>
      <c r="G12" s="339" t="str">
        <f>IFERROR(__xludf.DUMMYFUNCTION("GOOGLETRANSLATE(A12,""zh-tw"",""zh"")"),"绿色金平糖")</f>
        <v>绿色金平糖</v>
      </c>
      <c r="H12" s="167" t="str">
        <f>IFERROR(__xludf.DUMMYFUNCTION("GOOGLETRANSLATE(B12,""zh-tw"",""zh"")"),"效果未实装")</f>
        <v>效果未实装</v>
      </c>
      <c r="I12" s="341" t="str">
        <f>IFERROR(__xludf.DUMMYFUNCTION("GOOGLETRANSLATE(A12,""zh-tw"",""es-MX"")"),"Kinpeito verde")</f>
        <v>Kinpeito verde</v>
      </c>
      <c r="J12" s="168" t="str">
        <f>IFERROR(__xludf.DUMMYFUNCTION("GOOGLETRANSLATE(B12,""zh-tw"",""es-MX"")"),"El efecto no se ha implementado.")</f>
        <v>El efecto no se ha implementado.</v>
      </c>
      <c r="K12" s="339" t="s">
        <v>5630</v>
      </c>
      <c r="L12" s="168" t="str">
        <f>IFERROR(__xludf.DUMMYFUNCTION("GOOGLETRANSLATE(B12,""zh-tw"",""KO"")"),"해당 효과가 구현되지 않았습니다.")</f>
        <v>해당 효과가 구현되지 않았습니다.</v>
      </c>
      <c r="M12" s="341" t="str">
        <f>IFERROR(__xludf.DUMMYFUNCTION("GOOGLETRANSLATE(A12,""zh-tw"",""ru"")"),"Зеленый Кинпэйто")</f>
        <v>Зеленый Кинпэйто</v>
      </c>
      <c r="N12" s="168" t="str">
        <f>IFERROR(__xludf.DUMMYFUNCTION("GOOGLETRANSLATE(B12,""zh-tw"",""ru"")"),"Эффект не был реализован.")</f>
        <v>Эффект не был реализован.</v>
      </c>
      <c r="O12" s="339" t="s">
        <v>5631</v>
      </c>
      <c r="P12" s="167" t="s">
        <v>2473</v>
      </c>
      <c r="Q12" s="346" t="s">
        <v>5632</v>
      </c>
      <c r="R12" s="170" t="s">
        <v>5633</v>
      </c>
      <c r="S12" s="17"/>
      <c r="T12" s="17"/>
      <c r="U12" s="17"/>
      <c r="V12" s="17"/>
    </row>
    <row r="13">
      <c r="A13" s="339" t="s">
        <v>5634</v>
      </c>
      <c r="B13" s="167" t="s">
        <v>5635</v>
      </c>
      <c r="C13" s="339" t="s">
        <v>5636</v>
      </c>
      <c r="D13" s="167" t="s">
        <v>5637</v>
      </c>
      <c r="E13" s="339" t="s">
        <v>5638</v>
      </c>
      <c r="F13" s="167" t="s">
        <v>5639</v>
      </c>
      <c r="G13" s="339" t="str">
        <f>IFERROR(__xludf.DUMMYFUNCTION("GOOGLETRANSLATE(A13,""zh-tw"",""zh"")"),"天上之石碎片")</f>
        <v>天上之石碎片</v>
      </c>
      <c r="H13" s="167" t="str">
        <f>IFERROR(__xludf.DUMMYFUNCTION("GOOGLETRANSLATE(B13,""zh-tw"",""zh"")"),"治愈妹妹或者增加哥哥的状态")</f>
        <v>治愈妹妹或者增加哥哥的状态</v>
      </c>
      <c r="I13" s="341" t="str">
        <f>IFERROR(__xludf.DUMMYFUNCTION("GOOGLETRANSLATE(A13,""zh-tw"",""es-MX"")"),"Fragmentos de la Piedra Celestial")</f>
        <v>Fragmentos de la Piedra Celestial</v>
      </c>
      <c r="J13" s="168" t="str">
        <f>IFERROR(__xludf.DUMMYFUNCTION("GOOGLETRANSLATE(B13,""zh-tw"",""es-MX"")"),"Curar a la hermana o aumentar el estado del hermano")</f>
        <v>Curar a la hermana o aumentar el estado del hermano</v>
      </c>
      <c r="K13" s="341" t="str">
        <f>IFERROR(__xludf.DUMMYFUNCTION("GOOGLETRANSLATE(A13,""zh-tw"",""KO"")"),"천상의 돌 조각들")</f>
        <v>천상의 돌 조각들</v>
      </c>
      <c r="L13" s="167" t="s">
        <v>5640</v>
      </c>
      <c r="M13" s="341" t="str">
        <f>IFERROR(__xludf.DUMMYFUNCTION("GOOGLETRANSLATE(A13,""zh-tw"",""ru"")"),"Фрагменты Небесного Камня")</f>
        <v>Фрагменты Небесного Камня</v>
      </c>
      <c r="N13" s="168" t="str">
        <f>IFERROR(__xludf.DUMMYFUNCTION("GOOGLETRANSLATE(B13,""zh-tw"",""ru"")"),"Исцелить сестру или повысить статус брата")</f>
        <v>Исцелить сестру или повысить статус брата</v>
      </c>
      <c r="O13" s="339" t="s">
        <v>5641</v>
      </c>
      <c r="P13" s="167" t="s">
        <v>5642</v>
      </c>
      <c r="Q13" s="346" t="s">
        <v>5643</v>
      </c>
      <c r="R13" s="170" t="s">
        <v>5644</v>
      </c>
      <c r="S13" s="17"/>
      <c r="T13" s="17"/>
      <c r="U13" s="17"/>
      <c r="V13" s="17"/>
    </row>
    <row r="14">
      <c r="A14" s="339" t="s">
        <v>5645</v>
      </c>
      <c r="B14" s="167" t="s">
        <v>5646</v>
      </c>
      <c r="C14" s="339" t="s">
        <v>5647</v>
      </c>
      <c r="D14" s="167" t="s">
        <v>5648</v>
      </c>
      <c r="E14" s="339" t="s">
        <v>5649</v>
      </c>
      <c r="F14" s="167" t="s">
        <v>5650</v>
      </c>
      <c r="G14" s="339" t="str">
        <f>IFERROR(__xludf.DUMMYFUNCTION("GOOGLETRANSLATE(A14,""zh-tw"",""zh"")"),"卢恩符文A")</f>
        <v>卢恩符文A</v>
      </c>
      <c r="H14" s="167" t="s">
        <v>5651</v>
      </c>
      <c r="I14" s="341" t="str">
        <f>IFERROR(__xludf.DUMMYFUNCTION("GOOGLETRANSLATE(A14,""zh-tw"",""es-MX"")"),"Runa A")</f>
        <v>Runa A</v>
      </c>
      <c r="J14" s="168" t="str">
        <f>IFERROR(__xludf.DUMMYFUNCTION("GOOGLETRANSLATE(B14,""zh-tw"",""es-MX"")"),"Deje constancia escrita")</f>
        <v>Deje constancia escrita</v>
      </c>
      <c r="K14" s="339" t="s">
        <v>5652</v>
      </c>
      <c r="L14" s="167" t="s">
        <v>5653</v>
      </c>
      <c r="M14" s="341" t="str">
        <f>IFERROR(__xludf.DUMMYFUNCTION("GOOGLETRANSLATE(A14,""zh-tw"",""ru"")"),"Руна А")</f>
        <v>Руна А</v>
      </c>
      <c r="N14" s="168" t="str">
        <f>IFERROR(__xludf.DUMMYFUNCTION("GOOGLETRANSLATE(B14,""zh-tw"",""ru"")"),"Оставьте письменный отчет")</f>
        <v>Оставьте письменный отчет</v>
      </c>
      <c r="O14" s="339" t="s">
        <v>5654</v>
      </c>
      <c r="P14" s="167" t="s">
        <v>5655</v>
      </c>
      <c r="Q14" s="346" t="s">
        <v>5649</v>
      </c>
      <c r="R14" s="170" t="s">
        <v>5656</v>
      </c>
      <c r="S14" s="17"/>
      <c r="T14" s="17"/>
      <c r="U14" s="17"/>
      <c r="V14" s="17"/>
    </row>
    <row r="15">
      <c r="A15" s="339" t="s">
        <v>5657</v>
      </c>
      <c r="B15" s="167" t="s">
        <v>5658</v>
      </c>
      <c r="C15" s="339" t="s">
        <v>5659</v>
      </c>
      <c r="D15" s="167" t="s">
        <v>5660</v>
      </c>
      <c r="E15" s="339" t="s">
        <v>5661</v>
      </c>
      <c r="F15" s="167" t="s">
        <v>5662</v>
      </c>
      <c r="G15" s="339" t="str">
        <f>IFERROR(__xludf.DUMMYFUNCTION("GOOGLETRANSLATE(A15,""zh-tw"",""zh"")"),"卢恩符文R")</f>
        <v>卢恩符文R</v>
      </c>
      <c r="H15" s="167" t="str">
        <f>IFERROR(__xludf.DUMMYFUNCTION("GOOGLETRANSLATE(B15,""zh-tw"",""zh"")"),"投掷后，滑鼠点选R的位置进行交换")</f>
        <v>投掷后，滑鼠点选R的位置进行交换</v>
      </c>
      <c r="I15" s="341" t="str">
        <f>IFERROR(__xludf.DUMMYFUNCTION("GOOGLETRANSLATE(A15,""zh-tw"",""es-MX"")"),"Runa R")</f>
        <v>Runa R</v>
      </c>
      <c r="J15" s="168" t="str">
        <f>IFERROR(__xludf.DUMMYFUNCTION("GOOGLETRANSLATE(B15,""zh-tw"",""es-MX"")"),"Después de lanzar, haz clic en la posición R para cambiar")</f>
        <v>Después de lanzar, haz clic en la posición R para cambiar</v>
      </c>
      <c r="K15" s="339" t="s">
        <v>5663</v>
      </c>
      <c r="L15" s="167" t="s">
        <v>5664</v>
      </c>
      <c r="M15" s="341" t="str">
        <f>IFERROR(__xludf.DUMMYFUNCTION("GOOGLETRANSLATE(A15,""zh-tw"",""ru"")"),"Руна R")</f>
        <v>Руна R</v>
      </c>
      <c r="N15" s="168"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39" t="s">
        <v>5665</v>
      </c>
      <c r="P15" s="167" t="s">
        <v>5666</v>
      </c>
      <c r="Q15" s="346" t="s">
        <v>5661</v>
      </c>
      <c r="R15" s="170" t="s">
        <v>5667</v>
      </c>
      <c r="S15" s="17"/>
      <c r="T15" s="17"/>
      <c r="U15" s="17"/>
      <c r="V15" s="17"/>
    </row>
    <row r="16">
      <c r="A16" s="339" t="s">
        <v>5668</v>
      </c>
      <c r="B16" s="167" t="s">
        <v>5669</v>
      </c>
      <c r="C16" s="339" t="s">
        <v>5670</v>
      </c>
      <c r="D16" s="167" t="s">
        <v>5671</v>
      </c>
      <c r="E16" s="339" t="s">
        <v>5672</v>
      </c>
      <c r="F16" s="167" t="s">
        <v>5673</v>
      </c>
      <c r="G16" s="339" t="str">
        <f>IFERROR(__xludf.DUMMYFUNCTION("GOOGLETRANSLATE(A16,""zh-tw"",""zh"")"),"卢恩符文E")</f>
        <v>卢恩符文E</v>
      </c>
      <c r="H16" s="167" t="str">
        <f>IFERROR(__xludf.DUMMYFUNCTION("GOOGLETRANSLATE(B16,""zh-tw"",""zh"")"),"投掷后与目标进行位置交换")</f>
        <v>投掷后与目标进行位置交换</v>
      </c>
      <c r="I16" s="341" t="str">
        <f>IFERROR(__xludf.DUMMYFUNCTION("GOOGLETRANSLATE(A16,""zh-tw"",""es-MX"")"),"Runa E")</f>
        <v>Runa E</v>
      </c>
      <c r="J16" s="168" t="str">
        <f>IFERROR(__xludf.DUMMYFUNCTION("GOOGLETRANSLATE(B16,""zh-tw"",""es-MX"")"),"Tras lanzar, intercambie posiciones con el objetivo.")</f>
        <v>Tras lanzar, intercambie posiciones con el objetivo.</v>
      </c>
      <c r="K16" s="339" t="s">
        <v>5674</v>
      </c>
      <c r="L16" s="167" t="s">
        <v>5675</v>
      </c>
      <c r="M16" s="341" t="str">
        <f>IFERROR(__xludf.DUMMYFUNCTION("GOOGLETRANSLATE(A16,""zh-tw"",""ru"")"),"Руна E")</f>
        <v>Руна E</v>
      </c>
      <c r="N16" s="168" t="str">
        <f>IFERROR(__xludf.DUMMYFUNCTION("GOOGLETRANSLATE(B16,""zh-tw"",""ru"")"),"После броска поменяйтесь местами с целью.")</f>
        <v>После броска поменяйтесь местами с целью.</v>
      </c>
      <c r="O16" s="339" t="s">
        <v>5676</v>
      </c>
      <c r="P16" s="167" t="s">
        <v>5677</v>
      </c>
      <c r="Q16" s="346" t="s">
        <v>5672</v>
      </c>
      <c r="R16" s="170" t="s">
        <v>5678</v>
      </c>
      <c r="S16" s="17"/>
      <c r="T16" s="17"/>
      <c r="U16" s="17"/>
      <c r="V16" s="17"/>
    </row>
    <row r="17">
      <c r="A17" s="339" t="s">
        <v>5679</v>
      </c>
      <c r="B17" s="167" t="s">
        <v>5680</v>
      </c>
      <c r="C17" s="339" t="s">
        <v>5681</v>
      </c>
      <c r="D17" s="167" t="s">
        <v>5682</v>
      </c>
      <c r="E17" s="339" t="s">
        <v>5683</v>
      </c>
      <c r="F17" s="167" t="s">
        <v>5684</v>
      </c>
      <c r="G17" s="339" t="str">
        <f>IFERROR(__xludf.DUMMYFUNCTION("GOOGLETRANSLATE(A17,""zh-tw"",""zh"")"),"节制")</f>
        <v>节制</v>
      </c>
      <c r="H17" s="167" t="str">
        <f>IFERROR(__xludf.DUMMYFUNCTION("GOOGLETRANSLATE(B17,""zh-tw"",""zh"")"),"召唤扭蛋机")</f>
        <v>召唤扭蛋机</v>
      </c>
      <c r="I17" s="341" t="str">
        <f>IFERROR(__xludf.DUMMYFUNCTION("GOOGLETRANSLATE(A17,""zh-tw"",""es-MX"")"),"control")</f>
        <v>control</v>
      </c>
      <c r="J17" s="168" t="str">
        <f>IFERROR(__xludf.DUMMYFUNCTION("GOOGLETRANSLATE(B17,""zh-tw"",""es-MX"")"),"Máquina de invocación Gashapon")</f>
        <v>Máquina de invocación Gashapon</v>
      </c>
      <c r="K17" s="339" t="s">
        <v>5685</v>
      </c>
      <c r="L17" s="168" t="str">
        <f>IFERROR(__xludf.DUMMYFUNCTION("GOOGLETRANSLATE(B17,""zh-tw"",""KO"")"),"소환 가샤폰 머신")</f>
        <v>소환 가샤폰 머신</v>
      </c>
      <c r="M17" s="341" t="str">
        <f>IFERROR(__xludf.DUMMYFUNCTION("GOOGLETRANSLATE(A17,""zh-tw"",""ru"")"),"контроль")</f>
        <v>контроль</v>
      </c>
      <c r="N17" s="168" t="str">
        <f>IFERROR(__xludf.DUMMYFUNCTION("GOOGLETRANSLATE(B17,""zh-tw"",""ru"")"),"Вызов Гасяпон-машины")</f>
        <v>Вызов Гасяпон-машины</v>
      </c>
      <c r="O17" s="339" t="s">
        <v>5686</v>
      </c>
      <c r="P17" s="167" t="s">
        <v>5687</v>
      </c>
      <c r="Q17" s="346" t="s">
        <v>5683</v>
      </c>
      <c r="R17" s="170" t="s">
        <v>5688</v>
      </c>
      <c r="S17" s="17"/>
      <c r="T17" s="17"/>
      <c r="U17" s="17"/>
      <c r="V17" s="17"/>
    </row>
    <row r="18">
      <c r="A18" s="339" t="s">
        <v>5689</v>
      </c>
      <c r="B18" s="167" t="s">
        <v>5690</v>
      </c>
      <c r="C18" s="339" t="s">
        <v>5691</v>
      </c>
      <c r="D18" s="167" t="s">
        <v>5692</v>
      </c>
      <c r="E18" s="339" t="s">
        <v>5693</v>
      </c>
      <c r="F18" s="167" t="s">
        <v>5694</v>
      </c>
      <c r="G18" s="339" t="str">
        <f>IFERROR(__xludf.DUMMYFUNCTION("GOOGLETRANSLATE(A18,""zh-tw"",""zh"")"),"正义")</f>
        <v>正义</v>
      </c>
      <c r="H18" s="167" t="str">
        <f>IFERROR(__xludf.DUMMYFUNCTION("GOOGLETRANSLATE(B18,""zh-tw"",""zh"")"),"消除状态")</f>
        <v>消除状态</v>
      </c>
      <c r="I18" s="341" t="str">
        <f>IFERROR(__xludf.DUMMYFUNCTION("GOOGLETRANSLATE(A18,""zh-tw"",""es-MX"")"),"justicia")</f>
        <v>justicia</v>
      </c>
      <c r="J18" s="168" t="str">
        <f>IFERROR(__xludf.DUMMYFUNCTION("GOOGLETRANSLATE(B18,""zh-tw"",""es-MX"")"),"Eliminar estado")</f>
        <v>Eliminar estado</v>
      </c>
      <c r="K18" s="339" t="s">
        <v>5695</v>
      </c>
      <c r="L18" s="323" t="s">
        <v>5696</v>
      </c>
      <c r="M18" s="341" t="str">
        <f>IFERROR(__xludf.DUMMYFUNCTION("GOOGLETRANSLATE(A18,""zh-tw"",""ru"")"),"справедливость")</f>
        <v>справедливость</v>
      </c>
      <c r="N18" s="168" t="str">
        <f>IFERROR(__xludf.DUMMYFUNCTION("GOOGLETRANSLATE(B18,""zh-tw"",""ru"")"),"Устранить состояние")</f>
        <v>Устранить состояние</v>
      </c>
      <c r="O18" s="339" t="s">
        <v>5697</v>
      </c>
      <c r="P18" s="167" t="s">
        <v>5698</v>
      </c>
      <c r="Q18" s="346" t="s">
        <v>5693</v>
      </c>
      <c r="R18" s="170" t="s">
        <v>5694</v>
      </c>
      <c r="S18" s="17"/>
      <c r="T18" s="17"/>
      <c r="U18" s="17"/>
      <c r="V18" s="17"/>
    </row>
    <row r="19">
      <c r="A19" s="339" t="s">
        <v>5699</v>
      </c>
      <c r="B19" s="167" t="s">
        <v>5700</v>
      </c>
      <c r="C19" s="339" t="s">
        <v>5701</v>
      </c>
      <c r="D19" s="167" t="s">
        <v>5702</v>
      </c>
      <c r="E19" s="339" t="s">
        <v>5703</v>
      </c>
      <c r="F19" s="167" t="s">
        <v>5704</v>
      </c>
      <c r="G19" s="339" t="str">
        <f>IFERROR(__xludf.DUMMYFUNCTION("GOOGLETRANSLATE(A19,""zh-tw"",""zh"")"),"力")</f>
        <v>力</v>
      </c>
      <c r="H19" s="167" t="str">
        <f>IFERROR(__xludf.DUMMYFUNCTION("GOOGLETRANSLATE(B19,""zh-tw"",""zh"")"),"武器巨大化增强")</f>
        <v>武器巨大化增强</v>
      </c>
      <c r="I19" s="341" t="str">
        <f>IFERROR(__xludf.DUMMYFUNCTION("GOOGLETRANSLATE(A19,""zh-tw"",""es-MX"")"),"fuerza")</f>
        <v>fuerza</v>
      </c>
      <c r="J19" s="168" t="str">
        <f>IFERROR(__xludf.DUMMYFUNCTION("GOOGLETRANSLATE(B19,""zh-tw"",""es-MX"")"),"mejora del tamaño del arma")</f>
        <v>mejora del tamaño del arma</v>
      </c>
      <c r="K19" s="341" t="str">
        <f>IFERROR(__xludf.DUMMYFUNCTION("GOOGLETRANSLATE(A19,""zh-tw"",""KO"")"),"힘")</f>
        <v>힘</v>
      </c>
      <c r="L19" s="167" t="s">
        <v>5705</v>
      </c>
      <c r="M19" s="341" t="str">
        <f>IFERROR(__xludf.DUMMYFUNCTION("GOOGLETRANSLATE(A19,""zh-tw"",""ru"")"),"сила")</f>
        <v>сила</v>
      </c>
      <c r="N19" s="168" t="str">
        <f>IFERROR(__xludf.DUMMYFUNCTION("GOOGLETRANSLATE(B19,""zh-tw"",""ru"")"),"Улучшение увеличения оружия")</f>
        <v>Улучшение увеличения оружия</v>
      </c>
      <c r="O19" s="339" t="s">
        <v>5706</v>
      </c>
      <c r="P19" s="167" t="s">
        <v>5707</v>
      </c>
      <c r="Q19" s="346" t="s">
        <v>5703</v>
      </c>
      <c r="R19" s="170" t="s">
        <v>5708</v>
      </c>
      <c r="S19" s="17"/>
      <c r="T19" s="17"/>
      <c r="U19" s="17"/>
      <c r="V19" s="17"/>
    </row>
    <row r="20">
      <c r="A20" s="339" t="s">
        <v>5709</v>
      </c>
      <c r="B20" s="167" t="s">
        <v>5710</v>
      </c>
      <c r="C20" s="339" t="s">
        <v>5711</v>
      </c>
      <c r="D20" s="167" t="s">
        <v>5712</v>
      </c>
      <c r="E20" s="339" t="s">
        <v>5713</v>
      </c>
      <c r="F20" s="167" t="s">
        <v>5714</v>
      </c>
      <c r="G20" s="339" t="str">
        <f>IFERROR(__xludf.DUMMYFUNCTION("GOOGLETRANSLATE(A20,""zh-tw"",""zh"")"),"皇帝")</f>
        <v>皇帝</v>
      </c>
      <c r="H20" s="167" t="str">
        <f>IFERROR(__xludf.DUMMYFUNCTION("GOOGLETRANSLATE(B20,""zh-tw"",""zh"")"),"巨龙咆啸")</f>
        <v>巨龙咆啸</v>
      </c>
      <c r="I20" s="341" t="str">
        <f>IFERROR(__xludf.DUMMYFUNCTION("GOOGLETRANSLATE(A20,""zh-tw"",""es-MX"")"),"emperador")</f>
        <v>emperador</v>
      </c>
      <c r="J20" s="168" t="str">
        <f>IFERROR(__xludf.DUMMYFUNCTION("GOOGLETRANSLATE(B20,""zh-tw"",""es-MX"")"),"Rugido de dragón")</f>
        <v>Rugido de dragón</v>
      </c>
      <c r="K20" s="341" t="str">
        <f>IFERROR(__xludf.DUMMYFUNCTION("GOOGLETRANSLATE(A20,""zh-tw"",""KO"")"),"황제")</f>
        <v>황제</v>
      </c>
      <c r="L20" s="167" t="s">
        <v>5715</v>
      </c>
      <c r="M20" s="341" t="str">
        <f>IFERROR(__xludf.DUMMYFUNCTION("GOOGLETRANSLATE(A20,""zh-tw"",""ru"")"),"император")</f>
        <v>император</v>
      </c>
      <c r="N20" s="168" t="str">
        <f>IFERROR(__xludf.DUMMYFUNCTION("GOOGLETRANSLATE(B20,""zh-tw"",""ru"")"),"Рев Дракона")</f>
        <v>Рев Дракона</v>
      </c>
      <c r="O20" s="339" t="s">
        <v>5716</v>
      </c>
      <c r="P20" s="167" t="s">
        <v>5717</v>
      </c>
      <c r="Q20" s="346" t="s">
        <v>5713</v>
      </c>
      <c r="R20" s="170" t="s">
        <v>5718</v>
      </c>
      <c r="S20" s="17"/>
      <c r="T20" s="17"/>
      <c r="U20" s="17"/>
      <c r="V20" s="17"/>
    </row>
    <row r="21">
      <c r="A21" s="339" t="s">
        <v>5719</v>
      </c>
      <c r="B21" s="167" t="s">
        <v>5720</v>
      </c>
      <c r="C21" s="339" t="str">
        <f>IFERROR(__xludf.DUMMYFUNCTION("GOOGLETRANSLATE(A21,""zh-tw"",""ja"")"),"星")</f>
        <v>星</v>
      </c>
      <c r="D21" s="167" t="s">
        <v>5721</v>
      </c>
      <c r="E21" s="339" t="s">
        <v>5722</v>
      </c>
      <c r="F21" s="167" t="s">
        <v>5723</v>
      </c>
      <c r="G21" s="339" t="str">
        <f>IFERROR(__xludf.DUMMYFUNCTION("GOOGLETRANSLATE(A21,""zh-tw"",""zh"")"),"星")</f>
        <v>星</v>
      </c>
      <c r="H21" s="167" t="str">
        <f>IFERROR(__xludf.DUMMYFUNCTION("GOOGLETRANSLATE(B21,""zh-tw"",""zh"")"),"星之门")</f>
        <v>星之门</v>
      </c>
      <c r="I21" s="341" t="str">
        <f>IFERROR(__xludf.DUMMYFUNCTION("GOOGLETRANSLATE(A21,""zh-tw"",""es-MX"")"),"estrella")</f>
        <v>estrella</v>
      </c>
      <c r="J21" s="168" t="str">
        <f>IFERROR(__xludf.DUMMYFUNCTION("GOOGLETRANSLATE(B21,""zh-tw"",""es-MX"")"),"Puerta Estelar")</f>
        <v>Puerta Estelar</v>
      </c>
      <c r="K21" s="341" t="str">
        <f>IFERROR(__xludf.DUMMYFUNCTION("GOOGLETRANSLATE(A21,""zh-tw"",""KO"")"),"별")</f>
        <v>별</v>
      </c>
      <c r="L21" s="167" t="s">
        <v>5724</v>
      </c>
      <c r="M21" s="341" t="str">
        <f>IFERROR(__xludf.DUMMYFUNCTION("GOOGLETRANSLATE(A21,""zh-tw"",""ru"")"),"звезда")</f>
        <v>звезда</v>
      </c>
      <c r="N21" s="168" t="str">
        <f>IFERROR(__xludf.DUMMYFUNCTION("GOOGLETRANSLATE(B21,""zh-tw"",""ru"")"),"Звездные Врата")</f>
        <v>Звездные Врата</v>
      </c>
      <c r="O21" s="339" t="s">
        <v>5725</v>
      </c>
      <c r="P21" s="167" t="s">
        <v>5726</v>
      </c>
      <c r="Q21" s="346" t="s">
        <v>5722</v>
      </c>
      <c r="R21" s="170" t="s">
        <v>5727</v>
      </c>
      <c r="S21" s="17"/>
      <c r="T21" s="17"/>
      <c r="U21" s="17"/>
      <c r="V21" s="17"/>
    </row>
    <row r="22">
      <c r="A22" s="339" t="s">
        <v>5728</v>
      </c>
      <c r="B22" s="167" t="s">
        <v>5729</v>
      </c>
      <c r="C22" s="339" t="s">
        <v>5730</v>
      </c>
      <c r="D22" s="167" t="s">
        <v>5731</v>
      </c>
      <c r="E22" s="339" t="s">
        <v>5732</v>
      </c>
      <c r="F22" s="167" t="s">
        <v>5733</v>
      </c>
      <c r="G22" s="339" t="str">
        <f>IFERROR(__xludf.DUMMYFUNCTION("GOOGLETRANSLATE(A22,""zh-tw"",""zh"")"),"战车")</f>
        <v>战车</v>
      </c>
      <c r="H22" s="167" t="str">
        <f>IFERROR(__xludf.DUMMYFUNCTION("GOOGLETRANSLATE(B22,""zh-tw"",""zh"")"),"召唤猫娘商店车")</f>
        <v>召唤猫娘商店车</v>
      </c>
      <c r="I22" s="341" t="str">
        <f>IFERROR(__xludf.DUMMYFUNCTION("GOOGLETRANSLATE(A22,""zh-tw"",""es-MX"")"),"tanque")</f>
        <v>tanque</v>
      </c>
      <c r="J22" s="168" t="str">
        <f>IFERROR(__xludf.DUMMYFUNCTION("GOOGLETRANSLATE(B22,""zh-tw"",""es-MX"")"),"Carrito de la tienda de la chica gato invocable")</f>
        <v>Carrito de la tienda de la chica gato invocable</v>
      </c>
      <c r="K22" s="339" t="s">
        <v>5734</v>
      </c>
      <c r="L22" s="168" t="str">
        <f>IFERROR(__xludf.DUMMYFUNCTION("GOOGLETRANSLATE(B22,""zh-tw"",""KO"")"),"고양이 소녀 상점 카트 소환")</f>
        <v>고양이 소녀 상점 카트 소환</v>
      </c>
      <c r="M22" s="341" t="str">
        <f>IFERROR(__xludf.DUMMYFUNCTION("GOOGLETRANSLATE(A22,""zh-tw"",""ru"")"),"танк")</f>
        <v>танк</v>
      </c>
      <c r="N22" s="168" t="str">
        <f>IFERROR(__xludf.DUMMYFUNCTION("GOOGLETRANSLATE(B22,""zh-tw"",""ru"")"),"Корзина магазина «Призыв девушки-кошки»")</f>
        <v>Корзина магазина «Призыв девушки-кошки»</v>
      </c>
      <c r="O22" s="339" t="s">
        <v>5735</v>
      </c>
      <c r="P22" s="167" t="s">
        <v>5736</v>
      </c>
      <c r="Q22" s="346" t="s">
        <v>5732</v>
      </c>
      <c r="R22" s="170" t="s">
        <v>5737</v>
      </c>
      <c r="S22" s="17"/>
      <c r="T22" s="17"/>
      <c r="U22" s="17"/>
      <c r="V22" s="17"/>
    </row>
    <row r="23">
      <c r="A23" s="339" t="s">
        <v>5738</v>
      </c>
      <c r="B23" s="167" t="s">
        <v>5739</v>
      </c>
      <c r="C23" s="339" t="s">
        <v>5740</v>
      </c>
      <c r="D23" s="167" t="s">
        <v>5741</v>
      </c>
      <c r="E23" s="339" t="s">
        <v>5742</v>
      </c>
      <c r="F23" s="167" t="s">
        <v>5743</v>
      </c>
      <c r="G23" s="339" t="str">
        <f>IFERROR(__xludf.DUMMYFUNCTION("GOOGLETRANSLATE(A23,""zh-tw"",""zh"")"),"女祭司")</f>
        <v>女祭司</v>
      </c>
      <c r="H23" s="167" t="str">
        <f>IFERROR(__xludf.DUMMYFUNCTION("GOOGLETRANSLATE(B23,""zh-tw"",""zh"")"),"召唤教堂")</f>
        <v>召唤教堂</v>
      </c>
      <c r="I23" s="341" t="str">
        <f>IFERROR(__xludf.DUMMYFUNCTION("GOOGLETRANSLATE(A23,""zh-tw"",""es-MX"")"),"Sacerdotisa")</f>
        <v>Sacerdotisa</v>
      </c>
      <c r="J23" s="168" t="str">
        <f>IFERROR(__xludf.DUMMYFUNCTION("GOOGLETRANSLATE(B23,""zh-tw"",""es-MX"")"),"Iglesia de la Convocatoria")</f>
        <v>Iglesia de la Convocatoria</v>
      </c>
      <c r="K23" s="339" t="s">
        <v>5744</v>
      </c>
      <c r="L23" s="167" t="s">
        <v>5745</v>
      </c>
      <c r="M23" s="341" t="str">
        <f>IFERROR(__xludf.DUMMYFUNCTION("GOOGLETRANSLATE(A23,""zh-tw"",""ru"")"),"Жрица")</f>
        <v>Жрица</v>
      </c>
      <c r="N23" s="168" t="str">
        <f>IFERROR(__xludf.DUMMYFUNCTION("GOOGLETRANSLATE(B23,""zh-tw"",""ru"")"),"Церковь призыва")</f>
        <v>Церковь призыва</v>
      </c>
      <c r="O23" s="339" t="s">
        <v>5746</v>
      </c>
      <c r="P23" s="167" t="s">
        <v>5747</v>
      </c>
      <c r="Q23" s="346" t="s">
        <v>5742</v>
      </c>
      <c r="R23" s="170" t="s">
        <v>5748</v>
      </c>
      <c r="S23" s="17"/>
      <c r="T23" s="17"/>
      <c r="U23" s="17"/>
      <c r="V23" s="17"/>
    </row>
    <row r="24">
      <c r="A24" s="339" t="s">
        <v>5749</v>
      </c>
      <c r="B24" s="167" t="s">
        <v>5750</v>
      </c>
      <c r="C24" s="339" t="s">
        <v>5751</v>
      </c>
      <c r="D24" s="167" t="s">
        <v>5752</v>
      </c>
      <c r="E24" s="339" t="s">
        <v>5753</v>
      </c>
      <c r="F24" s="167" t="s">
        <v>5754</v>
      </c>
      <c r="G24" s="339" t="str">
        <f>IFERROR(__xludf.DUMMYFUNCTION("GOOGLETRANSLATE(A24,""zh-tw"",""zh"")"),"命运之轮")</f>
        <v>命运之轮</v>
      </c>
      <c r="H24" s="167" t="str">
        <f>IFERROR(__xludf.DUMMYFUNCTION("GOOGLETRANSLATE(B24,""zh-tw"",""zh"")"),"随机BUFF效果")</f>
        <v>随机BUFF效果</v>
      </c>
      <c r="I24" s="341" t="str">
        <f>IFERROR(__xludf.DUMMYFUNCTION("GOOGLETRANSLATE(A24,""zh-tw"",""es-MX"")"),"La rueda de la fortuna")</f>
        <v>La rueda de la fortuna</v>
      </c>
      <c r="J24" s="168" t="str">
        <f>IFERROR(__xludf.DUMMYFUNCTION("GOOGLETRANSLATE(B24,""zh-tw"",""es-MX"")"),"efectos de mejora aleatorios")</f>
        <v>efectos de mejora aleatorios</v>
      </c>
      <c r="K24" s="339" t="s">
        <v>5755</v>
      </c>
      <c r="L24" s="167" t="s">
        <v>5756</v>
      </c>
      <c r="M24" s="341" t="str">
        <f>IFERROR(__xludf.DUMMYFUNCTION("GOOGLETRANSLATE(A24,""zh-tw"",""ru"")"),"Колесо Фортуны")</f>
        <v>Колесо Фортуны</v>
      </c>
      <c r="N24" s="168" t="str">
        <f>IFERROR(__xludf.DUMMYFUNCTION("GOOGLETRANSLATE(B24,""zh-tw"",""ru"")"),"Случайные положительные эффекты")</f>
        <v>Случайные положительные эффекты</v>
      </c>
      <c r="O24" s="339" t="s">
        <v>5757</v>
      </c>
      <c r="P24" s="167" t="s">
        <v>5758</v>
      </c>
      <c r="Q24" s="346" t="s">
        <v>5753</v>
      </c>
      <c r="R24" s="170" t="s">
        <v>5759</v>
      </c>
      <c r="S24" s="17"/>
      <c r="T24" s="17"/>
      <c r="U24" s="17"/>
      <c r="V24" s="17"/>
    </row>
    <row r="25">
      <c r="A25" s="339" t="s">
        <v>5760</v>
      </c>
      <c r="B25" s="167" t="s">
        <v>5761</v>
      </c>
      <c r="C25" s="339" t="s">
        <v>5762</v>
      </c>
      <c r="D25" s="167" t="s">
        <v>5763</v>
      </c>
      <c r="E25" s="339" t="s">
        <v>5764</v>
      </c>
      <c r="F25" s="167" t="s">
        <v>5765</v>
      </c>
      <c r="G25" s="339" t="str">
        <f>IFERROR(__xludf.DUMMYFUNCTION("GOOGLETRANSLATE(A25,""zh-tw"",""zh"")"),"世界")</f>
        <v>世界</v>
      </c>
      <c r="H25" s="167" t="str">
        <f>IFERROR(__xludf.DUMMYFUNCTION("GOOGLETRANSLATE(B25,""zh-tw"",""zh"")"),"重制场地")</f>
        <v>重制场地</v>
      </c>
      <c r="I25" s="341" t="str">
        <f>IFERROR(__xludf.DUMMYFUNCTION("GOOGLETRANSLATE(A25,""zh-tw"",""es-MX"")"),"mundo")</f>
        <v>mundo</v>
      </c>
      <c r="J25" s="168" t="str">
        <f>IFERROR(__xludf.DUMMYFUNCTION("GOOGLETRANSLATE(B25,""zh-tw"",""es-MX"")"),"Sitio de reconstrucción")</f>
        <v>Sitio de reconstrucción</v>
      </c>
      <c r="K25" s="341" t="str">
        <f>IFERROR(__xludf.DUMMYFUNCTION("GOOGLETRANSLATE(A25,""zh-tw"",""KO"")"),"세계")</f>
        <v>세계</v>
      </c>
      <c r="L25" s="167" t="s">
        <v>5766</v>
      </c>
      <c r="M25" s="341" t="str">
        <f>IFERROR(__xludf.DUMMYFUNCTION("GOOGLETRANSLATE(A25,""zh-tw"",""ru"")"),"мир")</f>
        <v>мир</v>
      </c>
      <c r="N25" s="168" t="str">
        <f>IFERROR(__xludf.DUMMYFUNCTION("GOOGLETRANSLATE(B25,""zh-tw"",""ru"")"),"Место реконструкции")</f>
        <v>Место реконструкции</v>
      </c>
      <c r="O25" s="339" t="s">
        <v>5767</v>
      </c>
      <c r="P25" s="167" t="s">
        <v>5768</v>
      </c>
      <c r="Q25" s="346" t="s">
        <v>5764</v>
      </c>
      <c r="R25" s="170" t="s">
        <v>5769</v>
      </c>
      <c r="S25" s="17"/>
      <c r="T25" s="17"/>
      <c r="U25" s="17"/>
      <c r="V25" s="17"/>
    </row>
    <row r="26">
      <c r="A26" s="339" t="s">
        <v>5770</v>
      </c>
      <c r="B26" s="167" t="s">
        <v>5771</v>
      </c>
      <c r="C26" s="352" t="s">
        <v>5772</v>
      </c>
      <c r="D26" s="353" t="str">
        <f>IFERROR(__xludf.DUMMYFUNCTION("GOOGLETRANSLATE(B26,""zh-tw"",""ja"")"),"一定時間内に1回復活することができます。")</f>
        <v>一定時間内に1回復活することができます。</v>
      </c>
      <c r="E26" s="339" t="s">
        <v>5773</v>
      </c>
      <c r="F26" s="167" t="s">
        <v>5774</v>
      </c>
      <c r="G26" s="339" t="str">
        <f>IFERROR(__xludf.DUMMYFUNCTION("GOOGLETRANSLATE(A26,""zh-tw"",""zh"")"),"日")</f>
        <v>日</v>
      </c>
      <c r="H26" s="167" t="str">
        <f>IFERROR(__xludf.DUMMYFUNCTION("GOOGLETRANSLATE(B26,""zh-tw"",""zh"")"),"一定时间内，可复活一次")</f>
        <v>一定时间内，可复活一次</v>
      </c>
      <c r="I26" s="341" t="str">
        <f>IFERROR(__xludf.DUMMYFUNCTION("GOOGLETRANSLATE(A26,""zh-tw"",""es-MX"")"),"día")</f>
        <v>día</v>
      </c>
      <c r="J26" s="168" t="str">
        <f>IFERROR(__xludf.DUMMYFUNCTION("GOOGLETRANSLATE(B26,""zh-tw"",""es-MX"")"),"Puedes revivir una vez dentro de un cierto período de tiempo.")</f>
        <v>Puedes revivir una vez dentro de un cierto período de tiempo.</v>
      </c>
      <c r="K26" s="368" t="s">
        <v>5775</v>
      </c>
      <c r="L26" s="167" t="s">
        <v>5776</v>
      </c>
      <c r="M26" s="341" t="str">
        <f>IFERROR(__xludf.DUMMYFUNCTION("GOOGLETRANSLATE(A26,""zh-tw"",""ru"")"),"день")</f>
        <v>день</v>
      </c>
      <c r="N26" s="168" t="str">
        <f>IFERROR(__xludf.DUMMYFUNCTION("GOOGLETRANSLATE(B26,""zh-tw"",""ru"")"),"Возродиться можно один раз в течение определенного периода времени.")</f>
        <v>Возродиться можно один раз в течение определенного периода времени.</v>
      </c>
      <c r="O26" s="339" t="s">
        <v>5777</v>
      </c>
      <c r="P26" s="167" t="s">
        <v>5778</v>
      </c>
      <c r="Q26" s="346" t="s">
        <v>5773</v>
      </c>
      <c r="R26" s="170" t="s">
        <v>5779</v>
      </c>
      <c r="S26" s="17"/>
      <c r="T26" s="17"/>
      <c r="U26" s="17"/>
      <c r="V26" s="17"/>
    </row>
    <row r="27">
      <c r="A27" s="345" t="s">
        <v>5780</v>
      </c>
      <c r="B27" s="167" t="s">
        <v>5781</v>
      </c>
      <c r="C27" s="345" t="s">
        <v>5782</v>
      </c>
      <c r="D27" s="167" t="s">
        <v>5783</v>
      </c>
      <c r="E27" s="345" t="s">
        <v>5784</v>
      </c>
      <c r="F27" s="328" t="s">
        <v>5785</v>
      </c>
      <c r="G27" s="339" t="str">
        <f>IFERROR(__xludf.DUMMYFUNCTION("GOOGLETRANSLATE(A27,""zh-tw"",""zh"")"),"塔罗牌-死神")</f>
        <v>塔罗牌-死神</v>
      </c>
      <c r="H27" s="16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41" t="str">
        <f>IFERROR(__xludf.DUMMYFUNCTION("GOOGLETRANSLATE(A27,""zh-tw"",""es-MX"")"),"Carta del Tarot - La Muerte")</f>
        <v>Carta del Tarot - La Muerte</v>
      </c>
      <c r="J27" s="168" t="str">
        <f>IFERROR(__xludf.DUMMYFUNCTION("GOOGLETRANSLATE(B27,""zh-tw"",""es-MX"")"),"Ha aparecido el Demonio de la Muerte. Elimina a todas las criaturas.
(Ineficaz contra PNJs, objetos del mapa y objetos destructibles)
(Eficaz contra el Espantapájaros y el Carro de la Tienda de Asaba con dos puntos de vida)
Los PNJs no tienen efectos i"&amp;"nteractivos.")</f>
        <v>Ha aparecido el Demonio de la Muerte. Elimina a todas las criaturas.
(Ineficaz contra PNJs, objetos del mapa y objetos destructibles)
(Eficaz contra el Espantapájaros y el Carro de la Tienda de Asaba con dos puntos de vida)
Los PNJs no tienen efectos interactivos.</v>
      </c>
      <c r="K27" s="341" t="str">
        <f>IFERROR(__xludf.DUMMYFUNCTION("GOOGLETRANSLATE(A27,""zh-tw"",""KO"")"),"타로 카드 - 죽음")</f>
        <v>타로 카드 - 죽음</v>
      </c>
      <c r="L27" s="168" t="str">
        <f>IFERROR(__xludf.DUMMYFUNCTION("GOOGLETRANSLATE(B27,""zh-tw"",""KO"")"),"죽음의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f>
        <v>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v>
      </c>
      <c r="M27" s="341" t="str">
        <f>IFERROR(__xludf.DUMMYFUNCTION("GOOGLETRANSLATE(A27,""zh-tw"",""ru"")"),"Карта Таро - Смерть")</f>
        <v>Карта Таро - Смерть</v>
      </c>
      <c r="N27" s="168" t="str">
        <f>IFERROR(__xludf.DUMMYFUNCTION("GOOGLETRANSLATE(B27,""zh-tw"",""ru"")"),"Демон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f>
        <v>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v>
      </c>
      <c r="O27" s="339" t="s">
        <v>5786</v>
      </c>
      <c r="P27" s="167" t="s">
        <v>5787</v>
      </c>
      <c r="Q27" s="346" t="s">
        <v>5784</v>
      </c>
      <c r="R27" s="170" t="s">
        <v>5788</v>
      </c>
      <c r="S27" s="17"/>
      <c r="T27" s="17"/>
      <c r="U27" s="17"/>
      <c r="V27" s="17"/>
    </row>
    <row r="28">
      <c r="A28" s="339" t="s">
        <v>5789</v>
      </c>
      <c r="B28" s="167" t="s">
        <v>5790</v>
      </c>
      <c r="C28" s="339" t="str">
        <f>IFERROR(__xludf.DUMMYFUNCTION("GOOGLETRANSLATE(A28,""zh-tw"",""ja"")"),"ジャック・ボム")</f>
        <v>ジャック・ボム</v>
      </c>
      <c r="D28" s="167" t="s">
        <v>5791</v>
      </c>
      <c r="E28" s="339" t="s">
        <v>5792</v>
      </c>
      <c r="F28" s="167" t="s">
        <v>5793</v>
      </c>
      <c r="G28" s="339" t="str">
        <f>IFERROR(__xludf.DUMMYFUNCTION("GOOGLETRANSLATE(A28,""zh-tw"",""zh"")"),"杰克爆弹")</f>
        <v>杰克爆弹</v>
      </c>
      <c r="H28" s="167" t="str">
        <f>IFERROR(__xludf.DUMMYFUNCTION("GOOGLETRANSLATE(B28,""zh-tw"",""zh"")"),"炸弹(无视防御)")</f>
        <v>炸弹(无视防御)</v>
      </c>
      <c r="I28" s="341" t="str">
        <f>IFERROR(__xludf.DUMMYFUNCTION("GOOGLETRANSLATE(A28,""zh-tw"",""es-MX"")"),"Bomba Jack")</f>
        <v>Bomba Jack</v>
      </c>
      <c r="J28" s="168" t="str">
        <f>IFERROR(__xludf.DUMMYFUNCTION("GOOGLETRANSLATE(B28,""zh-tw"",""es-MX"")"),"Bomba (ignora la defensa)")</f>
        <v>Bomba (ignora la defensa)</v>
      </c>
      <c r="K28" s="339" t="s">
        <v>5794</v>
      </c>
      <c r="L28" s="168" t="str">
        <f>IFERROR(__xludf.DUMMYFUNCTION("GOOGLETRANSLATE(B28,""zh-tw"",""KO"")"),"폭탄(방어 무시)")</f>
        <v>폭탄(방어 무시)</v>
      </c>
      <c r="M28" s="341" t="str">
        <f>IFERROR(__xludf.DUMMYFUNCTION("GOOGLETRANSLATE(A28,""zh-tw"",""ru"")"),"Джек Бомба")</f>
        <v>Джек Бомба</v>
      </c>
      <c r="N28" s="168" t="str">
        <f>IFERROR(__xludf.DUMMYFUNCTION("GOOGLETRANSLATE(B28,""zh-tw"",""ru"")"),"Бомба (игнорирует защиту)")</f>
        <v>Бомба (игнорирует защиту)</v>
      </c>
      <c r="O28" s="339" t="s">
        <v>5795</v>
      </c>
      <c r="P28" s="167" t="s">
        <v>5796</v>
      </c>
      <c r="Q28" s="346" t="s">
        <v>5792</v>
      </c>
      <c r="R28" s="170" t="s">
        <v>5797</v>
      </c>
      <c r="S28" s="17"/>
      <c r="T28" s="17"/>
      <c r="U28" s="17"/>
      <c r="V28" s="17"/>
    </row>
    <row r="29">
      <c r="A29" s="339" t="s">
        <v>5798</v>
      </c>
      <c r="B29" s="167" t="s">
        <v>5799</v>
      </c>
      <c r="C29" s="339" t="s">
        <v>5800</v>
      </c>
      <c r="D29" s="167" t="s">
        <v>5801</v>
      </c>
      <c r="E29" s="339" t="s">
        <v>5802</v>
      </c>
      <c r="F29" s="167" t="s">
        <v>5803</v>
      </c>
      <c r="G29" s="339" t="str">
        <f>IFERROR(__xludf.DUMMYFUNCTION("GOOGLETRANSLATE(A29,""zh-tw"",""zh"")"),"冰霜杰克爆弹")</f>
        <v>冰霜杰克爆弹</v>
      </c>
      <c r="H29" s="167" t="str">
        <f>IFERROR(__xludf.DUMMYFUNCTION("GOOGLETRANSLATE(B29,""zh-tw"",""zh"")"),"冰属性炸弹")</f>
        <v>冰属性炸弹</v>
      </c>
      <c r="I29" s="341" t="str">
        <f>IFERROR(__xludf.DUMMYFUNCTION("GOOGLETRANSLATE(A29,""zh-tw"",""es-MX"")"),"Bomba Frost Jack")</f>
        <v>Bomba Frost Jack</v>
      </c>
      <c r="J29" s="168" t="str">
        <f>IFERROR(__xludf.DUMMYFUNCTION("GOOGLETRANSLATE(B29,""zh-tw"",""es-MX"")"),"Bomba de hielo")</f>
        <v>Bomba de hielo</v>
      </c>
      <c r="K29" s="341" t="str">
        <f>IFERROR(__xludf.DUMMYFUNCTION("GOOGLETRANSLATE(A29,""zh-tw"",""KO"")"),"프로스트 잭 폭탄")</f>
        <v>프로스트 잭 폭탄</v>
      </c>
      <c r="L29" s="167" t="s">
        <v>5804</v>
      </c>
      <c r="M29" s="341" t="str">
        <f>IFERROR(__xludf.DUMMYFUNCTION("GOOGLETRANSLATE(A29,""zh-tw"",""ru"")"),"Фрост Джек Бомба")</f>
        <v>Фрост Джек Бомба</v>
      </c>
      <c r="N29" s="168" t="str">
        <f>IFERROR(__xludf.DUMMYFUNCTION("GOOGLETRANSLATE(B29,""zh-tw"",""ru"")"),"Ледяная бомба")</f>
        <v>Ледяная бомба</v>
      </c>
      <c r="O29" s="339" t="s">
        <v>5805</v>
      </c>
      <c r="P29" s="167" t="s">
        <v>5806</v>
      </c>
      <c r="Q29" s="346" t="s">
        <v>5802</v>
      </c>
      <c r="R29" s="170" t="s">
        <v>5807</v>
      </c>
      <c r="S29" s="17"/>
      <c r="T29" s="17"/>
      <c r="U29" s="17"/>
      <c r="V29" s="17"/>
    </row>
    <row r="30">
      <c r="A30" s="339" t="s">
        <v>5808</v>
      </c>
      <c r="B30" s="167" t="s">
        <v>5809</v>
      </c>
      <c r="C30" s="339" t="s">
        <v>5810</v>
      </c>
      <c r="D30" s="167" t="s">
        <v>5811</v>
      </c>
      <c r="E30" s="339" t="s">
        <v>5812</v>
      </c>
      <c r="F30" s="167" t="s">
        <v>5813</v>
      </c>
      <c r="G30" s="339" t="str">
        <f>IFERROR(__xludf.DUMMYFUNCTION("GOOGLETRANSLATE(A30,""zh-tw"",""zh"")"),"猛毒杰克爆弹")</f>
        <v>猛毒杰克爆弹</v>
      </c>
      <c r="H30" s="167" t="str">
        <f>IFERROR(__xludf.DUMMYFUNCTION("GOOGLETRANSLATE(B30,""zh-tw"",""zh"")"),"毒属性炸弹")</f>
        <v>毒属性炸弹</v>
      </c>
      <c r="I30" s="341" t="str">
        <f>IFERROR(__xludf.DUMMYFUNCTION("GOOGLETRANSLATE(A30,""zh-tw"",""es-MX"")"),"Bomba Venom Jack")</f>
        <v>Bomba Venom Jack</v>
      </c>
      <c r="J30" s="168" t="str">
        <f>IFERROR(__xludf.DUMMYFUNCTION("GOOGLETRANSLATE(B30,""zh-tw"",""es-MX"")"),"bomba venenosa")</f>
        <v>bomba venenosa</v>
      </c>
      <c r="K30" s="339" t="s">
        <v>5814</v>
      </c>
      <c r="L30" s="167" t="s">
        <v>5815</v>
      </c>
      <c r="M30" s="341" t="str">
        <f>IFERROR(__xludf.DUMMYFUNCTION("GOOGLETRANSLATE(A30,""zh-tw"",""ru"")"),"Веном Джек Бомба")</f>
        <v>Веном Джек Бомба</v>
      </c>
      <c r="N30" s="168" t="str">
        <f>IFERROR(__xludf.DUMMYFUNCTION("GOOGLETRANSLATE(B30,""zh-tw"",""ru"")"),"Ядовитая бомба")</f>
        <v>Ядовитая бомба</v>
      </c>
      <c r="O30" s="339" t="s">
        <v>5816</v>
      </c>
      <c r="P30" s="167" t="s">
        <v>5817</v>
      </c>
      <c r="Q30" s="346" t="s">
        <v>5812</v>
      </c>
      <c r="R30" s="170" t="s">
        <v>5818</v>
      </c>
      <c r="S30" s="17"/>
      <c r="T30" s="17"/>
      <c r="U30" s="17"/>
      <c r="V30" s="17"/>
    </row>
    <row r="31">
      <c r="A31" s="339" t="s">
        <v>5819</v>
      </c>
      <c r="B31" s="167" t="s">
        <v>5820</v>
      </c>
      <c r="C31" s="339" t="str">
        <f>IFERROR(__xludf.DUMMYFUNCTION("GOOGLETRANSLATE(A31,""zh-tw"",""ja"")"),"密封された時計")</f>
        <v>密封された時計</v>
      </c>
      <c r="D31" s="167" t="s">
        <v>5821</v>
      </c>
      <c r="E31" s="339" t="s">
        <v>5822</v>
      </c>
      <c r="F31" s="167" t="s">
        <v>5823</v>
      </c>
      <c r="G31" s="339" t="str">
        <f>IFERROR(__xludf.DUMMYFUNCTION("GOOGLETRANSLATE(A31,""zh-tw"",""zh"")"),"封存的时计")</f>
        <v>封存的时计</v>
      </c>
      <c r="H31" s="167" t="str">
        <f>IFERROR(__xludf.DUMMYFUNCTION("GOOGLETRANSLATE(B31,""zh-tw"",""zh"")"),"范围暂停")</f>
        <v>范围暂停</v>
      </c>
      <c r="I31" s="341" t="str">
        <f>IFERROR(__xludf.DUMMYFUNCTION("GOOGLETRANSLATE(A31,""zh-tw"",""es-MX"")"),"Relojes sellados")</f>
        <v>Relojes sellados</v>
      </c>
      <c r="J31" s="168" t="str">
        <f>IFERROR(__xludf.DUMMYFUNCTION("GOOGLETRANSLATE(B31,""zh-tw"",""es-MX"")"),"Pausa de rango")</f>
        <v>Pausa de rango</v>
      </c>
      <c r="K31" s="339" t="s">
        <v>5824</v>
      </c>
      <c r="L31" s="167" t="s">
        <v>5825</v>
      </c>
      <c r="M31" s="341" t="str">
        <f>IFERROR(__xludf.DUMMYFUNCTION("GOOGLETRANSLATE(A31,""zh-tw"",""ru"")"),"Герметичные часы")</f>
        <v>Герметичные часы</v>
      </c>
      <c r="N31" s="168" t="str">
        <f>IFERROR(__xludf.DUMMYFUNCTION("GOOGLETRANSLATE(B31,""zh-tw"",""ru"")"),"Пауза диапазона")</f>
        <v>Пауза диапазона</v>
      </c>
      <c r="O31" s="339" t="s">
        <v>5826</v>
      </c>
      <c r="P31" s="167" t="s">
        <v>5827</v>
      </c>
      <c r="Q31" s="346" t="s">
        <v>5828</v>
      </c>
      <c r="R31" s="170" t="s">
        <v>5829</v>
      </c>
      <c r="S31" s="17"/>
      <c r="T31" s="17"/>
      <c r="U31" s="17"/>
      <c r="V31" s="17"/>
    </row>
    <row r="32">
      <c r="A32" s="339" t="s">
        <v>5830</v>
      </c>
      <c r="B32" s="167" t="s">
        <v>5831</v>
      </c>
      <c r="C32" s="339" t="str">
        <f>IFERROR(__xludf.DUMMYFUNCTION("GOOGLETRANSLATE(A32,""zh-tw"",""ja"")"),"寿司プリン")</f>
        <v>寿司プリン</v>
      </c>
      <c r="D32" s="167" t="s">
        <v>5832</v>
      </c>
      <c r="E32" s="339" t="s">
        <v>5833</v>
      </c>
      <c r="F32" s="167" t="s">
        <v>5834</v>
      </c>
      <c r="G32" s="339" t="str">
        <f>IFERROR(__xludf.DUMMYFUNCTION("GOOGLETRANSLATE(A32,""zh-tw"",""zh"")"),"寿司布丁")</f>
        <v>寿司布丁</v>
      </c>
      <c r="H32" s="167" t="str">
        <f>IFERROR(__xludf.DUMMYFUNCTION("GOOGLETRANSLATE(B32,""zh-tw"",""zh"")"),"飞向恶魔商店的位置")</f>
        <v>飞向恶魔商店的位置</v>
      </c>
      <c r="I32" s="341" t="str">
        <f>IFERROR(__xludf.DUMMYFUNCTION("GOOGLETRANSLATE(A32,""zh-tw"",""es-MX"")"),"Pudín de sushi")</f>
        <v>Pudín de sushi</v>
      </c>
      <c r="J32" s="168" t="str">
        <f>IFERROR(__xludf.DUMMYFUNCTION("GOOGLETRANSLATE(B32,""zh-tw"",""es-MX"")"),"Vuela hasta la ubicación de la Tienda de Demonios")</f>
        <v>Vuela hasta la ubicación de la Tienda de Demonios</v>
      </c>
      <c r="K32" s="341" t="str">
        <f>IFERROR(__xludf.DUMMYFUNCTION("GOOGLETRANSLATE(A32,""zh-tw"",""KO"")"),"스시 푸딩")</f>
        <v>스시 푸딩</v>
      </c>
      <c r="L32" s="168" t="str">
        <f>IFERROR(__xludf.DUMMYFUNCTION("GOOGLETRANSLATE(B32,""zh-tw"",""KO"")"),"악마상점 위치로 날아가세요")</f>
        <v>악마상점 위치로 날아가세요</v>
      </c>
      <c r="M32" s="341" t="str">
        <f>IFERROR(__xludf.DUMMYFUNCTION("GOOGLETRANSLATE(A32,""zh-tw"",""ru"")"),"Суши-пудинг")</f>
        <v>Суши-пудинг</v>
      </c>
      <c r="N32" s="168" t="str">
        <f>IFERROR(__xludf.DUMMYFUNCTION("GOOGLETRANSLATE(B32,""zh-tw"",""ru"")"),"Летите к месту расположения Демонического Магазина.")</f>
        <v>Летите к месту расположения Демонического Магазина.</v>
      </c>
      <c r="O32" s="339" t="s">
        <v>5833</v>
      </c>
      <c r="P32" s="167" t="s">
        <v>5835</v>
      </c>
      <c r="Q32" s="346" t="s">
        <v>5833</v>
      </c>
      <c r="R32" s="170" t="s">
        <v>5836</v>
      </c>
      <c r="S32" s="17"/>
      <c r="T32" s="17"/>
      <c r="U32" s="17"/>
      <c r="V32" s="17"/>
    </row>
    <row r="33">
      <c r="A33" s="339" t="s">
        <v>5837</v>
      </c>
      <c r="B33" s="167" t="s">
        <v>5838</v>
      </c>
      <c r="C33" s="339" t="str">
        <f>IFERROR(__xludf.DUMMYFUNCTION("GOOGLETRANSLATE(A33,""zh-tw"",""ja"")"),"ポラロイド 1～35")</f>
        <v>ポラロイド 1～35</v>
      </c>
      <c r="D33" s="167" t="s">
        <v>5839</v>
      </c>
      <c r="E33" s="339" t="s">
        <v>5840</v>
      </c>
      <c r="F33" s="167" t="s">
        <v>5841</v>
      </c>
      <c r="G33" s="339" t="str">
        <f>IFERROR(__xludf.DUMMYFUNCTION("GOOGLETRANSLATE(A33,""zh-tw"",""zh"")"),"拍立得1~35")</f>
        <v>拍立得1~35</v>
      </c>
      <c r="H33" s="167" t="str">
        <f>IFERROR(__xludf.DUMMYFUNCTION("GOOGLETRANSLATE(B33,""zh-tw"",""zh"")"),"查看优质照片")</f>
        <v>查看优质照片</v>
      </c>
      <c r="I33" s="341" t="str">
        <f>IFERROR(__xludf.DUMMYFUNCTION("GOOGLETRANSLATE(A33,""zh-tw"",""es-MX"")"),"Polaroid 1~35")</f>
        <v>Polaroid 1~35</v>
      </c>
      <c r="J33" s="168" t="str">
        <f>IFERROR(__xludf.DUMMYFUNCTION("GOOGLETRANSLATE(B33,""zh-tw"",""es-MX"")"),"Vea fotos de alta calidad")</f>
        <v>Vea fotos de alta calidad</v>
      </c>
      <c r="K33" s="341" t="str">
        <f>IFERROR(__xludf.DUMMYFUNCTION("GOOGLETRANSLATE(A33,""zh-tw"",""KO"")"),"폴라로이드 1~35")</f>
        <v>폴라로이드 1~35</v>
      </c>
      <c r="L33" s="168" t="str">
        <f>IFERROR(__xludf.DUMMYFUNCTION("GOOGLETRANSLATE(B33,""zh-tw"",""KO"")"),"고품질 사진 보기")</f>
        <v>고품질 사진 보기</v>
      </c>
      <c r="M33" s="341" t="str">
        <f>IFERROR(__xludf.DUMMYFUNCTION("GOOGLETRANSLATE(A33,""zh-tw"",""ru"")"),"Полароид 1~35")</f>
        <v>Полароид 1~35</v>
      </c>
      <c r="N33" s="168" t="str">
        <f>IFERROR(__xludf.DUMMYFUNCTION("GOOGLETRANSLATE(B33,""zh-tw"",""ru"")"),"Посмотреть качественные фотографии")</f>
        <v>Посмотреть качественные фотографии</v>
      </c>
      <c r="O33" s="339" t="s">
        <v>5842</v>
      </c>
      <c r="P33" s="167" t="s">
        <v>5843</v>
      </c>
      <c r="Q33" s="346" t="s">
        <v>5840</v>
      </c>
      <c r="R33" s="170" t="s">
        <v>5844</v>
      </c>
      <c r="S33" s="17"/>
      <c r="T33" s="17"/>
      <c r="U33" s="17"/>
      <c r="V33" s="17"/>
    </row>
    <row r="34">
      <c r="A34" s="339" t="s">
        <v>5845</v>
      </c>
      <c r="B34" s="167" t="s">
        <v>5846</v>
      </c>
      <c r="C34" s="339" t="s">
        <v>5847</v>
      </c>
      <c r="D34" s="167" t="s">
        <v>5848</v>
      </c>
      <c r="E34" s="339" t="s">
        <v>5849</v>
      </c>
      <c r="F34" s="167" t="s">
        <v>5850</v>
      </c>
      <c r="G34" s="339" t="str">
        <f>IFERROR(__xludf.DUMMYFUNCTION("GOOGLETRANSLATE(A34,""zh-tw"",""zh"")"),"魔力小凝胶")</f>
        <v>魔力小凝胶</v>
      </c>
      <c r="H34" s="167" t="str">
        <f>IFERROR(__xludf.DUMMYFUNCTION("GOOGLETRANSLATE(B34,""zh-tw"",""zh"")"),"扩充格子")</f>
        <v>扩充格子</v>
      </c>
      <c r="I34" s="341" t="str">
        <f>IFERROR(__xludf.DUMMYFUNCTION("GOOGLETRANSLATE(A34,""zh-tw"",""es-MX"")"),"Gel mágico")</f>
        <v>Gel mágico</v>
      </c>
      <c r="J34" s="168" t="str">
        <f>IFERROR(__xludf.DUMMYFUNCTION("GOOGLETRANSLATE(B34,""zh-tw"",""es-MX"")"),"Ampliando la red")</f>
        <v>Ampliando la red</v>
      </c>
      <c r="K34" s="340" t="s">
        <v>5851</v>
      </c>
      <c r="L34" s="168" t="str">
        <f>IFERROR(__xludf.DUMMYFUNCTION("GOOGLETRANSLATE(B34,""zh-tw"",""KO"")"),"그리드 확장")</f>
        <v>그리드 확장</v>
      </c>
      <c r="M34" s="341" t="str">
        <f>IFERROR(__xludf.DUMMYFUNCTION("GOOGLETRANSLATE(A34,""zh-tw"",""ru"")"),"Волшебный гель")</f>
        <v>Волшебный гель</v>
      </c>
      <c r="N34" s="168" t="str">
        <f>IFERROR(__xludf.DUMMYFUNCTION("GOOGLETRANSLATE(B34,""zh-tw"",""ru"")"),"Расширение сетки")</f>
        <v>Расширение сетки</v>
      </c>
      <c r="O34" s="339" t="s">
        <v>5852</v>
      </c>
      <c r="P34" s="167" t="s">
        <v>5853</v>
      </c>
      <c r="Q34" s="346" t="s">
        <v>5854</v>
      </c>
      <c r="R34" s="170" t="s">
        <v>5855</v>
      </c>
      <c r="S34" s="17"/>
      <c r="T34" s="17"/>
      <c r="U34" s="17"/>
      <c r="V34" s="17"/>
    </row>
    <row r="35">
      <c r="A35" s="339" t="s">
        <v>5856</v>
      </c>
      <c r="B35" s="167" t="s">
        <v>5857</v>
      </c>
      <c r="C35" s="339" t="s">
        <v>5858</v>
      </c>
      <c r="D35" s="167" t="s">
        <v>5859</v>
      </c>
      <c r="E35" s="339" t="s">
        <v>5860</v>
      </c>
      <c r="F35" s="167" t="s">
        <v>5861</v>
      </c>
      <c r="G35" s="339" t="str">
        <f>IFERROR(__xludf.DUMMYFUNCTION("GOOGLETRANSLATE(A35,""zh-tw"",""zh"")"),"百合同人本")</f>
        <v>百合同人本</v>
      </c>
      <c r="H35" s="167" t="str">
        <f>IFERROR(__xludf.DUMMYFUNCTION("GOOGLETRANSLATE(B35,""zh-tw"",""zh"")"),"提升性欲
(战车商店贩售)")</f>
        <v>提升性欲
(战车商店贩售)</v>
      </c>
      <c r="I35" s="341" t="str">
        <f>IFERROR(__xludf.DUMMYFUNCTION("GOOGLETRANSLATE(A35,""zh-tw"",""es-MX"")"),"Libro personal de Baihe")</f>
        <v>Libro personal de Baihe</v>
      </c>
      <c r="J35" s="168" t="str">
        <f>IFERROR(__xludf.DUMMYFUNCTION("GOOGLETRANSLATE(B35,""zh-tw"",""es-MX"")"),"Aumenta la libido
(Disponible en la tienda Tank Shop)")</f>
        <v>Aumenta la libido
(Disponible en la tienda Tank Shop)</v>
      </c>
      <c r="K35" s="341" t="str">
        <f>IFERROR(__xludf.DUMMYFUNCTION("GOOGLETRANSLATE(A35,""zh-tw"",""KO"")"),"백허 개인 서적")</f>
        <v>백허 개인 서적</v>
      </c>
      <c r="L35" s="167" t="s">
        <v>5862</v>
      </c>
      <c r="M35" s="341" t="str">
        <f>IFERROR(__xludf.DUMMYFUNCTION("GOOGLETRANSLATE(A35,""zh-tw"",""ru"")"),"Личная книга Байхэ")</f>
        <v>Личная книга Байхэ</v>
      </c>
      <c r="N35" s="168" t="str">
        <f>IFERROR(__xludf.DUMMYFUNCTION("GOOGLETRANSLATE(B35,""zh-tw"",""ru"")"),"Повышает либидо
(Продаётся в магазине Tank Shop)")</f>
        <v>Повышает либидо
(Продаётся в магазине Tank Shop)</v>
      </c>
      <c r="O35" s="339" t="s">
        <v>5863</v>
      </c>
      <c r="P35" s="167" t="s">
        <v>5864</v>
      </c>
      <c r="Q35" s="346" t="s">
        <v>5865</v>
      </c>
      <c r="R35" s="170" t="s">
        <v>5866</v>
      </c>
      <c r="S35" s="17"/>
      <c r="T35" s="17"/>
      <c r="U35" s="17"/>
      <c r="V35" s="17"/>
    </row>
    <row r="36">
      <c r="A36" s="339" t="s">
        <v>5867</v>
      </c>
      <c r="B36" s="167" t="s">
        <v>5857</v>
      </c>
      <c r="C36" s="339" t="s">
        <v>5868</v>
      </c>
      <c r="D36" s="167" t="s">
        <v>5869</v>
      </c>
      <c r="E36" s="339" t="s">
        <v>5870</v>
      </c>
      <c r="F36" s="167" t="s">
        <v>5861</v>
      </c>
      <c r="G36" s="339" t="str">
        <f>IFERROR(__xludf.DUMMYFUNCTION("GOOGLETRANSLATE(A36,""zh-tw"",""zh"")"),"萌萌同人本")</f>
        <v>萌萌同人本</v>
      </c>
      <c r="H36" s="167" t="str">
        <f>IFERROR(__xludf.DUMMYFUNCTION("GOOGLETRANSLATE(B36,""zh-tw"",""zh"")"),"提升性欲
(战车商店贩售)")</f>
        <v>提升性欲
(战车商店贩售)</v>
      </c>
      <c r="I36" s="341" t="str">
        <f>IFERROR(__xludf.DUMMYFUNCTION("GOOGLETRANSLATE(A36,""zh-tw"",""es-MX"")"),"lindo doujinshi")</f>
        <v>lindo doujinshi</v>
      </c>
      <c r="J36" s="168" t="str">
        <f>IFERROR(__xludf.DUMMYFUNCTION("GOOGLETRANSLATE(B36,""zh-tw"",""es-MX"")"),"Aumenta la libido
(Disponible en la tienda Tank Shop)")</f>
        <v>Aumenta la libido
(Disponible en la tienda Tank Shop)</v>
      </c>
      <c r="K36" s="340" t="s">
        <v>5851</v>
      </c>
      <c r="L36" s="168" t="str">
        <f>IFERROR(__xludf.DUMMYFUNCTION("GOOGLETRANSLATE(B36,""zh-tw"",""KO"")"),"성욕 증진
(탱크샵에서 구매 가능)")</f>
        <v>성욕 증진
(탱크샵에서 구매 가능)</v>
      </c>
      <c r="M36" s="341" t="str">
        <f>IFERROR(__xludf.DUMMYFUNCTION("GOOGLETRANSLATE(A36,""zh-tw"",""ru"")"),"Милый додзинси")</f>
        <v>Милый додзинси</v>
      </c>
      <c r="N36" s="168" t="str">
        <f>IFERROR(__xludf.DUMMYFUNCTION("GOOGLETRANSLATE(B36,""zh-tw"",""ru"")"),"Повышает либидо
(Продаётся в магазине Tank Shop)")</f>
        <v>Повышает либидо
(Продаётся в магазине Tank Shop)</v>
      </c>
      <c r="O36" s="339" t="s">
        <v>5852</v>
      </c>
      <c r="P36" s="167" t="s">
        <v>5853</v>
      </c>
      <c r="Q36" s="346" t="s">
        <v>5871</v>
      </c>
      <c r="R36" s="170" t="s">
        <v>5866</v>
      </c>
      <c r="S36" s="17"/>
      <c r="T36" s="17"/>
      <c r="U36" s="17"/>
      <c r="V36" s="17"/>
    </row>
    <row r="37">
      <c r="A37" s="339" t="s">
        <v>5872</v>
      </c>
      <c r="B37" s="167" t="s">
        <v>5873</v>
      </c>
      <c r="C37" s="339" t="s">
        <v>5874</v>
      </c>
      <c r="D37" s="167" t="s">
        <v>5875</v>
      </c>
      <c r="E37" s="339" t="s">
        <v>5876</v>
      </c>
      <c r="F37" s="167" t="s">
        <v>5877</v>
      </c>
      <c r="G37" s="339" t="str">
        <f>IFERROR(__xludf.DUMMYFUNCTION("GOOGLETRANSLATE(A37,""zh-tw"",""zh"")"),"电风扇")</f>
        <v>电风扇</v>
      </c>
      <c r="H37" s="167" t="str">
        <f>IFERROR(__xludf.DUMMYFUNCTION("GOOGLETRANSLATE(B37,""zh-tw"",""zh"")"),"炎热剧情道具
(战车商店贩售)")</f>
        <v>炎热剧情道具
(战车商店贩售)</v>
      </c>
      <c r="I37" s="341" t="str">
        <f>IFERROR(__xludf.DUMMYFUNCTION("GOOGLETRANSLATE(A37,""zh-tw"",""es-MX"")"),"ventilador eléctrico")</f>
        <v>ventilador eléctrico</v>
      </c>
      <c r="J37" s="168" t="str">
        <f>IFERROR(__xludf.DUMMYFUNCTION("GOOGLETRANSLATE(B37,""zh-tw"",""es-MX"")"),"Artículos de la historia con temática de calor
(Se venden en la tienda de tanques)")</f>
        <v>Artículos de la historia con temática de calor
(Se venden en la tienda de tanques)</v>
      </c>
      <c r="K37" s="341" t="str">
        <f>IFERROR(__xludf.DUMMYFUNCTION("GOOGLETRANSLATE(A37,""zh-tw"",""KO"")"),"선풍기")</f>
        <v>선풍기</v>
      </c>
      <c r="L37" s="167" t="s">
        <v>5862</v>
      </c>
      <c r="M37" s="341" t="str">
        <f>IFERROR(__xludf.DUMMYFUNCTION("GOOGLETRANSLATE(A37,""zh-tw"",""ru"")"),"электрический вентилятор")</f>
        <v>электрический вентилятор</v>
      </c>
      <c r="N37" s="168" t="str">
        <f>IFERROR(__xludf.DUMMYFUNCTION("GOOGLETRANSLATE(B37,""zh-tw"",""ru"")"),"Предметы для сюжетной линии, связанные с актуальной тематикой
(Продаются в магазине танков)")</f>
        <v>Предметы для сюжетной линии, связанные с актуальной тематикой
(Продаются в магазине танков)</v>
      </c>
      <c r="O37" s="339" t="s">
        <v>5863</v>
      </c>
      <c r="P37" s="167" t="s">
        <v>5864</v>
      </c>
      <c r="Q37" s="346" t="s">
        <v>5878</v>
      </c>
      <c r="R37" s="170" t="s">
        <v>5879</v>
      </c>
      <c r="S37" s="17"/>
      <c r="T37" s="17"/>
      <c r="U37" s="17"/>
      <c r="V37" s="17"/>
    </row>
    <row r="38">
      <c r="A38" s="345" t="s">
        <v>5880</v>
      </c>
      <c r="B38" s="168" t="s">
        <v>5881</v>
      </c>
      <c r="C38" s="341" t="s">
        <v>5882</v>
      </c>
      <c r="D38" s="168" t="s">
        <v>5883</v>
      </c>
      <c r="E38" s="341" t="s">
        <v>5884</v>
      </c>
      <c r="F38" s="168" t="s">
        <v>5885</v>
      </c>
      <c r="G38" s="339" t="str">
        <f>IFERROR(__xludf.DUMMYFUNCTION("GOOGLETRANSLATE(A38,""zh-tw"",""zh"")"),"茶点心券")</f>
        <v>茶点心券</v>
      </c>
      <c r="H38" s="16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41" t="str">
        <f>IFERROR(__xludf.DUMMYFUNCTION("GOOGLETRANSLATE(A38,""zh-tw"",""es-MX"")"),"cupones para té y refrigerios")</f>
        <v>cupones para té y refrigerios</v>
      </c>
      <c r="J38" s="168" t="str">
        <f>IFERROR(__xludf.DUMMYFUNCTION("GOOGLETRANSLATE(B38,""zh-tw"",""es-MX"")"),"Se obtiene de la máquina de gashapon.
Garantiza obtener un gashapon dorado en el siguiente uso.
(Cuantos más puntos de bonificación obtengas al explotar la máquina de gashapon, más fácil será conseguir ""tickets para té y refrigerio"").")</f>
        <v>Se obtiene de la máquina de gashapon.
Garantiza obtener un gashapon dorado en el siguiente uso.
(Cuantos más puntos de bonificación obtengas al explotar la máquina de gashapon, más fácil será conseguir "tickets para té y refrigerio").</v>
      </c>
      <c r="K38" s="341" t="str">
        <f>IFERROR(__xludf.DUMMYFUNCTION("GOOGLETRANSLATE(A38,""zh-tw"",""KO"")"),"차와 간식 쿠폰")</f>
        <v>차와 간식 쿠폰</v>
      </c>
      <c r="L38" s="168" t="str">
        <f>IFERROR(__xludf.DUMMYFUNCTION("GOOGLETRANSLATE(B38,""zh-tw"",""KO"")"),"가샤폰 기계에서 획득합니다.
다음 사용 시 골드 가샤폰을 획득할 수 있습니다.
(가샤폰 기계가 폭발할 때 얻는 보너스 포인트가 많을수록 ""차와 간식 티켓""을 획득하기가 더 쉬워집니다.)")</f>
        <v>가샤폰 기계에서 획득합니다.
다음 사용 시 골드 가샤폰을 획득할 수 있습니다.
(가샤폰 기계가 폭발할 때 얻는 보너스 포인트가 많을수록 "차와 간식 티켓"을 획득하기가 더 쉬워집니다.)</v>
      </c>
      <c r="M38" s="341" t="str">
        <f>IFERROR(__xludf.DUMMYFUNCTION("GOOGLETRANSLATE(A38,""zh-tw"",""ru"")"),"Купоны на чай и закуски")</f>
        <v>Купоны на чай и закуски</v>
      </c>
      <c r="N38" s="168" t="str">
        <f>IFERROR(__xludf.DUMMYFUNCTION("GOOGLETRANSLATE(B38,""zh-tw"",""ru"")"),"Получается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f>
        <v>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v>
      </c>
      <c r="O38" s="339" t="s">
        <v>5886</v>
      </c>
      <c r="P38" s="167" t="s">
        <v>5887</v>
      </c>
      <c r="Q38" s="346" t="s">
        <v>5888</v>
      </c>
      <c r="R38" s="191" t="s">
        <v>5889</v>
      </c>
      <c r="S38" s="17"/>
      <c r="T38" s="17"/>
      <c r="U38" s="17"/>
      <c r="V38" s="17"/>
    </row>
    <row r="39">
      <c r="A39" s="339" t="s">
        <v>5890</v>
      </c>
      <c r="B39" s="167" t="s">
        <v>5891</v>
      </c>
      <c r="C39" s="339" t="s">
        <v>5892</v>
      </c>
      <c r="D39" s="167" t="s">
        <v>5893</v>
      </c>
      <c r="E39" s="339" t="s">
        <v>5894</v>
      </c>
      <c r="F39" s="167" t="s">
        <v>5895</v>
      </c>
      <c r="G39" s="339" t="str">
        <f>IFERROR(__xludf.DUMMYFUNCTION("GOOGLETRANSLATE(A39,""zh-tw"",""zh"")"),"超敏软Q水馒头")</f>
        <v>超敏软Q水馒头</v>
      </c>
      <c r="H39" s="167" t="str">
        <f>IFERROR(__xludf.DUMMYFUNCTION("GOOGLETRANSLATE(B39,""zh-tw"",""zh"")"),"于AKI商店购买
提升敏感度")</f>
        <v>于AKI商店购买
提升敏感度</v>
      </c>
      <c r="I39" s="341" t="str">
        <f>IFERROR(__xludf.DUMMYFUNCTION("GOOGLETRANSLATE(A39,""zh-tw"",""es-MX"")"),"Bollos al vapor súper suaves y masticables")</f>
        <v>Bollos al vapor súper suaves y masticables</v>
      </c>
      <c r="J39" s="168" t="str">
        <f>IFERROR(__xludf.DUMMYFUNCTION("GOOGLETRANSLATE(B39,""zh-tw"",""es-MX"")"),"Adquirido en AKI Store")</f>
        <v>Adquirido en AKI Store</v>
      </c>
      <c r="K39" s="341" t="str">
        <f>IFERROR(__xludf.DUMMYFUNCTION("GOOGLETRANSLATE(A39,""zh-tw"",""KO"")"),"초민감성 부드럽고 쫄깃한 찐빵")</f>
        <v>초민감성 부드럽고 쫄깃한 찐빵</v>
      </c>
      <c r="L39" s="168" t="str">
        <f>IFERROR(__xludf.DUMMYFUNCTION("GOOGLETRANSLATE(B39,""zh-tw"",""KO"")"),"AKI 스토어에서 구매
민감도 증가")</f>
        <v>AKI 스토어에서 구매
민감도 증가</v>
      </c>
      <c r="M39" s="341" t="str">
        <f>IFERROR(__xludf.DUMMYFUNCTION("GOOGLETRANSLATE(A39,""zh-tw"",""ru"")"),"Суперчувствительные, мягкие и жевательные паровые булочки")</f>
        <v>Суперчувствительные, мягкие и жевательные паровые булочки</v>
      </c>
      <c r="N39" s="168" t="str">
        <f>IFERROR(__xludf.DUMMYFUNCTION("GOOGLETRANSLATE(B39,""zh-tw"",""ru"")"),"Куплено в магазине AKI
Повышает чувствительность")</f>
        <v>Куплено в магазине AKI
Повышает чувствительность</v>
      </c>
      <c r="O39" s="339" t="s">
        <v>5896</v>
      </c>
      <c r="P39" s="167" t="s">
        <v>5897</v>
      </c>
      <c r="Q39" s="346" t="s">
        <v>5898</v>
      </c>
      <c r="R39" s="170" t="s">
        <v>5899</v>
      </c>
      <c r="S39" s="17"/>
      <c r="T39" s="17"/>
      <c r="U39" s="17"/>
      <c r="V39" s="17"/>
    </row>
    <row r="40">
      <c r="A40" s="345" t="s">
        <v>5900</v>
      </c>
      <c r="B40" s="168" t="s">
        <v>5901</v>
      </c>
      <c r="C40" s="341" t="s">
        <v>5902</v>
      </c>
      <c r="D40" s="168" t="s">
        <v>5903</v>
      </c>
      <c r="E40" s="341" t="s">
        <v>5904</v>
      </c>
      <c r="F40" s="168" t="s">
        <v>5905</v>
      </c>
      <c r="G40" s="339" t="str">
        <f>IFERROR(__xludf.DUMMYFUNCTION("GOOGLETRANSLATE(A40,""zh-tw"",""zh"")"),"卢恩符文Kenaz")</f>
        <v>卢恩符文Kenaz</v>
      </c>
      <c r="H40" s="167" t="str">
        <f>IFERROR(__xludf.DUMMYFUNCTION("GOOGLETRANSLATE(B40,""zh-tw"",""zh"")"),"将目标变为炸弹
依照对方体型，影响爆炸范围")</f>
        <v>将目标变为炸弹
依照对方体型，影响爆炸范围</v>
      </c>
      <c r="I40" s="341" t="str">
        <f>IFERROR(__xludf.DUMMYFUNCTION("GOOGLETRANSLATE(A40,""zh-tw"",""es-MX"")"),"Runa Kenaz")</f>
        <v>Runa Kenaz</v>
      </c>
      <c r="J40" s="168" t="str">
        <f>IFERROR(__xludf.DUMMYFUNCTION("GOOGLETRANSLATE(B40,""zh-tw"",""es-MX"")"),"Transforma el objetivo en una bomba. El alcance de la explosión varía según el tamaño del objetivo.")</f>
        <v>Transforma el objetivo en una bomba. El alcance de la explosión varía según el tamaño del objetivo.</v>
      </c>
      <c r="K40" s="341" t="str">
        <f>IFERROR(__xludf.DUMMYFUNCTION("GOOGLETRANSLATE(A40,""zh-tw"",""KO"")"),"룬 케나즈")</f>
        <v>룬 케나즈</v>
      </c>
      <c r="L40" s="168" t="str">
        <f>IFERROR(__xludf.DUMMYFUNCTION("GOOGLETRANSLATE(B40,""zh-tw"",""KO"")"),"대상을 폭탄으로 변형시킵니다. 대상의 크기에 따라 폭발 범위가 달라집니다.")</f>
        <v>대상을 폭탄으로 변형시킵니다. 대상의 크기에 따라 폭발 범위가 달라집니다.</v>
      </c>
      <c r="M40" s="341" t="str">
        <f>IFERROR(__xludf.DUMMYFUNCTION("GOOGLETRANSLATE(A40,""zh-tw"",""ru"")"),"Руна Кеназ")</f>
        <v>Руна Кеназ</v>
      </c>
      <c r="N40" s="168"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41" t="s">
        <v>5904</v>
      </c>
      <c r="P40" s="168" t="s">
        <v>5905</v>
      </c>
      <c r="Q40" s="346" t="s">
        <v>5904</v>
      </c>
      <c r="R40" s="187" t="s">
        <v>5906</v>
      </c>
      <c r="S40" s="17"/>
      <c r="T40" s="17"/>
      <c r="U40" s="17"/>
      <c r="V40" s="17"/>
    </row>
    <row r="41">
      <c r="A41" s="339" t="s">
        <v>5907</v>
      </c>
      <c r="B41" s="167" t="s">
        <v>5908</v>
      </c>
      <c r="C41" s="341" t="str">
        <f>IFERROR(__xludf.DUMMYFUNCTION("GOOGLETRANSLATE(A41,""zh-tw"",""ja"")"),"ブルーサファイア")</f>
        <v>ブルーサファイア</v>
      </c>
      <c r="D41" s="168" t="str">
        <f>IFERROR(__xludf.DUMMYFUNCTION("GOOGLETRANSLATE(B41,""zh-tw"",""ja"")"),"現時点では（宝石を）引き換える方法はありません。")</f>
        <v>現時点では（宝石を）引き換える方法はありません。</v>
      </c>
      <c r="E41" s="339" t="s">
        <v>5909</v>
      </c>
      <c r="F41" s="167" t="s">
        <v>5910</v>
      </c>
      <c r="G41" s="339" t="str">
        <f>IFERROR(__xludf.DUMMYFUNCTION("GOOGLETRANSLATE(A41,""zh-tw"",""zh"")"),"蓝辉石")</f>
        <v>蓝辉石</v>
      </c>
      <c r="H41" s="167" t="str">
        <f>IFERROR(__xludf.DUMMYFUNCTION("GOOGLETRANSLATE(B41,""zh-tw"",""zh"")"),"目前没有兑换方式
(宝石)")</f>
        <v>目前没有兑换方式
(宝石)</v>
      </c>
      <c r="I41" s="341" t="str">
        <f>IFERROR(__xludf.DUMMYFUNCTION("GOOGLETRANSLATE(A41,""zh-tw"",""es-MX"")"),"Zafiro azul")</f>
        <v>Zafiro azul</v>
      </c>
      <c r="J41" s="168" t="str">
        <f>IFERROR(__xludf.DUMMYFUNCTION("GOOGLETRANSLATE(B41,""zh-tw"",""es-MX"")"),"Actualmente no hay forma de canjear (gemas).")</f>
        <v>Actualmente no hay forma de canjear (gemas).</v>
      </c>
      <c r="K41" s="341" t="str">
        <f>IFERROR(__xludf.DUMMYFUNCTION("GOOGLETRANSLATE(A41,""zh-tw"",""KO"")"),"블루 사파이어")</f>
        <v>블루 사파이어</v>
      </c>
      <c r="L41" s="168" t="str">
        <f>IFERROR(__xludf.DUMMYFUNCTION("GOOGLETRANSLATE(B41,""zh-tw"",""KO"")"),"현재로선 (보석)을 교환할 방법이 없습니다.")</f>
        <v>현재로선 (보석)을 교환할 방법이 없습니다.</v>
      </c>
      <c r="M41" s="341" t="str">
        <f>IFERROR(__xludf.DUMMYFUNCTION("GOOGLETRANSLATE(A41,""zh-tw"",""ru"")"),"Синий сапфир")</f>
        <v>Синий сапфир</v>
      </c>
      <c r="N41" s="168" t="str">
        <f>IFERROR(__xludf.DUMMYFUNCTION("GOOGLETRANSLATE(B41,""zh-tw"",""ru"")"),"В настоящее время нет возможности выкупа (драгоценных камней).")</f>
        <v>В настоящее время нет возможности выкупа (драгоценных камней).</v>
      </c>
      <c r="O41" s="340" t="s">
        <v>5911</v>
      </c>
      <c r="P41" s="323" t="s">
        <v>5912</v>
      </c>
      <c r="Q41" s="360" t="s">
        <v>5913</v>
      </c>
      <c r="R41" s="170" t="s">
        <v>5914</v>
      </c>
      <c r="S41" s="17"/>
      <c r="T41" s="17"/>
      <c r="U41" s="17"/>
      <c r="V41" s="17"/>
    </row>
    <row r="42">
      <c r="A42" s="339" t="s">
        <v>5915</v>
      </c>
      <c r="B42" s="167" t="s">
        <v>5908</v>
      </c>
      <c r="C42" s="339" t="s">
        <v>5916</v>
      </c>
      <c r="D42" s="167" t="s">
        <v>5917</v>
      </c>
      <c r="E42" s="339" t="s">
        <v>5918</v>
      </c>
      <c r="F42" s="167" t="s">
        <v>2681</v>
      </c>
      <c r="G42" s="339" t="str">
        <f>IFERROR(__xludf.DUMMYFUNCTION("GOOGLETRANSLATE(A42,""zh-tw"",""zh"")"),"火菱石")</f>
        <v>火菱石</v>
      </c>
      <c r="H42" s="167" t="str">
        <f>IFERROR(__xludf.DUMMYFUNCTION("GOOGLETRANSLATE(B42,""zh-tw"",""zh"")"),"目前没有兑换方式
(宝石)")</f>
        <v>目前没有兑换方式
(宝石)</v>
      </c>
      <c r="I42" s="341" t="str">
        <f>IFERROR(__xludf.DUMMYFUNCTION("GOOGLETRANSLATE(A42,""zh-tw"",""es-MX"")"),"Firestone")</f>
        <v>Firestone</v>
      </c>
      <c r="J42" s="168" t="str">
        <f>IFERROR(__xludf.DUMMYFUNCTION("GOOGLETRANSLATE(B42,""zh-tw"",""es-MX"")"),"Actualmente no hay forma de canjear (gemas).")</f>
        <v>Actualmente no hay forma de canjear (gemas).</v>
      </c>
      <c r="K42" s="341" t="str">
        <f>IFERROR(__xludf.DUMMYFUNCTION("GOOGLETRANSLATE(A42,""zh-tw"",""KO"")"),"파이어스톤")</f>
        <v>파이어스톤</v>
      </c>
      <c r="L42" s="168" t="str">
        <f>IFERROR(__xludf.DUMMYFUNCTION("GOOGLETRANSLATE(B42,""zh-tw"",""KO"")"),"현재로선 (보석)을 교환할 방법이 없습니다.")</f>
        <v>현재로선 (보석)을 교환할 방법이 없습니다.</v>
      </c>
      <c r="M42" s="341" t="str">
        <f>IFERROR(__xludf.DUMMYFUNCTION("GOOGLETRANSLATE(A42,""zh-tw"",""ru"")"),"Файрстоун")</f>
        <v>Файрстоун</v>
      </c>
      <c r="N42" s="168" t="str">
        <f>IFERROR(__xludf.DUMMYFUNCTION("GOOGLETRANSLATE(B42,""zh-tw"",""ru"")"),"В настоящее время нет возможности выкупа (драгоценных камней).")</f>
        <v>В настоящее время нет возможности выкупа (драгоценных камней).</v>
      </c>
      <c r="O42" s="339" t="s">
        <v>5919</v>
      </c>
      <c r="P42" s="167" t="s">
        <v>5920</v>
      </c>
      <c r="Q42" s="360" t="s">
        <v>5921</v>
      </c>
      <c r="R42" s="170" t="s">
        <v>3194</v>
      </c>
      <c r="S42" s="17"/>
      <c r="T42" s="17"/>
      <c r="U42" s="17"/>
      <c r="V42" s="17"/>
    </row>
    <row r="43">
      <c r="A43" s="345" t="s">
        <v>5922</v>
      </c>
      <c r="B43" s="168" t="s">
        <v>5923</v>
      </c>
      <c r="C43" s="339" t="s">
        <v>5924</v>
      </c>
      <c r="D43" s="167" t="s">
        <v>5925</v>
      </c>
      <c r="E43" s="339" t="s">
        <v>5926</v>
      </c>
      <c r="F43" s="167" t="s">
        <v>5927</v>
      </c>
      <c r="G43" s="339" t="str">
        <f>IFERROR(__xludf.DUMMYFUNCTION("GOOGLETRANSLATE(A43,""zh-tw"",""zh"")"),"茶会拍立得收藏集")</f>
        <v>茶会拍立得收藏集</v>
      </c>
      <c r="H43" s="167" t="str">
        <f>IFERROR(__xludf.DUMMYFUNCTION("GOOGLETRANSLATE(B43,""zh-tw"",""zh"")"),"完成后提升幸运值")</f>
        <v>完成后提升幸运值</v>
      </c>
      <c r="I43" s="341" t="str">
        <f>IFERROR(__xludf.DUMMYFUNCTION("GOOGLETRANSLATE(A43,""zh-tw"",""es-MX"")"),"Colección de Polaroid de Fiestas de Té")</f>
        <v>Colección de Polaroid de Fiestas de Té</v>
      </c>
      <c r="J43" s="168" t="str">
        <f>IFERROR(__xludf.DUMMYFUNCTION("GOOGLETRANSLATE(B43,""zh-tw"",""es-MX"")"),"Aumenta el valor de la suerte después de completarlo")</f>
        <v>Aumenta el valor de la suerte después de completarlo</v>
      </c>
      <c r="K43" s="341" t="str">
        <f>IFERROR(__xludf.DUMMYFUNCTION("GOOGLETRANSLATE(A43,""zh-tw"",""KO"")"),"티파티 폴라로이드 컬렉션")</f>
        <v>티파티 폴라로이드 컬렉션</v>
      </c>
      <c r="L43" s="168" t="str">
        <f>IFERROR(__xludf.DUMMYFUNCTION("GOOGLETRANSLATE(B43,""zh-tw"",""KO"")"),"완료 후 행운 수치 증가")</f>
        <v>완료 후 행운 수치 증가</v>
      </c>
      <c r="M43" s="341" t="str">
        <f>IFERROR(__xludf.DUMMYFUNCTION("GOOGLETRANSLATE(A43,""zh-tw"",""ru"")"),"Коллекция Polaroid «Чаепитие»")</f>
        <v>Коллекция Polaroid «Чаепитие»</v>
      </c>
      <c r="N43" s="168" t="str">
        <f>IFERROR(__xludf.DUMMYFUNCTION("GOOGLETRANSLATE(B43,""zh-tw"",""ru"")"),"Увеличьте значение удачи после завершения")</f>
        <v>Увеличьте значение удачи после завершения</v>
      </c>
      <c r="O43" s="339" t="s">
        <v>5928</v>
      </c>
      <c r="P43" s="167" t="s">
        <v>5929</v>
      </c>
      <c r="Q43" s="360" t="s">
        <v>5930</v>
      </c>
      <c r="R43" s="191" t="s">
        <v>5931</v>
      </c>
      <c r="S43" s="17"/>
      <c r="T43" s="17"/>
      <c r="U43" s="17"/>
      <c r="V43" s="17"/>
    </row>
    <row r="44">
      <c r="A44" s="339" t="s">
        <v>5932</v>
      </c>
      <c r="B44" s="167" t="s">
        <v>5933</v>
      </c>
      <c r="C44" s="339" t="s">
        <v>5934</v>
      </c>
      <c r="D44" s="167" t="s">
        <v>5935</v>
      </c>
      <c r="E44" s="339" t="s">
        <v>5936</v>
      </c>
      <c r="F44" s="167" t="s">
        <v>5937</v>
      </c>
      <c r="G44" s="339" t="str">
        <f>IFERROR(__xludf.DUMMYFUNCTION("GOOGLETRANSLATE(A44,""zh-tw"",""zh"")"),"银坷拉")</f>
        <v>银坷拉</v>
      </c>
      <c r="H44" s="167" t="str">
        <f>IFERROR(__xludf.DUMMYFUNCTION("GOOGLETRANSLATE(B44,""zh-tw"",""zh"")"),"诱饵/粉尘爆炸")</f>
        <v>诱饵/粉尘爆炸</v>
      </c>
      <c r="I44" s="341" t="str">
        <f>IFERROR(__xludf.DUMMYFUNCTION("GOOGLETRANSLATE(A44,""zh-tw"",""es-MX"")"),"Yin Kela")</f>
        <v>Yin Kela</v>
      </c>
      <c r="J44" s="168" t="str">
        <f>IFERROR(__xludf.DUMMYFUNCTION("GOOGLETRANSLATE(B44,""zh-tw"",""es-MX"")"),"Señuelo/Explosión de polvo")</f>
        <v>Señuelo/Explosión de polvo</v>
      </c>
      <c r="K44" s="341" t="str">
        <f>IFERROR(__xludf.DUMMYFUNCTION("GOOGLETRANSLATE(A44,""zh-tw"",""KO"")"),"인 켈라")</f>
        <v>인 켈라</v>
      </c>
      <c r="L44" s="168" t="str">
        <f>IFERROR(__xludf.DUMMYFUNCTION("GOOGLETRANSLATE(B44,""zh-tw"",""KO"")"),"미끼/먼지 폭발")</f>
        <v>미끼/먼지 폭발</v>
      </c>
      <c r="M44" s="341" t="str">
        <f>IFERROR(__xludf.DUMMYFUNCTION("GOOGLETRANSLATE(A44,""zh-tw"",""ru"")"),"Инь Кела")</f>
        <v>Инь Кела</v>
      </c>
      <c r="N44" s="168" t="str">
        <f>IFERROR(__xludf.DUMMYFUNCTION("GOOGLETRANSLATE(B44,""zh-tw"",""ru"")"),"Ложный/пылевой взрыв")</f>
        <v>Ложный/пылевой взрыв</v>
      </c>
      <c r="O44" s="339" t="s">
        <v>5936</v>
      </c>
      <c r="P44" s="191" t="s">
        <v>5938</v>
      </c>
      <c r="Q44" s="352" t="s">
        <v>5936</v>
      </c>
      <c r="R44" s="191" t="s">
        <v>5939</v>
      </c>
      <c r="S44" s="17"/>
      <c r="T44" s="17"/>
      <c r="U44" s="17"/>
      <c r="V44" s="17"/>
    </row>
    <row r="45">
      <c r="A45" s="339" t="s">
        <v>5940</v>
      </c>
      <c r="B45" s="167" t="s">
        <v>5941</v>
      </c>
      <c r="C45" s="339" t="s">
        <v>5942</v>
      </c>
      <c r="D45" s="167" t="s">
        <v>5943</v>
      </c>
      <c r="E45" s="339" t="s">
        <v>5944</v>
      </c>
      <c r="F45" s="167" t="s">
        <v>5945</v>
      </c>
      <c r="G45" s="339" t="str">
        <f>IFERROR(__xludf.DUMMYFUNCTION("GOOGLETRANSLATE(A45,""zh-tw"",""zh"")"),"冒险者心得")</f>
        <v>冒险者心得</v>
      </c>
      <c r="H45" s="167" t="str">
        <f>IFERROR(__xludf.DUMMYFUNCTION("GOOGLETRANSLATE(B45,""zh-tw"",""zh"")"),"攻略心得(部分地区可能需要连国外网路)")</f>
        <v>攻略心得(部分地区可能需要连国外网路)</v>
      </c>
      <c r="I45" s="341" t="str">
        <f>IFERROR(__xludf.DUMMYFUNCTION("GOOGLETRANSLATE(A45,""zh-tw"",""es-MX"")"),"Consejos del aventurero")</f>
        <v>Consejos del aventurero</v>
      </c>
      <c r="J45" s="168" t="str">
        <f>IFERROR(__xludf.DUMMYFUNCTION("GOOGLETRANSLATE(B45,""zh-tw"",""es-MX"")"),"Consejos de viaje (algunas zonas pueden requerir conexión a internet internacional)")</f>
        <v>Consejos de viaje (algunas zonas pueden requerir conexión a internet internacional)</v>
      </c>
      <c r="K45" s="341" t="str">
        <f>IFERROR(__xludf.DUMMYFUNCTION("GOOGLETRANSLATE(A45,""zh-tw"",""KO"")"),"모험가의 팁")</f>
        <v>모험가의 팁</v>
      </c>
      <c r="L45" s="168" t="str">
        <f>IFERROR(__xludf.DUMMYFUNCTION("GOOGLETRANSLATE(B45,""zh-tw"",""KO"")"),"여행 팁(일부 지역에서는 국제 인터넷 연결이 필요할 수 있음)")</f>
        <v>여행 팁(일부 지역에서는 국제 인터넷 연결이 필요할 수 있음)</v>
      </c>
      <c r="M45" s="341" t="str">
        <f>IFERROR(__xludf.DUMMYFUNCTION("GOOGLETRANSLATE(A45,""zh-tw"",""ru"")"),"Советы искателя приключений")</f>
        <v>Советы искателя приключений</v>
      </c>
      <c r="N45" s="168"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39" t="s">
        <v>5946</v>
      </c>
      <c r="P45" s="191" t="s">
        <v>5947</v>
      </c>
      <c r="Q45" s="352" t="s">
        <v>5948</v>
      </c>
      <c r="R45" s="191" t="s">
        <v>5949</v>
      </c>
      <c r="S45" s="17"/>
      <c r="T45" s="17"/>
      <c r="U45" s="17"/>
      <c r="V45" s="17"/>
    </row>
    <row r="46">
      <c r="A46" s="339" t="s">
        <v>5950</v>
      </c>
      <c r="B46" s="167" t="s">
        <v>5951</v>
      </c>
      <c r="C46" s="339" t="s">
        <v>5952</v>
      </c>
      <c r="D46" s="167" t="s">
        <v>5953</v>
      </c>
      <c r="E46" s="339" t="s">
        <v>5954</v>
      </c>
      <c r="F46" s="167" t="s">
        <v>5955</v>
      </c>
      <c r="G46" s="339" t="str">
        <f>IFERROR(__xludf.DUMMYFUNCTION("GOOGLETRANSLATE(A46,""zh-tw"",""zh"")"),"兔子地图")</f>
        <v>兔子地图</v>
      </c>
      <c r="H46" s="167" t="str">
        <f>IFERROR(__xludf.DUMMYFUNCTION("GOOGLETRANSLATE(B46,""zh-tw"",""zh"")"),"游戏地图(部分地区可能需要连国外网路)")</f>
        <v>游戏地图(部分地区可能需要连国外网路)</v>
      </c>
      <c r="I46" s="341" t="str">
        <f>IFERROR(__xludf.DUMMYFUNCTION("GOOGLETRANSLATE(A46,""zh-tw"",""es-MX"")"),"Mapa del conejo")</f>
        <v>Mapa del conejo</v>
      </c>
      <c r="J46" s="168" t="str">
        <f>IFERROR(__xludf.DUMMYFUNCTION("GOOGLETRANSLATE(B46,""zh-tw"",""es-MX"")"),"Mapa del juego (algunas regiones pueden requerir una conexión a internet internacional)")</f>
        <v>Mapa del juego (algunas regiones pueden requerir una conexión a internet internacional)</v>
      </c>
      <c r="K46" s="341" t="str">
        <f>IFERROR(__xludf.DUMMYFUNCTION("GOOGLETRANSLATE(A46,""zh-tw"",""KO"")"),"토끼 지도")</f>
        <v>토끼 지도</v>
      </c>
      <c r="L46" s="168" t="str">
        <f>IFERROR(__xludf.DUMMYFUNCTION("GOOGLETRANSLATE(B46,""zh-tw"",""KO"")"),"게임 맵(일부 지역에서는 국제 인터넷 연결이 필요할 수 있음)")</f>
        <v>게임 맵(일부 지역에서는 국제 인터넷 연결이 필요할 수 있음)</v>
      </c>
      <c r="M46" s="341" t="str">
        <f>IFERROR(__xludf.DUMMYFUNCTION("GOOGLETRANSLATE(A46,""zh-tw"",""ru"")"),"Карта кроликов")</f>
        <v>Карта кроликов</v>
      </c>
      <c r="N46" s="168"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39" t="s">
        <v>5956</v>
      </c>
      <c r="P46" s="191" t="s">
        <v>5957</v>
      </c>
      <c r="Q46" s="352" t="s">
        <v>5958</v>
      </c>
      <c r="R46" s="191" t="s">
        <v>5959</v>
      </c>
      <c r="S46" s="17"/>
      <c r="T46" s="17"/>
      <c r="U46" s="17"/>
      <c r="V46" s="17"/>
    </row>
    <row r="47">
      <c r="A47" s="341"/>
      <c r="B47" s="168"/>
      <c r="C47" s="341"/>
      <c r="D47" s="168"/>
      <c r="E47" s="341"/>
      <c r="F47" s="168"/>
      <c r="G47" s="341"/>
      <c r="H47" s="168"/>
      <c r="I47" s="369"/>
      <c r="J47" s="188"/>
      <c r="K47" s="369"/>
      <c r="L47" s="188"/>
      <c r="M47" s="341"/>
      <c r="N47" s="168"/>
      <c r="O47" s="341"/>
      <c r="P47" s="168"/>
      <c r="Q47" s="346"/>
      <c r="R47" s="170"/>
      <c r="S47" s="17"/>
      <c r="T47" s="17"/>
      <c r="U47" s="17"/>
      <c r="V47" s="17"/>
    </row>
    <row r="48">
      <c r="A48" s="341"/>
      <c r="B48" s="168"/>
      <c r="C48" s="341"/>
      <c r="D48" s="168"/>
      <c r="E48" s="341"/>
      <c r="F48" s="168"/>
      <c r="G48" s="341"/>
      <c r="H48" s="168"/>
      <c r="I48" s="369"/>
      <c r="J48" s="188"/>
      <c r="K48" s="369"/>
      <c r="L48" s="188"/>
      <c r="M48" s="341"/>
      <c r="N48" s="168"/>
      <c r="O48" s="341"/>
      <c r="P48" s="168"/>
      <c r="Q48" s="346"/>
      <c r="R48" s="170"/>
      <c r="S48" s="17"/>
      <c r="T48" s="17"/>
      <c r="U48" s="17"/>
      <c r="V48" s="17"/>
    </row>
    <row r="49">
      <c r="A49" s="341"/>
      <c r="B49" s="168"/>
      <c r="C49" s="341"/>
      <c r="D49" s="168"/>
      <c r="E49" s="341"/>
      <c r="F49" s="168"/>
      <c r="G49" s="341"/>
      <c r="H49" s="168"/>
      <c r="I49" s="369"/>
      <c r="J49" s="188"/>
      <c r="K49" s="369"/>
      <c r="L49" s="188"/>
      <c r="M49" s="341"/>
      <c r="N49" s="168"/>
      <c r="O49" s="341"/>
      <c r="P49" s="168"/>
      <c r="Q49" s="346"/>
      <c r="R49" s="170"/>
      <c r="S49" s="17"/>
      <c r="T49" s="17"/>
      <c r="U49" s="17"/>
      <c r="V49" s="17"/>
    </row>
    <row r="50">
      <c r="A50" s="341"/>
      <c r="B50" s="168"/>
      <c r="C50" s="341"/>
      <c r="D50" s="168"/>
      <c r="E50" s="341"/>
      <c r="F50" s="168"/>
      <c r="G50" s="341"/>
      <c r="H50" s="168"/>
      <c r="I50" s="369"/>
      <c r="J50" s="188"/>
      <c r="K50" s="369"/>
      <c r="L50" s="188"/>
      <c r="M50" s="341"/>
      <c r="N50" s="168"/>
      <c r="O50" s="341"/>
      <c r="P50" s="168"/>
      <c r="Q50" s="346"/>
      <c r="R50" s="170"/>
      <c r="S50" s="17"/>
      <c r="T50" s="17"/>
      <c r="U50" s="17"/>
      <c r="V50" s="17"/>
    </row>
    <row r="51">
      <c r="A51" s="341"/>
      <c r="B51" s="168"/>
      <c r="C51" s="341"/>
      <c r="D51" s="168"/>
      <c r="E51" s="341"/>
      <c r="F51" s="168"/>
      <c r="G51" s="341"/>
      <c r="H51" s="168"/>
      <c r="I51" s="369"/>
      <c r="J51" s="188"/>
      <c r="K51" s="369"/>
      <c r="L51" s="188"/>
      <c r="M51" s="341"/>
      <c r="N51" s="168"/>
      <c r="O51" s="341"/>
      <c r="P51" s="168"/>
      <c r="Q51" s="346"/>
      <c r="R51" s="170"/>
      <c r="S51" s="17"/>
      <c r="T51" s="17"/>
      <c r="U51" s="17"/>
      <c r="V51" s="17"/>
    </row>
    <row r="52">
      <c r="A52" s="341"/>
      <c r="B52" s="168"/>
      <c r="C52" s="341"/>
      <c r="D52" s="168"/>
      <c r="E52" s="341"/>
      <c r="F52" s="168"/>
      <c r="G52" s="341"/>
      <c r="H52" s="168"/>
      <c r="I52" s="369"/>
      <c r="J52" s="188"/>
      <c r="K52" s="369"/>
      <c r="L52" s="188"/>
      <c r="M52" s="341"/>
      <c r="N52" s="168"/>
      <c r="O52" s="341"/>
      <c r="P52" s="168"/>
      <c r="Q52" s="346"/>
      <c r="R52" s="170"/>
      <c r="S52" s="17"/>
      <c r="T52" s="17"/>
      <c r="U52" s="17"/>
      <c r="V52" s="17"/>
    </row>
    <row r="53">
      <c r="A53" s="341"/>
      <c r="B53" s="168"/>
      <c r="C53" s="341"/>
      <c r="D53" s="168"/>
      <c r="E53" s="341"/>
      <c r="F53" s="168"/>
      <c r="G53" s="341"/>
      <c r="H53" s="168"/>
      <c r="I53" s="369"/>
      <c r="J53" s="188"/>
      <c r="K53" s="369"/>
      <c r="L53" s="188"/>
      <c r="M53" s="341"/>
      <c r="N53" s="168"/>
      <c r="O53" s="341"/>
      <c r="P53" s="168"/>
      <c r="Q53" s="346"/>
      <c r="R53" s="170"/>
      <c r="S53" s="17"/>
      <c r="T53" s="17"/>
      <c r="U53" s="17"/>
      <c r="V53" s="17"/>
    </row>
    <row r="54">
      <c r="A54" s="341"/>
      <c r="B54" s="168"/>
      <c r="C54" s="341"/>
      <c r="D54" s="168"/>
      <c r="E54" s="341"/>
      <c r="F54" s="168"/>
      <c r="G54" s="341"/>
      <c r="H54" s="168"/>
      <c r="I54" s="369"/>
      <c r="J54" s="188"/>
      <c r="K54" s="369"/>
      <c r="L54" s="188"/>
      <c r="M54" s="341"/>
      <c r="N54" s="168"/>
      <c r="O54" s="341"/>
      <c r="P54" s="168"/>
      <c r="Q54" s="346"/>
      <c r="R54" s="170"/>
      <c r="S54" s="17"/>
      <c r="T54" s="17"/>
      <c r="U54" s="17"/>
      <c r="V54" s="17"/>
    </row>
    <row r="55">
      <c r="A55" s="341"/>
      <c r="B55" s="168"/>
      <c r="C55" s="341"/>
      <c r="D55" s="168"/>
      <c r="E55" s="341"/>
      <c r="F55" s="168"/>
      <c r="G55" s="341"/>
      <c r="H55" s="168"/>
      <c r="I55" s="369"/>
      <c r="J55" s="188"/>
      <c r="K55" s="369"/>
      <c r="L55" s="188"/>
      <c r="M55" s="341"/>
      <c r="N55" s="168"/>
      <c r="O55" s="341"/>
      <c r="P55" s="168"/>
      <c r="Q55" s="346"/>
      <c r="R55" s="170"/>
      <c r="S55" s="17"/>
      <c r="T55" s="17"/>
      <c r="U55" s="17"/>
      <c r="V55" s="17"/>
    </row>
    <row r="56">
      <c r="A56" s="341"/>
      <c r="B56" s="168"/>
      <c r="C56" s="341"/>
      <c r="D56" s="168"/>
      <c r="E56" s="341"/>
      <c r="F56" s="168"/>
      <c r="G56" s="341"/>
      <c r="H56" s="168"/>
      <c r="I56" s="369"/>
      <c r="J56" s="188"/>
      <c r="K56" s="369"/>
      <c r="L56" s="188"/>
      <c r="M56" s="341"/>
      <c r="N56" s="168"/>
      <c r="O56" s="341"/>
      <c r="P56" s="168"/>
      <c r="Q56" s="346"/>
      <c r="R56" s="170"/>
      <c r="S56" s="17"/>
      <c r="T56" s="17"/>
      <c r="U56" s="17"/>
      <c r="V56" s="17"/>
    </row>
    <row r="57">
      <c r="A57" s="341"/>
      <c r="B57" s="168"/>
      <c r="C57" s="341"/>
      <c r="D57" s="168"/>
      <c r="E57" s="341"/>
      <c r="F57" s="168"/>
      <c r="G57" s="341"/>
      <c r="H57" s="168"/>
      <c r="I57" s="369"/>
      <c r="J57" s="188"/>
      <c r="K57" s="369"/>
      <c r="L57" s="188"/>
      <c r="M57" s="341"/>
      <c r="N57" s="168"/>
      <c r="O57" s="341"/>
      <c r="P57" s="168"/>
      <c r="Q57" s="346"/>
      <c r="R57" s="170"/>
      <c r="S57" s="17"/>
      <c r="T57" s="17"/>
      <c r="U57" s="17"/>
      <c r="V57" s="17"/>
    </row>
    <row r="58">
      <c r="A58" s="341"/>
      <c r="B58" s="168"/>
      <c r="C58" s="341"/>
      <c r="D58" s="168"/>
      <c r="E58" s="341"/>
      <c r="F58" s="168"/>
      <c r="G58" s="341"/>
      <c r="H58" s="168"/>
      <c r="I58" s="369"/>
      <c r="J58" s="188"/>
      <c r="K58" s="369"/>
      <c r="L58" s="188"/>
      <c r="M58" s="341"/>
      <c r="N58" s="168"/>
      <c r="O58" s="341"/>
      <c r="P58" s="168"/>
      <c r="Q58" s="346"/>
      <c r="R58" s="170"/>
      <c r="S58" s="17"/>
      <c r="T58" s="17"/>
      <c r="U58" s="17"/>
      <c r="V58" s="17"/>
    </row>
    <row r="59">
      <c r="A59" s="341"/>
      <c r="B59" s="168"/>
      <c r="C59" s="341"/>
      <c r="D59" s="168"/>
      <c r="E59" s="341"/>
      <c r="F59" s="168"/>
      <c r="G59" s="341"/>
      <c r="H59" s="168"/>
      <c r="I59" s="369"/>
      <c r="J59" s="188"/>
      <c r="K59" s="369"/>
      <c r="L59" s="188"/>
      <c r="M59" s="341"/>
      <c r="N59" s="168"/>
      <c r="O59" s="341"/>
      <c r="P59" s="168"/>
      <c r="Q59" s="346"/>
      <c r="R59" s="170"/>
      <c r="S59" s="17"/>
      <c r="T59" s="17"/>
      <c r="U59" s="17"/>
      <c r="V59" s="17"/>
    </row>
    <row r="60">
      <c r="A60" s="341"/>
      <c r="B60" s="168"/>
      <c r="C60" s="341"/>
      <c r="D60" s="168"/>
      <c r="E60" s="341"/>
      <c r="F60" s="168"/>
      <c r="G60" s="341"/>
      <c r="H60" s="168"/>
      <c r="I60" s="369"/>
      <c r="J60" s="188"/>
      <c r="K60" s="369"/>
      <c r="L60" s="188"/>
      <c r="M60" s="341"/>
      <c r="N60" s="168"/>
      <c r="O60" s="341"/>
      <c r="P60" s="168"/>
      <c r="Q60" s="346"/>
      <c r="R60" s="170"/>
      <c r="S60" s="17"/>
      <c r="T60" s="17"/>
      <c r="U60" s="17"/>
      <c r="V60" s="17"/>
    </row>
    <row r="61">
      <c r="A61" s="341"/>
      <c r="B61" s="168"/>
      <c r="C61" s="341"/>
      <c r="D61" s="168"/>
      <c r="E61" s="341"/>
      <c r="F61" s="168"/>
      <c r="G61" s="341"/>
      <c r="H61" s="168"/>
      <c r="I61" s="369"/>
      <c r="J61" s="188"/>
      <c r="K61" s="369"/>
      <c r="L61" s="188"/>
      <c r="M61" s="341"/>
      <c r="N61" s="168"/>
      <c r="O61" s="341"/>
      <c r="P61" s="168"/>
      <c r="Q61" s="346"/>
      <c r="R61" s="170"/>
      <c r="S61" s="17"/>
      <c r="T61" s="17"/>
      <c r="U61" s="17"/>
      <c r="V61" s="17"/>
    </row>
    <row r="62">
      <c r="A62" s="341"/>
      <c r="B62" s="168"/>
      <c r="C62" s="341"/>
      <c r="D62" s="168"/>
      <c r="E62" s="341"/>
      <c r="F62" s="168"/>
      <c r="G62" s="341"/>
      <c r="H62" s="168"/>
      <c r="I62" s="369"/>
      <c r="J62" s="188"/>
      <c r="K62" s="369"/>
      <c r="L62" s="188"/>
      <c r="M62" s="341"/>
      <c r="N62" s="168"/>
      <c r="O62" s="341"/>
      <c r="P62" s="168"/>
      <c r="Q62" s="346"/>
      <c r="R62" s="170"/>
      <c r="S62" s="17"/>
      <c r="T62" s="17"/>
      <c r="U62" s="17"/>
      <c r="V62" s="17"/>
    </row>
    <row r="63">
      <c r="A63" s="341"/>
      <c r="B63" s="168"/>
      <c r="C63" s="341"/>
      <c r="D63" s="168"/>
      <c r="E63" s="341"/>
      <c r="F63" s="168"/>
      <c r="G63" s="341"/>
      <c r="H63" s="168"/>
      <c r="I63" s="369"/>
      <c r="J63" s="188"/>
      <c r="K63" s="369"/>
      <c r="L63" s="188"/>
      <c r="M63" s="341"/>
      <c r="N63" s="168"/>
      <c r="O63" s="341"/>
      <c r="P63" s="168"/>
      <c r="Q63" s="346"/>
      <c r="R63" s="170"/>
      <c r="S63" s="17"/>
      <c r="T63" s="17"/>
      <c r="U63" s="17"/>
      <c r="V63" s="17"/>
    </row>
    <row r="64">
      <c r="A64" s="341"/>
      <c r="B64" s="168"/>
      <c r="C64" s="341"/>
      <c r="D64" s="168"/>
      <c r="E64" s="341"/>
      <c r="F64" s="168"/>
      <c r="G64" s="341"/>
      <c r="H64" s="168"/>
      <c r="I64" s="369"/>
      <c r="J64" s="188"/>
      <c r="K64" s="369"/>
      <c r="L64" s="188"/>
      <c r="M64" s="341"/>
      <c r="N64" s="168"/>
      <c r="O64" s="341"/>
      <c r="P64" s="168"/>
      <c r="Q64" s="346"/>
      <c r="R64" s="170"/>
      <c r="S64" s="17"/>
      <c r="T64" s="17"/>
      <c r="U64" s="17"/>
      <c r="V64" s="17"/>
    </row>
    <row r="65">
      <c r="A65" s="341"/>
      <c r="B65" s="168"/>
      <c r="C65" s="341"/>
      <c r="D65" s="168"/>
      <c r="E65" s="341"/>
      <c r="F65" s="168"/>
      <c r="G65" s="341"/>
      <c r="H65" s="168"/>
      <c r="I65" s="369"/>
      <c r="J65" s="188"/>
      <c r="K65" s="369"/>
      <c r="L65" s="188"/>
      <c r="M65" s="341"/>
      <c r="N65" s="168"/>
      <c r="O65" s="341"/>
      <c r="P65" s="168"/>
      <c r="Q65" s="346"/>
      <c r="R65" s="170"/>
      <c r="S65" s="17"/>
      <c r="T65" s="17"/>
      <c r="U65" s="17"/>
      <c r="V65" s="17"/>
    </row>
    <row r="66">
      <c r="A66" s="341"/>
      <c r="B66" s="168"/>
      <c r="C66" s="341"/>
      <c r="D66" s="168"/>
      <c r="E66" s="341"/>
      <c r="F66" s="168"/>
      <c r="G66" s="341"/>
      <c r="H66" s="168"/>
      <c r="I66" s="369"/>
      <c r="J66" s="188"/>
      <c r="K66" s="369"/>
      <c r="L66" s="188"/>
      <c r="M66" s="341"/>
      <c r="N66" s="168"/>
      <c r="O66" s="341"/>
      <c r="P66" s="168"/>
      <c r="Q66" s="346"/>
      <c r="R66" s="170"/>
      <c r="S66" s="17"/>
      <c r="T66" s="17"/>
      <c r="U66" s="17"/>
      <c r="V66" s="17"/>
    </row>
    <row r="67">
      <c r="A67" s="341"/>
      <c r="B67" s="168"/>
      <c r="C67" s="341"/>
      <c r="D67" s="168"/>
      <c r="E67" s="341"/>
      <c r="F67" s="168"/>
      <c r="G67" s="341"/>
      <c r="H67" s="168"/>
      <c r="I67" s="369"/>
      <c r="J67" s="188"/>
      <c r="K67" s="369"/>
      <c r="L67" s="188"/>
      <c r="M67" s="341"/>
      <c r="N67" s="168"/>
      <c r="O67" s="341"/>
      <c r="P67" s="168"/>
      <c r="Q67" s="346"/>
      <c r="R67" s="170"/>
      <c r="S67" s="17"/>
      <c r="T67" s="17"/>
      <c r="U67" s="17"/>
      <c r="V67" s="17"/>
    </row>
    <row r="68">
      <c r="A68" s="341"/>
      <c r="B68" s="168"/>
      <c r="C68" s="341"/>
      <c r="D68" s="168"/>
      <c r="E68" s="341"/>
      <c r="F68" s="168"/>
      <c r="G68" s="341"/>
      <c r="H68" s="168"/>
      <c r="I68" s="369"/>
      <c r="J68" s="188"/>
      <c r="K68" s="369"/>
      <c r="L68" s="188"/>
      <c r="M68" s="341"/>
      <c r="N68" s="168"/>
      <c r="O68" s="341"/>
      <c r="P68" s="168"/>
      <c r="Q68" s="346"/>
      <c r="R68" s="170"/>
      <c r="S68" s="17"/>
      <c r="T68" s="17"/>
      <c r="U68" s="17"/>
      <c r="V68" s="17"/>
    </row>
    <row r="69">
      <c r="A69" s="341"/>
      <c r="B69" s="168"/>
      <c r="C69" s="341"/>
      <c r="D69" s="168"/>
      <c r="E69" s="341"/>
      <c r="F69" s="168"/>
      <c r="G69" s="341"/>
      <c r="H69" s="168"/>
      <c r="I69" s="369"/>
      <c r="J69" s="188"/>
      <c r="K69" s="369"/>
      <c r="L69" s="188"/>
      <c r="M69" s="341"/>
      <c r="N69" s="168"/>
      <c r="O69" s="341"/>
      <c r="P69" s="168"/>
      <c r="Q69" s="346"/>
      <c r="R69" s="170"/>
      <c r="S69" s="17"/>
      <c r="T69" s="17"/>
      <c r="U69" s="17"/>
      <c r="V69" s="17"/>
    </row>
    <row r="70">
      <c r="A70" s="341"/>
      <c r="B70" s="168"/>
      <c r="C70" s="341"/>
      <c r="D70" s="168"/>
      <c r="E70" s="341"/>
      <c r="F70" s="168"/>
      <c r="G70" s="341"/>
      <c r="H70" s="168"/>
      <c r="I70" s="369"/>
      <c r="J70" s="188"/>
      <c r="K70" s="369"/>
      <c r="L70" s="188"/>
      <c r="M70" s="341"/>
      <c r="N70" s="168"/>
      <c r="O70" s="341"/>
      <c r="P70" s="168"/>
      <c r="Q70" s="346"/>
      <c r="R70" s="170"/>
      <c r="S70" s="17"/>
      <c r="T70" s="17"/>
      <c r="U70" s="17"/>
      <c r="V70" s="17"/>
    </row>
    <row r="71">
      <c r="A71" s="341"/>
      <c r="B71" s="168"/>
      <c r="C71" s="341"/>
      <c r="D71" s="168"/>
      <c r="E71" s="341"/>
      <c r="F71" s="168"/>
      <c r="G71" s="341"/>
      <c r="H71" s="168"/>
      <c r="I71" s="369"/>
      <c r="J71" s="188"/>
      <c r="K71" s="369"/>
      <c r="L71" s="188"/>
      <c r="M71" s="341"/>
      <c r="N71" s="168"/>
      <c r="O71" s="341"/>
      <c r="P71" s="168"/>
      <c r="Q71" s="346"/>
      <c r="R71" s="170"/>
      <c r="S71" s="17"/>
      <c r="T71" s="17"/>
      <c r="U71" s="17"/>
      <c r="V71" s="17"/>
    </row>
    <row r="72">
      <c r="A72" s="341"/>
      <c r="B72" s="168"/>
      <c r="C72" s="341"/>
      <c r="D72" s="168"/>
      <c r="E72" s="341"/>
      <c r="F72" s="168"/>
      <c r="G72" s="341"/>
      <c r="H72" s="168"/>
      <c r="I72" s="369"/>
      <c r="J72" s="188"/>
      <c r="K72" s="369"/>
      <c r="L72" s="188"/>
      <c r="M72" s="341"/>
      <c r="N72" s="168"/>
      <c r="O72" s="341"/>
      <c r="P72" s="168"/>
      <c r="Q72" s="346"/>
      <c r="R72" s="170"/>
      <c r="S72" s="17"/>
      <c r="T72" s="17"/>
      <c r="U72" s="17"/>
      <c r="V72" s="17"/>
    </row>
    <row r="73">
      <c r="A73" s="341"/>
      <c r="B73" s="168"/>
      <c r="C73" s="341"/>
      <c r="D73" s="168"/>
      <c r="E73" s="341"/>
      <c r="F73" s="168"/>
      <c r="G73" s="341"/>
      <c r="H73" s="168"/>
      <c r="I73" s="369"/>
      <c r="J73" s="188"/>
      <c r="K73" s="369"/>
      <c r="L73" s="188"/>
      <c r="M73" s="341"/>
      <c r="N73" s="168"/>
      <c r="O73" s="341"/>
      <c r="P73" s="168"/>
      <c r="Q73" s="346"/>
      <c r="R73" s="170"/>
      <c r="S73" s="17"/>
      <c r="T73" s="17"/>
      <c r="U73" s="17"/>
      <c r="V73" s="17"/>
    </row>
    <row r="74">
      <c r="A74" s="341"/>
      <c r="B74" s="168"/>
      <c r="C74" s="341"/>
      <c r="D74" s="168"/>
      <c r="E74" s="341"/>
      <c r="F74" s="168"/>
      <c r="G74" s="341"/>
      <c r="H74" s="168"/>
      <c r="I74" s="369"/>
      <c r="J74" s="188"/>
      <c r="K74" s="369"/>
      <c r="L74" s="188"/>
      <c r="M74" s="341"/>
      <c r="N74" s="168"/>
      <c r="O74" s="341"/>
      <c r="P74" s="168"/>
      <c r="Q74" s="346"/>
      <c r="R74" s="170"/>
      <c r="S74" s="17"/>
      <c r="T74" s="17"/>
      <c r="U74" s="17"/>
      <c r="V74" s="17"/>
    </row>
    <row r="75">
      <c r="A75" s="341"/>
      <c r="B75" s="168"/>
      <c r="C75" s="341"/>
      <c r="D75" s="168"/>
      <c r="E75" s="341"/>
      <c r="F75" s="168"/>
      <c r="G75" s="341"/>
      <c r="H75" s="168"/>
      <c r="I75" s="369"/>
      <c r="J75" s="188"/>
      <c r="K75" s="369"/>
      <c r="L75" s="188"/>
      <c r="M75" s="341"/>
      <c r="N75" s="168"/>
      <c r="O75" s="341"/>
      <c r="P75" s="168"/>
      <c r="Q75" s="346"/>
      <c r="R75" s="170"/>
      <c r="S75" s="17"/>
      <c r="T75" s="17"/>
      <c r="U75" s="17"/>
      <c r="V75" s="17"/>
    </row>
    <row r="76">
      <c r="A76" s="341"/>
      <c r="B76" s="168"/>
      <c r="C76" s="341"/>
      <c r="D76" s="168"/>
      <c r="E76" s="341"/>
      <c r="F76" s="168"/>
      <c r="G76" s="341"/>
      <c r="H76" s="168"/>
      <c r="I76" s="369"/>
      <c r="J76" s="188"/>
      <c r="K76" s="369"/>
      <c r="L76" s="188"/>
      <c r="M76" s="341"/>
      <c r="N76" s="168"/>
      <c r="O76" s="341"/>
      <c r="P76" s="168"/>
      <c r="Q76" s="346"/>
      <c r="R76" s="170"/>
      <c r="S76" s="17"/>
      <c r="T76" s="17"/>
      <c r="U76" s="17"/>
      <c r="V76" s="17"/>
    </row>
    <row r="77">
      <c r="A77" s="341"/>
      <c r="B77" s="168"/>
      <c r="C77" s="341"/>
      <c r="D77" s="168"/>
      <c r="E77" s="341"/>
      <c r="F77" s="168"/>
      <c r="G77" s="341"/>
      <c r="H77" s="168"/>
      <c r="I77" s="369"/>
      <c r="J77" s="188"/>
      <c r="K77" s="369"/>
      <c r="L77" s="188"/>
      <c r="M77" s="341"/>
      <c r="N77" s="168"/>
      <c r="O77" s="341"/>
      <c r="P77" s="168"/>
      <c r="Q77" s="346"/>
      <c r="R77" s="170"/>
      <c r="S77" s="17"/>
      <c r="T77" s="17"/>
      <c r="U77" s="17"/>
      <c r="V77" s="17"/>
    </row>
    <row r="78">
      <c r="A78" s="341"/>
      <c r="B78" s="168"/>
      <c r="C78" s="341"/>
      <c r="D78" s="168"/>
      <c r="E78" s="341"/>
      <c r="F78" s="168"/>
      <c r="G78" s="341"/>
      <c r="H78" s="168"/>
      <c r="I78" s="369"/>
      <c r="J78" s="188"/>
      <c r="K78" s="369"/>
      <c r="L78" s="188"/>
      <c r="M78" s="341"/>
      <c r="N78" s="168"/>
      <c r="O78" s="341"/>
      <c r="P78" s="168"/>
      <c r="Q78" s="346"/>
      <c r="R78" s="170"/>
      <c r="S78" s="17"/>
      <c r="T78" s="17"/>
      <c r="U78" s="17"/>
      <c r="V78" s="17"/>
    </row>
    <row r="79">
      <c r="A79" s="341"/>
      <c r="B79" s="168"/>
      <c r="C79" s="341"/>
      <c r="D79" s="168"/>
      <c r="E79" s="341"/>
      <c r="F79" s="168"/>
      <c r="G79" s="341"/>
      <c r="H79" s="168"/>
      <c r="I79" s="369"/>
      <c r="J79" s="188"/>
      <c r="K79" s="369"/>
      <c r="L79" s="188"/>
      <c r="M79" s="341"/>
      <c r="N79" s="168"/>
      <c r="O79" s="341"/>
      <c r="P79" s="168"/>
      <c r="Q79" s="346"/>
      <c r="R79" s="170"/>
      <c r="S79" s="17"/>
      <c r="T79" s="17"/>
      <c r="U79" s="17"/>
      <c r="V79" s="17"/>
    </row>
    <row r="80">
      <c r="A80" s="341"/>
      <c r="B80" s="168"/>
      <c r="C80" s="341"/>
      <c r="D80" s="168"/>
      <c r="E80" s="341"/>
      <c r="F80" s="168"/>
      <c r="G80" s="341"/>
      <c r="H80" s="168"/>
      <c r="I80" s="369"/>
      <c r="J80" s="188"/>
      <c r="K80" s="369"/>
      <c r="L80" s="188"/>
      <c r="M80" s="341"/>
      <c r="N80" s="168"/>
      <c r="O80" s="341"/>
      <c r="P80" s="168"/>
      <c r="Q80" s="346"/>
      <c r="R80" s="170"/>
      <c r="S80" s="17"/>
      <c r="T80" s="17"/>
      <c r="U80" s="17"/>
      <c r="V80" s="17"/>
    </row>
    <row r="81">
      <c r="A81" s="341"/>
      <c r="B81" s="168"/>
      <c r="C81" s="341"/>
      <c r="D81" s="168"/>
      <c r="E81" s="341"/>
      <c r="F81" s="168"/>
      <c r="G81" s="341"/>
      <c r="H81" s="168"/>
      <c r="I81" s="369"/>
      <c r="J81" s="188"/>
      <c r="K81" s="369"/>
      <c r="L81" s="188"/>
      <c r="M81" s="341"/>
      <c r="N81" s="168"/>
      <c r="O81" s="341"/>
      <c r="P81" s="168"/>
      <c r="Q81" s="346"/>
      <c r="R81" s="170"/>
      <c r="S81" s="17"/>
      <c r="T81" s="17"/>
      <c r="U81" s="17"/>
      <c r="V81" s="17"/>
    </row>
    <row r="82">
      <c r="A82" s="341"/>
      <c r="B82" s="168"/>
      <c r="C82" s="341"/>
      <c r="D82" s="168"/>
      <c r="E82" s="341"/>
      <c r="F82" s="168"/>
      <c r="G82" s="341"/>
      <c r="H82" s="168"/>
      <c r="I82" s="369"/>
      <c r="J82" s="188"/>
      <c r="K82" s="369"/>
      <c r="L82" s="188"/>
      <c r="M82" s="341"/>
      <c r="N82" s="168"/>
      <c r="O82" s="341"/>
      <c r="P82" s="168"/>
      <c r="Q82" s="346"/>
      <c r="R82" s="170"/>
      <c r="S82" s="17"/>
      <c r="T82" s="17"/>
      <c r="U82" s="17"/>
      <c r="V82" s="17"/>
    </row>
    <row r="83">
      <c r="A83" s="341"/>
      <c r="B83" s="168"/>
      <c r="C83" s="341"/>
      <c r="D83" s="168"/>
      <c r="E83" s="341"/>
      <c r="F83" s="168"/>
      <c r="G83" s="341"/>
      <c r="H83" s="168"/>
      <c r="I83" s="369"/>
      <c r="J83" s="188"/>
      <c r="K83" s="369"/>
      <c r="L83" s="188"/>
      <c r="M83" s="341"/>
      <c r="N83" s="168"/>
      <c r="O83" s="341"/>
      <c r="P83" s="168"/>
      <c r="Q83" s="346"/>
      <c r="R83" s="170"/>
      <c r="S83" s="17"/>
      <c r="T83" s="17"/>
      <c r="U83" s="17"/>
      <c r="V83" s="17"/>
    </row>
    <row r="84">
      <c r="A84" s="341"/>
      <c r="B84" s="168"/>
      <c r="C84" s="341"/>
      <c r="D84" s="168"/>
      <c r="E84" s="341"/>
      <c r="F84" s="168"/>
      <c r="G84" s="341"/>
      <c r="H84" s="168"/>
      <c r="I84" s="369"/>
      <c r="J84" s="188"/>
      <c r="K84" s="369"/>
      <c r="L84" s="188"/>
      <c r="M84" s="341"/>
      <c r="N84" s="168"/>
      <c r="O84" s="341"/>
      <c r="P84" s="168"/>
      <c r="Q84" s="346"/>
      <c r="R84" s="170"/>
      <c r="S84" s="17"/>
      <c r="T84" s="17"/>
      <c r="U84" s="17"/>
      <c r="V84" s="17"/>
    </row>
    <row r="85">
      <c r="A85" s="341"/>
      <c r="B85" s="168"/>
      <c r="C85" s="341"/>
      <c r="D85" s="168"/>
      <c r="E85" s="341"/>
      <c r="F85" s="168"/>
      <c r="G85" s="341"/>
      <c r="H85" s="168"/>
      <c r="I85" s="369"/>
      <c r="J85" s="188"/>
      <c r="K85" s="369"/>
      <c r="L85" s="188"/>
      <c r="M85" s="341"/>
      <c r="N85" s="168"/>
      <c r="O85" s="341"/>
      <c r="P85" s="168"/>
      <c r="Q85" s="346"/>
      <c r="R85" s="170"/>
      <c r="S85" s="17"/>
      <c r="T85" s="17"/>
      <c r="U85" s="17"/>
      <c r="V85" s="17"/>
    </row>
    <row r="86">
      <c r="A86" s="341"/>
      <c r="B86" s="168"/>
      <c r="C86" s="341"/>
      <c r="D86" s="168"/>
      <c r="E86" s="341"/>
      <c r="F86" s="168"/>
      <c r="G86" s="341"/>
      <c r="H86" s="168"/>
      <c r="I86" s="369"/>
      <c r="J86" s="188"/>
      <c r="K86" s="369"/>
      <c r="L86" s="188"/>
      <c r="M86" s="341"/>
      <c r="N86" s="168"/>
      <c r="O86" s="341"/>
      <c r="P86" s="168"/>
      <c r="Q86" s="346"/>
      <c r="R86" s="170"/>
      <c r="S86" s="17"/>
      <c r="T86" s="17"/>
      <c r="U86" s="17"/>
      <c r="V86" s="17"/>
    </row>
    <row r="87">
      <c r="A87" s="341"/>
      <c r="B87" s="168"/>
      <c r="C87" s="341"/>
      <c r="D87" s="168"/>
      <c r="E87" s="341"/>
      <c r="F87" s="168"/>
      <c r="G87" s="341"/>
      <c r="H87" s="168"/>
      <c r="I87" s="369"/>
      <c r="J87" s="188"/>
      <c r="K87" s="369"/>
      <c r="L87" s="188"/>
      <c r="M87" s="341"/>
      <c r="N87" s="168"/>
      <c r="O87" s="341"/>
      <c r="P87" s="168"/>
      <c r="Q87" s="346"/>
      <c r="R87" s="170"/>
      <c r="S87" s="17"/>
      <c r="T87" s="17"/>
      <c r="U87" s="17"/>
      <c r="V87" s="17"/>
    </row>
    <row r="88">
      <c r="A88" s="341"/>
      <c r="B88" s="168"/>
      <c r="C88" s="341"/>
      <c r="D88" s="168"/>
      <c r="E88" s="341"/>
      <c r="F88" s="168"/>
      <c r="G88" s="341"/>
      <c r="H88" s="168"/>
      <c r="I88" s="369"/>
      <c r="J88" s="188"/>
      <c r="K88" s="369"/>
      <c r="L88" s="188"/>
      <c r="M88" s="341"/>
      <c r="N88" s="168"/>
      <c r="O88" s="341"/>
      <c r="P88" s="168"/>
      <c r="Q88" s="347"/>
      <c r="R88" s="187"/>
      <c r="S88" s="17"/>
      <c r="T88" s="17"/>
      <c r="U88" s="17"/>
      <c r="V88" s="17"/>
    </row>
    <row r="89">
      <c r="A89" s="341"/>
      <c r="B89" s="168"/>
      <c r="C89" s="341"/>
      <c r="D89" s="168"/>
      <c r="E89" s="341"/>
      <c r="F89" s="168"/>
      <c r="G89" s="341"/>
      <c r="H89" s="168"/>
      <c r="I89" s="369"/>
      <c r="J89" s="188"/>
      <c r="K89" s="369"/>
      <c r="L89" s="188"/>
      <c r="M89" s="341"/>
      <c r="N89" s="168"/>
      <c r="O89" s="341"/>
      <c r="P89" s="168"/>
      <c r="Q89" s="347"/>
      <c r="R89" s="187"/>
      <c r="S89" s="17"/>
      <c r="T89" s="17"/>
      <c r="U89" s="17"/>
      <c r="V89" s="17"/>
    </row>
    <row r="90">
      <c r="A90" s="341"/>
      <c r="B90" s="168"/>
      <c r="C90" s="341"/>
      <c r="D90" s="168"/>
      <c r="E90" s="341"/>
      <c r="F90" s="168"/>
      <c r="G90" s="341"/>
      <c r="H90" s="168"/>
      <c r="I90" s="369"/>
      <c r="J90" s="188"/>
      <c r="K90" s="369"/>
      <c r="L90" s="188"/>
      <c r="M90" s="341"/>
      <c r="N90" s="168"/>
      <c r="O90" s="341"/>
      <c r="P90" s="168"/>
      <c r="Q90" s="347"/>
      <c r="R90" s="187"/>
      <c r="S90" s="17"/>
      <c r="T90" s="17"/>
      <c r="U90" s="17"/>
      <c r="V90" s="17"/>
    </row>
    <row r="91">
      <c r="A91" s="341"/>
      <c r="B91" s="168"/>
      <c r="C91" s="341"/>
      <c r="D91" s="168"/>
      <c r="E91" s="341"/>
      <c r="F91" s="168"/>
      <c r="G91" s="341"/>
      <c r="H91" s="168"/>
      <c r="I91" s="369"/>
      <c r="J91" s="188"/>
      <c r="K91" s="369"/>
      <c r="L91" s="188"/>
      <c r="M91" s="341"/>
      <c r="N91" s="168"/>
      <c r="O91" s="341"/>
      <c r="P91" s="168"/>
      <c r="Q91" s="347"/>
      <c r="R91" s="187"/>
      <c r="S91" s="17"/>
      <c r="T91" s="17"/>
      <c r="U91" s="17"/>
      <c r="V91" s="17"/>
    </row>
    <row r="92">
      <c r="A92" s="341"/>
      <c r="B92" s="168"/>
      <c r="C92" s="341"/>
      <c r="D92" s="168"/>
      <c r="E92" s="341"/>
      <c r="F92" s="168"/>
      <c r="G92" s="341"/>
      <c r="H92" s="168"/>
      <c r="I92" s="369"/>
      <c r="J92" s="188"/>
      <c r="K92" s="369"/>
      <c r="L92" s="188"/>
      <c r="M92" s="341"/>
      <c r="N92" s="168"/>
      <c r="O92" s="341"/>
      <c r="P92" s="168"/>
      <c r="Q92" s="347"/>
      <c r="R92" s="187"/>
      <c r="S92" s="17"/>
      <c r="T92" s="17"/>
      <c r="U92" s="17"/>
      <c r="V92" s="17"/>
    </row>
    <row r="93">
      <c r="A93" s="341"/>
      <c r="B93" s="168"/>
      <c r="C93" s="341"/>
      <c r="D93" s="168"/>
      <c r="E93" s="341"/>
      <c r="F93" s="168"/>
      <c r="G93" s="341"/>
      <c r="H93" s="168"/>
      <c r="I93" s="369"/>
      <c r="J93" s="188"/>
      <c r="K93" s="369"/>
      <c r="L93" s="188"/>
      <c r="M93" s="341"/>
      <c r="N93" s="168"/>
      <c r="O93" s="341"/>
      <c r="P93" s="168"/>
      <c r="Q93" s="347"/>
      <c r="R93" s="187"/>
      <c r="S93" s="17"/>
      <c r="T93" s="17"/>
      <c r="U93" s="17"/>
      <c r="V93" s="17"/>
    </row>
    <row r="94">
      <c r="A94" s="341"/>
      <c r="B94" s="168"/>
      <c r="C94" s="341"/>
      <c r="D94" s="168"/>
      <c r="E94" s="341"/>
      <c r="F94" s="168"/>
      <c r="G94" s="341"/>
      <c r="H94" s="168"/>
      <c r="I94" s="369"/>
      <c r="J94" s="188"/>
      <c r="K94" s="369"/>
      <c r="L94" s="188"/>
      <c r="M94" s="341"/>
      <c r="N94" s="168"/>
      <c r="O94" s="341"/>
      <c r="P94" s="168"/>
      <c r="Q94" s="347"/>
      <c r="R94" s="187"/>
      <c r="S94" s="17"/>
      <c r="T94" s="17"/>
      <c r="U94" s="17"/>
      <c r="V94" s="17"/>
    </row>
    <row r="95">
      <c r="A95" s="341"/>
      <c r="B95" s="168"/>
      <c r="C95" s="341"/>
      <c r="D95" s="168"/>
      <c r="E95" s="341"/>
      <c r="F95" s="168"/>
      <c r="G95" s="341"/>
      <c r="H95" s="168"/>
      <c r="I95" s="369"/>
      <c r="J95" s="188"/>
      <c r="K95" s="369"/>
      <c r="L95" s="188"/>
      <c r="M95" s="341"/>
      <c r="N95" s="168"/>
      <c r="O95" s="341"/>
      <c r="P95" s="168"/>
      <c r="Q95" s="347"/>
      <c r="R95" s="187"/>
      <c r="S95" s="17"/>
      <c r="T95" s="17"/>
      <c r="U95" s="17"/>
      <c r="V95" s="17"/>
    </row>
    <row r="96">
      <c r="A96" s="341"/>
      <c r="B96" s="168"/>
      <c r="C96" s="341"/>
      <c r="D96" s="168"/>
      <c r="E96" s="341"/>
      <c r="F96" s="168"/>
      <c r="G96" s="341"/>
      <c r="H96" s="168"/>
      <c r="I96" s="369"/>
      <c r="J96" s="188"/>
      <c r="K96" s="369"/>
      <c r="L96" s="188"/>
      <c r="M96" s="341"/>
      <c r="N96" s="168"/>
      <c r="O96" s="341"/>
      <c r="P96" s="168"/>
      <c r="Q96" s="347"/>
      <c r="R96" s="187"/>
      <c r="S96" s="17"/>
      <c r="T96" s="17"/>
      <c r="U96" s="17"/>
      <c r="V96" s="17"/>
    </row>
    <row r="97">
      <c r="A97" s="341"/>
      <c r="B97" s="168"/>
      <c r="C97" s="341"/>
      <c r="D97" s="168"/>
      <c r="E97" s="341"/>
      <c r="F97" s="168"/>
      <c r="G97" s="341"/>
      <c r="H97" s="168"/>
      <c r="I97" s="369"/>
      <c r="J97" s="188"/>
      <c r="K97" s="369"/>
      <c r="L97" s="188"/>
      <c r="M97" s="341"/>
      <c r="N97" s="168"/>
      <c r="O97" s="341"/>
      <c r="P97" s="168"/>
      <c r="Q97" s="347"/>
      <c r="R97" s="187"/>
      <c r="S97" s="17"/>
      <c r="T97" s="17"/>
      <c r="U97" s="17"/>
      <c r="V97" s="17"/>
    </row>
    <row r="98">
      <c r="A98" s="341"/>
      <c r="B98" s="168"/>
      <c r="C98" s="341"/>
      <c r="D98" s="168"/>
      <c r="E98" s="341"/>
      <c r="F98" s="168"/>
      <c r="G98" s="341"/>
      <c r="H98" s="168"/>
      <c r="I98" s="369"/>
      <c r="J98" s="188"/>
      <c r="K98" s="369"/>
      <c r="L98" s="188"/>
      <c r="M98" s="341"/>
      <c r="N98" s="168"/>
      <c r="O98" s="341"/>
      <c r="P98" s="168"/>
      <c r="Q98" s="347"/>
      <c r="R98" s="187"/>
      <c r="S98" s="17"/>
      <c r="T98" s="17"/>
      <c r="U98" s="17"/>
      <c r="V98" s="17"/>
    </row>
    <row r="99">
      <c r="A99" s="341"/>
      <c r="B99" s="168"/>
      <c r="C99" s="341"/>
      <c r="D99" s="168"/>
      <c r="E99" s="341"/>
      <c r="F99" s="168"/>
      <c r="G99" s="341"/>
      <c r="H99" s="168"/>
      <c r="I99" s="369"/>
      <c r="J99" s="188"/>
      <c r="K99" s="369"/>
      <c r="L99" s="188"/>
      <c r="M99" s="341"/>
      <c r="N99" s="168"/>
      <c r="O99" s="341"/>
      <c r="P99" s="168"/>
      <c r="Q99" s="347"/>
      <c r="R99" s="187"/>
      <c r="S99" s="17"/>
      <c r="T99" s="17"/>
      <c r="U99" s="17"/>
      <c r="V99" s="17"/>
    </row>
    <row r="100">
      <c r="A100" s="341"/>
      <c r="B100" s="168"/>
      <c r="C100" s="341"/>
      <c r="D100" s="168"/>
      <c r="E100" s="341"/>
      <c r="F100" s="168"/>
      <c r="G100" s="341"/>
      <c r="H100" s="168"/>
      <c r="I100" s="369"/>
      <c r="J100" s="188"/>
      <c r="K100" s="369"/>
      <c r="L100" s="188"/>
      <c r="M100" s="341"/>
      <c r="N100" s="168"/>
      <c r="O100" s="341"/>
      <c r="P100" s="168"/>
      <c r="Q100" s="347"/>
      <c r="R100" s="187"/>
      <c r="S100" s="17"/>
      <c r="T100" s="17"/>
      <c r="U100" s="17"/>
      <c r="V100" s="17"/>
    </row>
    <row r="101">
      <c r="A101" s="341"/>
      <c r="B101" s="168"/>
      <c r="C101" s="341"/>
      <c r="D101" s="168"/>
      <c r="E101" s="341"/>
      <c r="F101" s="168"/>
      <c r="G101" s="341"/>
      <c r="H101" s="168"/>
      <c r="I101" s="369"/>
      <c r="J101" s="188"/>
      <c r="K101" s="369"/>
      <c r="L101" s="188"/>
      <c r="M101" s="341"/>
      <c r="N101" s="168"/>
      <c r="O101" s="341"/>
      <c r="P101" s="168"/>
      <c r="Q101" s="347"/>
      <c r="R101" s="187"/>
      <c r="S101" s="17"/>
      <c r="T101" s="17"/>
      <c r="U101" s="17"/>
      <c r="V101" s="17"/>
    </row>
    <row r="102">
      <c r="A102" s="341"/>
      <c r="B102" s="168"/>
      <c r="C102" s="341"/>
      <c r="D102" s="168"/>
      <c r="E102" s="341"/>
      <c r="F102" s="168"/>
      <c r="G102" s="341"/>
      <c r="H102" s="168"/>
      <c r="I102" s="369"/>
      <c r="J102" s="188"/>
      <c r="K102" s="369"/>
      <c r="L102" s="188"/>
      <c r="M102" s="341"/>
      <c r="N102" s="168"/>
      <c r="O102" s="341"/>
      <c r="P102" s="168"/>
      <c r="Q102" s="347"/>
      <c r="R102" s="187"/>
      <c r="S102" s="17"/>
      <c r="T102" s="17"/>
      <c r="U102" s="17"/>
      <c r="V102" s="17"/>
    </row>
    <row r="103">
      <c r="A103" s="341"/>
      <c r="B103" s="168"/>
      <c r="C103" s="341"/>
      <c r="D103" s="168"/>
      <c r="E103" s="341"/>
      <c r="F103" s="168"/>
      <c r="G103" s="341"/>
      <c r="H103" s="168"/>
      <c r="I103" s="369"/>
      <c r="J103" s="188"/>
      <c r="K103" s="369"/>
      <c r="L103" s="188"/>
      <c r="M103" s="341"/>
      <c r="N103" s="168"/>
      <c r="O103" s="341"/>
      <c r="P103" s="168"/>
      <c r="Q103" s="347"/>
      <c r="R103" s="187"/>
      <c r="S103" s="17"/>
      <c r="T103" s="17"/>
      <c r="U103" s="17"/>
      <c r="V103" s="17"/>
    </row>
    <row r="104">
      <c r="A104" s="341"/>
      <c r="B104" s="168"/>
      <c r="C104" s="341"/>
      <c r="D104" s="168"/>
      <c r="E104" s="341"/>
      <c r="F104" s="168"/>
      <c r="G104" s="341"/>
      <c r="H104" s="168"/>
      <c r="I104" s="369"/>
      <c r="J104" s="188"/>
      <c r="K104" s="369"/>
      <c r="L104" s="188"/>
      <c r="M104" s="341"/>
      <c r="N104" s="168"/>
      <c r="O104" s="341"/>
      <c r="P104" s="168"/>
      <c r="Q104" s="347"/>
      <c r="R104" s="187"/>
      <c r="S104" s="17"/>
      <c r="T104" s="17"/>
      <c r="U104" s="17"/>
      <c r="V104" s="17"/>
    </row>
    <row r="105">
      <c r="A105" s="341"/>
      <c r="B105" s="168"/>
      <c r="C105" s="341"/>
      <c r="D105" s="168"/>
      <c r="E105" s="341"/>
      <c r="F105" s="168"/>
      <c r="G105" s="341"/>
      <c r="H105" s="168"/>
      <c r="I105" s="369"/>
      <c r="J105" s="188"/>
      <c r="K105" s="369"/>
      <c r="L105" s="188"/>
      <c r="M105" s="341"/>
      <c r="N105" s="168"/>
      <c r="O105" s="341"/>
      <c r="P105" s="168"/>
      <c r="Q105" s="347"/>
      <c r="R105" s="187"/>
      <c r="S105" s="17"/>
      <c r="T105" s="17"/>
      <c r="U105" s="17"/>
      <c r="V105" s="17"/>
    </row>
    <row r="106">
      <c r="A106" s="341"/>
      <c r="B106" s="168"/>
      <c r="C106" s="341"/>
      <c r="D106" s="168"/>
      <c r="E106" s="341"/>
      <c r="F106" s="168"/>
      <c r="G106" s="341"/>
      <c r="H106" s="168"/>
      <c r="I106" s="369"/>
      <c r="J106" s="188"/>
      <c r="K106" s="369"/>
      <c r="L106" s="188"/>
      <c r="M106" s="341"/>
      <c r="N106" s="168"/>
      <c r="O106" s="341"/>
      <c r="P106" s="168"/>
      <c r="Q106" s="347"/>
      <c r="R106" s="187"/>
      <c r="S106" s="17"/>
      <c r="T106" s="17"/>
      <c r="U106" s="17"/>
      <c r="V106" s="17"/>
    </row>
    <row r="107">
      <c r="A107" s="341"/>
      <c r="B107" s="168"/>
      <c r="C107" s="341"/>
      <c r="D107" s="168"/>
      <c r="E107" s="341"/>
      <c r="F107" s="168"/>
      <c r="G107" s="341"/>
      <c r="H107" s="168"/>
      <c r="I107" s="369"/>
      <c r="J107" s="188"/>
      <c r="K107" s="369"/>
      <c r="L107" s="188"/>
      <c r="M107" s="341"/>
      <c r="N107" s="168"/>
      <c r="O107" s="341"/>
      <c r="P107" s="168"/>
      <c r="Q107" s="347"/>
      <c r="R107" s="187"/>
      <c r="S107" s="17"/>
      <c r="T107" s="17"/>
      <c r="U107" s="17"/>
      <c r="V107" s="17"/>
    </row>
    <row r="108">
      <c r="A108" s="341"/>
      <c r="B108" s="168"/>
      <c r="C108" s="341"/>
      <c r="D108" s="168"/>
      <c r="E108" s="341"/>
      <c r="F108" s="168"/>
      <c r="G108" s="341"/>
      <c r="H108" s="168"/>
      <c r="I108" s="369"/>
      <c r="J108" s="188"/>
      <c r="K108" s="369"/>
      <c r="L108" s="188"/>
      <c r="M108" s="341"/>
      <c r="N108" s="168"/>
      <c r="O108" s="341"/>
      <c r="P108" s="168"/>
      <c r="Q108" s="347"/>
      <c r="R108" s="187"/>
      <c r="S108" s="17"/>
      <c r="T108" s="17"/>
      <c r="U108" s="17"/>
      <c r="V108" s="17"/>
    </row>
    <row r="109">
      <c r="A109" s="341"/>
      <c r="B109" s="168"/>
      <c r="C109" s="341"/>
      <c r="D109" s="168"/>
      <c r="E109" s="341"/>
      <c r="F109" s="168"/>
      <c r="G109" s="341"/>
      <c r="H109" s="168"/>
      <c r="I109" s="369"/>
      <c r="J109" s="188"/>
      <c r="K109" s="369"/>
      <c r="L109" s="188"/>
      <c r="M109" s="341"/>
      <c r="N109" s="168"/>
      <c r="O109" s="341"/>
      <c r="P109" s="168"/>
      <c r="Q109" s="347"/>
      <c r="R109" s="187"/>
      <c r="S109" s="17"/>
      <c r="T109" s="17"/>
      <c r="U109" s="17"/>
      <c r="V109" s="17"/>
    </row>
    <row r="110">
      <c r="A110" s="341"/>
      <c r="B110" s="168"/>
      <c r="C110" s="341"/>
      <c r="D110" s="168"/>
      <c r="E110" s="341"/>
      <c r="F110" s="168"/>
      <c r="G110" s="341"/>
      <c r="H110" s="168"/>
      <c r="I110" s="369"/>
      <c r="J110" s="188"/>
      <c r="K110" s="369"/>
      <c r="L110" s="188"/>
      <c r="M110" s="341"/>
      <c r="N110" s="168"/>
      <c r="O110" s="341"/>
      <c r="P110" s="168"/>
      <c r="Q110" s="347"/>
      <c r="R110" s="187"/>
      <c r="S110" s="17"/>
      <c r="T110" s="17"/>
      <c r="U110" s="17"/>
      <c r="V110" s="17"/>
    </row>
    <row r="111">
      <c r="A111" s="341"/>
      <c r="B111" s="168"/>
      <c r="C111" s="341"/>
      <c r="D111" s="168"/>
      <c r="E111" s="341"/>
      <c r="F111" s="168"/>
      <c r="G111" s="341"/>
      <c r="H111" s="168"/>
      <c r="I111" s="369"/>
      <c r="J111" s="188"/>
      <c r="K111" s="369"/>
      <c r="L111" s="188"/>
      <c r="M111" s="341"/>
      <c r="N111" s="168"/>
      <c r="O111" s="341"/>
      <c r="P111" s="168"/>
      <c r="Q111" s="347"/>
      <c r="R111" s="187"/>
      <c r="S111" s="17"/>
      <c r="T111" s="17"/>
      <c r="U111" s="17"/>
      <c r="V111" s="17"/>
    </row>
    <row r="112">
      <c r="A112" s="341"/>
      <c r="B112" s="168"/>
      <c r="C112" s="341"/>
      <c r="D112" s="168"/>
      <c r="E112" s="341"/>
      <c r="F112" s="168"/>
      <c r="G112" s="341"/>
      <c r="H112" s="168"/>
      <c r="I112" s="369"/>
      <c r="J112" s="188"/>
      <c r="K112" s="369"/>
      <c r="L112" s="188"/>
      <c r="M112" s="341"/>
      <c r="N112" s="168"/>
      <c r="O112" s="341"/>
      <c r="P112" s="168"/>
      <c r="Q112" s="347"/>
      <c r="R112" s="187"/>
      <c r="S112" s="17"/>
      <c r="T112" s="17"/>
      <c r="U112" s="17"/>
      <c r="V112" s="17"/>
    </row>
    <row r="113">
      <c r="A113" s="341"/>
      <c r="B113" s="168"/>
      <c r="C113" s="341"/>
      <c r="D113" s="168"/>
      <c r="E113" s="341"/>
      <c r="F113" s="168"/>
      <c r="G113" s="341"/>
      <c r="H113" s="168"/>
      <c r="I113" s="369"/>
      <c r="J113" s="188"/>
      <c r="K113" s="369"/>
      <c r="L113" s="188"/>
      <c r="M113" s="341"/>
      <c r="N113" s="168"/>
      <c r="O113" s="341"/>
      <c r="P113" s="168"/>
      <c r="Q113" s="347"/>
      <c r="R113" s="187"/>
      <c r="S113" s="17"/>
      <c r="T113" s="17"/>
      <c r="U113" s="17"/>
      <c r="V113" s="17"/>
    </row>
    <row r="114">
      <c r="A114" s="341"/>
      <c r="B114" s="168"/>
      <c r="C114" s="341"/>
      <c r="D114" s="168"/>
      <c r="E114" s="341"/>
      <c r="F114" s="168"/>
      <c r="G114" s="341"/>
      <c r="H114" s="168"/>
      <c r="I114" s="369"/>
      <c r="J114" s="188"/>
      <c r="K114" s="369"/>
      <c r="L114" s="188"/>
      <c r="M114" s="341"/>
      <c r="N114" s="168"/>
      <c r="O114" s="341"/>
      <c r="P114" s="168"/>
      <c r="Q114" s="347"/>
      <c r="R114" s="187"/>
      <c r="S114" s="17"/>
      <c r="T114" s="17"/>
      <c r="U114" s="17"/>
      <c r="V114" s="17"/>
    </row>
    <row r="115">
      <c r="A115" s="341"/>
      <c r="B115" s="168"/>
      <c r="C115" s="341"/>
      <c r="D115" s="168"/>
      <c r="E115" s="341"/>
      <c r="F115" s="168"/>
      <c r="G115" s="341"/>
      <c r="H115" s="168"/>
      <c r="I115" s="369"/>
      <c r="J115" s="188"/>
      <c r="K115" s="369"/>
      <c r="L115" s="188"/>
      <c r="M115" s="341"/>
      <c r="N115" s="168"/>
      <c r="O115" s="341"/>
      <c r="P115" s="168"/>
      <c r="Q115" s="347"/>
      <c r="R115" s="187"/>
      <c r="S115" s="17"/>
      <c r="T115" s="17"/>
      <c r="U115" s="17"/>
      <c r="V115" s="17"/>
    </row>
    <row r="116">
      <c r="A116" s="341"/>
      <c r="B116" s="168"/>
      <c r="C116" s="341"/>
      <c r="D116" s="168"/>
      <c r="E116" s="341"/>
      <c r="F116" s="168"/>
      <c r="G116" s="341"/>
      <c r="H116" s="168"/>
      <c r="I116" s="369"/>
      <c r="J116" s="188"/>
      <c r="K116" s="369"/>
      <c r="L116" s="188"/>
      <c r="M116" s="341"/>
      <c r="N116" s="168"/>
      <c r="O116" s="341"/>
      <c r="P116" s="168"/>
      <c r="Q116" s="347"/>
      <c r="R116" s="187"/>
      <c r="S116" s="17"/>
      <c r="T116" s="17"/>
      <c r="U116" s="17"/>
      <c r="V116" s="17"/>
    </row>
    <row r="117">
      <c r="A117" s="341"/>
      <c r="B117" s="168"/>
      <c r="C117" s="341"/>
      <c r="D117" s="168"/>
      <c r="E117" s="341"/>
      <c r="F117" s="168"/>
      <c r="G117" s="341"/>
      <c r="H117" s="168"/>
      <c r="I117" s="369"/>
      <c r="J117" s="188"/>
      <c r="K117" s="369"/>
      <c r="L117" s="188"/>
      <c r="M117" s="341"/>
      <c r="N117" s="168"/>
      <c r="O117" s="341"/>
      <c r="P117" s="168"/>
      <c r="Q117" s="347"/>
      <c r="R117" s="187"/>
      <c r="S117" s="17"/>
      <c r="T117" s="17"/>
      <c r="U117" s="17"/>
      <c r="V117" s="17"/>
    </row>
    <row r="118">
      <c r="A118" s="341"/>
      <c r="B118" s="168"/>
      <c r="C118" s="341"/>
      <c r="D118" s="168"/>
      <c r="E118" s="341"/>
      <c r="F118" s="168"/>
      <c r="G118" s="341"/>
      <c r="H118" s="168"/>
      <c r="I118" s="369"/>
      <c r="J118" s="188"/>
      <c r="K118" s="369"/>
      <c r="L118" s="188"/>
      <c r="M118" s="341"/>
      <c r="N118" s="168"/>
      <c r="O118" s="341"/>
      <c r="P118" s="168"/>
      <c r="Q118" s="347"/>
      <c r="R118" s="187"/>
      <c r="S118" s="17"/>
      <c r="T118" s="17"/>
      <c r="U118" s="17"/>
      <c r="V118" s="17"/>
    </row>
    <row r="119">
      <c r="A119" s="341"/>
      <c r="B119" s="168"/>
      <c r="C119" s="341"/>
      <c r="D119" s="168"/>
      <c r="E119" s="341"/>
      <c r="F119" s="168"/>
      <c r="G119" s="341"/>
      <c r="H119" s="168"/>
      <c r="I119" s="369"/>
      <c r="J119" s="188"/>
      <c r="K119" s="369"/>
      <c r="L119" s="188"/>
      <c r="M119" s="341"/>
      <c r="N119" s="168"/>
      <c r="O119" s="341"/>
      <c r="P119" s="168"/>
      <c r="Q119" s="347"/>
      <c r="R119" s="187"/>
      <c r="S119" s="17"/>
      <c r="T119" s="17"/>
      <c r="U119" s="17"/>
      <c r="V119" s="17"/>
    </row>
    <row r="120">
      <c r="A120" s="341"/>
      <c r="B120" s="168"/>
      <c r="C120" s="341"/>
      <c r="D120" s="168"/>
      <c r="E120" s="341"/>
      <c r="F120" s="168"/>
      <c r="G120" s="341"/>
      <c r="H120" s="168"/>
      <c r="I120" s="369"/>
      <c r="J120" s="188"/>
      <c r="K120" s="369"/>
      <c r="L120" s="188"/>
      <c r="M120" s="341"/>
      <c r="N120" s="168"/>
      <c r="O120" s="341"/>
      <c r="P120" s="168"/>
      <c r="Q120" s="347"/>
      <c r="R120" s="187"/>
      <c r="S120" s="17"/>
      <c r="T120" s="17"/>
      <c r="U120" s="17"/>
      <c r="V120" s="17"/>
    </row>
    <row r="121">
      <c r="A121" s="341"/>
      <c r="B121" s="168"/>
      <c r="C121" s="341"/>
      <c r="D121" s="168"/>
      <c r="E121" s="341"/>
      <c r="F121" s="168"/>
      <c r="G121" s="341"/>
      <c r="H121" s="168"/>
      <c r="I121" s="369"/>
      <c r="J121" s="188"/>
      <c r="K121" s="369"/>
      <c r="L121" s="188"/>
      <c r="M121" s="341"/>
      <c r="N121" s="168"/>
      <c r="O121" s="341"/>
      <c r="P121" s="168"/>
      <c r="Q121" s="347"/>
      <c r="R121" s="187"/>
      <c r="S121" s="17"/>
      <c r="T121" s="17"/>
      <c r="U121" s="17"/>
      <c r="V121" s="17"/>
    </row>
    <row r="122">
      <c r="A122" s="341"/>
      <c r="B122" s="168"/>
      <c r="C122" s="341"/>
      <c r="D122" s="168"/>
      <c r="E122" s="341"/>
      <c r="F122" s="168"/>
      <c r="G122" s="341"/>
      <c r="H122" s="168"/>
      <c r="I122" s="369"/>
      <c r="J122" s="188"/>
      <c r="K122" s="369"/>
      <c r="L122" s="188"/>
      <c r="M122" s="341"/>
      <c r="N122" s="168"/>
      <c r="O122" s="341"/>
      <c r="P122" s="168"/>
      <c r="Q122" s="347"/>
      <c r="R122" s="187"/>
      <c r="S122" s="17"/>
      <c r="T122" s="17"/>
      <c r="U122" s="17"/>
      <c r="V122" s="17"/>
    </row>
    <row r="123">
      <c r="A123" s="341"/>
      <c r="B123" s="168"/>
      <c r="C123" s="341"/>
      <c r="D123" s="168"/>
      <c r="E123" s="341"/>
      <c r="F123" s="168"/>
      <c r="G123" s="341"/>
      <c r="H123" s="168"/>
      <c r="I123" s="369"/>
      <c r="J123" s="188"/>
      <c r="K123" s="369"/>
      <c r="L123" s="188"/>
      <c r="M123" s="341"/>
      <c r="N123" s="168"/>
      <c r="O123" s="341"/>
      <c r="P123" s="168"/>
      <c r="Q123" s="347"/>
      <c r="R123" s="187"/>
      <c r="S123" s="17"/>
      <c r="T123" s="17"/>
      <c r="U123" s="17"/>
      <c r="V123" s="17"/>
    </row>
    <row r="124">
      <c r="A124" s="341"/>
      <c r="B124" s="168"/>
      <c r="C124" s="341"/>
      <c r="D124" s="168"/>
      <c r="E124" s="341"/>
      <c r="F124" s="168"/>
      <c r="G124" s="341"/>
      <c r="H124" s="168"/>
      <c r="I124" s="369"/>
      <c r="J124" s="188"/>
      <c r="K124" s="369"/>
      <c r="L124" s="188"/>
      <c r="M124" s="341"/>
      <c r="N124" s="168"/>
      <c r="O124" s="341"/>
      <c r="P124" s="168"/>
      <c r="Q124" s="347"/>
      <c r="R124" s="187"/>
      <c r="S124" s="17"/>
      <c r="T124" s="17"/>
      <c r="U124" s="17"/>
      <c r="V124" s="17"/>
    </row>
    <row r="125">
      <c r="A125" s="341"/>
      <c r="B125" s="168"/>
      <c r="C125" s="341"/>
      <c r="D125" s="168"/>
      <c r="E125" s="341"/>
      <c r="F125" s="168"/>
      <c r="G125" s="341"/>
      <c r="H125" s="168"/>
      <c r="I125" s="369"/>
      <c r="J125" s="188"/>
      <c r="K125" s="369"/>
      <c r="L125" s="188"/>
      <c r="M125" s="341"/>
      <c r="N125" s="168"/>
      <c r="O125" s="341"/>
      <c r="P125" s="168"/>
      <c r="Q125" s="347"/>
      <c r="R125" s="187"/>
      <c r="S125" s="17"/>
      <c r="T125" s="17"/>
      <c r="U125" s="17"/>
      <c r="V125" s="17"/>
    </row>
    <row r="126">
      <c r="A126" s="341"/>
      <c r="B126" s="168"/>
      <c r="C126" s="341"/>
      <c r="D126" s="168"/>
      <c r="E126" s="341"/>
      <c r="F126" s="168"/>
      <c r="G126" s="341"/>
      <c r="H126" s="168"/>
      <c r="I126" s="369"/>
      <c r="J126" s="188"/>
      <c r="K126" s="369"/>
      <c r="L126" s="188"/>
      <c r="M126" s="341"/>
      <c r="N126" s="168"/>
      <c r="O126" s="341"/>
      <c r="P126" s="168"/>
      <c r="Q126" s="347"/>
      <c r="R126" s="187"/>
      <c r="S126" s="17"/>
      <c r="T126" s="17"/>
      <c r="U126" s="17"/>
      <c r="V126" s="17"/>
    </row>
    <row r="127">
      <c r="A127" s="341"/>
      <c r="B127" s="168"/>
      <c r="C127" s="341"/>
      <c r="D127" s="168"/>
      <c r="E127" s="341"/>
      <c r="F127" s="168"/>
      <c r="G127" s="341"/>
      <c r="H127" s="168"/>
      <c r="I127" s="369"/>
      <c r="J127" s="188"/>
      <c r="K127" s="369"/>
      <c r="L127" s="188"/>
      <c r="M127" s="341"/>
      <c r="N127" s="168"/>
      <c r="O127" s="341"/>
      <c r="P127" s="168"/>
      <c r="Q127" s="347"/>
      <c r="R127" s="187"/>
      <c r="S127" s="17"/>
      <c r="T127" s="17"/>
      <c r="U127" s="17"/>
      <c r="V127" s="17"/>
    </row>
    <row r="128">
      <c r="A128" s="341"/>
      <c r="B128" s="168"/>
      <c r="C128" s="341"/>
      <c r="D128" s="168"/>
      <c r="E128" s="341"/>
      <c r="F128" s="168"/>
      <c r="G128" s="341"/>
      <c r="H128" s="168"/>
      <c r="I128" s="369"/>
      <c r="J128" s="188"/>
      <c r="K128" s="369"/>
      <c r="L128" s="188"/>
      <c r="M128" s="341"/>
      <c r="N128" s="168"/>
      <c r="O128" s="341"/>
      <c r="P128" s="168"/>
      <c r="Q128" s="347"/>
      <c r="R128" s="187"/>
      <c r="S128" s="17"/>
      <c r="T128" s="17"/>
      <c r="U128" s="17"/>
      <c r="V128" s="17"/>
    </row>
    <row r="129">
      <c r="A129" s="341"/>
      <c r="B129" s="168"/>
      <c r="C129" s="341"/>
      <c r="D129" s="168"/>
      <c r="E129" s="341"/>
      <c r="F129" s="168"/>
      <c r="G129" s="341"/>
      <c r="H129" s="168"/>
      <c r="I129" s="369"/>
      <c r="J129" s="188"/>
      <c r="K129" s="369"/>
      <c r="L129" s="188"/>
      <c r="M129" s="341"/>
      <c r="N129" s="168"/>
      <c r="O129" s="341"/>
      <c r="P129" s="168"/>
      <c r="Q129" s="347"/>
      <c r="R129" s="187"/>
      <c r="S129" s="17"/>
      <c r="T129" s="17"/>
      <c r="U129" s="17"/>
      <c r="V129" s="17"/>
    </row>
    <row r="130">
      <c r="A130" s="341"/>
      <c r="B130" s="168"/>
      <c r="C130" s="341"/>
      <c r="D130" s="168"/>
      <c r="E130" s="341"/>
      <c r="F130" s="168"/>
      <c r="G130" s="341"/>
      <c r="H130" s="168"/>
      <c r="I130" s="369"/>
      <c r="J130" s="188"/>
      <c r="K130" s="369"/>
      <c r="L130" s="188"/>
      <c r="M130" s="341"/>
      <c r="N130" s="168"/>
      <c r="O130" s="341"/>
      <c r="P130" s="168"/>
      <c r="Q130" s="347"/>
      <c r="R130" s="187"/>
      <c r="S130" s="17"/>
      <c r="T130" s="17"/>
      <c r="U130" s="17"/>
      <c r="V130" s="17"/>
    </row>
    <row r="131">
      <c r="A131" s="341"/>
      <c r="B131" s="168"/>
      <c r="C131" s="341"/>
      <c r="D131" s="168"/>
      <c r="E131" s="341"/>
      <c r="F131" s="168"/>
      <c r="G131" s="341"/>
      <c r="H131" s="168"/>
      <c r="I131" s="369"/>
      <c r="J131" s="188"/>
      <c r="K131" s="369"/>
      <c r="L131" s="188"/>
      <c r="M131" s="341"/>
      <c r="N131" s="168"/>
      <c r="O131" s="341"/>
      <c r="P131" s="168"/>
      <c r="Q131" s="347"/>
      <c r="R131" s="187"/>
      <c r="S131" s="17"/>
      <c r="T131" s="17"/>
      <c r="U131" s="17"/>
      <c r="V131" s="17"/>
    </row>
    <row r="132">
      <c r="A132" s="341"/>
      <c r="B132" s="168"/>
      <c r="C132" s="341"/>
      <c r="D132" s="168"/>
      <c r="E132" s="341"/>
      <c r="F132" s="168"/>
      <c r="G132" s="341"/>
      <c r="H132" s="168"/>
      <c r="I132" s="369"/>
      <c r="J132" s="188"/>
      <c r="K132" s="369"/>
      <c r="L132" s="188"/>
      <c r="M132" s="341"/>
      <c r="N132" s="168"/>
      <c r="O132" s="341"/>
      <c r="P132" s="168"/>
      <c r="Q132" s="347"/>
      <c r="R132" s="187"/>
      <c r="S132" s="17"/>
      <c r="T132" s="17"/>
      <c r="U132" s="17"/>
      <c r="V132" s="17"/>
    </row>
    <row r="133">
      <c r="A133" s="341"/>
      <c r="B133" s="168"/>
      <c r="C133" s="341"/>
      <c r="D133" s="168"/>
      <c r="E133" s="341"/>
      <c r="F133" s="168"/>
      <c r="G133" s="341"/>
      <c r="H133" s="168"/>
      <c r="I133" s="369"/>
      <c r="J133" s="188"/>
      <c r="K133" s="369"/>
      <c r="L133" s="188"/>
      <c r="M133" s="341"/>
      <c r="N133" s="168"/>
      <c r="O133" s="341"/>
      <c r="P133" s="168"/>
      <c r="Q133" s="347"/>
      <c r="R133" s="187"/>
      <c r="S133" s="17"/>
      <c r="T133" s="17"/>
      <c r="U133" s="17"/>
      <c r="V133" s="17"/>
    </row>
    <row r="134">
      <c r="A134" s="341"/>
      <c r="B134" s="168"/>
      <c r="C134" s="341"/>
      <c r="D134" s="168"/>
      <c r="E134" s="341"/>
      <c r="F134" s="168"/>
      <c r="G134" s="341"/>
      <c r="H134" s="168"/>
      <c r="I134" s="369"/>
      <c r="J134" s="188"/>
      <c r="K134" s="369"/>
      <c r="L134" s="188"/>
      <c r="M134" s="341"/>
      <c r="N134" s="168"/>
      <c r="O134" s="341"/>
      <c r="P134" s="168"/>
      <c r="Q134" s="347"/>
      <c r="R134" s="187"/>
      <c r="S134" s="17"/>
      <c r="T134" s="17"/>
      <c r="U134" s="17"/>
      <c r="V134" s="17"/>
    </row>
    <row r="135">
      <c r="A135" s="341"/>
      <c r="B135" s="168"/>
      <c r="C135" s="341"/>
      <c r="D135" s="168"/>
      <c r="E135" s="341"/>
      <c r="F135" s="168"/>
      <c r="G135" s="341"/>
      <c r="H135" s="168"/>
      <c r="I135" s="369"/>
      <c r="J135" s="188"/>
      <c r="K135" s="369"/>
      <c r="L135" s="188"/>
      <c r="M135" s="341"/>
      <c r="N135" s="168"/>
      <c r="O135" s="341"/>
      <c r="P135" s="168"/>
      <c r="Q135" s="347"/>
      <c r="R135" s="187"/>
      <c r="S135" s="17"/>
      <c r="T135" s="17"/>
      <c r="U135" s="17"/>
      <c r="V135" s="17"/>
    </row>
    <row r="136">
      <c r="A136" s="341"/>
      <c r="B136" s="168"/>
      <c r="C136" s="341"/>
      <c r="D136" s="168"/>
      <c r="E136" s="341"/>
      <c r="F136" s="168"/>
      <c r="G136" s="341"/>
      <c r="H136" s="168"/>
      <c r="I136" s="369"/>
      <c r="J136" s="188"/>
      <c r="K136" s="369"/>
      <c r="L136" s="188"/>
      <c r="M136" s="341"/>
      <c r="N136" s="168"/>
      <c r="O136" s="341"/>
      <c r="P136" s="168"/>
      <c r="Q136" s="347"/>
      <c r="R136" s="187"/>
      <c r="S136" s="17"/>
      <c r="T136" s="17"/>
      <c r="U136" s="17"/>
      <c r="V136" s="17"/>
    </row>
    <row r="137">
      <c r="A137" s="341"/>
      <c r="B137" s="168"/>
      <c r="C137" s="341"/>
      <c r="D137" s="168"/>
      <c r="E137" s="341"/>
      <c r="F137" s="168"/>
      <c r="G137" s="341"/>
      <c r="H137" s="168"/>
      <c r="I137" s="369"/>
      <c r="J137" s="188"/>
      <c r="K137" s="369"/>
      <c r="L137" s="188"/>
      <c r="M137" s="341"/>
      <c r="N137" s="168"/>
      <c r="O137" s="341"/>
      <c r="P137" s="168"/>
      <c r="Q137" s="347"/>
      <c r="R137" s="187"/>
      <c r="S137" s="17"/>
      <c r="T137" s="17"/>
      <c r="U137" s="17"/>
      <c r="V137" s="17"/>
    </row>
    <row r="138">
      <c r="A138" s="341"/>
      <c r="B138" s="168"/>
      <c r="C138" s="341"/>
      <c r="D138" s="168"/>
      <c r="E138" s="341"/>
      <c r="F138" s="168"/>
      <c r="G138" s="341"/>
      <c r="H138" s="168"/>
      <c r="I138" s="369"/>
      <c r="J138" s="188"/>
      <c r="K138" s="369"/>
      <c r="L138" s="188"/>
      <c r="M138" s="341"/>
      <c r="N138" s="168"/>
      <c r="O138" s="341"/>
      <c r="P138" s="168"/>
      <c r="Q138" s="347"/>
      <c r="R138" s="187"/>
      <c r="S138" s="17"/>
      <c r="T138" s="17"/>
      <c r="U138" s="17"/>
      <c r="V138" s="17"/>
    </row>
    <row r="139">
      <c r="A139" s="341"/>
      <c r="B139" s="168"/>
      <c r="C139" s="341"/>
      <c r="D139" s="168"/>
      <c r="E139" s="341"/>
      <c r="F139" s="168"/>
      <c r="G139" s="341"/>
      <c r="H139" s="168"/>
      <c r="I139" s="369"/>
      <c r="J139" s="188"/>
      <c r="K139" s="369"/>
      <c r="L139" s="188"/>
      <c r="M139" s="341"/>
      <c r="N139" s="168"/>
      <c r="O139" s="341"/>
      <c r="P139" s="168"/>
      <c r="Q139" s="347"/>
      <c r="R139" s="187"/>
      <c r="S139" s="17"/>
      <c r="T139" s="17"/>
      <c r="U139" s="17"/>
      <c r="V139" s="17"/>
    </row>
    <row r="140">
      <c r="A140" s="341"/>
      <c r="B140" s="168"/>
      <c r="C140" s="341"/>
      <c r="D140" s="168"/>
      <c r="E140" s="341"/>
      <c r="F140" s="168"/>
      <c r="G140" s="341"/>
      <c r="H140" s="168"/>
      <c r="I140" s="369"/>
      <c r="J140" s="188"/>
      <c r="K140" s="369"/>
      <c r="L140" s="188"/>
      <c r="M140" s="341"/>
      <c r="N140" s="168"/>
      <c r="O140" s="341"/>
      <c r="P140" s="168"/>
      <c r="Q140" s="347"/>
      <c r="R140" s="187"/>
      <c r="S140" s="17"/>
      <c r="T140" s="17"/>
      <c r="U140" s="17"/>
      <c r="V140" s="17"/>
    </row>
    <row r="141">
      <c r="A141" s="341"/>
      <c r="B141" s="168"/>
      <c r="C141" s="341"/>
      <c r="D141" s="168"/>
      <c r="E141" s="341"/>
      <c r="F141" s="168"/>
      <c r="G141" s="341"/>
      <c r="H141" s="168"/>
      <c r="I141" s="369"/>
      <c r="J141" s="188"/>
      <c r="K141" s="369"/>
      <c r="L141" s="188"/>
      <c r="M141" s="341"/>
      <c r="N141" s="168"/>
      <c r="O141" s="341"/>
      <c r="P141" s="168"/>
      <c r="Q141" s="347"/>
      <c r="R141" s="187"/>
      <c r="S141" s="17"/>
      <c r="T141" s="17"/>
      <c r="U141" s="17"/>
      <c r="V141" s="17"/>
    </row>
    <row r="142">
      <c r="A142" s="341"/>
      <c r="B142" s="168"/>
      <c r="C142" s="341"/>
      <c r="D142" s="168"/>
      <c r="E142" s="341"/>
      <c r="F142" s="168"/>
      <c r="G142" s="341"/>
      <c r="H142" s="168"/>
      <c r="I142" s="369"/>
      <c r="J142" s="188"/>
      <c r="K142" s="369"/>
      <c r="L142" s="188"/>
      <c r="M142" s="341"/>
      <c r="N142" s="168"/>
      <c r="O142" s="341"/>
      <c r="P142" s="168"/>
      <c r="Q142" s="347"/>
      <c r="R142" s="187"/>
      <c r="S142" s="17"/>
      <c r="T142" s="17"/>
      <c r="U142" s="17"/>
      <c r="V142" s="17"/>
    </row>
    <row r="143">
      <c r="A143" s="341"/>
      <c r="B143" s="168"/>
      <c r="C143" s="341"/>
      <c r="D143" s="168"/>
      <c r="E143" s="341"/>
      <c r="F143" s="168"/>
      <c r="G143" s="341"/>
      <c r="H143" s="168"/>
      <c r="I143" s="369"/>
      <c r="J143" s="188"/>
      <c r="K143" s="369"/>
      <c r="L143" s="188"/>
      <c r="M143" s="341"/>
      <c r="N143" s="168"/>
      <c r="O143" s="341"/>
      <c r="P143" s="168"/>
      <c r="Q143" s="347"/>
      <c r="R143" s="187"/>
      <c r="S143" s="17"/>
      <c r="T143" s="17"/>
      <c r="U143" s="17"/>
      <c r="V143" s="17"/>
    </row>
    <row r="144">
      <c r="A144" s="341"/>
      <c r="B144" s="168"/>
      <c r="C144" s="341"/>
      <c r="D144" s="168"/>
      <c r="E144" s="341"/>
      <c r="F144" s="168"/>
      <c r="G144" s="341"/>
      <c r="H144" s="168"/>
      <c r="I144" s="369"/>
      <c r="J144" s="188"/>
      <c r="K144" s="369"/>
      <c r="L144" s="188"/>
      <c r="M144" s="341"/>
      <c r="N144" s="168"/>
      <c r="O144" s="341"/>
      <c r="P144" s="168"/>
      <c r="Q144" s="347"/>
      <c r="R144" s="187"/>
      <c r="S144" s="17"/>
      <c r="T144" s="17"/>
      <c r="U144" s="17"/>
      <c r="V144" s="17"/>
    </row>
    <row r="145">
      <c r="A145" s="341"/>
      <c r="B145" s="168"/>
      <c r="C145" s="341"/>
      <c r="D145" s="168"/>
      <c r="E145" s="341"/>
      <c r="F145" s="168"/>
      <c r="G145" s="341"/>
      <c r="H145" s="168"/>
      <c r="I145" s="369"/>
      <c r="J145" s="188"/>
      <c r="K145" s="369"/>
      <c r="L145" s="188"/>
      <c r="M145" s="341"/>
      <c r="N145" s="168"/>
      <c r="O145" s="341"/>
      <c r="P145" s="168"/>
      <c r="Q145" s="347"/>
      <c r="R145" s="187"/>
      <c r="S145" s="17"/>
      <c r="T145" s="17"/>
      <c r="U145" s="17"/>
      <c r="V145" s="17"/>
    </row>
    <row r="146">
      <c r="A146" s="341"/>
      <c r="B146" s="168"/>
      <c r="C146" s="341"/>
      <c r="D146" s="168"/>
      <c r="E146" s="341"/>
      <c r="F146" s="168"/>
      <c r="G146" s="341"/>
      <c r="H146" s="168"/>
      <c r="I146" s="369"/>
      <c r="J146" s="188"/>
      <c r="K146" s="369"/>
      <c r="L146" s="188"/>
      <c r="M146" s="341"/>
      <c r="N146" s="168"/>
      <c r="O146" s="341"/>
      <c r="P146" s="168"/>
      <c r="Q146" s="347"/>
      <c r="R146" s="187"/>
      <c r="S146" s="17"/>
      <c r="T146" s="17"/>
      <c r="U146" s="17"/>
      <c r="V146" s="17"/>
    </row>
    <row r="147">
      <c r="A147" s="341"/>
      <c r="B147" s="168"/>
      <c r="C147" s="341"/>
      <c r="D147" s="168"/>
      <c r="E147" s="341"/>
      <c r="F147" s="168"/>
      <c r="G147" s="341"/>
      <c r="H147" s="168"/>
      <c r="I147" s="369"/>
      <c r="J147" s="188"/>
      <c r="K147" s="369"/>
      <c r="L147" s="188"/>
      <c r="M147" s="341"/>
      <c r="N147" s="168"/>
      <c r="O147" s="341"/>
      <c r="P147" s="168"/>
      <c r="Q147" s="347"/>
      <c r="R147" s="187"/>
      <c r="S147" s="17"/>
      <c r="T147" s="17"/>
      <c r="U147" s="17"/>
      <c r="V147" s="17"/>
    </row>
    <row r="148">
      <c r="A148" s="341"/>
      <c r="B148" s="168"/>
      <c r="C148" s="341"/>
      <c r="D148" s="168"/>
      <c r="E148" s="341"/>
      <c r="F148" s="168"/>
      <c r="G148" s="341"/>
      <c r="H148" s="168"/>
      <c r="I148" s="369"/>
      <c r="J148" s="188"/>
      <c r="K148" s="369"/>
      <c r="L148" s="188"/>
      <c r="M148" s="341"/>
      <c r="N148" s="168"/>
      <c r="O148" s="341"/>
      <c r="P148" s="168"/>
      <c r="Q148" s="347"/>
      <c r="R148" s="187"/>
      <c r="S148" s="17"/>
      <c r="T148" s="17"/>
      <c r="U148" s="17"/>
      <c r="V148" s="17"/>
    </row>
    <row r="149">
      <c r="A149" s="341"/>
      <c r="B149" s="168"/>
      <c r="C149" s="341"/>
      <c r="D149" s="168"/>
      <c r="E149" s="341"/>
      <c r="F149" s="168"/>
      <c r="G149" s="341"/>
      <c r="H149" s="168"/>
      <c r="I149" s="369"/>
      <c r="J149" s="188"/>
      <c r="K149" s="369"/>
      <c r="L149" s="188"/>
      <c r="M149" s="341"/>
      <c r="N149" s="168"/>
      <c r="O149" s="341"/>
      <c r="P149" s="168"/>
      <c r="Q149" s="347"/>
      <c r="R149" s="187"/>
      <c r="S149" s="17"/>
      <c r="T149" s="17"/>
      <c r="U149" s="17"/>
      <c r="V149" s="17"/>
    </row>
    <row r="150">
      <c r="A150" s="341"/>
      <c r="B150" s="168"/>
      <c r="C150" s="341"/>
      <c r="D150" s="168"/>
      <c r="E150" s="341"/>
      <c r="F150" s="168"/>
      <c r="G150" s="341"/>
      <c r="H150" s="168"/>
      <c r="I150" s="369"/>
      <c r="J150" s="188"/>
      <c r="K150" s="369"/>
      <c r="L150" s="188"/>
      <c r="M150" s="341"/>
      <c r="N150" s="168"/>
      <c r="O150" s="341"/>
      <c r="P150" s="168"/>
      <c r="Q150" s="347"/>
      <c r="R150" s="187"/>
      <c r="S150" s="17"/>
      <c r="T150" s="17"/>
      <c r="U150" s="17"/>
      <c r="V150" s="17"/>
    </row>
    <row r="151">
      <c r="A151" s="341"/>
      <c r="B151" s="168"/>
      <c r="C151" s="341"/>
      <c r="D151" s="168"/>
      <c r="E151" s="341"/>
      <c r="F151" s="168"/>
      <c r="G151" s="341"/>
      <c r="H151" s="168"/>
      <c r="I151" s="369"/>
      <c r="J151" s="188"/>
      <c r="K151" s="369"/>
      <c r="L151" s="188"/>
      <c r="M151" s="341"/>
      <c r="N151" s="168"/>
      <c r="O151" s="341"/>
      <c r="P151" s="168"/>
      <c r="Q151" s="347"/>
      <c r="R151" s="187"/>
      <c r="S151" s="17"/>
      <c r="T151" s="17"/>
      <c r="U151" s="17"/>
      <c r="V151" s="17"/>
    </row>
    <row r="152">
      <c r="A152" s="341"/>
      <c r="B152" s="168"/>
      <c r="C152" s="341"/>
      <c r="D152" s="168"/>
      <c r="E152" s="341"/>
      <c r="F152" s="168"/>
      <c r="G152" s="341"/>
      <c r="H152" s="168"/>
      <c r="I152" s="369"/>
      <c r="J152" s="188"/>
      <c r="K152" s="369"/>
      <c r="L152" s="188"/>
      <c r="M152" s="341"/>
      <c r="N152" s="168"/>
      <c r="O152" s="341"/>
      <c r="P152" s="168"/>
      <c r="Q152" s="347"/>
      <c r="R152" s="187"/>
      <c r="S152" s="17"/>
      <c r="T152" s="17"/>
      <c r="U152" s="17"/>
      <c r="V152" s="17"/>
    </row>
    <row r="153">
      <c r="A153" s="341"/>
      <c r="B153" s="168"/>
      <c r="C153" s="341"/>
      <c r="D153" s="168"/>
      <c r="E153" s="341"/>
      <c r="F153" s="168"/>
      <c r="G153" s="341"/>
      <c r="H153" s="168"/>
      <c r="I153" s="369"/>
      <c r="J153" s="188"/>
      <c r="K153" s="369"/>
      <c r="L153" s="188"/>
      <c r="M153" s="341"/>
      <c r="N153" s="168"/>
      <c r="O153" s="341"/>
      <c r="P153" s="168"/>
      <c r="Q153" s="347"/>
      <c r="R153" s="187"/>
      <c r="S153" s="17"/>
      <c r="T153" s="17"/>
      <c r="U153" s="17"/>
      <c r="V153" s="17"/>
    </row>
    <row r="154">
      <c r="A154" s="341"/>
      <c r="B154" s="168"/>
      <c r="C154" s="341"/>
      <c r="D154" s="168"/>
      <c r="E154" s="341"/>
      <c r="F154" s="168"/>
      <c r="G154" s="341"/>
      <c r="H154" s="168"/>
      <c r="I154" s="369"/>
      <c r="J154" s="188"/>
      <c r="K154" s="369"/>
      <c r="L154" s="188"/>
      <c r="M154" s="341"/>
      <c r="N154" s="168"/>
      <c r="O154" s="341"/>
      <c r="P154" s="168"/>
      <c r="Q154" s="347"/>
      <c r="R154" s="187"/>
      <c r="S154" s="17"/>
      <c r="T154" s="17"/>
      <c r="U154" s="17"/>
      <c r="V154" s="17"/>
    </row>
    <row r="155">
      <c r="A155" s="341"/>
      <c r="B155" s="168"/>
      <c r="C155" s="341"/>
      <c r="D155" s="168"/>
      <c r="E155" s="341"/>
      <c r="F155" s="168"/>
      <c r="G155" s="341"/>
      <c r="H155" s="168"/>
      <c r="I155" s="369"/>
      <c r="J155" s="188"/>
      <c r="K155" s="369"/>
      <c r="L155" s="188"/>
      <c r="M155" s="341"/>
      <c r="N155" s="168"/>
      <c r="O155" s="341"/>
      <c r="P155" s="168"/>
      <c r="Q155" s="347"/>
      <c r="R155" s="187"/>
      <c r="S155" s="17"/>
      <c r="T155" s="17"/>
      <c r="U155" s="17"/>
      <c r="V155" s="17"/>
    </row>
    <row r="156">
      <c r="A156" s="341"/>
      <c r="B156" s="168"/>
      <c r="C156" s="341"/>
      <c r="D156" s="168"/>
      <c r="E156" s="341"/>
      <c r="F156" s="168"/>
      <c r="G156" s="341"/>
      <c r="H156" s="168"/>
      <c r="I156" s="369"/>
      <c r="J156" s="188"/>
      <c r="K156" s="369"/>
      <c r="L156" s="188"/>
      <c r="M156" s="341"/>
      <c r="N156" s="168"/>
      <c r="O156" s="341"/>
      <c r="P156" s="168"/>
      <c r="Q156" s="347"/>
      <c r="R156" s="187"/>
      <c r="S156" s="17"/>
      <c r="T156" s="17"/>
      <c r="U156" s="17"/>
      <c r="V156" s="17"/>
    </row>
    <row r="157">
      <c r="A157" s="341"/>
      <c r="B157" s="168"/>
      <c r="C157" s="341"/>
      <c r="D157" s="168"/>
      <c r="E157" s="341"/>
      <c r="F157" s="168"/>
      <c r="G157" s="341"/>
      <c r="H157" s="168"/>
      <c r="I157" s="369"/>
      <c r="J157" s="188"/>
      <c r="K157" s="369"/>
      <c r="L157" s="188"/>
      <c r="M157" s="341"/>
      <c r="N157" s="168"/>
      <c r="O157" s="341"/>
      <c r="P157" s="168"/>
      <c r="Q157" s="347"/>
      <c r="R157" s="187"/>
      <c r="S157" s="17"/>
      <c r="T157" s="17"/>
      <c r="U157" s="17"/>
      <c r="V157" s="17"/>
    </row>
    <row r="158">
      <c r="A158" s="341"/>
      <c r="B158" s="168"/>
      <c r="C158" s="341"/>
      <c r="D158" s="168"/>
      <c r="E158" s="341"/>
      <c r="F158" s="168"/>
      <c r="G158" s="341"/>
      <c r="H158" s="168"/>
      <c r="I158" s="369"/>
      <c r="J158" s="188"/>
      <c r="K158" s="369"/>
      <c r="L158" s="188"/>
      <c r="M158" s="341"/>
      <c r="N158" s="168"/>
      <c r="O158" s="341"/>
      <c r="P158" s="168"/>
      <c r="Q158" s="347"/>
      <c r="R158" s="187"/>
      <c r="S158" s="17"/>
      <c r="T158" s="17"/>
      <c r="U158" s="17"/>
      <c r="V158" s="17"/>
    </row>
    <row r="159">
      <c r="A159" s="341"/>
      <c r="B159" s="168"/>
      <c r="C159" s="341"/>
      <c r="D159" s="168"/>
      <c r="E159" s="341"/>
      <c r="F159" s="168"/>
      <c r="G159" s="341"/>
      <c r="H159" s="168"/>
      <c r="I159" s="369"/>
      <c r="J159" s="188"/>
      <c r="K159" s="369"/>
      <c r="L159" s="188"/>
      <c r="M159" s="341"/>
      <c r="N159" s="168"/>
      <c r="O159" s="341"/>
      <c r="P159" s="168"/>
      <c r="Q159" s="347"/>
      <c r="R159" s="187"/>
      <c r="S159" s="17"/>
      <c r="T159" s="17"/>
      <c r="U159" s="17"/>
      <c r="V159" s="17"/>
    </row>
    <row r="160">
      <c r="A160" s="341"/>
      <c r="B160" s="168"/>
      <c r="C160" s="341"/>
      <c r="D160" s="168"/>
      <c r="E160" s="341"/>
      <c r="F160" s="168"/>
      <c r="G160" s="341"/>
      <c r="H160" s="168"/>
      <c r="I160" s="369"/>
      <c r="J160" s="188"/>
      <c r="K160" s="369"/>
      <c r="L160" s="188"/>
      <c r="M160" s="341"/>
      <c r="N160" s="168"/>
      <c r="O160" s="341"/>
      <c r="P160" s="168"/>
      <c r="Q160" s="347"/>
      <c r="R160" s="187"/>
      <c r="S160" s="17"/>
      <c r="T160" s="17"/>
      <c r="U160" s="17"/>
      <c r="V160" s="17"/>
    </row>
    <row r="161">
      <c r="A161" s="341"/>
      <c r="B161" s="168"/>
      <c r="C161" s="341"/>
      <c r="D161" s="168"/>
      <c r="E161" s="341"/>
      <c r="F161" s="168"/>
      <c r="G161" s="341"/>
      <c r="H161" s="168"/>
      <c r="I161" s="369"/>
      <c r="J161" s="188"/>
      <c r="K161" s="369"/>
      <c r="L161" s="188"/>
      <c r="M161" s="341"/>
      <c r="N161" s="168"/>
      <c r="O161" s="341"/>
      <c r="P161" s="168"/>
      <c r="Q161" s="347"/>
      <c r="R161" s="187"/>
      <c r="S161" s="17"/>
      <c r="T161" s="17"/>
      <c r="U161" s="17"/>
      <c r="V161" s="17"/>
    </row>
    <row r="162">
      <c r="A162" s="341"/>
      <c r="B162" s="168"/>
      <c r="C162" s="341"/>
      <c r="D162" s="168"/>
      <c r="E162" s="341"/>
      <c r="F162" s="168"/>
      <c r="G162" s="341"/>
      <c r="H162" s="168"/>
      <c r="I162" s="369"/>
      <c r="J162" s="188"/>
      <c r="K162" s="369"/>
      <c r="L162" s="188"/>
      <c r="M162" s="341"/>
      <c r="N162" s="168"/>
      <c r="O162" s="341"/>
      <c r="P162" s="168"/>
      <c r="Q162" s="347"/>
      <c r="R162" s="187"/>
      <c r="S162" s="17"/>
      <c r="T162" s="17"/>
      <c r="U162" s="17"/>
      <c r="V162" s="17"/>
    </row>
    <row r="163">
      <c r="A163" s="341"/>
      <c r="B163" s="168"/>
      <c r="C163" s="341"/>
      <c r="D163" s="168"/>
      <c r="E163" s="341"/>
      <c r="F163" s="168"/>
      <c r="G163" s="341"/>
      <c r="H163" s="168"/>
      <c r="I163" s="369"/>
      <c r="J163" s="188"/>
      <c r="K163" s="369"/>
      <c r="L163" s="188"/>
      <c r="M163" s="341"/>
      <c r="N163" s="168"/>
      <c r="O163" s="341"/>
      <c r="P163" s="168"/>
      <c r="Q163" s="347"/>
      <c r="R163" s="187"/>
      <c r="S163" s="17"/>
      <c r="T163" s="17"/>
      <c r="U163" s="17"/>
      <c r="V163" s="17"/>
    </row>
    <row r="164">
      <c r="A164" s="341"/>
      <c r="B164" s="168"/>
      <c r="C164" s="341"/>
      <c r="D164" s="168"/>
      <c r="E164" s="341"/>
      <c r="F164" s="168"/>
      <c r="G164" s="341"/>
      <c r="H164" s="168"/>
      <c r="I164" s="369"/>
      <c r="J164" s="188"/>
      <c r="K164" s="369"/>
      <c r="L164" s="188"/>
      <c r="M164" s="341"/>
      <c r="N164" s="168"/>
      <c r="O164" s="341"/>
      <c r="P164" s="168"/>
      <c r="Q164" s="347"/>
      <c r="R164" s="187"/>
      <c r="S164" s="17"/>
      <c r="T164" s="17"/>
      <c r="U164" s="17"/>
      <c r="V164" s="17"/>
    </row>
    <row r="165">
      <c r="A165" s="341"/>
      <c r="B165" s="168"/>
      <c r="C165" s="341"/>
      <c r="D165" s="168"/>
      <c r="E165" s="341"/>
      <c r="F165" s="168"/>
      <c r="G165" s="341"/>
      <c r="H165" s="168"/>
      <c r="I165" s="369"/>
      <c r="J165" s="188"/>
      <c r="K165" s="369"/>
      <c r="L165" s="188"/>
      <c r="M165" s="341"/>
      <c r="N165" s="168"/>
      <c r="O165" s="341"/>
      <c r="P165" s="168"/>
      <c r="Q165" s="347"/>
      <c r="R165" s="187"/>
      <c r="S165" s="17"/>
      <c r="T165" s="17"/>
      <c r="U165" s="17"/>
      <c r="V165" s="17"/>
    </row>
    <row r="166">
      <c r="A166" s="341"/>
      <c r="B166" s="168"/>
      <c r="C166" s="341"/>
      <c r="D166" s="168"/>
      <c r="E166" s="341"/>
      <c r="F166" s="168"/>
      <c r="G166" s="341"/>
      <c r="H166" s="168"/>
      <c r="I166" s="369"/>
      <c r="J166" s="188"/>
      <c r="K166" s="369"/>
      <c r="L166" s="188"/>
      <c r="M166" s="341"/>
      <c r="N166" s="168"/>
      <c r="O166" s="341"/>
      <c r="P166" s="168"/>
      <c r="Q166" s="347"/>
      <c r="R166" s="187"/>
      <c r="S166" s="17"/>
      <c r="T166" s="17"/>
      <c r="U166" s="17"/>
      <c r="V166" s="17"/>
    </row>
    <row r="167">
      <c r="A167" s="341"/>
      <c r="B167" s="168"/>
      <c r="C167" s="341"/>
      <c r="D167" s="168"/>
      <c r="E167" s="341"/>
      <c r="F167" s="168"/>
      <c r="G167" s="341"/>
      <c r="H167" s="168"/>
      <c r="I167" s="369"/>
      <c r="J167" s="188"/>
      <c r="K167" s="369"/>
      <c r="L167" s="188"/>
      <c r="M167" s="341"/>
      <c r="N167" s="168"/>
      <c r="O167" s="341"/>
      <c r="P167" s="168"/>
      <c r="Q167" s="347"/>
      <c r="R167" s="187"/>
      <c r="S167" s="17"/>
      <c r="T167" s="17"/>
      <c r="U167" s="17"/>
      <c r="V167" s="17"/>
    </row>
    <row r="168">
      <c r="A168" s="341"/>
      <c r="B168" s="168"/>
      <c r="C168" s="341"/>
      <c r="D168" s="168"/>
      <c r="E168" s="341"/>
      <c r="F168" s="168"/>
      <c r="G168" s="341"/>
      <c r="H168" s="168"/>
      <c r="I168" s="369"/>
      <c r="J168" s="188"/>
      <c r="K168" s="369"/>
      <c r="L168" s="188"/>
      <c r="M168" s="341"/>
      <c r="N168" s="168"/>
      <c r="O168" s="341"/>
      <c r="P168" s="168"/>
      <c r="Q168" s="347"/>
      <c r="R168" s="187"/>
      <c r="S168" s="17"/>
      <c r="T168" s="17"/>
      <c r="U168" s="17"/>
      <c r="V168" s="17"/>
    </row>
    <row r="169">
      <c r="A169" s="341"/>
      <c r="B169" s="168"/>
      <c r="C169" s="341"/>
      <c r="D169" s="168"/>
      <c r="E169" s="341"/>
      <c r="F169" s="168"/>
      <c r="G169" s="341"/>
      <c r="H169" s="168"/>
      <c r="I169" s="369"/>
      <c r="J169" s="188"/>
      <c r="K169" s="369"/>
      <c r="L169" s="188"/>
      <c r="M169" s="341"/>
      <c r="N169" s="168"/>
      <c r="O169" s="341"/>
      <c r="P169" s="168"/>
      <c r="Q169" s="347"/>
      <c r="R169" s="187"/>
      <c r="S169" s="17"/>
      <c r="T169" s="17"/>
      <c r="U169" s="17"/>
      <c r="V169" s="17"/>
    </row>
    <row r="170">
      <c r="A170" s="341"/>
      <c r="B170" s="168"/>
      <c r="C170" s="341"/>
      <c r="D170" s="168"/>
      <c r="E170" s="341"/>
      <c r="F170" s="168"/>
      <c r="G170" s="341"/>
      <c r="H170" s="168"/>
      <c r="I170" s="369"/>
      <c r="J170" s="188"/>
      <c r="K170" s="369"/>
      <c r="L170" s="188"/>
      <c r="M170" s="341"/>
      <c r="N170" s="168"/>
      <c r="O170" s="341"/>
      <c r="P170" s="168"/>
      <c r="Q170" s="347"/>
      <c r="R170" s="187"/>
      <c r="S170" s="17"/>
      <c r="T170" s="17"/>
      <c r="U170" s="17"/>
      <c r="V170" s="17"/>
    </row>
    <row r="171">
      <c r="A171" s="341"/>
      <c r="B171" s="168"/>
      <c r="C171" s="341"/>
      <c r="D171" s="168"/>
      <c r="E171" s="341"/>
      <c r="F171" s="168"/>
      <c r="G171" s="341"/>
      <c r="H171" s="168"/>
      <c r="I171" s="369"/>
      <c r="J171" s="188"/>
      <c r="K171" s="369"/>
      <c r="L171" s="188"/>
      <c r="M171" s="341"/>
      <c r="N171" s="168"/>
      <c r="O171" s="341"/>
      <c r="P171" s="168"/>
      <c r="Q171" s="347"/>
      <c r="R171" s="187"/>
      <c r="S171" s="17"/>
      <c r="T171" s="17"/>
      <c r="U171" s="17"/>
      <c r="V171" s="17"/>
    </row>
    <row r="172">
      <c r="A172" s="341"/>
      <c r="B172" s="168"/>
      <c r="C172" s="341"/>
      <c r="D172" s="168"/>
      <c r="E172" s="341"/>
      <c r="F172" s="168"/>
      <c r="G172" s="341"/>
      <c r="H172" s="168"/>
      <c r="I172" s="369"/>
      <c r="J172" s="188"/>
      <c r="K172" s="369"/>
      <c r="L172" s="188"/>
      <c r="M172" s="341"/>
      <c r="N172" s="168"/>
      <c r="O172" s="341"/>
      <c r="P172" s="168"/>
      <c r="Q172" s="347"/>
      <c r="R172" s="187"/>
      <c r="S172" s="17"/>
      <c r="T172" s="17"/>
      <c r="U172" s="17"/>
      <c r="V172" s="17"/>
    </row>
    <row r="173">
      <c r="A173" s="341"/>
      <c r="B173" s="168"/>
      <c r="C173" s="341"/>
      <c r="D173" s="168"/>
      <c r="E173" s="341"/>
      <c r="F173" s="168"/>
      <c r="G173" s="341"/>
      <c r="H173" s="168"/>
      <c r="I173" s="369"/>
      <c r="J173" s="188"/>
      <c r="K173" s="369"/>
      <c r="L173" s="188"/>
      <c r="M173" s="341"/>
      <c r="N173" s="168"/>
      <c r="O173" s="341"/>
      <c r="P173" s="168"/>
      <c r="Q173" s="347"/>
      <c r="R173" s="187"/>
      <c r="S173" s="17"/>
      <c r="T173" s="17"/>
      <c r="U173" s="17"/>
      <c r="V173" s="17"/>
    </row>
    <row r="174">
      <c r="A174" s="341"/>
      <c r="B174" s="168"/>
      <c r="C174" s="341"/>
      <c r="D174" s="168"/>
      <c r="E174" s="341"/>
      <c r="F174" s="168"/>
      <c r="G174" s="341"/>
      <c r="H174" s="168"/>
      <c r="I174" s="369"/>
      <c r="J174" s="188"/>
      <c r="K174" s="369"/>
      <c r="L174" s="188"/>
      <c r="M174" s="341"/>
      <c r="N174" s="168"/>
      <c r="O174" s="341"/>
      <c r="P174" s="168"/>
      <c r="Q174" s="347"/>
      <c r="R174" s="187"/>
      <c r="S174" s="17"/>
      <c r="T174" s="17"/>
      <c r="U174" s="17"/>
      <c r="V174" s="17"/>
    </row>
    <row r="175">
      <c r="A175" s="341"/>
      <c r="B175" s="168"/>
      <c r="C175" s="341"/>
      <c r="D175" s="168"/>
      <c r="E175" s="341"/>
      <c r="F175" s="168"/>
      <c r="G175" s="341"/>
      <c r="H175" s="168"/>
      <c r="I175" s="369"/>
      <c r="J175" s="188"/>
      <c r="K175" s="369"/>
      <c r="L175" s="188"/>
      <c r="M175" s="341"/>
      <c r="N175" s="168"/>
      <c r="O175" s="341"/>
      <c r="P175" s="168"/>
      <c r="Q175" s="347"/>
      <c r="R175" s="187"/>
      <c r="S175" s="17"/>
      <c r="T175" s="17"/>
      <c r="U175" s="17"/>
      <c r="V175" s="17"/>
    </row>
    <row r="176">
      <c r="A176" s="341"/>
      <c r="B176" s="168"/>
      <c r="C176" s="341"/>
      <c r="D176" s="168"/>
      <c r="E176" s="341"/>
      <c r="F176" s="168"/>
      <c r="G176" s="341"/>
      <c r="H176" s="168"/>
      <c r="I176" s="369"/>
      <c r="J176" s="188"/>
      <c r="K176" s="369"/>
      <c r="L176" s="188"/>
      <c r="M176" s="341"/>
      <c r="N176" s="168"/>
      <c r="O176" s="341"/>
      <c r="P176" s="168"/>
      <c r="Q176" s="347"/>
      <c r="R176" s="187"/>
      <c r="S176" s="17"/>
      <c r="T176" s="17"/>
      <c r="U176" s="17"/>
      <c r="V176" s="17"/>
    </row>
    <row r="177">
      <c r="A177" s="341"/>
      <c r="B177" s="168"/>
      <c r="C177" s="341"/>
      <c r="D177" s="168"/>
      <c r="E177" s="341"/>
      <c r="F177" s="168"/>
      <c r="G177" s="341"/>
      <c r="H177" s="168"/>
      <c r="I177" s="369"/>
      <c r="J177" s="188"/>
      <c r="K177" s="369"/>
      <c r="L177" s="188"/>
      <c r="M177" s="341"/>
      <c r="N177" s="168"/>
      <c r="O177" s="341"/>
      <c r="P177" s="168"/>
      <c r="Q177" s="347"/>
      <c r="R177" s="187"/>
      <c r="S177" s="17"/>
      <c r="T177" s="17"/>
      <c r="U177" s="17"/>
      <c r="V177" s="17"/>
    </row>
    <row r="178">
      <c r="A178" s="341"/>
      <c r="B178" s="168"/>
      <c r="C178" s="341"/>
      <c r="D178" s="168"/>
      <c r="E178" s="341"/>
      <c r="F178" s="168"/>
      <c r="G178" s="341"/>
      <c r="H178" s="168"/>
      <c r="I178" s="369"/>
      <c r="J178" s="188"/>
      <c r="K178" s="369"/>
      <c r="L178" s="188"/>
      <c r="M178" s="341"/>
      <c r="N178" s="168"/>
      <c r="O178" s="341"/>
      <c r="P178" s="168"/>
      <c r="Q178" s="347"/>
      <c r="R178" s="187"/>
      <c r="S178" s="17"/>
      <c r="T178" s="17"/>
      <c r="U178" s="17"/>
      <c r="V178" s="17"/>
    </row>
    <row r="179">
      <c r="A179" s="341"/>
      <c r="B179" s="168"/>
      <c r="C179" s="341"/>
      <c r="D179" s="168"/>
      <c r="E179" s="341"/>
      <c r="F179" s="168"/>
      <c r="G179" s="341"/>
      <c r="H179" s="168"/>
      <c r="I179" s="369"/>
      <c r="J179" s="188"/>
      <c r="K179" s="369"/>
      <c r="L179" s="188"/>
      <c r="M179" s="341"/>
      <c r="N179" s="168"/>
      <c r="O179" s="341"/>
      <c r="P179" s="168"/>
      <c r="Q179" s="347"/>
      <c r="R179" s="187"/>
      <c r="S179" s="17"/>
      <c r="T179" s="17"/>
      <c r="U179" s="17"/>
      <c r="V179" s="17"/>
    </row>
    <row r="180">
      <c r="A180" s="341"/>
      <c r="B180" s="168"/>
      <c r="C180" s="341"/>
      <c r="D180" s="168"/>
      <c r="E180" s="341"/>
      <c r="F180" s="168"/>
      <c r="G180" s="341"/>
      <c r="H180" s="168"/>
      <c r="I180" s="369"/>
      <c r="J180" s="188"/>
      <c r="K180" s="369"/>
      <c r="L180" s="188"/>
      <c r="M180" s="341"/>
      <c r="N180" s="168"/>
      <c r="O180" s="341"/>
      <c r="P180" s="168"/>
      <c r="Q180" s="347"/>
      <c r="R180" s="187"/>
      <c r="S180" s="17"/>
      <c r="T180" s="17"/>
      <c r="U180" s="17"/>
      <c r="V180" s="17"/>
    </row>
    <row r="181">
      <c r="A181" s="341"/>
      <c r="B181" s="168"/>
      <c r="C181" s="341"/>
      <c r="D181" s="168"/>
      <c r="E181" s="341"/>
      <c r="F181" s="168"/>
      <c r="G181" s="341"/>
      <c r="H181" s="168"/>
      <c r="I181" s="369"/>
      <c r="J181" s="188"/>
      <c r="K181" s="369"/>
      <c r="L181" s="188"/>
      <c r="M181" s="341"/>
      <c r="N181" s="168"/>
      <c r="O181" s="341"/>
      <c r="P181" s="168"/>
      <c r="Q181" s="347"/>
      <c r="R181" s="187"/>
      <c r="S181" s="17"/>
      <c r="T181" s="17"/>
      <c r="U181" s="17"/>
      <c r="V181" s="17"/>
    </row>
    <row r="182">
      <c r="A182" s="341"/>
      <c r="B182" s="168"/>
      <c r="C182" s="341"/>
      <c r="D182" s="168"/>
      <c r="E182" s="341"/>
      <c r="F182" s="168"/>
      <c r="G182" s="341"/>
      <c r="H182" s="168"/>
      <c r="I182" s="369"/>
      <c r="J182" s="188"/>
      <c r="K182" s="369"/>
      <c r="L182" s="188"/>
      <c r="M182" s="341"/>
      <c r="N182" s="168"/>
      <c r="O182" s="341"/>
      <c r="P182" s="168"/>
      <c r="Q182" s="347"/>
      <c r="R182" s="187"/>
      <c r="S182" s="17"/>
      <c r="T182" s="17"/>
      <c r="U182" s="17"/>
      <c r="V182" s="17"/>
    </row>
    <row r="183">
      <c r="A183" s="341"/>
      <c r="B183" s="168"/>
      <c r="C183" s="341"/>
      <c r="D183" s="168"/>
      <c r="E183" s="341"/>
      <c r="F183" s="168"/>
      <c r="G183" s="341"/>
      <c r="H183" s="168"/>
      <c r="I183" s="369"/>
      <c r="J183" s="188"/>
      <c r="K183" s="369"/>
      <c r="L183" s="188"/>
      <c r="M183" s="341"/>
      <c r="N183" s="168"/>
      <c r="O183" s="341"/>
      <c r="P183" s="168"/>
      <c r="Q183" s="347"/>
      <c r="R183" s="187"/>
      <c r="S183" s="17"/>
      <c r="T183" s="17"/>
      <c r="U183" s="17"/>
      <c r="V183" s="17"/>
    </row>
    <row r="184">
      <c r="A184" s="341"/>
      <c r="B184" s="168"/>
      <c r="C184" s="341"/>
      <c r="D184" s="168"/>
      <c r="E184" s="341"/>
      <c r="F184" s="168"/>
      <c r="G184" s="341"/>
      <c r="H184" s="168"/>
      <c r="I184" s="369"/>
      <c r="J184" s="188"/>
      <c r="K184" s="369"/>
      <c r="L184" s="188"/>
      <c r="M184" s="341"/>
      <c r="N184" s="168"/>
      <c r="O184" s="341"/>
      <c r="P184" s="168"/>
      <c r="Q184" s="347"/>
      <c r="R184" s="187"/>
      <c r="S184" s="17"/>
      <c r="T184" s="17"/>
      <c r="U184" s="17"/>
      <c r="V184" s="17"/>
    </row>
    <row r="185">
      <c r="A185" s="341"/>
      <c r="B185" s="168"/>
      <c r="C185" s="341"/>
      <c r="D185" s="168"/>
      <c r="E185" s="341"/>
      <c r="F185" s="168"/>
      <c r="G185" s="341"/>
      <c r="H185" s="168"/>
      <c r="I185" s="369"/>
      <c r="J185" s="188"/>
      <c r="K185" s="369"/>
      <c r="L185" s="188"/>
      <c r="M185" s="341"/>
      <c r="N185" s="168"/>
      <c r="O185" s="341"/>
      <c r="P185" s="168"/>
      <c r="Q185" s="347"/>
      <c r="R185" s="187"/>
      <c r="S185" s="17"/>
      <c r="T185" s="17"/>
      <c r="U185" s="17"/>
      <c r="V185" s="17"/>
    </row>
    <row r="186">
      <c r="A186" s="341"/>
      <c r="B186" s="168"/>
      <c r="C186" s="341"/>
      <c r="D186" s="168"/>
      <c r="E186" s="341"/>
      <c r="F186" s="168"/>
      <c r="G186" s="341"/>
      <c r="H186" s="168"/>
      <c r="I186" s="369"/>
      <c r="J186" s="188"/>
      <c r="K186" s="369"/>
      <c r="L186" s="188"/>
      <c r="M186" s="341"/>
      <c r="N186" s="168"/>
      <c r="O186" s="341"/>
      <c r="P186" s="168"/>
      <c r="Q186" s="347"/>
      <c r="R186" s="187"/>
      <c r="S186" s="17"/>
      <c r="T186" s="17"/>
      <c r="U186" s="17"/>
      <c r="V186" s="17"/>
    </row>
    <row r="187">
      <c r="A187" s="341"/>
      <c r="B187" s="168"/>
      <c r="C187" s="341"/>
      <c r="D187" s="168"/>
      <c r="E187" s="341"/>
      <c r="F187" s="168"/>
      <c r="G187" s="341"/>
      <c r="H187" s="168"/>
      <c r="I187" s="369"/>
      <c r="J187" s="188"/>
      <c r="K187" s="369"/>
      <c r="L187" s="188"/>
      <c r="M187" s="341"/>
      <c r="N187" s="168"/>
      <c r="O187" s="341"/>
      <c r="P187" s="168"/>
      <c r="Q187" s="347"/>
      <c r="R187" s="187"/>
      <c r="S187" s="17"/>
      <c r="T187" s="17"/>
      <c r="U187" s="17"/>
      <c r="V187" s="17"/>
    </row>
    <row r="188">
      <c r="A188" s="341"/>
      <c r="B188" s="168"/>
      <c r="C188" s="341"/>
      <c r="D188" s="168"/>
      <c r="E188" s="341"/>
      <c r="F188" s="168"/>
      <c r="G188" s="341"/>
      <c r="H188" s="168"/>
      <c r="I188" s="369"/>
      <c r="J188" s="188"/>
      <c r="K188" s="369"/>
      <c r="L188" s="188"/>
      <c r="M188" s="341"/>
      <c r="N188" s="168"/>
      <c r="O188" s="341"/>
      <c r="P188" s="168"/>
      <c r="Q188" s="347"/>
      <c r="R188" s="187"/>
      <c r="S188" s="17"/>
      <c r="T188" s="17"/>
      <c r="U188" s="17"/>
      <c r="V188" s="17"/>
    </row>
    <row r="189">
      <c r="A189" s="341"/>
      <c r="B189" s="168"/>
      <c r="C189" s="341"/>
      <c r="D189" s="168"/>
      <c r="E189" s="341"/>
      <c r="F189" s="168"/>
      <c r="G189" s="341"/>
      <c r="H189" s="168"/>
      <c r="I189" s="369"/>
      <c r="J189" s="188"/>
      <c r="K189" s="369"/>
      <c r="L189" s="188"/>
      <c r="M189" s="341"/>
      <c r="N189" s="168"/>
      <c r="O189" s="341"/>
      <c r="P189" s="168"/>
      <c r="Q189" s="347"/>
      <c r="R189" s="187"/>
      <c r="S189" s="17"/>
      <c r="T189" s="17"/>
      <c r="U189" s="17"/>
      <c r="V189" s="17"/>
    </row>
    <row r="190">
      <c r="A190" s="341"/>
      <c r="B190" s="168"/>
      <c r="C190" s="341"/>
      <c r="D190" s="168"/>
      <c r="E190" s="341"/>
      <c r="F190" s="168"/>
      <c r="G190" s="341"/>
      <c r="H190" s="168"/>
      <c r="I190" s="369"/>
      <c r="J190" s="188"/>
      <c r="K190" s="369"/>
      <c r="L190" s="188"/>
      <c r="M190" s="341"/>
      <c r="N190" s="168"/>
      <c r="O190" s="341"/>
      <c r="P190" s="168"/>
      <c r="Q190" s="347"/>
      <c r="R190" s="187"/>
      <c r="S190" s="17"/>
      <c r="T190" s="17"/>
      <c r="U190" s="17"/>
      <c r="V190" s="17"/>
    </row>
    <row r="191">
      <c r="A191" s="341"/>
      <c r="B191" s="168"/>
      <c r="C191" s="341"/>
      <c r="D191" s="168"/>
      <c r="E191" s="341"/>
      <c r="F191" s="168"/>
      <c r="G191" s="341"/>
      <c r="H191" s="168"/>
      <c r="I191" s="369"/>
      <c r="J191" s="188"/>
      <c r="K191" s="369"/>
      <c r="L191" s="188"/>
      <c r="M191" s="341"/>
      <c r="N191" s="168"/>
      <c r="O191" s="341"/>
      <c r="P191" s="168"/>
      <c r="Q191" s="347"/>
      <c r="R191" s="187"/>
      <c r="S191" s="17"/>
      <c r="T191" s="17"/>
      <c r="U191" s="17"/>
      <c r="V191" s="17"/>
    </row>
    <row r="192">
      <c r="A192" s="341"/>
      <c r="B192" s="168"/>
      <c r="C192" s="341"/>
      <c r="D192" s="168"/>
      <c r="E192" s="341"/>
      <c r="F192" s="168"/>
      <c r="G192" s="341"/>
      <c r="H192" s="168"/>
      <c r="I192" s="369"/>
      <c r="J192" s="188"/>
      <c r="K192" s="369"/>
      <c r="L192" s="188"/>
      <c r="M192" s="341"/>
      <c r="N192" s="168"/>
      <c r="O192" s="341"/>
      <c r="P192" s="168"/>
      <c r="Q192" s="347"/>
      <c r="R192" s="187"/>
      <c r="S192" s="17"/>
      <c r="T192" s="17"/>
      <c r="U192" s="17"/>
      <c r="V192" s="17"/>
    </row>
    <row r="193">
      <c r="A193" s="341"/>
      <c r="B193" s="168"/>
      <c r="C193" s="341"/>
      <c r="D193" s="168"/>
      <c r="E193" s="341"/>
      <c r="F193" s="168"/>
      <c r="G193" s="341"/>
      <c r="H193" s="168"/>
      <c r="I193" s="369"/>
      <c r="J193" s="188"/>
      <c r="K193" s="369"/>
      <c r="L193" s="188"/>
      <c r="M193" s="341"/>
      <c r="N193" s="168"/>
      <c r="O193" s="341"/>
      <c r="P193" s="168"/>
      <c r="Q193" s="347"/>
      <c r="R193" s="187"/>
      <c r="S193" s="17"/>
      <c r="T193" s="17"/>
      <c r="U193" s="17"/>
      <c r="V193" s="17"/>
    </row>
    <row r="194">
      <c r="A194" s="341"/>
      <c r="B194" s="168"/>
      <c r="C194" s="341"/>
      <c r="D194" s="168"/>
      <c r="E194" s="341"/>
      <c r="F194" s="168"/>
      <c r="G194" s="341"/>
      <c r="H194" s="168"/>
      <c r="I194" s="369"/>
      <c r="J194" s="188"/>
      <c r="K194" s="369"/>
      <c r="L194" s="188"/>
      <c r="M194" s="341"/>
      <c r="N194" s="168"/>
      <c r="O194" s="341"/>
      <c r="P194" s="168"/>
      <c r="Q194" s="347"/>
      <c r="R194" s="187"/>
      <c r="S194" s="17"/>
      <c r="T194" s="17"/>
      <c r="U194" s="17"/>
      <c r="V194" s="17"/>
    </row>
    <row r="195">
      <c r="A195" s="341"/>
      <c r="B195" s="168"/>
      <c r="C195" s="341"/>
      <c r="D195" s="168"/>
      <c r="E195" s="341"/>
      <c r="F195" s="168"/>
      <c r="G195" s="341"/>
      <c r="H195" s="168"/>
      <c r="I195" s="369"/>
      <c r="J195" s="188"/>
      <c r="K195" s="369"/>
      <c r="L195" s="188"/>
      <c r="M195" s="341"/>
      <c r="N195" s="168"/>
      <c r="O195" s="341"/>
      <c r="P195" s="168"/>
      <c r="Q195" s="347"/>
      <c r="R195" s="187"/>
      <c r="S195" s="17"/>
      <c r="T195" s="17"/>
      <c r="U195" s="17"/>
      <c r="V195" s="17"/>
    </row>
    <row r="196">
      <c r="A196" s="341"/>
      <c r="B196" s="168"/>
      <c r="C196" s="341"/>
      <c r="D196" s="168"/>
      <c r="E196" s="341"/>
      <c r="F196" s="168"/>
      <c r="G196" s="341"/>
      <c r="H196" s="168"/>
      <c r="I196" s="369"/>
      <c r="J196" s="188"/>
      <c r="K196" s="369"/>
      <c r="L196" s="188"/>
      <c r="M196" s="341"/>
      <c r="N196" s="168"/>
      <c r="O196" s="341"/>
      <c r="P196" s="168"/>
      <c r="Q196" s="347"/>
      <c r="R196" s="187"/>
      <c r="S196" s="17"/>
      <c r="T196" s="17"/>
      <c r="U196" s="17"/>
      <c r="V196" s="17"/>
    </row>
    <row r="197">
      <c r="A197" s="341"/>
      <c r="B197" s="168"/>
      <c r="C197" s="341"/>
      <c r="D197" s="168"/>
      <c r="E197" s="341"/>
      <c r="F197" s="168"/>
      <c r="G197" s="341"/>
      <c r="H197" s="168"/>
      <c r="I197" s="369"/>
      <c r="J197" s="188"/>
      <c r="K197" s="369"/>
      <c r="L197" s="188"/>
      <c r="M197" s="341"/>
      <c r="N197" s="168"/>
      <c r="O197" s="341"/>
      <c r="P197" s="168"/>
      <c r="Q197" s="347"/>
      <c r="R197" s="187"/>
      <c r="S197" s="17"/>
      <c r="T197" s="17"/>
      <c r="U197" s="17"/>
      <c r="V197" s="17"/>
    </row>
    <row r="198">
      <c r="A198" s="341"/>
      <c r="B198" s="168"/>
      <c r="C198" s="341"/>
      <c r="D198" s="168"/>
      <c r="E198" s="341"/>
      <c r="F198" s="168"/>
      <c r="G198" s="341"/>
      <c r="H198" s="168"/>
      <c r="I198" s="369"/>
      <c r="J198" s="188"/>
      <c r="K198" s="369"/>
      <c r="L198" s="188"/>
      <c r="M198" s="341"/>
      <c r="N198" s="168"/>
      <c r="O198" s="341"/>
      <c r="P198" s="168"/>
      <c r="Q198" s="347"/>
      <c r="R198" s="187"/>
      <c r="S198" s="17"/>
      <c r="T198" s="17"/>
      <c r="U198" s="17"/>
      <c r="V198" s="17"/>
    </row>
    <row r="199">
      <c r="A199" s="341"/>
      <c r="B199" s="168"/>
      <c r="C199" s="341"/>
      <c r="D199" s="168"/>
      <c r="E199" s="341"/>
      <c r="F199" s="168"/>
      <c r="G199" s="341"/>
      <c r="H199" s="168"/>
      <c r="I199" s="369"/>
      <c r="J199" s="188"/>
      <c r="K199" s="369"/>
      <c r="L199" s="188"/>
      <c r="M199" s="341"/>
      <c r="N199" s="168"/>
      <c r="O199" s="341"/>
      <c r="P199" s="168"/>
      <c r="Q199" s="347"/>
      <c r="R199" s="187"/>
      <c r="S199" s="17"/>
      <c r="T199" s="17"/>
      <c r="U199" s="17"/>
      <c r="V199" s="17"/>
    </row>
    <row r="200">
      <c r="A200" s="341"/>
      <c r="B200" s="168"/>
      <c r="C200" s="341"/>
      <c r="D200" s="168"/>
      <c r="E200" s="341"/>
      <c r="F200" s="168"/>
      <c r="G200" s="341"/>
      <c r="H200" s="168"/>
      <c r="I200" s="369"/>
      <c r="J200" s="188"/>
      <c r="K200" s="369"/>
      <c r="L200" s="188"/>
      <c r="M200" s="341"/>
      <c r="N200" s="168"/>
      <c r="O200" s="341"/>
      <c r="P200" s="168"/>
      <c r="Q200" s="347"/>
      <c r="R200" s="187"/>
      <c r="S200" s="17"/>
      <c r="T200" s="17"/>
      <c r="U200" s="17"/>
      <c r="V200" s="17"/>
    </row>
    <row r="201">
      <c r="A201" s="341"/>
      <c r="B201" s="168"/>
      <c r="C201" s="341"/>
      <c r="D201" s="168"/>
      <c r="E201" s="341"/>
      <c r="F201" s="168"/>
      <c r="G201" s="341"/>
      <c r="H201" s="168"/>
      <c r="I201" s="369"/>
      <c r="J201" s="188"/>
      <c r="K201" s="369"/>
      <c r="L201" s="188"/>
      <c r="M201" s="341"/>
      <c r="N201" s="168"/>
      <c r="O201" s="341"/>
      <c r="P201" s="168"/>
      <c r="Q201" s="347"/>
      <c r="R201" s="187"/>
      <c r="S201" s="17"/>
      <c r="T201" s="17"/>
      <c r="U201" s="17"/>
      <c r="V201" s="17"/>
    </row>
    <row r="202">
      <c r="A202" s="341"/>
      <c r="B202" s="168"/>
      <c r="C202" s="341"/>
      <c r="D202" s="168"/>
      <c r="E202" s="341"/>
      <c r="F202" s="168"/>
      <c r="G202" s="341"/>
      <c r="H202" s="168"/>
      <c r="I202" s="369"/>
      <c r="J202" s="188"/>
      <c r="K202" s="369"/>
      <c r="L202" s="188"/>
      <c r="M202" s="341"/>
      <c r="N202" s="168"/>
      <c r="O202" s="341"/>
      <c r="P202" s="168"/>
      <c r="Q202" s="347"/>
      <c r="R202" s="187"/>
      <c r="S202" s="17"/>
      <c r="T202" s="17"/>
      <c r="U202" s="17"/>
      <c r="V202" s="17"/>
    </row>
    <row r="203">
      <c r="A203" s="341"/>
      <c r="B203" s="168"/>
      <c r="C203" s="341"/>
      <c r="D203" s="168"/>
      <c r="E203" s="341"/>
      <c r="F203" s="168"/>
      <c r="G203" s="341"/>
      <c r="H203" s="168"/>
      <c r="I203" s="369"/>
      <c r="J203" s="188"/>
      <c r="K203" s="369"/>
      <c r="L203" s="188"/>
      <c r="M203" s="341"/>
      <c r="N203" s="168"/>
      <c r="O203" s="341"/>
      <c r="P203" s="168"/>
      <c r="Q203" s="347"/>
      <c r="R203" s="187"/>
      <c r="S203" s="17"/>
      <c r="T203" s="17"/>
      <c r="U203" s="17"/>
      <c r="V203" s="17"/>
    </row>
    <row r="204">
      <c r="A204" s="341"/>
      <c r="B204" s="168"/>
      <c r="C204" s="341"/>
      <c r="D204" s="168"/>
      <c r="E204" s="341"/>
      <c r="F204" s="168"/>
      <c r="G204" s="341"/>
      <c r="H204" s="168"/>
      <c r="I204" s="369"/>
      <c r="J204" s="188"/>
      <c r="K204" s="369"/>
      <c r="L204" s="188"/>
      <c r="M204" s="341"/>
      <c r="N204" s="168"/>
      <c r="O204" s="341"/>
      <c r="P204" s="168"/>
      <c r="Q204" s="347"/>
      <c r="R204" s="187"/>
      <c r="S204" s="17"/>
      <c r="T204" s="17"/>
      <c r="U204" s="17"/>
      <c r="V204" s="17"/>
    </row>
    <row r="205">
      <c r="A205" s="341"/>
      <c r="B205" s="168"/>
      <c r="C205" s="341"/>
      <c r="D205" s="168"/>
      <c r="E205" s="341"/>
      <c r="F205" s="168"/>
      <c r="G205" s="341"/>
      <c r="H205" s="168"/>
      <c r="I205" s="369"/>
      <c r="J205" s="188"/>
      <c r="K205" s="369"/>
      <c r="L205" s="188"/>
      <c r="M205" s="341"/>
      <c r="N205" s="168"/>
      <c r="O205" s="341"/>
      <c r="P205" s="168"/>
      <c r="Q205" s="347"/>
      <c r="R205" s="187"/>
      <c r="S205" s="17"/>
      <c r="T205" s="17"/>
      <c r="U205" s="17"/>
      <c r="V205" s="17"/>
    </row>
    <row r="206">
      <c r="A206" s="341"/>
      <c r="B206" s="168"/>
      <c r="C206" s="341"/>
      <c r="D206" s="168"/>
      <c r="E206" s="341"/>
      <c r="F206" s="168"/>
      <c r="G206" s="341"/>
      <c r="H206" s="168"/>
      <c r="I206" s="369"/>
      <c r="J206" s="188"/>
      <c r="K206" s="369"/>
      <c r="L206" s="188"/>
      <c r="M206" s="341"/>
      <c r="N206" s="168"/>
      <c r="O206" s="341"/>
      <c r="P206" s="168"/>
      <c r="Q206" s="347"/>
      <c r="R206" s="187"/>
      <c r="S206" s="17"/>
      <c r="T206" s="17"/>
      <c r="U206" s="17"/>
      <c r="V206" s="17"/>
    </row>
    <row r="207">
      <c r="A207" s="341"/>
      <c r="B207" s="168"/>
      <c r="C207" s="341"/>
      <c r="D207" s="168"/>
      <c r="E207" s="341"/>
      <c r="F207" s="168"/>
      <c r="G207" s="341"/>
      <c r="H207" s="168"/>
      <c r="I207" s="369"/>
      <c r="J207" s="188"/>
      <c r="K207" s="369"/>
      <c r="L207" s="188"/>
      <c r="M207" s="341"/>
      <c r="N207" s="168"/>
      <c r="O207" s="341"/>
      <c r="P207" s="168"/>
      <c r="Q207" s="347"/>
      <c r="R207" s="187"/>
      <c r="S207" s="17"/>
      <c r="T207" s="17"/>
      <c r="U207" s="17"/>
      <c r="V207" s="17"/>
    </row>
    <row r="208">
      <c r="A208" s="341"/>
      <c r="B208" s="168"/>
      <c r="C208" s="341"/>
      <c r="D208" s="168"/>
      <c r="E208" s="341"/>
      <c r="F208" s="168"/>
      <c r="G208" s="341"/>
      <c r="H208" s="168"/>
      <c r="I208" s="369"/>
      <c r="J208" s="188"/>
      <c r="K208" s="369"/>
      <c r="L208" s="188"/>
      <c r="M208" s="341"/>
      <c r="N208" s="168"/>
      <c r="O208" s="341"/>
      <c r="P208" s="168"/>
      <c r="Q208" s="347"/>
      <c r="R208" s="187"/>
      <c r="S208" s="17"/>
      <c r="T208" s="17"/>
      <c r="U208" s="17"/>
      <c r="V208" s="17"/>
    </row>
    <row r="209">
      <c r="A209" s="341"/>
      <c r="B209" s="168"/>
      <c r="C209" s="341"/>
      <c r="D209" s="168"/>
      <c r="E209" s="341"/>
      <c r="F209" s="168"/>
      <c r="G209" s="341"/>
      <c r="H209" s="168"/>
      <c r="I209" s="369"/>
      <c r="J209" s="188"/>
      <c r="K209" s="369"/>
      <c r="L209" s="188"/>
      <c r="M209" s="341"/>
      <c r="N209" s="168"/>
      <c r="O209" s="341"/>
      <c r="P209" s="168"/>
      <c r="Q209" s="347"/>
      <c r="R209" s="187"/>
      <c r="S209" s="17"/>
      <c r="T209" s="17"/>
      <c r="U209" s="17"/>
      <c r="V209" s="17"/>
    </row>
    <row r="210">
      <c r="A210" s="341"/>
      <c r="B210" s="168"/>
      <c r="C210" s="341"/>
      <c r="D210" s="168"/>
      <c r="E210" s="341"/>
      <c r="F210" s="168"/>
      <c r="G210" s="341"/>
      <c r="H210" s="168"/>
      <c r="I210" s="369"/>
      <c r="J210" s="188"/>
      <c r="K210" s="369"/>
      <c r="L210" s="188"/>
      <c r="M210" s="341"/>
      <c r="N210" s="168"/>
      <c r="O210" s="341"/>
      <c r="P210" s="168"/>
      <c r="Q210" s="347"/>
      <c r="R210" s="187"/>
      <c r="S210" s="17"/>
      <c r="T210" s="17"/>
      <c r="U210" s="17"/>
      <c r="V210" s="17"/>
    </row>
    <row r="211">
      <c r="A211" s="341"/>
      <c r="B211" s="168"/>
      <c r="C211" s="341"/>
      <c r="D211" s="168"/>
      <c r="E211" s="341"/>
      <c r="F211" s="168"/>
      <c r="G211" s="341"/>
      <c r="H211" s="168"/>
      <c r="I211" s="369"/>
      <c r="J211" s="188"/>
      <c r="K211" s="369"/>
      <c r="L211" s="188"/>
      <c r="M211" s="341"/>
      <c r="N211" s="168"/>
      <c r="O211" s="341"/>
      <c r="P211" s="168"/>
      <c r="Q211" s="347"/>
      <c r="R211" s="187"/>
      <c r="S211" s="17"/>
      <c r="T211" s="17"/>
      <c r="U211" s="17"/>
      <c r="V211" s="17"/>
    </row>
    <row r="212">
      <c r="A212" s="341"/>
      <c r="B212" s="168"/>
      <c r="C212" s="341"/>
      <c r="D212" s="168"/>
      <c r="E212" s="341"/>
      <c r="F212" s="168"/>
      <c r="G212" s="341"/>
      <c r="H212" s="168"/>
      <c r="I212" s="369"/>
      <c r="J212" s="188"/>
      <c r="K212" s="369"/>
      <c r="L212" s="188"/>
      <c r="M212" s="341"/>
      <c r="N212" s="168"/>
      <c r="O212" s="341"/>
      <c r="P212" s="168"/>
      <c r="Q212" s="347"/>
      <c r="R212" s="187"/>
      <c r="S212" s="17"/>
      <c r="T212" s="17"/>
      <c r="U212" s="17"/>
      <c r="V212" s="17"/>
    </row>
    <row r="213">
      <c r="A213" s="341"/>
      <c r="B213" s="168"/>
      <c r="C213" s="341"/>
      <c r="D213" s="168"/>
      <c r="E213" s="341"/>
      <c r="F213" s="168"/>
      <c r="G213" s="341"/>
      <c r="H213" s="168"/>
      <c r="I213" s="369"/>
      <c r="J213" s="188"/>
      <c r="K213" s="369"/>
      <c r="L213" s="188"/>
      <c r="M213" s="341"/>
      <c r="N213" s="168"/>
      <c r="O213" s="341"/>
      <c r="P213" s="168"/>
      <c r="Q213" s="347"/>
      <c r="R213" s="187"/>
      <c r="S213" s="17"/>
      <c r="T213" s="17"/>
      <c r="U213" s="17"/>
      <c r="V213" s="17"/>
    </row>
    <row r="214">
      <c r="A214" s="341"/>
      <c r="B214" s="168"/>
      <c r="C214" s="341"/>
      <c r="D214" s="168"/>
      <c r="E214" s="341"/>
      <c r="F214" s="168"/>
      <c r="G214" s="341"/>
      <c r="H214" s="168"/>
      <c r="I214" s="369"/>
      <c r="J214" s="188"/>
      <c r="K214" s="369"/>
      <c r="L214" s="188"/>
      <c r="M214" s="341"/>
      <c r="N214" s="168"/>
      <c r="O214" s="341"/>
      <c r="P214" s="168"/>
      <c r="Q214" s="347"/>
      <c r="R214" s="187"/>
      <c r="S214" s="17"/>
      <c r="T214" s="17"/>
      <c r="U214" s="17"/>
      <c r="V214" s="17"/>
    </row>
    <row r="215">
      <c r="A215" s="341"/>
      <c r="B215" s="168"/>
      <c r="C215" s="341"/>
      <c r="D215" s="168"/>
      <c r="E215" s="341"/>
      <c r="F215" s="168"/>
      <c r="G215" s="341"/>
      <c r="H215" s="168"/>
      <c r="I215" s="369"/>
      <c r="J215" s="188"/>
      <c r="K215" s="369"/>
      <c r="L215" s="188"/>
      <c r="M215" s="341"/>
      <c r="N215" s="168"/>
      <c r="O215" s="341"/>
      <c r="P215" s="168"/>
      <c r="Q215" s="347"/>
      <c r="R215" s="187"/>
      <c r="S215" s="17"/>
      <c r="T215" s="17"/>
      <c r="U215" s="17"/>
      <c r="V215" s="17"/>
    </row>
    <row r="216">
      <c r="A216" s="341"/>
      <c r="B216" s="168"/>
      <c r="C216" s="341"/>
      <c r="D216" s="168"/>
      <c r="E216" s="341"/>
      <c r="F216" s="168"/>
      <c r="G216" s="341"/>
      <c r="H216" s="168"/>
      <c r="I216" s="369"/>
      <c r="J216" s="188"/>
      <c r="K216" s="369"/>
      <c r="L216" s="188"/>
      <c r="M216" s="341"/>
      <c r="N216" s="168"/>
      <c r="O216" s="341"/>
      <c r="P216" s="168"/>
      <c r="Q216" s="347"/>
      <c r="R216" s="187"/>
      <c r="S216" s="17"/>
      <c r="T216" s="17"/>
      <c r="U216" s="17"/>
      <c r="V216" s="17"/>
    </row>
    <row r="217">
      <c r="A217" s="341"/>
      <c r="B217" s="168"/>
      <c r="C217" s="341"/>
      <c r="D217" s="168"/>
      <c r="E217" s="341"/>
      <c r="F217" s="168"/>
      <c r="G217" s="341"/>
      <c r="H217" s="168"/>
      <c r="I217" s="369"/>
      <c r="J217" s="188"/>
      <c r="K217" s="369"/>
      <c r="L217" s="188"/>
      <c r="M217" s="341"/>
      <c r="N217" s="168"/>
      <c r="O217" s="341"/>
      <c r="P217" s="168"/>
      <c r="Q217" s="347"/>
      <c r="R217" s="187"/>
      <c r="S217" s="17"/>
      <c r="T217" s="17"/>
      <c r="U217" s="17"/>
      <c r="V217" s="17"/>
    </row>
    <row r="218">
      <c r="A218" s="341"/>
      <c r="B218" s="168"/>
      <c r="C218" s="341"/>
      <c r="D218" s="168"/>
      <c r="E218" s="341"/>
      <c r="F218" s="168"/>
      <c r="G218" s="341"/>
      <c r="H218" s="168"/>
      <c r="I218" s="369"/>
      <c r="J218" s="188"/>
      <c r="K218" s="369"/>
      <c r="L218" s="188"/>
      <c r="M218" s="341"/>
      <c r="N218" s="168"/>
      <c r="O218" s="341"/>
      <c r="P218" s="168"/>
      <c r="Q218" s="347"/>
      <c r="R218" s="187"/>
      <c r="S218" s="17"/>
      <c r="T218" s="17"/>
      <c r="U218" s="17"/>
      <c r="V218" s="17"/>
    </row>
    <row r="219">
      <c r="A219" s="341"/>
      <c r="B219" s="168"/>
      <c r="C219" s="341"/>
      <c r="D219" s="168"/>
      <c r="E219" s="341"/>
      <c r="F219" s="168"/>
      <c r="G219" s="341"/>
      <c r="H219" s="168"/>
      <c r="I219" s="369"/>
      <c r="J219" s="188"/>
      <c r="K219" s="369"/>
      <c r="L219" s="188"/>
      <c r="M219" s="341"/>
      <c r="N219" s="168"/>
      <c r="O219" s="341"/>
      <c r="P219" s="168"/>
      <c r="Q219" s="347"/>
      <c r="R219" s="187"/>
      <c r="S219" s="17"/>
      <c r="T219" s="17"/>
      <c r="U219" s="17"/>
      <c r="V219" s="17"/>
    </row>
    <row r="220">
      <c r="A220" s="341"/>
      <c r="B220" s="168"/>
      <c r="C220" s="341"/>
      <c r="D220" s="168"/>
      <c r="E220" s="341"/>
      <c r="F220" s="168"/>
      <c r="G220" s="341"/>
      <c r="H220" s="168"/>
      <c r="I220" s="369"/>
      <c r="J220" s="188"/>
      <c r="K220" s="369"/>
      <c r="L220" s="188"/>
      <c r="M220" s="341"/>
      <c r="N220" s="168"/>
      <c r="O220" s="341"/>
      <c r="P220" s="168"/>
      <c r="Q220" s="347"/>
      <c r="R220" s="187"/>
      <c r="S220" s="17"/>
      <c r="T220" s="17"/>
      <c r="U220" s="17"/>
      <c r="V220" s="17"/>
    </row>
    <row r="221">
      <c r="A221" s="341"/>
      <c r="B221" s="168"/>
      <c r="C221" s="341"/>
      <c r="D221" s="168"/>
      <c r="E221" s="341"/>
      <c r="F221" s="168"/>
      <c r="G221" s="341"/>
      <c r="H221" s="168"/>
      <c r="I221" s="369"/>
      <c r="J221" s="188"/>
      <c r="K221" s="369"/>
      <c r="L221" s="188"/>
      <c r="M221" s="341"/>
      <c r="N221" s="168"/>
      <c r="O221" s="341"/>
      <c r="P221" s="168"/>
      <c r="Q221" s="347"/>
      <c r="R221" s="187"/>
      <c r="S221" s="17"/>
      <c r="T221" s="17"/>
      <c r="U221" s="17"/>
      <c r="V221" s="17"/>
    </row>
    <row r="222">
      <c r="A222" s="341"/>
      <c r="B222" s="168"/>
      <c r="C222" s="341"/>
      <c r="D222" s="168"/>
      <c r="E222" s="341"/>
      <c r="F222" s="168"/>
      <c r="G222" s="341"/>
      <c r="H222" s="168"/>
      <c r="I222" s="369"/>
      <c r="J222" s="188"/>
      <c r="K222" s="369"/>
      <c r="L222" s="188"/>
      <c r="M222" s="341"/>
      <c r="N222" s="168"/>
      <c r="O222" s="341"/>
      <c r="P222" s="168"/>
      <c r="Q222" s="347"/>
      <c r="R222" s="187"/>
      <c r="S222" s="17"/>
      <c r="T222" s="17"/>
      <c r="U222" s="17"/>
      <c r="V222" s="17"/>
    </row>
    <row r="223">
      <c r="A223" s="341"/>
      <c r="B223" s="168"/>
      <c r="C223" s="341"/>
      <c r="D223" s="168"/>
      <c r="E223" s="341"/>
      <c r="F223" s="168"/>
      <c r="G223" s="341"/>
      <c r="H223" s="168"/>
      <c r="I223" s="369"/>
      <c r="J223" s="188"/>
      <c r="K223" s="369"/>
      <c r="L223" s="188"/>
      <c r="M223" s="341"/>
      <c r="N223" s="168"/>
      <c r="O223" s="341"/>
      <c r="P223" s="168"/>
      <c r="Q223" s="347"/>
      <c r="R223" s="187"/>
      <c r="S223" s="17"/>
      <c r="T223" s="17"/>
      <c r="U223" s="17"/>
      <c r="V223" s="17"/>
    </row>
    <row r="224">
      <c r="A224" s="341"/>
      <c r="B224" s="168"/>
      <c r="C224" s="341"/>
      <c r="D224" s="168"/>
      <c r="E224" s="341"/>
      <c r="F224" s="168"/>
      <c r="G224" s="341"/>
      <c r="H224" s="168"/>
      <c r="I224" s="369"/>
      <c r="J224" s="188"/>
      <c r="K224" s="369"/>
      <c r="L224" s="188"/>
      <c r="M224" s="341"/>
      <c r="N224" s="168"/>
      <c r="O224" s="341"/>
      <c r="P224" s="168"/>
      <c r="Q224" s="347"/>
      <c r="R224" s="187"/>
      <c r="S224" s="17"/>
      <c r="T224" s="17"/>
      <c r="U224" s="17"/>
      <c r="V224" s="17"/>
    </row>
    <row r="225">
      <c r="A225" s="341"/>
      <c r="B225" s="168"/>
      <c r="C225" s="341"/>
      <c r="D225" s="168"/>
      <c r="E225" s="341"/>
      <c r="F225" s="168"/>
      <c r="G225" s="341"/>
      <c r="H225" s="168"/>
      <c r="I225" s="369"/>
      <c r="J225" s="188"/>
      <c r="K225" s="369"/>
      <c r="L225" s="188"/>
      <c r="M225" s="341"/>
      <c r="N225" s="168"/>
      <c r="O225" s="341"/>
      <c r="P225" s="168"/>
      <c r="Q225" s="347"/>
      <c r="R225" s="187"/>
      <c r="S225" s="17"/>
      <c r="T225" s="17"/>
      <c r="U225" s="17"/>
      <c r="V225" s="17"/>
    </row>
    <row r="226">
      <c r="A226" s="341"/>
      <c r="B226" s="168"/>
      <c r="C226" s="341"/>
      <c r="D226" s="168"/>
      <c r="E226" s="341"/>
      <c r="F226" s="168"/>
      <c r="G226" s="341"/>
      <c r="H226" s="168"/>
      <c r="I226" s="369"/>
      <c r="J226" s="188"/>
      <c r="K226" s="369"/>
      <c r="L226" s="188"/>
      <c r="M226" s="341"/>
      <c r="N226" s="168"/>
      <c r="O226" s="341"/>
      <c r="P226" s="168"/>
      <c r="Q226" s="347"/>
      <c r="R226" s="187"/>
      <c r="S226" s="17"/>
      <c r="T226" s="17"/>
      <c r="U226" s="17"/>
      <c r="V226" s="17"/>
    </row>
    <row r="227">
      <c r="A227" s="341"/>
      <c r="B227" s="168"/>
      <c r="C227" s="341"/>
      <c r="D227" s="168"/>
      <c r="E227" s="341"/>
      <c r="F227" s="168"/>
      <c r="G227" s="341"/>
      <c r="H227" s="168"/>
      <c r="I227" s="369"/>
      <c r="J227" s="188"/>
      <c r="K227" s="369"/>
      <c r="L227" s="188"/>
      <c r="M227" s="341"/>
      <c r="N227" s="168"/>
      <c r="O227" s="341"/>
      <c r="P227" s="168"/>
      <c r="Q227" s="347"/>
      <c r="R227" s="187"/>
      <c r="S227" s="17"/>
      <c r="T227" s="17"/>
      <c r="U227" s="17"/>
      <c r="V227" s="17"/>
    </row>
    <row r="228">
      <c r="A228" s="341"/>
      <c r="B228" s="168"/>
      <c r="C228" s="341"/>
      <c r="D228" s="168"/>
      <c r="E228" s="341"/>
      <c r="F228" s="168"/>
      <c r="G228" s="341"/>
      <c r="H228" s="168"/>
      <c r="I228" s="369"/>
      <c r="J228" s="188"/>
      <c r="K228" s="369"/>
      <c r="L228" s="188"/>
      <c r="M228" s="341"/>
      <c r="N228" s="168"/>
      <c r="O228" s="341"/>
      <c r="P228" s="168"/>
      <c r="Q228" s="347"/>
      <c r="R228" s="187"/>
      <c r="S228" s="17"/>
      <c r="T228" s="17"/>
      <c r="U228" s="17"/>
      <c r="V228" s="17"/>
    </row>
    <row r="229">
      <c r="A229" s="341"/>
      <c r="B229" s="168"/>
      <c r="C229" s="341"/>
      <c r="D229" s="168"/>
      <c r="E229" s="341"/>
      <c r="F229" s="168"/>
      <c r="G229" s="341"/>
      <c r="H229" s="168"/>
      <c r="I229" s="369"/>
      <c r="J229" s="188"/>
      <c r="K229" s="369"/>
      <c r="L229" s="188"/>
      <c r="M229" s="341"/>
      <c r="N229" s="168"/>
      <c r="O229" s="341"/>
      <c r="P229" s="168"/>
      <c r="Q229" s="347"/>
      <c r="R229" s="187"/>
      <c r="S229" s="17"/>
      <c r="T229" s="17"/>
      <c r="U229" s="17"/>
      <c r="V229" s="17"/>
    </row>
    <row r="230">
      <c r="A230" s="341"/>
      <c r="B230" s="168"/>
      <c r="C230" s="341"/>
      <c r="D230" s="168"/>
      <c r="E230" s="341"/>
      <c r="F230" s="168"/>
      <c r="G230" s="341"/>
      <c r="H230" s="168"/>
      <c r="I230" s="369"/>
      <c r="J230" s="188"/>
      <c r="K230" s="369"/>
      <c r="L230" s="188"/>
      <c r="M230" s="341"/>
      <c r="N230" s="168"/>
      <c r="O230" s="341"/>
      <c r="P230" s="168"/>
      <c r="Q230" s="347"/>
      <c r="R230" s="187"/>
      <c r="S230" s="17"/>
      <c r="T230" s="17"/>
      <c r="U230" s="17"/>
      <c r="V230" s="17"/>
    </row>
    <row r="231">
      <c r="A231" s="341"/>
      <c r="B231" s="168"/>
      <c r="C231" s="341"/>
      <c r="D231" s="168"/>
      <c r="E231" s="341"/>
      <c r="F231" s="168"/>
      <c r="G231" s="341"/>
      <c r="H231" s="168"/>
      <c r="I231" s="369"/>
      <c r="J231" s="188"/>
      <c r="K231" s="369"/>
      <c r="L231" s="188"/>
      <c r="M231" s="341"/>
      <c r="N231" s="168"/>
      <c r="O231" s="341"/>
      <c r="P231" s="168"/>
      <c r="Q231" s="347"/>
      <c r="R231" s="187"/>
      <c r="S231" s="17"/>
      <c r="T231" s="17"/>
      <c r="U231" s="17"/>
      <c r="V231" s="17"/>
    </row>
    <row r="232">
      <c r="A232" s="341"/>
      <c r="B232" s="168"/>
      <c r="C232" s="341"/>
      <c r="D232" s="168"/>
      <c r="E232" s="341"/>
      <c r="F232" s="168"/>
      <c r="G232" s="341"/>
      <c r="H232" s="168"/>
      <c r="I232" s="369"/>
      <c r="J232" s="188"/>
      <c r="K232" s="369"/>
      <c r="L232" s="188"/>
      <c r="M232" s="341"/>
      <c r="N232" s="168"/>
      <c r="O232" s="341"/>
      <c r="P232" s="168"/>
      <c r="Q232" s="347"/>
      <c r="R232" s="187"/>
      <c r="S232" s="17"/>
      <c r="T232" s="17"/>
      <c r="U232" s="17"/>
      <c r="V232" s="17"/>
    </row>
    <row r="233">
      <c r="A233" s="341"/>
      <c r="B233" s="168"/>
      <c r="C233" s="341"/>
      <c r="D233" s="168"/>
      <c r="E233" s="341"/>
      <c r="F233" s="168"/>
      <c r="G233" s="341"/>
      <c r="H233" s="168"/>
      <c r="I233" s="369"/>
      <c r="J233" s="188"/>
      <c r="K233" s="369"/>
      <c r="L233" s="188"/>
      <c r="M233" s="341"/>
      <c r="N233" s="168"/>
      <c r="O233" s="341"/>
      <c r="P233" s="168"/>
      <c r="Q233" s="347"/>
      <c r="R233" s="187"/>
      <c r="S233" s="17"/>
      <c r="T233" s="17"/>
      <c r="U233" s="17"/>
      <c r="V233" s="17"/>
    </row>
    <row r="234">
      <c r="A234" s="341"/>
      <c r="B234" s="168"/>
      <c r="C234" s="341"/>
      <c r="D234" s="168"/>
      <c r="E234" s="341"/>
      <c r="F234" s="168"/>
      <c r="G234" s="341"/>
      <c r="H234" s="168"/>
      <c r="I234" s="369"/>
      <c r="J234" s="188"/>
      <c r="K234" s="369"/>
      <c r="L234" s="188"/>
      <c r="M234" s="341"/>
      <c r="N234" s="168"/>
      <c r="O234" s="341"/>
      <c r="P234" s="168"/>
      <c r="Q234" s="347"/>
      <c r="R234" s="187"/>
      <c r="S234" s="17"/>
      <c r="T234" s="17"/>
      <c r="U234" s="17"/>
      <c r="V234" s="17"/>
    </row>
    <row r="235">
      <c r="A235" s="341"/>
      <c r="B235" s="168"/>
      <c r="C235" s="341"/>
      <c r="D235" s="168"/>
      <c r="E235" s="341"/>
      <c r="F235" s="168"/>
      <c r="G235" s="341"/>
      <c r="H235" s="168"/>
      <c r="I235" s="369"/>
      <c r="J235" s="188"/>
      <c r="K235" s="369"/>
      <c r="L235" s="188"/>
      <c r="M235" s="341"/>
      <c r="N235" s="168"/>
      <c r="O235" s="341"/>
      <c r="P235" s="168"/>
      <c r="Q235" s="347"/>
      <c r="R235" s="187"/>
      <c r="S235" s="17"/>
      <c r="T235" s="17"/>
      <c r="U235" s="17"/>
      <c r="V235" s="17"/>
    </row>
    <row r="236">
      <c r="A236" s="341"/>
      <c r="B236" s="168"/>
      <c r="C236" s="341"/>
      <c r="D236" s="168"/>
      <c r="E236" s="341"/>
      <c r="F236" s="168"/>
      <c r="G236" s="341"/>
      <c r="H236" s="168"/>
      <c r="I236" s="369"/>
      <c r="J236" s="188"/>
      <c r="K236" s="369"/>
      <c r="L236" s="188"/>
      <c r="M236" s="341"/>
      <c r="N236" s="168"/>
      <c r="O236" s="341"/>
      <c r="P236" s="168"/>
      <c r="Q236" s="347"/>
      <c r="R236" s="187"/>
      <c r="S236" s="17"/>
      <c r="T236" s="17"/>
      <c r="U236" s="17"/>
      <c r="V236" s="17"/>
    </row>
    <row r="237">
      <c r="A237" s="341"/>
      <c r="B237" s="168"/>
      <c r="C237" s="341"/>
      <c r="D237" s="168"/>
      <c r="E237" s="341"/>
      <c r="F237" s="168"/>
      <c r="G237" s="341"/>
      <c r="H237" s="168"/>
      <c r="I237" s="369"/>
      <c r="J237" s="188"/>
      <c r="K237" s="369"/>
      <c r="L237" s="188"/>
      <c r="M237" s="341"/>
      <c r="N237" s="168"/>
      <c r="O237" s="341"/>
      <c r="P237" s="168"/>
      <c r="Q237" s="347"/>
      <c r="R237" s="187"/>
      <c r="S237" s="17"/>
      <c r="T237" s="17"/>
      <c r="U237" s="17"/>
      <c r="V237" s="17"/>
    </row>
    <row r="238">
      <c r="A238" s="341"/>
      <c r="B238" s="168"/>
      <c r="C238" s="341"/>
      <c r="D238" s="168"/>
      <c r="E238" s="341"/>
      <c r="F238" s="168"/>
      <c r="G238" s="341"/>
      <c r="H238" s="168"/>
      <c r="I238" s="369"/>
      <c r="J238" s="188"/>
      <c r="K238" s="369"/>
      <c r="L238" s="188"/>
      <c r="M238" s="341"/>
      <c r="N238" s="168"/>
      <c r="O238" s="341"/>
      <c r="P238" s="168"/>
      <c r="Q238" s="347"/>
      <c r="R238" s="187"/>
      <c r="S238" s="17"/>
      <c r="T238" s="17"/>
      <c r="U238" s="17"/>
      <c r="V238" s="17"/>
    </row>
    <row r="239">
      <c r="A239" s="341"/>
      <c r="B239" s="168"/>
      <c r="C239" s="341"/>
      <c r="D239" s="168"/>
      <c r="E239" s="341"/>
      <c r="F239" s="168"/>
      <c r="G239" s="341"/>
      <c r="H239" s="168"/>
      <c r="I239" s="369"/>
      <c r="J239" s="188"/>
      <c r="K239" s="369"/>
      <c r="L239" s="188"/>
      <c r="M239" s="341"/>
      <c r="N239" s="168"/>
      <c r="O239" s="341"/>
      <c r="P239" s="168"/>
      <c r="Q239" s="347"/>
      <c r="R239" s="187"/>
      <c r="S239" s="17"/>
      <c r="T239" s="17"/>
      <c r="U239" s="17"/>
      <c r="V239" s="17"/>
    </row>
    <row r="240">
      <c r="A240" s="341"/>
      <c r="B240" s="168"/>
      <c r="C240" s="341"/>
      <c r="D240" s="168"/>
      <c r="E240" s="341"/>
      <c r="F240" s="168"/>
      <c r="G240" s="341"/>
      <c r="H240" s="168"/>
      <c r="I240" s="369"/>
      <c r="J240" s="188"/>
      <c r="K240" s="369"/>
      <c r="L240" s="188"/>
      <c r="M240" s="341"/>
      <c r="N240" s="168"/>
      <c r="O240" s="341"/>
      <c r="P240" s="168"/>
      <c r="Q240" s="347"/>
      <c r="R240" s="187"/>
      <c r="S240" s="17"/>
      <c r="T240" s="17"/>
      <c r="U240" s="17"/>
      <c r="V240" s="17"/>
    </row>
    <row r="241">
      <c r="A241" s="341"/>
      <c r="B241" s="168"/>
      <c r="C241" s="341"/>
      <c r="D241" s="168"/>
      <c r="E241" s="341"/>
      <c r="F241" s="168"/>
      <c r="G241" s="341"/>
      <c r="H241" s="168"/>
      <c r="I241" s="369"/>
      <c r="J241" s="188"/>
      <c r="K241" s="369"/>
      <c r="L241" s="188"/>
      <c r="M241" s="341"/>
      <c r="N241" s="168"/>
      <c r="O241" s="341"/>
      <c r="P241" s="168"/>
      <c r="Q241" s="347"/>
      <c r="R241" s="187"/>
      <c r="S241" s="17"/>
      <c r="T241" s="17"/>
      <c r="U241" s="17"/>
      <c r="V241" s="17"/>
    </row>
    <row r="242">
      <c r="A242" s="341"/>
      <c r="B242" s="168"/>
      <c r="C242" s="341"/>
      <c r="D242" s="168"/>
      <c r="E242" s="341"/>
      <c r="F242" s="168"/>
      <c r="G242" s="341"/>
      <c r="H242" s="168"/>
      <c r="I242" s="369"/>
      <c r="J242" s="188"/>
      <c r="K242" s="369"/>
      <c r="L242" s="188"/>
      <c r="M242" s="341"/>
      <c r="N242" s="168"/>
      <c r="O242" s="341"/>
      <c r="P242" s="168"/>
      <c r="Q242" s="347"/>
      <c r="R242" s="187"/>
      <c r="S242" s="17"/>
      <c r="T242" s="17"/>
      <c r="U242" s="17"/>
      <c r="V242" s="17"/>
    </row>
    <row r="243">
      <c r="A243" s="341"/>
      <c r="B243" s="168"/>
      <c r="C243" s="341"/>
      <c r="D243" s="168"/>
      <c r="E243" s="341"/>
      <c r="F243" s="168"/>
      <c r="G243" s="341"/>
      <c r="H243" s="168"/>
      <c r="I243" s="369"/>
      <c r="J243" s="188"/>
      <c r="K243" s="369"/>
      <c r="L243" s="188"/>
      <c r="M243" s="341"/>
      <c r="N243" s="168"/>
      <c r="O243" s="341"/>
      <c r="P243" s="168"/>
      <c r="Q243" s="347"/>
      <c r="R243" s="187"/>
      <c r="S243" s="17"/>
      <c r="T243" s="17"/>
      <c r="U243" s="17"/>
      <c r="V243" s="17"/>
    </row>
    <row r="244">
      <c r="A244" s="341"/>
      <c r="B244" s="168"/>
      <c r="C244" s="341"/>
      <c r="D244" s="168"/>
      <c r="E244" s="341"/>
      <c r="F244" s="168"/>
      <c r="G244" s="341"/>
      <c r="H244" s="168"/>
      <c r="I244" s="369"/>
      <c r="J244" s="188"/>
      <c r="K244" s="369"/>
      <c r="L244" s="188"/>
      <c r="M244" s="341"/>
      <c r="N244" s="168"/>
      <c r="O244" s="341"/>
      <c r="P244" s="168"/>
      <c r="Q244" s="347"/>
      <c r="R244" s="187"/>
      <c r="S244" s="17"/>
      <c r="T244" s="17"/>
      <c r="U244" s="17"/>
      <c r="V244" s="17"/>
    </row>
    <row r="245">
      <c r="A245" s="341"/>
      <c r="B245" s="168"/>
      <c r="C245" s="341"/>
      <c r="D245" s="168"/>
      <c r="E245" s="341"/>
      <c r="F245" s="168"/>
      <c r="G245" s="341"/>
      <c r="H245" s="168"/>
      <c r="I245" s="369"/>
      <c r="J245" s="188"/>
      <c r="K245" s="369"/>
      <c r="L245" s="188"/>
      <c r="M245" s="341"/>
      <c r="N245" s="168"/>
      <c r="O245" s="341"/>
      <c r="P245" s="168"/>
      <c r="Q245" s="347"/>
      <c r="R245" s="187"/>
      <c r="S245" s="17"/>
      <c r="T245" s="17"/>
      <c r="U245" s="17"/>
      <c r="V245" s="17"/>
    </row>
    <row r="246">
      <c r="A246" s="341"/>
      <c r="B246" s="168"/>
      <c r="C246" s="341"/>
      <c r="D246" s="168"/>
      <c r="E246" s="341"/>
      <c r="F246" s="168"/>
      <c r="G246" s="341"/>
      <c r="H246" s="168"/>
      <c r="I246" s="369"/>
      <c r="J246" s="188"/>
      <c r="K246" s="369"/>
      <c r="L246" s="188"/>
      <c r="M246" s="341"/>
      <c r="N246" s="168"/>
      <c r="O246" s="341"/>
      <c r="P246" s="168"/>
      <c r="Q246" s="347"/>
      <c r="R246" s="187"/>
      <c r="S246" s="17"/>
      <c r="T246" s="17"/>
      <c r="U246" s="17"/>
      <c r="V246" s="17"/>
    </row>
    <row r="247">
      <c r="A247" s="341"/>
      <c r="B247" s="168"/>
      <c r="C247" s="341"/>
      <c r="D247" s="168"/>
      <c r="E247" s="341"/>
      <c r="F247" s="168"/>
      <c r="G247" s="341"/>
      <c r="H247" s="168"/>
      <c r="I247" s="369"/>
      <c r="J247" s="188"/>
      <c r="K247" s="369"/>
      <c r="L247" s="188"/>
      <c r="M247" s="341"/>
      <c r="N247" s="168"/>
      <c r="O247" s="341"/>
      <c r="P247" s="168"/>
      <c r="Q247" s="347"/>
      <c r="R247" s="187"/>
      <c r="S247" s="17"/>
      <c r="T247" s="17"/>
      <c r="U247" s="17"/>
      <c r="V247" s="17"/>
    </row>
    <row r="248">
      <c r="A248" s="341"/>
      <c r="B248" s="168"/>
      <c r="C248" s="341"/>
      <c r="D248" s="168"/>
      <c r="E248" s="341"/>
      <c r="F248" s="168"/>
      <c r="G248" s="341"/>
      <c r="H248" s="168"/>
      <c r="I248" s="369"/>
      <c r="J248" s="188"/>
      <c r="K248" s="369"/>
      <c r="L248" s="188"/>
      <c r="M248" s="341"/>
      <c r="N248" s="168"/>
      <c r="O248" s="341"/>
      <c r="P248" s="168"/>
      <c r="Q248" s="347"/>
      <c r="R248" s="187"/>
      <c r="S248" s="17"/>
      <c r="T248" s="17"/>
      <c r="U248" s="17"/>
      <c r="V248" s="17"/>
    </row>
    <row r="249">
      <c r="A249" s="341"/>
      <c r="B249" s="168"/>
      <c r="C249" s="341"/>
      <c r="D249" s="168"/>
      <c r="E249" s="341"/>
      <c r="F249" s="168"/>
      <c r="G249" s="341"/>
      <c r="H249" s="168"/>
      <c r="I249" s="369"/>
      <c r="J249" s="188"/>
      <c r="K249" s="369"/>
      <c r="L249" s="188"/>
      <c r="M249" s="341"/>
      <c r="N249" s="168"/>
      <c r="O249" s="341"/>
      <c r="P249" s="168"/>
      <c r="Q249" s="347"/>
      <c r="R249" s="187"/>
      <c r="S249" s="17"/>
      <c r="T249" s="17"/>
      <c r="U249" s="17"/>
      <c r="V249" s="17"/>
    </row>
    <row r="250">
      <c r="A250" s="341"/>
      <c r="B250" s="168"/>
      <c r="C250" s="341"/>
      <c r="D250" s="168"/>
      <c r="E250" s="341"/>
      <c r="F250" s="168"/>
      <c r="G250" s="341"/>
      <c r="H250" s="168"/>
      <c r="I250" s="369"/>
      <c r="J250" s="188"/>
      <c r="K250" s="369"/>
      <c r="L250" s="188"/>
      <c r="M250" s="341"/>
      <c r="N250" s="168"/>
      <c r="O250" s="341"/>
      <c r="P250" s="168"/>
      <c r="Q250" s="347"/>
      <c r="R250" s="187"/>
      <c r="S250" s="17"/>
      <c r="T250" s="17"/>
      <c r="U250" s="17"/>
      <c r="V250" s="17"/>
    </row>
    <row r="251">
      <c r="A251" s="341"/>
      <c r="B251" s="168"/>
      <c r="C251" s="341"/>
      <c r="D251" s="168"/>
      <c r="E251" s="341"/>
      <c r="F251" s="168"/>
      <c r="G251" s="341"/>
      <c r="H251" s="168"/>
      <c r="I251" s="369"/>
      <c r="J251" s="188"/>
      <c r="K251" s="369"/>
      <c r="L251" s="188"/>
      <c r="M251" s="341"/>
      <c r="N251" s="168"/>
      <c r="O251" s="341"/>
      <c r="P251" s="168"/>
      <c r="Q251" s="347"/>
      <c r="R251" s="187"/>
      <c r="S251" s="17"/>
      <c r="T251" s="17"/>
      <c r="U251" s="17"/>
      <c r="V251" s="17"/>
    </row>
    <row r="252">
      <c r="A252" s="341"/>
      <c r="B252" s="168"/>
      <c r="C252" s="341"/>
      <c r="D252" s="168"/>
      <c r="E252" s="341"/>
      <c r="F252" s="168"/>
      <c r="G252" s="341"/>
      <c r="H252" s="168"/>
      <c r="I252" s="369"/>
      <c r="J252" s="188"/>
      <c r="K252" s="369"/>
      <c r="L252" s="188"/>
      <c r="M252" s="341"/>
      <c r="N252" s="168"/>
      <c r="O252" s="341"/>
      <c r="P252" s="168"/>
      <c r="Q252" s="347"/>
      <c r="R252" s="187"/>
      <c r="S252" s="17"/>
      <c r="T252" s="17"/>
      <c r="U252" s="17"/>
      <c r="V252" s="17"/>
    </row>
    <row r="253">
      <c r="A253" s="341"/>
      <c r="B253" s="168"/>
      <c r="C253" s="341"/>
      <c r="D253" s="168"/>
      <c r="E253" s="341"/>
      <c r="F253" s="168"/>
      <c r="G253" s="341"/>
      <c r="H253" s="168"/>
      <c r="I253" s="369"/>
      <c r="J253" s="188"/>
      <c r="K253" s="369"/>
      <c r="L253" s="188"/>
      <c r="M253" s="341"/>
      <c r="N253" s="168"/>
      <c r="O253" s="341"/>
      <c r="P253" s="168"/>
      <c r="Q253" s="347"/>
      <c r="R253" s="187"/>
      <c r="S253" s="17"/>
      <c r="T253" s="17"/>
      <c r="U253" s="17"/>
      <c r="V253" s="17"/>
    </row>
    <row r="254">
      <c r="A254" s="341"/>
      <c r="B254" s="168"/>
      <c r="C254" s="341"/>
      <c r="D254" s="168"/>
      <c r="E254" s="341"/>
      <c r="F254" s="168"/>
      <c r="G254" s="341"/>
      <c r="H254" s="168"/>
      <c r="I254" s="369"/>
      <c r="J254" s="188"/>
      <c r="K254" s="369"/>
      <c r="L254" s="188"/>
      <c r="M254" s="341"/>
      <c r="N254" s="168"/>
      <c r="O254" s="341"/>
      <c r="P254" s="168"/>
      <c r="Q254" s="347"/>
      <c r="R254" s="187"/>
      <c r="S254" s="17"/>
      <c r="T254" s="17"/>
      <c r="U254" s="17"/>
      <c r="V254" s="17"/>
    </row>
    <row r="255">
      <c r="A255" s="341"/>
      <c r="B255" s="168"/>
      <c r="C255" s="341"/>
      <c r="D255" s="168"/>
      <c r="E255" s="341"/>
      <c r="F255" s="168"/>
      <c r="G255" s="341"/>
      <c r="H255" s="168"/>
      <c r="I255" s="369"/>
      <c r="J255" s="188"/>
      <c r="K255" s="369"/>
      <c r="L255" s="188"/>
      <c r="M255" s="341"/>
      <c r="N255" s="168"/>
      <c r="O255" s="341"/>
      <c r="P255" s="168"/>
      <c r="Q255" s="347"/>
      <c r="R255" s="187"/>
      <c r="S255" s="17"/>
      <c r="T255" s="17"/>
      <c r="U255" s="17"/>
      <c r="V255" s="17"/>
    </row>
    <row r="256">
      <c r="A256" s="341"/>
      <c r="B256" s="168"/>
      <c r="C256" s="341"/>
      <c r="D256" s="168"/>
      <c r="E256" s="341"/>
      <c r="F256" s="168"/>
      <c r="G256" s="341"/>
      <c r="H256" s="168"/>
      <c r="I256" s="369"/>
      <c r="J256" s="188"/>
      <c r="K256" s="369"/>
      <c r="L256" s="188"/>
      <c r="M256" s="341"/>
      <c r="N256" s="168"/>
      <c r="O256" s="341"/>
      <c r="P256" s="168"/>
      <c r="Q256" s="347"/>
      <c r="R256" s="187"/>
      <c r="S256" s="17"/>
      <c r="T256" s="17"/>
      <c r="U256" s="17"/>
      <c r="V256" s="17"/>
    </row>
    <row r="257">
      <c r="A257" s="341"/>
      <c r="B257" s="168"/>
      <c r="C257" s="341"/>
      <c r="D257" s="168"/>
      <c r="E257" s="341"/>
      <c r="F257" s="168"/>
      <c r="G257" s="341"/>
      <c r="H257" s="168"/>
      <c r="I257" s="369"/>
      <c r="J257" s="188"/>
      <c r="K257" s="369"/>
      <c r="L257" s="188"/>
      <c r="M257" s="341"/>
      <c r="N257" s="168"/>
      <c r="O257" s="341"/>
      <c r="P257" s="168"/>
      <c r="Q257" s="347"/>
      <c r="R257" s="187"/>
      <c r="S257" s="17"/>
      <c r="T257" s="17"/>
      <c r="U257" s="17"/>
      <c r="V257" s="17"/>
    </row>
    <row r="258">
      <c r="A258" s="341"/>
      <c r="B258" s="168"/>
      <c r="C258" s="341"/>
      <c r="D258" s="168"/>
      <c r="E258" s="341"/>
      <c r="F258" s="168"/>
      <c r="G258" s="341"/>
      <c r="H258" s="168"/>
      <c r="I258" s="369"/>
      <c r="J258" s="188"/>
      <c r="K258" s="369"/>
      <c r="L258" s="188"/>
      <c r="M258" s="341"/>
      <c r="N258" s="168"/>
      <c r="O258" s="341"/>
      <c r="P258" s="168"/>
      <c r="Q258" s="347"/>
      <c r="R258" s="187"/>
      <c r="S258" s="17"/>
      <c r="T258" s="17"/>
      <c r="U258" s="17"/>
      <c r="V258" s="17"/>
    </row>
    <row r="259">
      <c r="A259" s="341"/>
      <c r="B259" s="168"/>
      <c r="C259" s="341"/>
      <c r="D259" s="168"/>
      <c r="E259" s="341"/>
      <c r="F259" s="168"/>
      <c r="G259" s="341"/>
      <c r="H259" s="168"/>
      <c r="I259" s="369"/>
      <c r="J259" s="188"/>
      <c r="K259" s="369"/>
      <c r="L259" s="188"/>
      <c r="M259" s="341"/>
      <c r="N259" s="168"/>
      <c r="O259" s="341"/>
      <c r="P259" s="168"/>
      <c r="Q259" s="347"/>
      <c r="R259" s="187"/>
      <c r="S259" s="17"/>
      <c r="T259" s="17"/>
      <c r="U259" s="17"/>
      <c r="V259" s="17"/>
    </row>
    <row r="260">
      <c r="A260" s="341"/>
      <c r="B260" s="168"/>
      <c r="C260" s="341"/>
      <c r="D260" s="168"/>
      <c r="E260" s="341"/>
      <c r="F260" s="168"/>
      <c r="G260" s="341"/>
      <c r="H260" s="168"/>
      <c r="I260" s="369"/>
      <c r="J260" s="188"/>
      <c r="K260" s="369"/>
      <c r="L260" s="188"/>
      <c r="M260" s="341"/>
      <c r="N260" s="168"/>
      <c r="O260" s="341"/>
      <c r="P260" s="168"/>
      <c r="Q260" s="347"/>
      <c r="R260" s="187"/>
      <c r="S260" s="17"/>
      <c r="T260" s="17"/>
      <c r="U260" s="17"/>
      <c r="V260" s="17"/>
    </row>
    <row r="261">
      <c r="A261" s="341"/>
      <c r="B261" s="168"/>
      <c r="C261" s="341"/>
      <c r="D261" s="168"/>
      <c r="E261" s="341"/>
      <c r="F261" s="168"/>
      <c r="G261" s="341"/>
      <c r="H261" s="168"/>
      <c r="I261" s="369"/>
      <c r="J261" s="188"/>
      <c r="K261" s="369"/>
      <c r="L261" s="188"/>
      <c r="M261" s="341"/>
      <c r="N261" s="168"/>
      <c r="O261" s="341"/>
      <c r="P261" s="168"/>
      <c r="Q261" s="347"/>
      <c r="R261" s="187"/>
      <c r="S261" s="17"/>
      <c r="T261" s="17"/>
      <c r="U261" s="17"/>
      <c r="V261" s="17"/>
    </row>
    <row r="262">
      <c r="A262" s="341"/>
      <c r="B262" s="168"/>
      <c r="C262" s="341"/>
      <c r="D262" s="168"/>
      <c r="E262" s="341"/>
      <c r="F262" s="168"/>
      <c r="G262" s="341"/>
      <c r="H262" s="168"/>
      <c r="I262" s="369"/>
      <c r="J262" s="188"/>
      <c r="K262" s="369"/>
      <c r="L262" s="188"/>
      <c r="M262" s="341"/>
      <c r="N262" s="168"/>
      <c r="O262" s="341"/>
      <c r="P262" s="168"/>
      <c r="Q262" s="347"/>
      <c r="R262" s="187"/>
      <c r="S262" s="17"/>
      <c r="T262" s="17"/>
      <c r="U262" s="17"/>
      <c r="V262" s="17"/>
    </row>
    <row r="263">
      <c r="A263" s="341"/>
      <c r="B263" s="168"/>
      <c r="C263" s="341"/>
      <c r="D263" s="168"/>
      <c r="E263" s="341"/>
      <c r="F263" s="168"/>
      <c r="G263" s="341"/>
      <c r="H263" s="168"/>
      <c r="I263" s="369"/>
      <c r="J263" s="188"/>
      <c r="K263" s="369"/>
      <c r="L263" s="188"/>
      <c r="M263" s="341"/>
      <c r="N263" s="168"/>
      <c r="O263" s="341"/>
      <c r="P263" s="168"/>
      <c r="Q263" s="347"/>
      <c r="R263" s="187"/>
      <c r="S263" s="17"/>
      <c r="T263" s="17"/>
      <c r="U263" s="17"/>
      <c r="V263" s="17"/>
    </row>
    <row r="264">
      <c r="A264" s="341"/>
      <c r="B264" s="168"/>
      <c r="C264" s="341"/>
      <c r="D264" s="168"/>
      <c r="E264" s="341"/>
      <c r="F264" s="168"/>
      <c r="G264" s="341"/>
      <c r="H264" s="168"/>
      <c r="I264" s="369"/>
      <c r="J264" s="188"/>
      <c r="K264" s="369"/>
      <c r="L264" s="188"/>
      <c r="M264" s="341"/>
      <c r="N264" s="168"/>
      <c r="O264" s="341"/>
      <c r="P264" s="168"/>
      <c r="Q264" s="347"/>
      <c r="R264" s="187"/>
      <c r="S264" s="17"/>
      <c r="T264" s="17"/>
      <c r="U264" s="17"/>
      <c r="V264" s="17"/>
    </row>
    <row r="265">
      <c r="A265" s="341"/>
      <c r="B265" s="168"/>
      <c r="C265" s="341"/>
      <c r="D265" s="168"/>
      <c r="E265" s="341"/>
      <c r="F265" s="168"/>
      <c r="G265" s="341"/>
      <c r="H265" s="168"/>
      <c r="I265" s="369"/>
      <c r="J265" s="188"/>
      <c r="K265" s="369"/>
      <c r="L265" s="188"/>
      <c r="M265" s="341"/>
      <c r="N265" s="168"/>
      <c r="O265" s="341"/>
      <c r="P265" s="168"/>
      <c r="Q265" s="347"/>
      <c r="R265" s="187"/>
      <c r="S265" s="17"/>
      <c r="T265" s="17"/>
      <c r="U265" s="17"/>
      <c r="V265" s="17"/>
    </row>
    <row r="266">
      <c r="A266" s="341"/>
      <c r="B266" s="168"/>
      <c r="C266" s="341"/>
      <c r="D266" s="168"/>
      <c r="E266" s="341"/>
      <c r="F266" s="168"/>
      <c r="G266" s="341"/>
      <c r="H266" s="168"/>
      <c r="I266" s="369"/>
      <c r="J266" s="188"/>
      <c r="K266" s="369"/>
      <c r="L266" s="188"/>
      <c r="M266" s="341"/>
      <c r="N266" s="168"/>
      <c r="O266" s="341"/>
      <c r="P266" s="168"/>
      <c r="Q266" s="347"/>
      <c r="R266" s="187"/>
      <c r="S266" s="17"/>
      <c r="T266" s="17"/>
      <c r="U266" s="17"/>
      <c r="V266" s="17"/>
    </row>
    <row r="267">
      <c r="A267" s="341"/>
      <c r="B267" s="168"/>
      <c r="C267" s="341"/>
      <c r="D267" s="168"/>
      <c r="E267" s="341"/>
      <c r="F267" s="168"/>
      <c r="G267" s="341"/>
      <c r="H267" s="168"/>
      <c r="I267" s="369"/>
      <c r="J267" s="188"/>
      <c r="K267" s="369"/>
      <c r="L267" s="188"/>
      <c r="M267" s="341"/>
      <c r="N267" s="168"/>
      <c r="O267" s="341"/>
      <c r="P267" s="168"/>
      <c r="Q267" s="347"/>
      <c r="R267" s="187"/>
      <c r="S267" s="17"/>
      <c r="T267" s="17"/>
      <c r="U267" s="17"/>
      <c r="V267" s="17"/>
    </row>
    <row r="268">
      <c r="A268" s="341"/>
      <c r="B268" s="168"/>
      <c r="C268" s="341"/>
      <c r="D268" s="168"/>
      <c r="E268" s="341"/>
      <c r="F268" s="168"/>
      <c r="G268" s="341"/>
      <c r="H268" s="168"/>
      <c r="I268" s="369"/>
      <c r="J268" s="188"/>
      <c r="K268" s="369"/>
      <c r="L268" s="188"/>
      <c r="M268" s="341"/>
      <c r="N268" s="168"/>
      <c r="O268" s="341"/>
      <c r="P268" s="168"/>
      <c r="Q268" s="347"/>
      <c r="R268" s="187"/>
      <c r="S268" s="17"/>
      <c r="T268" s="17"/>
      <c r="U268" s="17"/>
      <c r="V268" s="17"/>
    </row>
    <row r="269">
      <c r="A269" s="341"/>
      <c r="B269" s="168"/>
      <c r="C269" s="341"/>
      <c r="D269" s="168"/>
      <c r="E269" s="341"/>
      <c r="F269" s="168"/>
      <c r="G269" s="341"/>
      <c r="H269" s="168"/>
      <c r="I269" s="369"/>
      <c r="J269" s="188"/>
      <c r="K269" s="369"/>
      <c r="L269" s="188"/>
      <c r="M269" s="341"/>
      <c r="N269" s="168"/>
      <c r="O269" s="341"/>
      <c r="P269" s="168"/>
      <c r="Q269" s="347"/>
      <c r="R269" s="187"/>
      <c r="S269" s="17"/>
      <c r="T269" s="17"/>
      <c r="U269" s="17"/>
      <c r="V269" s="17"/>
    </row>
    <row r="270">
      <c r="A270" s="341"/>
      <c r="B270" s="168"/>
      <c r="C270" s="341"/>
      <c r="D270" s="168"/>
      <c r="E270" s="341"/>
      <c r="F270" s="168"/>
      <c r="G270" s="341"/>
      <c r="H270" s="168"/>
      <c r="I270" s="369"/>
      <c r="J270" s="188"/>
      <c r="K270" s="369"/>
      <c r="L270" s="188"/>
      <c r="M270" s="341"/>
      <c r="N270" s="168"/>
      <c r="O270" s="341"/>
      <c r="P270" s="168"/>
      <c r="Q270" s="347"/>
      <c r="R270" s="187"/>
      <c r="S270" s="17"/>
      <c r="T270" s="17"/>
      <c r="U270" s="17"/>
      <c r="V270" s="17"/>
    </row>
    <row r="271">
      <c r="A271" s="341"/>
      <c r="B271" s="168"/>
      <c r="C271" s="341"/>
      <c r="D271" s="168"/>
      <c r="E271" s="341"/>
      <c r="F271" s="168"/>
      <c r="G271" s="341"/>
      <c r="H271" s="168"/>
      <c r="I271" s="369"/>
      <c r="J271" s="188"/>
      <c r="K271" s="369"/>
      <c r="L271" s="188"/>
      <c r="M271" s="341"/>
      <c r="N271" s="168"/>
      <c r="O271" s="341"/>
      <c r="P271" s="168"/>
      <c r="Q271" s="347"/>
      <c r="R271" s="187"/>
      <c r="S271" s="17"/>
      <c r="T271" s="17"/>
      <c r="U271" s="17"/>
      <c r="V271" s="17"/>
    </row>
    <row r="272">
      <c r="A272" s="341"/>
      <c r="B272" s="168"/>
      <c r="C272" s="341"/>
      <c r="D272" s="168"/>
      <c r="E272" s="341"/>
      <c r="F272" s="168"/>
      <c r="G272" s="341"/>
      <c r="H272" s="168"/>
      <c r="I272" s="369"/>
      <c r="J272" s="188"/>
      <c r="K272" s="369"/>
      <c r="L272" s="188"/>
      <c r="M272" s="341"/>
      <c r="N272" s="168"/>
      <c r="O272" s="341"/>
      <c r="P272" s="168"/>
      <c r="Q272" s="347"/>
      <c r="R272" s="187"/>
      <c r="S272" s="17"/>
      <c r="T272" s="17"/>
      <c r="U272" s="17"/>
      <c r="V272" s="17"/>
    </row>
    <row r="273">
      <c r="A273" s="341"/>
      <c r="B273" s="168"/>
      <c r="C273" s="341"/>
      <c r="D273" s="168"/>
      <c r="E273" s="341"/>
      <c r="F273" s="168"/>
      <c r="G273" s="341"/>
      <c r="H273" s="168"/>
      <c r="I273" s="369"/>
      <c r="J273" s="188"/>
      <c r="K273" s="369"/>
      <c r="L273" s="188"/>
      <c r="M273" s="341"/>
      <c r="N273" s="168"/>
      <c r="O273" s="341"/>
      <c r="P273" s="168"/>
      <c r="Q273" s="347"/>
      <c r="R273" s="187"/>
      <c r="S273" s="17"/>
      <c r="T273" s="17"/>
      <c r="U273" s="17"/>
      <c r="V273" s="17"/>
    </row>
    <row r="274">
      <c r="A274" s="341"/>
      <c r="B274" s="168"/>
      <c r="C274" s="341"/>
      <c r="D274" s="168"/>
      <c r="E274" s="341"/>
      <c r="F274" s="168"/>
      <c r="G274" s="341"/>
      <c r="H274" s="168"/>
      <c r="I274" s="369"/>
      <c r="J274" s="188"/>
      <c r="K274" s="369"/>
      <c r="L274" s="188"/>
      <c r="M274" s="341"/>
      <c r="N274" s="168"/>
      <c r="O274" s="341"/>
      <c r="P274" s="168"/>
      <c r="Q274" s="347"/>
      <c r="R274" s="187"/>
      <c r="S274" s="17"/>
      <c r="T274" s="17"/>
      <c r="U274" s="17"/>
      <c r="V274" s="17"/>
    </row>
    <row r="275">
      <c r="A275" s="341"/>
      <c r="B275" s="168"/>
      <c r="C275" s="341"/>
      <c r="D275" s="168"/>
      <c r="E275" s="341"/>
      <c r="F275" s="168"/>
      <c r="G275" s="341"/>
      <c r="H275" s="168"/>
      <c r="I275" s="369"/>
      <c r="J275" s="188"/>
      <c r="K275" s="369"/>
      <c r="L275" s="188"/>
      <c r="M275" s="341"/>
      <c r="N275" s="168"/>
      <c r="O275" s="341"/>
      <c r="P275" s="168"/>
      <c r="Q275" s="347"/>
      <c r="R275" s="187"/>
      <c r="S275" s="17"/>
      <c r="T275" s="17"/>
      <c r="U275" s="17"/>
      <c r="V275" s="17"/>
    </row>
    <row r="276">
      <c r="A276" s="341"/>
      <c r="B276" s="168"/>
      <c r="C276" s="341"/>
      <c r="D276" s="168"/>
      <c r="E276" s="341"/>
      <c r="F276" s="168"/>
      <c r="G276" s="341"/>
      <c r="H276" s="168"/>
      <c r="I276" s="369"/>
      <c r="J276" s="188"/>
      <c r="K276" s="369"/>
      <c r="L276" s="188"/>
      <c r="M276" s="341"/>
      <c r="N276" s="168"/>
      <c r="O276" s="341"/>
      <c r="P276" s="168"/>
      <c r="Q276" s="347"/>
      <c r="R276" s="187"/>
      <c r="S276" s="17"/>
      <c r="T276" s="17"/>
      <c r="U276" s="17"/>
      <c r="V276" s="17"/>
    </row>
    <row r="277">
      <c r="A277" s="341"/>
      <c r="B277" s="168"/>
      <c r="C277" s="341"/>
      <c r="D277" s="168"/>
      <c r="E277" s="341"/>
      <c r="F277" s="168"/>
      <c r="G277" s="341"/>
      <c r="H277" s="168"/>
      <c r="I277" s="369"/>
      <c r="J277" s="188"/>
      <c r="K277" s="369"/>
      <c r="L277" s="188"/>
      <c r="M277" s="341"/>
      <c r="N277" s="168"/>
      <c r="O277" s="341"/>
      <c r="P277" s="168"/>
      <c r="Q277" s="347"/>
      <c r="R277" s="187"/>
      <c r="S277" s="17"/>
      <c r="T277" s="17"/>
      <c r="U277" s="17"/>
      <c r="V277" s="17"/>
    </row>
    <row r="278">
      <c r="A278" s="341"/>
      <c r="B278" s="168"/>
      <c r="C278" s="341"/>
      <c r="D278" s="168"/>
      <c r="E278" s="341"/>
      <c r="F278" s="168"/>
      <c r="G278" s="341"/>
      <c r="H278" s="168"/>
      <c r="I278" s="369"/>
      <c r="J278" s="188"/>
      <c r="K278" s="369"/>
      <c r="L278" s="188"/>
      <c r="M278" s="341"/>
      <c r="N278" s="168"/>
      <c r="O278" s="341"/>
      <c r="P278" s="168"/>
      <c r="Q278" s="347"/>
      <c r="R278" s="187"/>
      <c r="S278" s="17"/>
      <c r="T278" s="17"/>
      <c r="U278" s="17"/>
      <c r="V278" s="17"/>
    </row>
    <row r="279">
      <c r="A279" s="341"/>
      <c r="B279" s="168"/>
      <c r="C279" s="341"/>
      <c r="D279" s="168"/>
      <c r="E279" s="341"/>
      <c r="F279" s="168"/>
      <c r="G279" s="341"/>
      <c r="H279" s="168"/>
      <c r="I279" s="369"/>
      <c r="J279" s="188"/>
      <c r="K279" s="369"/>
      <c r="L279" s="188"/>
      <c r="M279" s="341"/>
      <c r="N279" s="168"/>
      <c r="O279" s="341"/>
      <c r="P279" s="168"/>
      <c r="Q279" s="347"/>
      <c r="R279" s="187"/>
      <c r="S279" s="17"/>
      <c r="T279" s="17"/>
      <c r="U279" s="17"/>
      <c r="V279" s="17"/>
    </row>
    <row r="280">
      <c r="A280" s="341"/>
      <c r="B280" s="168"/>
      <c r="C280" s="341"/>
      <c r="D280" s="168"/>
      <c r="E280" s="341"/>
      <c r="F280" s="168"/>
      <c r="G280" s="341"/>
      <c r="H280" s="168"/>
      <c r="I280" s="369"/>
      <c r="J280" s="188"/>
      <c r="K280" s="369"/>
      <c r="L280" s="188"/>
      <c r="M280" s="341"/>
      <c r="N280" s="168"/>
      <c r="O280" s="341"/>
      <c r="P280" s="168"/>
      <c r="Q280" s="347"/>
      <c r="R280" s="187"/>
      <c r="S280" s="17"/>
      <c r="T280" s="17"/>
      <c r="U280" s="17"/>
      <c r="V280" s="17"/>
    </row>
    <row r="281">
      <c r="A281" s="341"/>
      <c r="B281" s="168"/>
      <c r="C281" s="341"/>
      <c r="D281" s="168"/>
      <c r="E281" s="341"/>
      <c r="F281" s="168"/>
      <c r="G281" s="341"/>
      <c r="H281" s="168"/>
      <c r="I281" s="369"/>
      <c r="J281" s="188"/>
      <c r="K281" s="369"/>
      <c r="L281" s="188"/>
      <c r="M281" s="341"/>
      <c r="N281" s="168"/>
      <c r="O281" s="341"/>
      <c r="P281" s="168"/>
      <c r="Q281" s="347"/>
      <c r="R281" s="187"/>
      <c r="S281" s="17"/>
      <c r="T281" s="17"/>
      <c r="U281" s="17"/>
      <c r="V281" s="17"/>
    </row>
    <row r="282">
      <c r="A282" s="341"/>
      <c r="B282" s="168"/>
      <c r="C282" s="341"/>
      <c r="D282" s="168"/>
      <c r="E282" s="341"/>
      <c r="F282" s="168"/>
      <c r="G282" s="341"/>
      <c r="H282" s="168"/>
      <c r="I282" s="369"/>
      <c r="J282" s="188"/>
      <c r="K282" s="369"/>
      <c r="L282" s="188"/>
      <c r="M282" s="341"/>
      <c r="N282" s="168"/>
      <c r="O282" s="341"/>
      <c r="P282" s="168"/>
      <c r="Q282" s="347"/>
      <c r="R282" s="187"/>
      <c r="S282" s="17"/>
      <c r="T282" s="17"/>
      <c r="U282" s="17"/>
      <c r="V282" s="17"/>
    </row>
    <row r="283">
      <c r="A283" s="341"/>
      <c r="B283" s="168"/>
      <c r="C283" s="341"/>
      <c r="D283" s="168"/>
      <c r="E283" s="341"/>
      <c r="F283" s="168"/>
      <c r="G283" s="341"/>
      <c r="H283" s="168"/>
      <c r="I283" s="369"/>
      <c r="J283" s="188"/>
      <c r="K283" s="369"/>
      <c r="L283" s="188"/>
      <c r="M283" s="341"/>
      <c r="N283" s="168"/>
      <c r="O283" s="341"/>
      <c r="P283" s="168"/>
      <c r="Q283" s="347"/>
      <c r="R283" s="187"/>
      <c r="S283" s="17"/>
      <c r="T283" s="17"/>
      <c r="U283" s="17"/>
      <c r="V283" s="17"/>
    </row>
    <row r="284">
      <c r="A284" s="341"/>
      <c r="B284" s="168"/>
      <c r="C284" s="341"/>
      <c r="D284" s="168"/>
      <c r="E284" s="341"/>
      <c r="F284" s="168"/>
      <c r="G284" s="341"/>
      <c r="H284" s="168"/>
      <c r="I284" s="369"/>
      <c r="J284" s="188"/>
      <c r="K284" s="369"/>
      <c r="L284" s="188"/>
      <c r="M284" s="341"/>
      <c r="N284" s="168"/>
      <c r="O284" s="341"/>
      <c r="P284" s="168"/>
      <c r="Q284" s="347"/>
      <c r="R284" s="187"/>
      <c r="S284" s="17"/>
      <c r="T284" s="17"/>
      <c r="U284" s="17"/>
      <c r="V284" s="17"/>
    </row>
    <row r="285">
      <c r="A285" s="341"/>
      <c r="B285" s="168"/>
      <c r="C285" s="341"/>
      <c r="D285" s="168"/>
      <c r="E285" s="341"/>
      <c r="F285" s="168"/>
      <c r="G285" s="341"/>
      <c r="H285" s="168"/>
      <c r="I285" s="369"/>
      <c r="J285" s="188"/>
      <c r="K285" s="369"/>
      <c r="L285" s="188"/>
      <c r="M285" s="341"/>
      <c r="N285" s="168"/>
      <c r="O285" s="341"/>
      <c r="P285" s="168"/>
      <c r="Q285" s="369"/>
      <c r="R285" s="188"/>
      <c r="S285" s="17"/>
      <c r="T285" s="17"/>
      <c r="U285" s="17"/>
      <c r="V285" s="17"/>
    </row>
    <row r="286">
      <c r="A286" s="341"/>
      <c r="B286" s="168"/>
      <c r="C286" s="341"/>
      <c r="D286" s="168"/>
      <c r="E286" s="341"/>
      <c r="F286" s="168"/>
      <c r="G286" s="341"/>
      <c r="H286" s="168"/>
      <c r="I286" s="369"/>
      <c r="J286" s="188"/>
      <c r="K286" s="369"/>
      <c r="L286" s="188"/>
      <c r="M286" s="341"/>
      <c r="N286" s="168"/>
      <c r="O286" s="341"/>
      <c r="P286" s="168"/>
      <c r="Q286" s="369"/>
      <c r="R286" s="188"/>
      <c r="S286" s="17"/>
      <c r="T286" s="17"/>
      <c r="U286" s="17"/>
      <c r="V286" s="17"/>
    </row>
    <row r="287">
      <c r="A287" s="341"/>
      <c r="B287" s="168"/>
      <c r="C287" s="341"/>
      <c r="D287" s="168"/>
      <c r="E287" s="341"/>
      <c r="F287" s="168"/>
      <c r="G287" s="341"/>
      <c r="H287" s="168"/>
      <c r="I287" s="369"/>
      <c r="J287" s="188"/>
      <c r="K287" s="369"/>
      <c r="L287" s="188"/>
      <c r="M287" s="341"/>
      <c r="N287" s="168"/>
      <c r="O287" s="341"/>
      <c r="P287" s="168"/>
      <c r="Q287" s="369"/>
      <c r="R287" s="188"/>
      <c r="S287" s="17"/>
      <c r="T287" s="17"/>
      <c r="U287" s="17"/>
      <c r="V287" s="17"/>
    </row>
    <row r="288">
      <c r="A288" s="341"/>
      <c r="B288" s="168"/>
      <c r="C288" s="341"/>
      <c r="D288" s="168"/>
      <c r="E288" s="341"/>
      <c r="F288" s="168"/>
      <c r="G288" s="341"/>
      <c r="H288" s="168"/>
      <c r="I288" s="369"/>
      <c r="J288" s="188"/>
      <c r="K288" s="369"/>
      <c r="L288" s="188"/>
      <c r="M288" s="341"/>
      <c r="N288" s="168"/>
      <c r="O288" s="341"/>
      <c r="P288" s="168"/>
      <c r="Q288" s="369"/>
      <c r="R288" s="188"/>
      <c r="S288" s="17"/>
      <c r="T288" s="17"/>
      <c r="U288" s="17"/>
      <c r="V288" s="17"/>
    </row>
    <row r="289">
      <c r="A289" s="341"/>
      <c r="B289" s="168"/>
      <c r="C289" s="341"/>
      <c r="D289" s="168"/>
      <c r="E289" s="341"/>
      <c r="F289" s="168"/>
      <c r="G289" s="341"/>
      <c r="H289" s="168"/>
      <c r="I289" s="369"/>
      <c r="J289" s="188"/>
      <c r="K289" s="369"/>
      <c r="L289" s="188"/>
      <c r="M289" s="341"/>
      <c r="N289" s="168"/>
      <c r="O289" s="341"/>
      <c r="P289" s="168"/>
      <c r="Q289" s="369"/>
      <c r="R289" s="188"/>
      <c r="S289" s="17"/>
      <c r="T289" s="17"/>
      <c r="U289" s="17"/>
      <c r="V289" s="17"/>
    </row>
    <row r="290">
      <c r="A290" s="341"/>
      <c r="B290" s="168"/>
      <c r="C290" s="341"/>
      <c r="D290" s="168"/>
      <c r="E290" s="341"/>
      <c r="F290" s="168"/>
      <c r="G290" s="341"/>
      <c r="H290" s="168"/>
      <c r="I290" s="369"/>
      <c r="J290" s="188"/>
      <c r="K290" s="369"/>
      <c r="L290" s="188"/>
      <c r="M290" s="341"/>
      <c r="N290" s="168"/>
      <c r="O290" s="341"/>
      <c r="P290" s="168"/>
      <c r="Q290" s="369"/>
      <c r="R290" s="188"/>
      <c r="S290" s="17"/>
      <c r="T290" s="17"/>
      <c r="U290" s="17"/>
      <c r="V290" s="17"/>
    </row>
    <row r="291">
      <c r="A291" s="341"/>
      <c r="B291" s="168"/>
      <c r="C291" s="341"/>
      <c r="D291" s="168"/>
      <c r="E291" s="341"/>
      <c r="F291" s="168"/>
      <c r="G291" s="341"/>
      <c r="H291" s="168"/>
      <c r="I291" s="369"/>
      <c r="J291" s="188"/>
      <c r="K291" s="369"/>
      <c r="L291" s="188"/>
      <c r="M291" s="341"/>
      <c r="N291" s="168"/>
      <c r="O291" s="341"/>
      <c r="P291" s="168"/>
      <c r="Q291" s="369"/>
      <c r="R291" s="188"/>
      <c r="S291" s="17"/>
      <c r="T291" s="17"/>
      <c r="U291" s="17"/>
      <c r="V291" s="17"/>
    </row>
    <row r="292">
      <c r="A292" s="341"/>
      <c r="B292" s="168"/>
      <c r="C292" s="341"/>
      <c r="D292" s="168"/>
      <c r="E292" s="341"/>
      <c r="F292" s="168"/>
      <c r="G292" s="341"/>
      <c r="H292" s="168"/>
      <c r="I292" s="369"/>
      <c r="J292" s="188"/>
      <c r="K292" s="369"/>
      <c r="L292" s="188"/>
      <c r="M292" s="341"/>
      <c r="N292" s="168"/>
      <c r="O292" s="341"/>
      <c r="P292" s="168"/>
      <c r="Q292" s="369"/>
      <c r="R292" s="188"/>
      <c r="S292" s="17"/>
      <c r="T292" s="17"/>
      <c r="U292" s="17"/>
      <c r="V292" s="17"/>
    </row>
    <row r="293">
      <c r="A293" s="341"/>
      <c r="B293" s="168"/>
      <c r="C293" s="341"/>
      <c r="D293" s="168"/>
      <c r="E293" s="341"/>
      <c r="F293" s="168"/>
      <c r="G293" s="341"/>
      <c r="H293" s="168"/>
      <c r="I293" s="369"/>
      <c r="J293" s="188"/>
      <c r="K293" s="369"/>
      <c r="L293" s="188"/>
      <c r="M293" s="341"/>
      <c r="N293" s="168"/>
      <c r="O293" s="341"/>
      <c r="P293" s="168"/>
      <c r="Q293" s="369"/>
      <c r="R293" s="188"/>
      <c r="S293" s="17"/>
      <c r="T293" s="17"/>
      <c r="U293" s="17"/>
      <c r="V293" s="17"/>
    </row>
    <row r="294">
      <c r="A294" s="341"/>
      <c r="B294" s="168"/>
      <c r="C294" s="341"/>
      <c r="D294" s="168"/>
      <c r="E294" s="341"/>
      <c r="F294" s="168"/>
      <c r="G294" s="341"/>
      <c r="H294" s="168"/>
      <c r="I294" s="369"/>
      <c r="J294" s="188"/>
      <c r="K294" s="369"/>
      <c r="L294" s="188"/>
      <c r="M294" s="341"/>
      <c r="N294" s="168"/>
      <c r="O294" s="341"/>
      <c r="P294" s="168"/>
      <c r="Q294" s="369"/>
      <c r="R294" s="188"/>
      <c r="S294" s="17"/>
      <c r="T294" s="17"/>
      <c r="U294" s="17"/>
      <c r="V294" s="17"/>
    </row>
    <row r="295">
      <c r="A295" s="341"/>
      <c r="B295" s="168"/>
      <c r="C295" s="341"/>
      <c r="D295" s="168"/>
      <c r="E295" s="341"/>
      <c r="F295" s="168"/>
      <c r="G295" s="341"/>
      <c r="H295" s="168"/>
      <c r="I295" s="369"/>
      <c r="J295" s="188"/>
      <c r="K295" s="369"/>
      <c r="L295" s="188"/>
      <c r="M295" s="341"/>
      <c r="N295" s="168"/>
      <c r="O295" s="341"/>
      <c r="P295" s="168"/>
      <c r="Q295" s="369"/>
      <c r="R295" s="188"/>
      <c r="S295" s="17"/>
      <c r="T295" s="17"/>
      <c r="U295" s="17"/>
      <c r="V295" s="17"/>
    </row>
    <row r="296">
      <c r="A296" s="341"/>
      <c r="B296" s="168"/>
      <c r="C296" s="341"/>
      <c r="D296" s="168"/>
      <c r="E296" s="341"/>
      <c r="F296" s="168"/>
      <c r="G296" s="341"/>
      <c r="H296" s="168"/>
      <c r="I296" s="369"/>
      <c r="J296" s="188"/>
      <c r="K296" s="369"/>
      <c r="L296" s="188"/>
      <c r="M296" s="341"/>
      <c r="N296" s="168"/>
      <c r="O296" s="341"/>
      <c r="P296" s="168"/>
      <c r="Q296" s="369"/>
      <c r="R296" s="188"/>
      <c r="S296" s="17"/>
      <c r="T296" s="17"/>
      <c r="U296" s="17"/>
      <c r="V296" s="17"/>
    </row>
    <row r="297">
      <c r="A297" s="341"/>
      <c r="B297" s="168"/>
      <c r="C297" s="341"/>
      <c r="D297" s="168"/>
      <c r="E297" s="341"/>
      <c r="F297" s="168"/>
      <c r="G297" s="341"/>
      <c r="H297" s="168"/>
      <c r="I297" s="369"/>
      <c r="J297" s="188"/>
      <c r="K297" s="369"/>
      <c r="L297" s="188"/>
      <c r="M297" s="341"/>
      <c r="N297" s="168"/>
      <c r="O297" s="341"/>
      <c r="P297" s="168"/>
      <c r="Q297" s="369"/>
      <c r="R297" s="188"/>
      <c r="S297" s="17"/>
      <c r="T297" s="17"/>
      <c r="U297" s="17"/>
      <c r="V297" s="17"/>
    </row>
    <row r="298">
      <c r="A298" s="341"/>
      <c r="B298" s="168"/>
      <c r="C298" s="341"/>
      <c r="D298" s="168"/>
      <c r="E298" s="341"/>
      <c r="F298" s="168"/>
      <c r="G298" s="341"/>
      <c r="H298" s="168"/>
      <c r="I298" s="369"/>
      <c r="J298" s="188"/>
      <c r="K298" s="369"/>
      <c r="L298" s="188"/>
      <c r="M298" s="341"/>
      <c r="N298" s="168"/>
      <c r="O298" s="341"/>
      <c r="P298" s="168"/>
      <c r="Q298" s="369"/>
      <c r="R298" s="188"/>
      <c r="S298" s="17"/>
      <c r="T298" s="17"/>
      <c r="U298" s="17"/>
      <c r="V298" s="17"/>
    </row>
    <row r="299">
      <c r="A299" s="341"/>
      <c r="B299" s="168"/>
      <c r="C299" s="341"/>
      <c r="D299" s="168"/>
      <c r="E299" s="341"/>
      <c r="F299" s="168"/>
      <c r="G299" s="341"/>
      <c r="H299" s="168"/>
      <c r="I299" s="369"/>
      <c r="J299" s="188"/>
      <c r="K299" s="369"/>
      <c r="L299" s="188"/>
      <c r="M299" s="341"/>
      <c r="N299" s="168"/>
      <c r="O299" s="341"/>
      <c r="P299" s="168"/>
      <c r="Q299" s="369"/>
      <c r="R299" s="188"/>
      <c r="S299" s="17"/>
      <c r="T299" s="17"/>
      <c r="U299" s="17"/>
      <c r="V299" s="17"/>
    </row>
    <row r="300">
      <c r="A300" s="341"/>
      <c r="B300" s="168"/>
      <c r="C300" s="341"/>
      <c r="D300" s="168"/>
      <c r="E300" s="341"/>
      <c r="F300" s="168"/>
      <c r="G300" s="341"/>
      <c r="H300" s="168"/>
      <c r="I300" s="369"/>
      <c r="J300" s="188"/>
      <c r="K300" s="369"/>
      <c r="L300" s="188"/>
      <c r="M300" s="341"/>
      <c r="N300" s="168"/>
      <c r="O300" s="341"/>
      <c r="P300" s="168"/>
      <c r="Q300" s="369"/>
      <c r="R300" s="188"/>
      <c r="S300" s="17"/>
      <c r="T300" s="17"/>
      <c r="U300" s="17"/>
      <c r="V300" s="17"/>
    </row>
    <row r="301">
      <c r="A301" s="341"/>
      <c r="B301" s="168"/>
      <c r="C301" s="341"/>
      <c r="D301" s="168"/>
      <c r="E301" s="341"/>
      <c r="F301" s="168"/>
      <c r="G301" s="341"/>
      <c r="H301" s="168"/>
      <c r="I301" s="369"/>
      <c r="J301" s="188"/>
      <c r="K301" s="369"/>
      <c r="L301" s="188"/>
      <c r="M301" s="341"/>
      <c r="N301" s="168"/>
      <c r="O301" s="341"/>
      <c r="P301" s="168"/>
      <c r="Q301" s="369"/>
      <c r="R301" s="188"/>
      <c r="S301" s="17"/>
      <c r="T301" s="17"/>
      <c r="U301" s="17"/>
      <c r="V301" s="17"/>
    </row>
    <row r="302">
      <c r="A302" s="341"/>
      <c r="B302" s="168"/>
      <c r="C302" s="341"/>
      <c r="D302" s="168"/>
      <c r="E302" s="341"/>
      <c r="F302" s="168"/>
      <c r="G302" s="341"/>
      <c r="H302" s="168"/>
      <c r="I302" s="369"/>
      <c r="J302" s="188"/>
      <c r="K302" s="369"/>
      <c r="L302" s="188"/>
      <c r="M302" s="341"/>
      <c r="N302" s="168"/>
      <c r="O302" s="341"/>
      <c r="P302" s="168"/>
      <c r="Q302" s="369"/>
      <c r="R302" s="188"/>
      <c r="S302" s="17"/>
      <c r="T302" s="17"/>
      <c r="U302" s="17"/>
      <c r="V302" s="17"/>
    </row>
    <row r="303">
      <c r="A303" s="341"/>
      <c r="B303" s="168"/>
      <c r="C303" s="341"/>
      <c r="D303" s="168"/>
      <c r="E303" s="341"/>
      <c r="F303" s="168"/>
      <c r="G303" s="341"/>
      <c r="H303" s="168"/>
      <c r="I303" s="369"/>
      <c r="J303" s="188"/>
      <c r="K303" s="369"/>
      <c r="L303" s="188"/>
      <c r="M303" s="341"/>
      <c r="N303" s="168"/>
      <c r="O303" s="341"/>
      <c r="P303" s="168"/>
      <c r="Q303" s="369"/>
      <c r="R303" s="188"/>
      <c r="S303" s="17"/>
      <c r="T303" s="17"/>
      <c r="U303" s="17"/>
      <c r="V303" s="17"/>
    </row>
    <row r="304">
      <c r="A304" s="341"/>
      <c r="B304" s="168"/>
      <c r="C304" s="341"/>
      <c r="D304" s="168"/>
      <c r="E304" s="341"/>
      <c r="F304" s="168"/>
      <c r="G304" s="341"/>
      <c r="H304" s="168"/>
      <c r="I304" s="369"/>
      <c r="J304" s="188"/>
      <c r="K304" s="369"/>
      <c r="L304" s="188"/>
      <c r="M304" s="341"/>
      <c r="N304" s="168"/>
      <c r="O304" s="341"/>
      <c r="P304" s="168"/>
      <c r="Q304" s="369"/>
      <c r="R304" s="188"/>
      <c r="S304" s="17"/>
      <c r="T304" s="17"/>
      <c r="U304" s="17"/>
      <c r="V304" s="17"/>
    </row>
    <row r="305">
      <c r="A305" s="341"/>
      <c r="B305" s="168"/>
      <c r="C305" s="341"/>
      <c r="D305" s="168"/>
      <c r="E305" s="341"/>
      <c r="F305" s="168"/>
      <c r="G305" s="341"/>
      <c r="H305" s="168"/>
      <c r="I305" s="369"/>
      <c r="J305" s="188"/>
      <c r="K305" s="369"/>
      <c r="L305" s="188"/>
      <c r="M305" s="341"/>
      <c r="N305" s="168"/>
      <c r="O305" s="341"/>
      <c r="P305" s="168"/>
      <c r="Q305" s="369"/>
      <c r="R305" s="188"/>
      <c r="S305" s="17"/>
      <c r="T305" s="17"/>
      <c r="U305" s="17"/>
      <c r="V305" s="17"/>
    </row>
    <row r="306">
      <c r="A306" s="341"/>
      <c r="B306" s="168"/>
      <c r="C306" s="341"/>
      <c r="D306" s="168"/>
      <c r="E306" s="341"/>
      <c r="F306" s="168"/>
      <c r="G306" s="341"/>
      <c r="H306" s="168"/>
      <c r="I306" s="369"/>
      <c r="J306" s="188"/>
      <c r="K306" s="369"/>
      <c r="L306" s="188"/>
      <c r="M306" s="341"/>
      <c r="N306" s="168"/>
      <c r="O306" s="341"/>
      <c r="P306" s="168"/>
      <c r="Q306" s="369"/>
      <c r="R306" s="188"/>
      <c r="S306" s="17"/>
      <c r="T306" s="17"/>
      <c r="U306" s="17"/>
      <c r="V306" s="17"/>
    </row>
    <row r="307">
      <c r="A307" s="341"/>
      <c r="B307" s="168"/>
      <c r="C307" s="341"/>
      <c r="D307" s="168"/>
      <c r="E307" s="341"/>
      <c r="F307" s="168"/>
      <c r="G307" s="341"/>
      <c r="H307" s="168"/>
      <c r="I307" s="369"/>
      <c r="J307" s="188"/>
      <c r="K307" s="369"/>
      <c r="L307" s="188"/>
      <c r="M307" s="341"/>
      <c r="N307" s="168"/>
      <c r="O307" s="341"/>
      <c r="P307" s="168"/>
      <c r="Q307" s="369"/>
      <c r="R307" s="188"/>
      <c r="S307" s="17"/>
      <c r="T307" s="17"/>
      <c r="U307" s="17"/>
      <c r="V307" s="17"/>
    </row>
    <row r="308">
      <c r="A308" s="341"/>
      <c r="B308" s="168"/>
      <c r="C308" s="341"/>
      <c r="D308" s="168"/>
      <c r="E308" s="341"/>
      <c r="F308" s="168"/>
      <c r="G308" s="341"/>
      <c r="H308" s="168"/>
      <c r="I308" s="369"/>
      <c r="J308" s="188"/>
      <c r="K308" s="369"/>
      <c r="L308" s="188"/>
      <c r="M308" s="341"/>
      <c r="N308" s="168"/>
      <c r="O308" s="341"/>
      <c r="P308" s="168"/>
      <c r="Q308" s="369"/>
      <c r="R308" s="188"/>
      <c r="S308" s="17"/>
      <c r="T308" s="17"/>
      <c r="U308" s="17"/>
      <c r="V308" s="17"/>
    </row>
    <row r="309">
      <c r="A309" s="341"/>
      <c r="B309" s="168"/>
      <c r="C309" s="341"/>
      <c r="D309" s="168"/>
      <c r="E309" s="341"/>
      <c r="F309" s="168"/>
      <c r="G309" s="341"/>
      <c r="H309" s="168"/>
      <c r="I309" s="369"/>
      <c r="J309" s="188"/>
      <c r="K309" s="369"/>
      <c r="L309" s="188"/>
      <c r="M309" s="341"/>
      <c r="N309" s="168"/>
      <c r="O309" s="341"/>
      <c r="P309" s="168"/>
      <c r="Q309" s="369"/>
      <c r="R309" s="188"/>
      <c r="S309" s="17"/>
      <c r="T309" s="17"/>
      <c r="U309" s="17"/>
      <c r="V309" s="17"/>
    </row>
    <row r="310">
      <c r="A310" s="341"/>
      <c r="B310" s="168"/>
      <c r="C310" s="341"/>
      <c r="D310" s="168"/>
      <c r="E310" s="341"/>
      <c r="F310" s="168"/>
      <c r="G310" s="341"/>
      <c r="H310" s="168"/>
      <c r="I310" s="369"/>
      <c r="J310" s="188"/>
      <c r="K310" s="369"/>
      <c r="L310" s="188"/>
      <c r="M310" s="341"/>
      <c r="N310" s="168"/>
      <c r="O310" s="341"/>
      <c r="P310" s="168"/>
      <c r="Q310" s="369"/>
      <c r="R310" s="188"/>
      <c r="S310" s="17"/>
      <c r="T310" s="17"/>
      <c r="U310" s="17"/>
      <c r="V310" s="17"/>
    </row>
    <row r="311">
      <c r="A311" s="341"/>
      <c r="B311" s="168"/>
      <c r="C311" s="341"/>
      <c r="D311" s="168"/>
      <c r="E311" s="341"/>
      <c r="F311" s="168"/>
      <c r="G311" s="341"/>
      <c r="H311" s="168"/>
      <c r="I311" s="369"/>
      <c r="J311" s="188"/>
      <c r="K311" s="369"/>
      <c r="L311" s="188"/>
      <c r="M311" s="341"/>
      <c r="N311" s="168"/>
      <c r="O311" s="341"/>
      <c r="P311" s="168"/>
      <c r="Q311" s="369"/>
      <c r="R311" s="188"/>
      <c r="S311" s="17"/>
      <c r="T311" s="17"/>
      <c r="U311" s="17"/>
      <c r="V311" s="17"/>
    </row>
    <row r="312">
      <c r="A312" s="341"/>
      <c r="B312" s="168"/>
      <c r="C312" s="341"/>
      <c r="D312" s="168"/>
      <c r="E312" s="341"/>
      <c r="F312" s="168"/>
      <c r="G312" s="341"/>
      <c r="H312" s="168"/>
      <c r="I312" s="369"/>
      <c r="J312" s="188"/>
      <c r="K312" s="369"/>
      <c r="L312" s="188"/>
      <c r="M312" s="341"/>
      <c r="N312" s="168"/>
      <c r="O312" s="341"/>
      <c r="P312" s="168"/>
      <c r="Q312" s="369"/>
      <c r="R312" s="188"/>
      <c r="S312" s="17"/>
      <c r="T312" s="17"/>
      <c r="U312" s="17"/>
      <c r="V312" s="17"/>
    </row>
    <row r="313">
      <c r="A313" s="341"/>
      <c r="B313" s="168"/>
      <c r="C313" s="341"/>
      <c r="D313" s="168"/>
      <c r="E313" s="341"/>
      <c r="F313" s="168"/>
      <c r="G313" s="341"/>
      <c r="H313" s="168"/>
      <c r="I313" s="369"/>
      <c r="J313" s="188"/>
      <c r="K313" s="369"/>
      <c r="L313" s="188"/>
      <c r="M313" s="341"/>
      <c r="N313" s="168"/>
      <c r="O313" s="341"/>
      <c r="P313" s="168"/>
      <c r="Q313" s="369"/>
      <c r="R313" s="188"/>
      <c r="S313" s="17"/>
      <c r="T313" s="17"/>
      <c r="U313" s="17"/>
      <c r="V313" s="17"/>
    </row>
    <row r="314">
      <c r="A314" s="341"/>
      <c r="B314" s="168"/>
      <c r="C314" s="341"/>
      <c r="D314" s="168"/>
      <c r="E314" s="341"/>
      <c r="F314" s="168"/>
      <c r="G314" s="341"/>
      <c r="H314" s="168"/>
      <c r="I314" s="369"/>
      <c r="J314" s="188"/>
      <c r="K314" s="369"/>
      <c r="L314" s="188"/>
      <c r="M314" s="341"/>
      <c r="N314" s="168"/>
      <c r="O314" s="341"/>
      <c r="P314" s="168"/>
      <c r="Q314" s="369"/>
      <c r="R314" s="188"/>
      <c r="S314" s="17"/>
      <c r="T314" s="17"/>
      <c r="U314" s="17"/>
      <c r="V314" s="17"/>
    </row>
    <row r="315">
      <c r="A315" s="341"/>
      <c r="B315" s="168"/>
      <c r="C315" s="341"/>
      <c r="D315" s="168"/>
      <c r="E315" s="341"/>
      <c r="F315" s="168"/>
      <c r="G315" s="341"/>
      <c r="H315" s="168"/>
      <c r="I315" s="369"/>
      <c r="J315" s="188"/>
      <c r="K315" s="369"/>
      <c r="L315" s="188"/>
      <c r="M315" s="341"/>
      <c r="N315" s="168"/>
      <c r="O315" s="341"/>
      <c r="P315" s="168"/>
      <c r="Q315" s="369"/>
      <c r="R315" s="188"/>
      <c r="S315" s="17"/>
      <c r="T315" s="17"/>
      <c r="U315" s="17"/>
      <c r="V315" s="17"/>
    </row>
    <row r="316">
      <c r="A316" s="341"/>
      <c r="B316" s="168"/>
      <c r="C316" s="341"/>
      <c r="D316" s="168"/>
      <c r="E316" s="341"/>
      <c r="F316" s="168"/>
      <c r="G316" s="341"/>
      <c r="H316" s="168"/>
      <c r="I316" s="369"/>
      <c r="J316" s="188"/>
      <c r="K316" s="369"/>
      <c r="L316" s="188"/>
      <c r="M316" s="341"/>
      <c r="N316" s="168"/>
      <c r="O316" s="341"/>
      <c r="P316" s="168"/>
      <c r="Q316" s="369"/>
      <c r="R316" s="188"/>
      <c r="S316" s="17"/>
      <c r="T316" s="17"/>
      <c r="U316" s="17"/>
      <c r="V316" s="17"/>
    </row>
    <row r="317">
      <c r="A317" s="341"/>
      <c r="B317" s="168"/>
      <c r="C317" s="341"/>
      <c r="D317" s="168"/>
      <c r="E317" s="341"/>
      <c r="F317" s="168"/>
      <c r="G317" s="341"/>
      <c r="H317" s="168"/>
      <c r="I317" s="369"/>
      <c r="J317" s="188"/>
      <c r="K317" s="369"/>
      <c r="L317" s="188"/>
      <c r="M317" s="341"/>
      <c r="N317" s="168"/>
      <c r="O317" s="341"/>
      <c r="P317" s="168"/>
      <c r="Q317" s="369"/>
      <c r="R317" s="188"/>
      <c r="S317" s="17"/>
      <c r="T317" s="17"/>
      <c r="U317" s="17"/>
      <c r="V317" s="17"/>
    </row>
    <row r="318">
      <c r="A318" s="341"/>
      <c r="B318" s="168"/>
      <c r="C318" s="341"/>
      <c r="D318" s="168"/>
      <c r="E318" s="341"/>
      <c r="F318" s="168"/>
      <c r="G318" s="341"/>
      <c r="H318" s="168"/>
      <c r="I318" s="369"/>
      <c r="J318" s="188"/>
      <c r="K318" s="369"/>
      <c r="L318" s="188"/>
      <c r="M318" s="341"/>
      <c r="N318" s="168"/>
      <c r="O318" s="341"/>
      <c r="P318" s="168"/>
      <c r="Q318" s="369"/>
      <c r="R318" s="188"/>
      <c r="S318" s="17"/>
      <c r="T318" s="17"/>
      <c r="U318" s="17"/>
      <c r="V318" s="17"/>
    </row>
    <row r="319">
      <c r="A319" s="341"/>
      <c r="B319" s="168"/>
      <c r="C319" s="341"/>
      <c r="D319" s="168"/>
      <c r="E319" s="341"/>
      <c r="F319" s="168"/>
      <c r="G319" s="341"/>
      <c r="H319" s="168"/>
      <c r="I319" s="369"/>
      <c r="J319" s="188"/>
      <c r="K319" s="369"/>
      <c r="L319" s="188"/>
      <c r="M319" s="341"/>
      <c r="N319" s="168"/>
      <c r="O319" s="341"/>
      <c r="P319" s="168"/>
      <c r="Q319" s="369"/>
      <c r="R319" s="188"/>
      <c r="S319" s="17"/>
      <c r="T319" s="17"/>
      <c r="U319" s="17"/>
      <c r="V319" s="17"/>
    </row>
    <row r="320">
      <c r="A320" s="341"/>
      <c r="B320" s="168"/>
      <c r="C320" s="341"/>
      <c r="D320" s="168"/>
      <c r="E320" s="341"/>
      <c r="F320" s="168"/>
      <c r="G320" s="341"/>
      <c r="H320" s="168"/>
      <c r="I320" s="369"/>
      <c r="J320" s="188"/>
      <c r="K320" s="369"/>
      <c r="L320" s="188"/>
      <c r="M320" s="341"/>
      <c r="N320" s="168"/>
      <c r="O320" s="341"/>
      <c r="P320" s="168"/>
      <c r="Q320" s="369"/>
      <c r="R320" s="188"/>
      <c r="S320" s="17"/>
      <c r="T320" s="17"/>
      <c r="U320" s="17"/>
      <c r="V320" s="17"/>
    </row>
    <row r="321">
      <c r="A321" s="341"/>
      <c r="B321" s="168"/>
      <c r="C321" s="341"/>
      <c r="D321" s="168"/>
      <c r="E321" s="341"/>
      <c r="F321" s="168"/>
      <c r="G321" s="341"/>
      <c r="H321" s="168"/>
      <c r="I321" s="369"/>
      <c r="J321" s="188"/>
      <c r="K321" s="369"/>
      <c r="L321" s="188"/>
      <c r="M321" s="341"/>
      <c r="N321" s="168"/>
      <c r="O321" s="341"/>
      <c r="P321" s="168"/>
      <c r="Q321" s="369"/>
      <c r="R321" s="188"/>
      <c r="S321" s="17"/>
      <c r="T321" s="17"/>
      <c r="U321" s="17"/>
      <c r="V321" s="17"/>
    </row>
    <row r="322">
      <c r="A322" s="341"/>
      <c r="B322" s="168"/>
      <c r="C322" s="341"/>
      <c r="D322" s="168"/>
      <c r="E322" s="341"/>
      <c r="F322" s="168"/>
      <c r="G322" s="341"/>
      <c r="H322" s="168"/>
      <c r="I322" s="369"/>
      <c r="J322" s="188"/>
      <c r="K322" s="369"/>
      <c r="L322" s="188"/>
      <c r="M322" s="341"/>
      <c r="N322" s="168"/>
      <c r="O322" s="341"/>
      <c r="P322" s="168"/>
      <c r="Q322" s="369"/>
      <c r="R322" s="188"/>
      <c r="S322" s="17"/>
      <c r="T322" s="17"/>
      <c r="U322" s="17"/>
      <c r="V322" s="17"/>
    </row>
    <row r="323">
      <c r="A323" s="341"/>
      <c r="B323" s="168"/>
      <c r="C323" s="341"/>
      <c r="D323" s="168"/>
      <c r="E323" s="341"/>
      <c r="F323" s="168"/>
      <c r="G323" s="341"/>
      <c r="H323" s="168"/>
      <c r="I323" s="369"/>
      <c r="J323" s="188"/>
      <c r="K323" s="369"/>
      <c r="L323" s="188"/>
      <c r="M323" s="341"/>
      <c r="N323" s="168"/>
      <c r="O323" s="341"/>
      <c r="P323" s="168"/>
      <c r="Q323" s="369"/>
      <c r="R323" s="188"/>
      <c r="S323" s="17"/>
      <c r="T323" s="17"/>
      <c r="U323" s="17"/>
      <c r="V323" s="17"/>
    </row>
    <row r="324">
      <c r="A324" s="341"/>
      <c r="B324" s="168"/>
      <c r="C324" s="341"/>
      <c r="D324" s="168"/>
      <c r="E324" s="341"/>
      <c r="F324" s="168"/>
      <c r="G324" s="341"/>
      <c r="H324" s="168"/>
      <c r="I324" s="369"/>
      <c r="J324" s="188"/>
      <c r="K324" s="369"/>
      <c r="L324" s="188"/>
      <c r="M324" s="341"/>
      <c r="N324" s="168"/>
      <c r="O324" s="341"/>
      <c r="P324" s="168"/>
      <c r="Q324" s="369"/>
      <c r="R324" s="188"/>
      <c r="S324" s="17"/>
      <c r="T324" s="17"/>
      <c r="U324" s="17"/>
      <c r="V324" s="17"/>
    </row>
    <row r="325">
      <c r="A325" s="341"/>
      <c r="B325" s="168"/>
      <c r="C325" s="341"/>
      <c r="D325" s="168"/>
      <c r="E325" s="341"/>
      <c r="F325" s="168"/>
      <c r="G325" s="341"/>
      <c r="H325" s="168"/>
      <c r="I325" s="369"/>
      <c r="J325" s="188"/>
      <c r="K325" s="369"/>
      <c r="L325" s="188"/>
      <c r="M325" s="341"/>
      <c r="N325" s="168"/>
      <c r="O325" s="341"/>
      <c r="P325" s="168"/>
      <c r="Q325" s="369"/>
      <c r="R325" s="188"/>
      <c r="S325" s="17"/>
      <c r="T325" s="17"/>
      <c r="U325" s="17"/>
      <c r="V325" s="17"/>
    </row>
    <row r="326">
      <c r="A326" s="341"/>
      <c r="B326" s="168"/>
      <c r="C326" s="341"/>
      <c r="D326" s="168"/>
      <c r="E326" s="341"/>
      <c r="F326" s="168"/>
      <c r="G326" s="341"/>
      <c r="H326" s="168"/>
      <c r="I326" s="369"/>
      <c r="J326" s="188"/>
      <c r="K326" s="369"/>
      <c r="L326" s="188"/>
      <c r="M326" s="341"/>
      <c r="N326" s="168"/>
      <c r="O326" s="341"/>
      <c r="P326" s="168"/>
      <c r="Q326" s="369"/>
      <c r="R326" s="188"/>
      <c r="S326" s="17"/>
      <c r="T326" s="17"/>
      <c r="U326" s="17"/>
      <c r="V326" s="17"/>
    </row>
    <row r="327">
      <c r="A327" s="341"/>
      <c r="B327" s="168"/>
      <c r="C327" s="341"/>
      <c r="D327" s="168"/>
      <c r="E327" s="341"/>
      <c r="F327" s="168"/>
      <c r="G327" s="341"/>
      <c r="H327" s="168"/>
      <c r="I327" s="369"/>
      <c r="J327" s="188"/>
      <c r="K327" s="369"/>
      <c r="L327" s="188"/>
      <c r="M327" s="341"/>
      <c r="N327" s="168"/>
      <c r="O327" s="341"/>
      <c r="P327" s="168"/>
      <c r="Q327" s="369"/>
      <c r="R327" s="188"/>
      <c r="S327" s="17"/>
      <c r="T327" s="17"/>
      <c r="U327" s="17"/>
      <c r="V327" s="17"/>
    </row>
    <row r="328">
      <c r="A328" s="341"/>
      <c r="B328" s="168"/>
      <c r="C328" s="341"/>
      <c r="D328" s="168"/>
      <c r="E328" s="341"/>
      <c r="F328" s="168"/>
      <c r="G328" s="341"/>
      <c r="H328" s="168"/>
      <c r="I328" s="369"/>
      <c r="J328" s="188"/>
      <c r="K328" s="369"/>
      <c r="L328" s="188"/>
      <c r="M328" s="341"/>
      <c r="N328" s="168"/>
      <c r="O328" s="341"/>
      <c r="P328" s="168"/>
      <c r="Q328" s="369"/>
      <c r="R328" s="188"/>
      <c r="S328" s="17"/>
      <c r="T328" s="17"/>
      <c r="U328" s="17"/>
      <c r="V328" s="17"/>
    </row>
    <row r="329">
      <c r="A329" s="341"/>
      <c r="B329" s="168"/>
      <c r="C329" s="341"/>
      <c r="D329" s="168"/>
      <c r="E329" s="341"/>
      <c r="F329" s="168"/>
      <c r="G329" s="341"/>
      <c r="H329" s="168"/>
      <c r="I329" s="369"/>
      <c r="J329" s="188"/>
      <c r="K329" s="369"/>
      <c r="L329" s="188"/>
      <c r="M329" s="341"/>
      <c r="N329" s="168"/>
      <c r="O329" s="341"/>
      <c r="P329" s="168"/>
      <c r="Q329" s="369"/>
      <c r="R329" s="188"/>
      <c r="S329" s="17"/>
      <c r="T329" s="17"/>
      <c r="U329" s="17"/>
      <c r="V329" s="17"/>
    </row>
    <row r="330">
      <c r="A330" s="341"/>
      <c r="B330" s="168"/>
      <c r="C330" s="341"/>
      <c r="D330" s="168"/>
      <c r="E330" s="341"/>
      <c r="F330" s="168"/>
      <c r="G330" s="341"/>
      <c r="H330" s="168"/>
      <c r="I330" s="369"/>
      <c r="J330" s="188"/>
      <c r="K330" s="369"/>
      <c r="L330" s="188"/>
      <c r="M330" s="341"/>
      <c r="N330" s="168"/>
      <c r="O330" s="341"/>
      <c r="P330" s="168"/>
      <c r="Q330" s="369"/>
      <c r="R330" s="188"/>
      <c r="S330" s="17"/>
      <c r="T330" s="17"/>
      <c r="U330" s="17"/>
      <c r="V330" s="17"/>
    </row>
    <row r="331">
      <c r="A331" s="341"/>
      <c r="B331" s="168"/>
      <c r="C331" s="341"/>
      <c r="D331" s="168"/>
      <c r="E331" s="341"/>
      <c r="F331" s="168"/>
      <c r="G331" s="341"/>
      <c r="H331" s="168"/>
      <c r="I331" s="369"/>
      <c r="J331" s="188"/>
      <c r="K331" s="369"/>
      <c r="L331" s="188"/>
      <c r="M331" s="341"/>
      <c r="N331" s="168"/>
      <c r="O331" s="341"/>
      <c r="P331" s="168"/>
      <c r="Q331" s="369"/>
      <c r="R331" s="188"/>
      <c r="S331" s="17"/>
      <c r="T331" s="17"/>
      <c r="U331" s="17"/>
      <c r="V331" s="17"/>
    </row>
    <row r="332">
      <c r="A332" s="341"/>
      <c r="B332" s="168"/>
      <c r="C332" s="341"/>
      <c r="D332" s="168"/>
      <c r="E332" s="341"/>
      <c r="F332" s="168"/>
      <c r="G332" s="341"/>
      <c r="H332" s="168"/>
      <c r="I332" s="369"/>
      <c r="J332" s="188"/>
      <c r="K332" s="369"/>
      <c r="L332" s="188"/>
      <c r="M332" s="341"/>
      <c r="N332" s="168"/>
      <c r="O332" s="341"/>
      <c r="P332" s="168"/>
      <c r="Q332" s="369"/>
      <c r="R332" s="188"/>
      <c r="S332" s="17"/>
      <c r="T332" s="17"/>
      <c r="U332" s="17"/>
      <c r="V332" s="17"/>
    </row>
    <row r="333">
      <c r="A333" s="341"/>
      <c r="B333" s="168"/>
      <c r="C333" s="341"/>
      <c r="D333" s="168"/>
      <c r="E333" s="341"/>
      <c r="F333" s="168"/>
      <c r="G333" s="341"/>
      <c r="H333" s="168"/>
      <c r="I333" s="369"/>
      <c r="J333" s="188"/>
      <c r="K333" s="369"/>
      <c r="L333" s="188"/>
      <c r="M333" s="341"/>
      <c r="N333" s="168"/>
      <c r="O333" s="341"/>
      <c r="P333" s="168"/>
      <c r="Q333" s="369"/>
      <c r="R333" s="188"/>
      <c r="S333" s="17"/>
      <c r="T333" s="17"/>
      <c r="U333" s="17"/>
      <c r="V333" s="17"/>
    </row>
    <row r="334">
      <c r="A334" s="341"/>
      <c r="B334" s="168"/>
      <c r="C334" s="341"/>
      <c r="D334" s="168"/>
      <c r="E334" s="341"/>
      <c r="F334" s="168"/>
      <c r="G334" s="341"/>
      <c r="H334" s="168"/>
      <c r="I334" s="369"/>
      <c r="J334" s="188"/>
      <c r="K334" s="369"/>
      <c r="L334" s="188"/>
      <c r="M334" s="341"/>
      <c r="N334" s="168"/>
      <c r="O334" s="341"/>
      <c r="P334" s="168"/>
      <c r="Q334" s="369"/>
      <c r="R334" s="188"/>
      <c r="S334" s="17"/>
      <c r="T334" s="17"/>
      <c r="U334" s="17"/>
      <c r="V334" s="17"/>
    </row>
    <row r="335">
      <c r="A335" s="341"/>
      <c r="B335" s="168"/>
      <c r="C335" s="341"/>
      <c r="D335" s="168"/>
      <c r="E335" s="341"/>
      <c r="F335" s="168"/>
      <c r="G335" s="341"/>
      <c r="H335" s="168"/>
      <c r="I335" s="369"/>
      <c r="J335" s="188"/>
      <c r="K335" s="369"/>
      <c r="L335" s="188"/>
      <c r="M335" s="341"/>
      <c r="N335" s="168"/>
      <c r="O335" s="341"/>
      <c r="P335" s="168"/>
      <c r="Q335" s="369"/>
      <c r="R335" s="188"/>
      <c r="S335" s="17"/>
      <c r="T335" s="17"/>
      <c r="U335" s="17"/>
      <c r="V335" s="17"/>
    </row>
    <row r="336">
      <c r="A336" s="341"/>
      <c r="B336" s="168"/>
      <c r="C336" s="341"/>
      <c r="D336" s="168"/>
      <c r="E336" s="341"/>
      <c r="F336" s="168"/>
      <c r="G336" s="341"/>
      <c r="H336" s="168"/>
      <c r="I336" s="369"/>
      <c r="J336" s="188"/>
      <c r="K336" s="369"/>
      <c r="L336" s="188"/>
      <c r="M336" s="341"/>
      <c r="N336" s="168"/>
      <c r="O336" s="341"/>
      <c r="P336" s="168"/>
      <c r="Q336" s="369"/>
      <c r="R336" s="188"/>
      <c r="S336" s="17"/>
      <c r="T336" s="17"/>
      <c r="U336" s="17"/>
      <c r="V336" s="17"/>
    </row>
    <row r="337">
      <c r="A337" s="341"/>
      <c r="B337" s="168"/>
      <c r="C337" s="341"/>
      <c r="D337" s="168"/>
      <c r="E337" s="341"/>
      <c r="F337" s="168"/>
      <c r="G337" s="341"/>
      <c r="H337" s="168"/>
      <c r="I337" s="369"/>
      <c r="J337" s="188"/>
      <c r="K337" s="369"/>
      <c r="L337" s="188"/>
      <c r="M337" s="341"/>
      <c r="N337" s="168"/>
      <c r="O337" s="341"/>
      <c r="P337" s="168"/>
      <c r="Q337" s="369"/>
      <c r="R337" s="188"/>
      <c r="S337" s="17"/>
      <c r="T337" s="17"/>
      <c r="U337" s="17"/>
      <c r="V337" s="17"/>
    </row>
    <row r="338">
      <c r="A338" s="341"/>
      <c r="B338" s="168"/>
      <c r="C338" s="341"/>
      <c r="D338" s="168"/>
      <c r="E338" s="341"/>
      <c r="F338" s="168"/>
      <c r="G338" s="341"/>
      <c r="H338" s="168"/>
      <c r="I338" s="369"/>
      <c r="J338" s="188"/>
      <c r="K338" s="369"/>
      <c r="L338" s="188"/>
      <c r="M338" s="341"/>
      <c r="N338" s="168"/>
      <c r="O338" s="341"/>
      <c r="P338" s="168"/>
      <c r="Q338" s="369"/>
      <c r="R338" s="188"/>
      <c r="S338" s="17"/>
      <c r="T338" s="17"/>
      <c r="U338" s="17"/>
      <c r="V338" s="17"/>
    </row>
    <row r="339">
      <c r="A339" s="341"/>
      <c r="B339" s="168"/>
      <c r="C339" s="341"/>
      <c r="D339" s="168"/>
      <c r="E339" s="341"/>
      <c r="F339" s="168"/>
      <c r="G339" s="341"/>
      <c r="H339" s="168"/>
      <c r="I339" s="369"/>
      <c r="J339" s="188"/>
      <c r="K339" s="369"/>
      <c r="L339" s="188"/>
      <c r="M339" s="341"/>
      <c r="N339" s="168"/>
      <c r="O339" s="341"/>
      <c r="P339" s="168"/>
      <c r="Q339" s="369"/>
      <c r="R339" s="188"/>
      <c r="S339" s="17"/>
      <c r="T339" s="17"/>
      <c r="U339" s="17"/>
      <c r="V339" s="17"/>
    </row>
    <row r="340">
      <c r="A340" s="341"/>
      <c r="B340" s="168"/>
      <c r="C340" s="341"/>
      <c r="D340" s="168"/>
      <c r="E340" s="341"/>
      <c r="F340" s="168"/>
      <c r="G340" s="341"/>
      <c r="H340" s="168"/>
      <c r="I340" s="369"/>
      <c r="J340" s="188"/>
      <c r="K340" s="369"/>
      <c r="L340" s="188"/>
      <c r="M340" s="341"/>
      <c r="N340" s="168"/>
      <c r="O340" s="341"/>
      <c r="P340" s="168"/>
      <c r="Q340" s="369"/>
      <c r="R340" s="188"/>
      <c r="S340" s="17"/>
      <c r="T340" s="17"/>
      <c r="U340" s="17"/>
      <c r="V340" s="17"/>
    </row>
    <row r="341">
      <c r="A341" s="341"/>
      <c r="B341" s="168"/>
      <c r="C341" s="341"/>
      <c r="D341" s="168"/>
      <c r="E341" s="341"/>
      <c r="F341" s="168"/>
      <c r="G341" s="341"/>
      <c r="H341" s="168"/>
      <c r="I341" s="369"/>
      <c r="J341" s="188"/>
      <c r="K341" s="369"/>
      <c r="L341" s="188"/>
      <c r="M341" s="341"/>
      <c r="N341" s="168"/>
      <c r="O341" s="341"/>
      <c r="P341" s="168"/>
      <c r="Q341" s="369"/>
      <c r="R341" s="188"/>
      <c r="S341" s="17"/>
      <c r="T341" s="17"/>
      <c r="U341" s="17"/>
      <c r="V341" s="17"/>
    </row>
    <row r="342">
      <c r="A342" s="341"/>
      <c r="B342" s="168"/>
      <c r="C342" s="341"/>
      <c r="D342" s="168"/>
      <c r="E342" s="341"/>
      <c r="F342" s="168"/>
      <c r="G342" s="341"/>
      <c r="H342" s="168"/>
      <c r="I342" s="369"/>
      <c r="J342" s="188"/>
      <c r="K342" s="369"/>
      <c r="L342" s="188"/>
      <c r="M342" s="341"/>
      <c r="N342" s="168"/>
      <c r="O342" s="341"/>
      <c r="P342" s="168"/>
      <c r="Q342" s="369"/>
      <c r="R342" s="188"/>
      <c r="S342" s="17"/>
      <c r="T342" s="17"/>
      <c r="U342" s="17"/>
      <c r="V342" s="17"/>
    </row>
    <row r="343">
      <c r="A343" s="341"/>
      <c r="B343" s="168"/>
      <c r="C343" s="341"/>
      <c r="D343" s="168"/>
      <c r="E343" s="341"/>
      <c r="F343" s="168"/>
      <c r="G343" s="341"/>
      <c r="H343" s="168"/>
      <c r="I343" s="369"/>
      <c r="J343" s="188"/>
      <c r="K343" s="369"/>
      <c r="L343" s="188"/>
      <c r="M343" s="341"/>
      <c r="N343" s="168"/>
      <c r="O343" s="341"/>
      <c r="P343" s="168"/>
      <c r="Q343" s="369"/>
      <c r="R343" s="188"/>
      <c r="S343" s="17"/>
      <c r="T343" s="17"/>
      <c r="U343" s="17"/>
      <c r="V343" s="17"/>
    </row>
    <row r="344">
      <c r="A344" s="341"/>
      <c r="B344" s="168"/>
      <c r="C344" s="341"/>
      <c r="D344" s="168"/>
      <c r="E344" s="341"/>
      <c r="F344" s="168"/>
      <c r="G344" s="341"/>
      <c r="H344" s="168"/>
      <c r="I344" s="369"/>
      <c r="J344" s="188"/>
      <c r="K344" s="369"/>
      <c r="L344" s="188"/>
      <c r="M344" s="341"/>
      <c r="N344" s="168"/>
      <c r="O344" s="341"/>
      <c r="P344" s="168"/>
      <c r="Q344" s="369"/>
      <c r="R344" s="188"/>
      <c r="S344" s="17"/>
      <c r="T344" s="17"/>
      <c r="U344" s="17"/>
      <c r="V344" s="17"/>
    </row>
    <row r="345">
      <c r="A345" s="341"/>
      <c r="B345" s="168"/>
      <c r="C345" s="341"/>
      <c r="D345" s="168"/>
      <c r="E345" s="341"/>
      <c r="F345" s="168"/>
      <c r="G345" s="341"/>
      <c r="H345" s="168"/>
      <c r="I345" s="369"/>
      <c r="J345" s="188"/>
      <c r="K345" s="369"/>
      <c r="L345" s="188"/>
      <c r="M345" s="341"/>
      <c r="N345" s="168"/>
      <c r="O345" s="341"/>
      <c r="P345" s="168"/>
      <c r="Q345" s="369"/>
      <c r="R345" s="188"/>
      <c r="S345" s="17"/>
      <c r="T345" s="17"/>
      <c r="U345" s="17"/>
      <c r="V345" s="17"/>
    </row>
    <row r="346">
      <c r="A346" s="341"/>
      <c r="B346" s="168"/>
      <c r="C346" s="341"/>
      <c r="D346" s="168"/>
      <c r="E346" s="341"/>
      <c r="F346" s="168"/>
      <c r="G346" s="341"/>
      <c r="H346" s="168"/>
      <c r="I346" s="369"/>
      <c r="J346" s="188"/>
      <c r="K346" s="369"/>
      <c r="L346" s="188"/>
      <c r="M346" s="341"/>
      <c r="N346" s="168"/>
      <c r="O346" s="341"/>
      <c r="P346" s="168"/>
      <c r="Q346" s="369"/>
      <c r="R346" s="188"/>
      <c r="S346" s="17"/>
      <c r="T346" s="17"/>
      <c r="U346" s="17"/>
      <c r="V346" s="17"/>
    </row>
    <row r="347">
      <c r="A347" s="341"/>
      <c r="B347" s="168"/>
      <c r="C347" s="341"/>
      <c r="D347" s="168"/>
      <c r="E347" s="341"/>
      <c r="F347" s="168"/>
      <c r="G347" s="341"/>
      <c r="H347" s="168"/>
      <c r="I347" s="369"/>
      <c r="J347" s="188"/>
      <c r="K347" s="369"/>
      <c r="L347" s="188"/>
      <c r="M347" s="341"/>
      <c r="N347" s="168"/>
      <c r="O347" s="341"/>
      <c r="P347" s="168"/>
      <c r="Q347" s="369"/>
      <c r="R347" s="188"/>
      <c r="S347" s="17"/>
      <c r="T347" s="17"/>
      <c r="U347" s="17"/>
      <c r="V347" s="17"/>
    </row>
    <row r="348">
      <c r="A348" s="341"/>
      <c r="B348" s="168"/>
      <c r="C348" s="341"/>
      <c r="D348" s="168"/>
      <c r="E348" s="341"/>
      <c r="F348" s="168"/>
      <c r="G348" s="341"/>
      <c r="H348" s="168"/>
      <c r="I348" s="369"/>
      <c r="J348" s="188"/>
      <c r="K348" s="369"/>
      <c r="L348" s="188"/>
      <c r="M348" s="341"/>
      <c r="N348" s="168"/>
      <c r="O348" s="341"/>
      <c r="P348" s="168"/>
      <c r="Q348" s="369"/>
      <c r="R348" s="188"/>
      <c r="S348" s="17"/>
      <c r="T348" s="17"/>
      <c r="U348" s="17"/>
      <c r="V348" s="17"/>
    </row>
    <row r="349">
      <c r="A349" s="341"/>
      <c r="B349" s="168"/>
      <c r="C349" s="341"/>
      <c r="D349" s="168"/>
      <c r="E349" s="341"/>
      <c r="F349" s="168"/>
      <c r="G349" s="341"/>
      <c r="H349" s="168"/>
      <c r="I349" s="369"/>
      <c r="J349" s="188"/>
      <c r="K349" s="369"/>
      <c r="L349" s="188"/>
      <c r="M349" s="341"/>
      <c r="N349" s="168"/>
      <c r="O349" s="341"/>
      <c r="P349" s="168"/>
      <c r="Q349" s="369"/>
      <c r="R349" s="188"/>
      <c r="S349" s="17"/>
      <c r="T349" s="17"/>
      <c r="U349" s="17"/>
      <c r="V349" s="17"/>
    </row>
    <row r="350">
      <c r="A350" s="341"/>
      <c r="B350" s="168"/>
      <c r="C350" s="341"/>
      <c r="D350" s="168"/>
      <c r="E350" s="341"/>
      <c r="F350" s="168"/>
      <c r="G350" s="341"/>
      <c r="H350" s="168"/>
      <c r="I350" s="369"/>
      <c r="J350" s="188"/>
      <c r="K350" s="369"/>
      <c r="L350" s="188"/>
      <c r="M350" s="341"/>
      <c r="N350" s="168"/>
      <c r="O350" s="341"/>
      <c r="P350" s="168"/>
      <c r="Q350" s="369"/>
      <c r="R350" s="188"/>
      <c r="S350" s="17"/>
      <c r="T350" s="17"/>
      <c r="U350" s="17"/>
      <c r="V350" s="17"/>
    </row>
    <row r="351">
      <c r="A351" s="341"/>
      <c r="B351" s="168"/>
      <c r="C351" s="341"/>
      <c r="D351" s="168"/>
      <c r="E351" s="341"/>
      <c r="F351" s="168"/>
      <c r="G351" s="341"/>
      <c r="H351" s="168"/>
      <c r="I351" s="369"/>
      <c r="J351" s="188"/>
      <c r="K351" s="369"/>
      <c r="L351" s="188"/>
      <c r="M351" s="341"/>
      <c r="N351" s="168"/>
      <c r="O351" s="341"/>
      <c r="P351" s="168"/>
      <c r="Q351" s="369"/>
      <c r="R351" s="188"/>
      <c r="S351" s="17"/>
      <c r="T351" s="17"/>
      <c r="U351" s="17"/>
      <c r="V351" s="17"/>
    </row>
    <row r="352">
      <c r="A352" s="341"/>
      <c r="B352" s="168"/>
      <c r="C352" s="341"/>
      <c r="D352" s="168"/>
      <c r="E352" s="341"/>
      <c r="F352" s="168"/>
      <c r="G352" s="341"/>
      <c r="H352" s="168"/>
      <c r="I352" s="369"/>
      <c r="J352" s="188"/>
      <c r="K352" s="369"/>
      <c r="L352" s="188"/>
      <c r="M352" s="341"/>
      <c r="N352" s="168"/>
      <c r="O352" s="341"/>
      <c r="P352" s="168"/>
      <c r="Q352" s="369"/>
      <c r="R352" s="188"/>
      <c r="S352" s="17"/>
      <c r="T352" s="17"/>
      <c r="U352" s="17"/>
      <c r="V352" s="17"/>
    </row>
    <row r="353">
      <c r="A353" s="341"/>
      <c r="B353" s="168"/>
      <c r="C353" s="341"/>
      <c r="D353" s="168"/>
      <c r="E353" s="341"/>
      <c r="F353" s="168"/>
      <c r="G353" s="341"/>
      <c r="H353" s="168"/>
      <c r="I353" s="369"/>
      <c r="J353" s="188"/>
      <c r="K353" s="369"/>
      <c r="L353" s="188"/>
      <c r="M353" s="341"/>
      <c r="N353" s="168"/>
      <c r="O353" s="341"/>
      <c r="P353" s="168"/>
      <c r="Q353" s="369"/>
      <c r="R353" s="188"/>
      <c r="S353" s="17"/>
      <c r="T353" s="17"/>
      <c r="U353" s="17"/>
      <c r="V353" s="17"/>
    </row>
    <row r="354">
      <c r="A354" s="341"/>
      <c r="B354" s="168"/>
      <c r="C354" s="341"/>
      <c r="D354" s="168"/>
      <c r="E354" s="341"/>
      <c r="F354" s="168"/>
      <c r="G354" s="341"/>
      <c r="H354" s="168"/>
      <c r="I354" s="369"/>
      <c r="J354" s="188"/>
      <c r="K354" s="369"/>
      <c r="L354" s="188"/>
      <c r="M354" s="341"/>
      <c r="N354" s="168"/>
      <c r="O354" s="341"/>
      <c r="P354" s="168"/>
      <c r="Q354" s="369"/>
      <c r="R354" s="188"/>
      <c r="S354" s="17"/>
      <c r="T354" s="17"/>
      <c r="U354" s="17"/>
      <c r="V354" s="17"/>
    </row>
    <row r="355">
      <c r="A355" s="341"/>
      <c r="B355" s="168"/>
      <c r="C355" s="341"/>
      <c r="D355" s="168"/>
      <c r="E355" s="341"/>
      <c r="F355" s="168"/>
      <c r="G355" s="341"/>
      <c r="H355" s="168"/>
      <c r="I355" s="369"/>
      <c r="J355" s="188"/>
      <c r="K355" s="369"/>
      <c r="L355" s="188"/>
      <c r="M355" s="341"/>
      <c r="N355" s="168"/>
      <c r="O355" s="341"/>
      <c r="P355" s="168"/>
      <c r="Q355" s="369"/>
      <c r="R355" s="188"/>
      <c r="S355" s="17"/>
      <c r="T355" s="17"/>
      <c r="U355" s="17"/>
      <c r="V355" s="17"/>
    </row>
    <row r="356">
      <c r="A356" s="341"/>
      <c r="B356" s="168"/>
      <c r="C356" s="341"/>
      <c r="D356" s="168"/>
      <c r="E356" s="341"/>
      <c r="F356" s="168"/>
      <c r="G356" s="341"/>
      <c r="H356" s="168"/>
      <c r="I356" s="369"/>
      <c r="J356" s="188"/>
      <c r="K356" s="369"/>
      <c r="L356" s="188"/>
      <c r="M356" s="341"/>
      <c r="N356" s="168"/>
      <c r="O356" s="341"/>
      <c r="P356" s="168"/>
      <c r="Q356" s="369"/>
      <c r="R356" s="188"/>
      <c r="S356" s="17"/>
      <c r="T356" s="17"/>
      <c r="U356" s="17"/>
      <c r="V356" s="17"/>
    </row>
    <row r="357">
      <c r="A357" s="341"/>
      <c r="B357" s="168"/>
      <c r="C357" s="341"/>
      <c r="D357" s="168"/>
      <c r="E357" s="341"/>
      <c r="F357" s="168"/>
      <c r="G357" s="341"/>
      <c r="H357" s="168"/>
      <c r="I357" s="369"/>
      <c r="J357" s="188"/>
      <c r="K357" s="369"/>
      <c r="L357" s="188"/>
      <c r="M357" s="341"/>
      <c r="N357" s="168"/>
      <c r="O357" s="341"/>
      <c r="P357" s="168"/>
      <c r="Q357" s="369"/>
      <c r="R357" s="188"/>
      <c r="S357" s="17"/>
      <c r="T357" s="17"/>
      <c r="U357" s="17"/>
      <c r="V357" s="17"/>
    </row>
    <row r="358">
      <c r="A358" s="341"/>
      <c r="B358" s="168"/>
      <c r="C358" s="341"/>
      <c r="D358" s="168"/>
      <c r="E358" s="341"/>
      <c r="F358" s="168"/>
      <c r="G358" s="341"/>
      <c r="H358" s="168"/>
      <c r="I358" s="369"/>
      <c r="J358" s="188"/>
      <c r="K358" s="369"/>
      <c r="L358" s="188"/>
      <c r="M358" s="341"/>
      <c r="N358" s="168"/>
      <c r="O358" s="341"/>
      <c r="P358" s="168"/>
      <c r="Q358" s="369"/>
      <c r="R358" s="188"/>
      <c r="S358" s="17"/>
      <c r="T358" s="17"/>
      <c r="U358" s="17"/>
      <c r="V358" s="17"/>
    </row>
    <row r="359">
      <c r="A359" s="341"/>
      <c r="B359" s="168"/>
      <c r="C359" s="341"/>
      <c r="D359" s="168"/>
      <c r="E359" s="341"/>
      <c r="F359" s="168"/>
      <c r="G359" s="341"/>
      <c r="H359" s="168"/>
      <c r="I359" s="369"/>
      <c r="J359" s="188"/>
      <c r="K359" s="369"/>
      <c r="L359" s="188"/>
      <c r="M359" s="341"/>
      <c r="N359" s="168"/>
      <c r="O359" s="341"/>
      <c r="P359" s="168"/>
      <c r="Q359" s="369"/>
      <c r="R359" s="188"/>
      <c r="S359" s="17"/>
      <c r="T359" s="17"/>
      <c r="U359" s="17"/>
      <c r="V359" s="17"/>
    </row>
    <row r="360">
      <c r="A360" s="341"/>
      <c r="B360" s="168"/>
      <c r="C360" s="341"/>
      <c r="D360" s="168"/>
      <c r="E360" s="341"/>
      <c r="F360" s="168"/>
      <c r="G360" s="341"/>
      <c r="H360" s="168"/>
      <c r="I360" s="369"/>
      <c r="J360" s="188"/>
      <c r="K360" s="369"/>
      <c r="L360" s="188"/>
      <c r="M360" s="341"/>
      <c r="N360" s="168"/>
      <c r="O360" s="341"/>
      <c r="P360" s="168"/>
      <c r="Q360" s="369"/>
      <c r="R360" s="188"/>
      <c r="S360" s="17"/>
      <c r="T360" s="17"/>
      <c r="U360" s="17"/>
      <c r="V360" s="17"/>
    </row>
    <row r="361">
      <c r="A361" s="341"/>
      <c r="B361" s="168"/>
      <c r="C361" s="341"/>
      <c r="D361" s="168"/>
      <c r="E361" s="341"/>
      <c r="F361" s="168"/>
      <c r="G361" s="341"/>
      <c r="H361" s="168"/>
      <c r="I361" s="369"/>
      <c r="J361" s="188"/>
      <c r="K361" s="369"/>
      <c r="L361" s="188"/>
      <c r="M361" s="341"/>
      <c r="N361" s="168"/>
      <c r="O361" s="341"/>
      <c r="P361" s="168"/>
      <c r="Q361" s="369"/>
      <c r="R361" s="188"/>
      <c r="S361" s="17"/>
      <c r="T361" s="17"/>
      <c r="U361" s="17"/>
      <c r="V361" s="17"/>
    </row>
    <row r="362">
      <c r="A362" s="341"/>
      <c r="B362" s="168"/>
      <c r="C362" s="341"/>
      <c r="D362" s="168"/>
      <c r="E362" s="341"/>
      <c r="F362" s="168"/>
      <c r="G362" s="341"/>
      <c r="H362" s="168"/>
      <c r="I362" s="369"/>
      <c r="J362" s="188"/>
      <c r="K362" s="369"/>
      <c r="L362" s="188"/>
      <c r="M362" s="341"/>
      <c r="N362" s="168"/>
      <c r="O362" s="341"/>
      <c r="P362" s="168"/>
      <c r="Q362" s="369"/>
      <c r="R362" s="188"/>
      <c r="S362" s="17"/>
      <c r="T362" s="17"/>
      <c r="U362" s="17"/>
      <c r="V362" s="17"/>
    </row>
    <row r="363">
      <c r="A363" s="341"/>
      <c r="B363" s="168"/>
      <c r="C363" s="341"/>
      <c r="D363" s="168"/>
      <c r="E363" s="341"/>
      <c r="F363" s="168"/>
      <c r="G363" s="341"/>
      <c r="H363" s="168"/>
      <c r="I363" s="369"/>
      <c r="J363" s="188"/>
      <c r="K363" s="369"/>
      <c r="L363" s="188"/>
      <c r="M363" s="341"/>
      <c r="N363" s="168"/>
      <c r="O363" s="341"/>
      <c r="P363" s="168"/>
      <c r="Q363" s="369"/>
      <c r="R363" s="188"/>
      <c r="S363" s="17"/>
      <c r="T363" s="17"/>
      <c r="U363" s="17"/>
      <c r="V363" s="17"/>
    </row>
    <row r="364">
      <c r="A364" s="341"/>
      <c r="B364" s="168"/>
      <c r="C364" s="341"/>
      <c r="D364" s="168"/>
      <c r="E364" s="341"/>
      <c r="F364" s="168"/>
      <c r="G364" s="341"/>
      <c r="H364" s="168"/>
      <c r="I364" s="369"/>
      <c r="J364" s="188"/>
      <c r="K364" s="369"/>
      <c r="L364" s="188"/>
      <c r="M364" s="341"/>
      <c r="N364" s="168"/>
      <c r="O364" s="341"/>
      <c r="P364" s="168"/>
      <c r="Q364" s="369"/>
      <c r="R364" s="188"/>
      <c r="S364" s="17"/>
      <c r="T364" s="17"/>
      <c r="U364" s="17"/>
      <c r="V364" s="17"/>
    </row>
    <row r="365">
      <c r="A365" s="341"/>
      <c r="B365" s="168"/>
      <c r="C365" s="341"/>
      <c r="D365" s="168"/>
      <c r="E365" s="341"/>
      <c r="F365" s="168"/>
      <c r="G365" s="341"/>
      <c r="H365" s="168"/>
      <c r="I365" s="369"/>
      <c r="J365" s="188"/>
      <c r="K365" s="369"/>
      <c r="L365" s="188"/>
      <c r="M365" s="341"/>
      <c r="N365" s="168"/>
      <c r="O365" s="341"/>
      <c r="P365" s="168"/>
      <c r="Q365" s="369"/>
      <c r="R365" s="188"/>
      <c r="S365" s="17"/>
      <c r="T365" s="17"/>
      <c r="U365" s="17"/>
      <c r="V365" s="17"/>
    </row>
    <row r="366">
      <c r="A366" s="341"/>
      <c r="B366" s="168"/>
      <c r="C366" s="341"/>
      <c r="D366" s="168"/>
      <c r="E366" s="341"/>
      <c r="F366" s="168"/>
      <c r="G366" s="341"/>
      <c r="H366" s="168"/>
      <c r="I366" s="369"/>
      <c r="J366" s="188"/>
      <c r="K366" s="369"/>
      <c r="L366" s="188"/>
      <c r="M366" s="341"/>
      <c r="N366" s="168"/>
      <c r="O366" s="341"/>
      <c r="P366" s="168"/>
      <c r="Q366" s="369"/>
      <c r="R366" s="188"/>
      <c r="S366" s="17"/>
      <c r="T366" s="17"/>
      <c r="U366" s="17"/>
      <c r="V366" s="17"/>
    </row>
    <row r="367">
      <c r="A367" s="341"/>
      <c r="B367" s="168"/>
      <c r="C367" s="341"/>
      <c r="D367" s="168"/>
      <c r="E367" s="341"/>
      <c r="F367" s="168"/>
      <c r="G367" s="341"/>
      <c r="H367" s="168"/>
      <c r="I367" s="369"/>
      <c r="J367" s="188"/>
      <c r="K367" s="369"/>
      <c r="L367" s="188"/>
      <c r="M367" s="341"/>
      <c r="N367" s="168"/>
      <c r="O367" s="341"/>
      <c r="P367" s="168"/>
      <c r="Q367" s="369"/>
      <c r="R367" s="188"/>
      <c r="S367" s="17"/>
      <c r="T367" s="17"/>
      <c r="U367" s="17"/>
      <c r="V367" s="17"/>
    </row>
    <row r="368">
      <c r="A368" s="341"/>
      <c r="B368" s="168"/>
      <c r="C368" s="341"/>
      <c r="D368" s="168"/>
      <c r="E368" s="341"/>
      <c r="F368" s="168"/>
      <c r="G368" s="341"/>
      <c r="H368" s="168"/>
      <c r="I368" s="369"/>
      <c r="J368" s="188"/>
      <c r="K368" s="369"/>
      <c r="L368" s="188"/>
      <c r="M368" s="341"/>
      <c r="N368" s="168"/>
      <c r="O368" s="341"/>
      <c r="P368" s="168"/>
      <c r="Q368" s="369"/>
      <c r="R368" s="188"/>
      <c r="S368" s="17"/>
      <c r="T368" s="17"/>
      <c r="U368" s="17"/>
      <c r="V368" s="17"/>
    </row>
    <row r="369">
      <c r="A369" s="341"/>
      <c r="B369" s="168"/>
      <c r="C369" s="341"/>
      <c r="D369" s="168"/>
      <c r="E369" s="341"/>
      <c r="F369" s="168"/>
      <c r="G369" s="341"/>
      <c r="H369" s="168"/>
      <c r="I369" s="369"/>
      <c r="J369" s="188"/>
      <c r="K369" s="369"/>
      <c r="L369" s="188"/>
      <c r="M369" s="341"/>
      <c r="N369" s="168"/>
      <c r="O369" s="341"/>
      <c r="P369" s="168"/>
      <c r="Q369" s="369"/>
      <c r="R369" s="188"/>
      <c r="S369" s="17"/>
      <c r="T369" s="17"/>
      <c r="U369" s="17"/>
      <c r="V369" s="17"/>
    </row>
    <row r="370">
      <c r="A370" s="341"/>
      <c r="B370" s="168"/>
      <c r="C370" s="341"/>
      <c r="D370" s="168"/>
      <c r="E370" s="341"/>
      <c r="F370" s="168"/>
      <c r="G370" s="341"/>
      <c r="H370" s="168"/>
      <c r="I370" s="369"/>
      <c r="J370" s="188"/>
      <c r="K370" s="369"/>
      <c r="L370" s="188"/>
      <c r="M370" s="341"/>
      <c r="N370" s="168"/>
      <c r="O370" s="341"/>
      <c r="P370" s="168"/>
      <c r="Q370" s="369"/>
      <c r="R370" s="188"/>
      <c r="S370" s="17"/>
      <c r="T370" s="17"/>
      <c r="U370" s="17"/>
      <c r="V370" s="17"/>
    </row>
    <row r="371">
      <c r="A371" s="341"/>
      <c r="B371" s="168"/>
      <c r="C371" s="341"/>
      <c r="D371" s="168"/>
      <c r="E371" s="341"/>
      <c r="F371" s="168"/>
      <c r="G371" s="341"/>
      <c r="H371" s="168"/>
      <c r="I371" s="369"/>
      <c r="J371" s="188"/>
      <c r="K371" s="369"/>
      <c r="L371" s="188"/>
      <c r="M371" s="341"/>
      <c r="N371" s="168"/>
      <c r="O371" s="341"/>
      <c r="P371" s="168"/>
      <c r="Q371" s="369"/>
      <c r="R371" s="188"/>
      <c r="S371" s="17"/>
      <c r="T371" s="17"/>
      <c r="U371" s="17"/>
      <c r="V371" s="17"/>
    </row>
    <row r="372">
      <c r="A372" s="341"/>
      <c r="B372" s="168"/>
      <c r="C372" s="341"/>
      <c r="D372" s="168"/>
      <c r="E372" s="341"/>
      <c r="F372" s="168"/>
      <c r="G372" s="341"/>
      <c r="H372" s="168"/>
      <c r="I372" s="369"/>
      <c r="J372" s="188"/>
      <c r="K372" s="369"/>
      <c r="L372" s="188"/>
      <c r="M372" s="341"/>
      <c r="N372" s="168"/>
      <c r="O372" s="341"/>
      <c r="P372" s="168"/>
      <c r="Q372" s="369"/>
      <c r="R372" s="188"/>
      <c r="S372" s="17"/>
      <c r="T372" s="17"/>
      <c r="U372" s="17"/>
      <c r="V372" s="17"/>
    </row>
    <row r="373">
      <c r="A373" s="341"/>
      <c r="B373" s="168"/>
      <c r="C373" s="341"/>
      <c r="D373" s="168"/>
      <c r="E373" s="341"/>
      <c r="F373" s="168"/>
      <c r="G373" s="341"/>
      <c r="H373" s="168"/>
      <c r="I373" s="369"/>
      <c r="J373" s="188"/>
      <c r="K373" s="369"/>
      <c r="L373" s="188"/>
      <c r="M373" s="341"/>
      <c r="N373" s="168"/>
      <c r="O373" s="341"/>
      <c r="P373" s="168"/>
      <c r="Q373" s="369"/>
      <c r="R373" s="188"/>
      <c r="S373" s="17"/>
      <c r="T373" s="17"/>
      <c r="U373" s="17"/>
      <c r="V373" s="17"/>
    </row>
    <row r="374">
      <c r="A374" s="341"/>
      <c r="B374" s="168"/>
      <c r="C374" s="341"/>
      <c r="D374" s="168"/>
      <c r="E374" s="341"/>
      <c r="F374" s="168"/>
      <c r="G374" s="341"/>
      <c r="H374" s="168"/>
      <c r="I374" s="369"/>
      <c r="J374" s="188"/>
      <c r="K374" s="369"/>
      <c r="L374" s="188"/>
      <c r="M374" s="341"/>
      <c r="N374" s="168"/>
      <c r="O374" s="341"/>
      <c r="P374" s="168"/>
      <c r="Q374" s="369"/>
      <c r="R374" s="188"/>
      <c r="S374" s="17"/>
      <c r="T374" s="17"/>
      <c r="U374" s="17"/>
      <c r="V374" s="17"/>
    </row>
    <row r="375">
      <c r="A375" s="341"/>
      <c r="B375" s="168"/>
      <c r="C375" s="341"/>
      <c r="D375" s="168"/>
      <c r="E375" s="341"/>
      <c r="F375" s="168"/>
      <c r="G375" s="341"/>
      <c r="H375" s="168"/>
      <c r="I375" s="369"/>
      <c r="J375" s="188"/>
      <c r="K375" s="369"/>
      <c r="L375" s="188"/>
      <c r="M375" s="341"/>
      <c r="N375" s="168"/>
      <c r="O375" s="341"/>
      <c r="P375" s="168"/>
      <c r="Q375" s="369"/>
      <c r="R375" s="188"/>
      <c r="S375" s="17"/>
      <c r="T375" s="17"/>
      <c r="U375" s="17"/>
      <c r="V375" s="17"/>
    </row>
    <row r="376">
      <c r="A376" s="341"/>
      <c r="B376" s="168"/>
      <c r="C376" s="341"/>
      <c r="D376" s="168"/>
      <c r="E376" s="341"/>
      <c r="F376" s="168"/>
      <c r="G376" s="341"/>
      <c r="H376" s="168"/>
      <c r="I376" s="369"/>
      <c r="J376" s="188"/>
      <c r="K376" s="369"/>
      <c r="L376" s="188"/>
      <c r="M376" s="341"/>
      <c r="N376" s="168"/>
      <c r="O376" s="341"/>
      <c r="P376" s="168"/>
      <c r="Q376" s="369"/>
      <c r="R376" s="188"/>
      <c r="S376" s="17"/>
      <c r="T376" s="17"/>
      <c r="U376" s="17"/>
      <c r="V376" s="17"/>
    </row>
    <row r="377">
      <c r="A377" s="341"/>
      <c r="B377" s="168"/>
      <c r="C377" s="341"/>
      <c r="D377" s="168"/>
      <c r="E377" s="341"/>
      <c r="F377" s="168"/>
      <c r="G377" s="341"/>
      <c r="H377" s="168"/>
      <c r="I377" s="369"/>
      <c r="J377" s="188"/>
      <c r="K377" s="369"/>
      <c r="L377" s="188"/>
      <c r="M377" s="341"/>
      <c r="N377" s="168"/>
      <c r="O377" s="341"/>
      <c r="P377" s="168"/>
      <c r="Q377" s="369"/>
      <c r="R377" s="188"/>
      <c r="S377" s="17"/>
      <c r="T377" s="17"/>
      <c r="U377" s="17"/>
      <c r="V377" s="17"/>
    </row>
    <row r="378">
      <c r="A378" s="341"/>
      <c r="B378" s="168"/>
      <c r="C378" s="341"/>
      <c r="D378" s="168"/>
      <c r="E378" s="341"/>
      <c r="F378" s="168"/>
      <c r="G378" s="341"/>
      <c r="H378" s="168"/>
      <c r="I378" s="369"/>
      <c r="J378" s="188"/>
      <c r="K378" s="369"/>
      <c r="L378" s="188"/>
      <c r="M378" s="341"/>
      <c r="N378" s="168"/>
      <c r="O378" s="341"/>
      <c r="P378" s="168"/>
      <c r="Q378" s="369"/>
      <c r="R378" s="188"/>
      <c r="S378" s="17"/>
      <c r="T378" s="17"/>
      <c r="U378" s="17"/>
      <c r="V378" s="17"/>
    </row>
    <row r="379">
      <c r="A379" s="341"/>
      <c r="B379" s="168"/>
      <c r="C379" s="341"/>
      <c r="D379" s="168"/>
      <c r="E379" s="341"/>
      <c r="F379" s="168"/>
      <c r="G379" s="341"/>
      <c r="H379" s="168"/>
      <c r="I379" s="369"/>
      <c r="J379" s="188"/>
      <c r="K379" s="369"/>
      <c r="L379" s="188"/>
      <c r="M379" s="341"/>
      <c r="N379" s="168"/>
      <c r="O379" s="341"/>
      <c r="P379" s="168"/>
      <c r="Q379" s="369"/>
      <c r="R379" s="188"/>
      <c r="S379" s="17"/>
      <c r="T379" s="17"/>
      <c r="U379" s="17"/>
      <c r="V379" s="17"/>
    </row>
    <row r="380">
      <c r="A380" s="341"/>
      <c r="B380" s="168"/>
      <c r="C380" s="341"/>
      <c r="D380" s="168"/>
      <c r="E380" s="341"/>
      <c r="F380" s="168"/>
      <c r="G380" s="341"/>
      <c r="H380" s="168"/>
      <c r="I380" s="369"/>
      <c r="J380" s="188"/>
      <c r="K380" s="369"/>
      <c r="L380" s="188"/>
      <c r="M380" s="341"/>
      <c r="N380" s="168"/>
      <c r="O380" s="341"/>
      <c r="P380" s="168"/>
      <c r="Q380" s="369"/>
      <c r="R380" s="188"/>
      <c r="S380" s="17"/>
      <c r="T380" s="17"/>
      <c r="U380" s="17"/>
      <c r="V380" s="17"/>
    </row>
    <row r="381">
      <c r="A381" s="341"/>
      <c r="B381" s="168"/>
      <c r="C381" s="341"/>
      <c r="D381" s="168"/>
      <c r="E381" s="341"/>
      <c r="F381" s="168"/>
      <c r="G381" s="341"/>
      <c r="H381" s="168"/>
      <c r="I381" s="369"/>
      <c r="J381" s="188"/>
      <c r="K381" s="369"/>
      <c r="L381" s="188"/>
      <c r="M381" s="341"/>
      <c r="N381" s="168"/>
      <c r="O381" s="341"/>
      <c r="P381" s="168"/>
      <c r="Q381" s="369"/>
      <c r="R381" s="188"/>
      <c r="S381" s="17"/>
      <c r="T381" s="17"/>
      <c r="U381" s="17"/>
      <c r="V381" s="17"/>
    </row>
    <row r="382">
      <c r="A382" s="341"/>
      <c r="B382" s="168"/>
      <c r="C382" s="341"/>
      <c r="D382" s="168"/>
      <c r="E382" s="341"/>
      <c r="F382" s="168"/>
      <c r="G382" s="341"/>
      <c r="H382" s="168"/>
      <c r="I382" s="369"/>
      <c r="J382" s="188"/>
      <c r="K382" s="369"/>
      <c r="L382" s="188"/>
      <c r="M382" s="341"/>
      <c r="N382" s="168"/>
      <c r="O382" s="341"/>
      <c r="P382" s="168"/>
      <c r="Q382" s="369"/>
      <c r="R382" s="188"/>
      <c r="S382" s="17"/>
      <c r="T382" s="17"/>
      <c r="U382" s="17"/>
      <c r="V382" s="17"/>
    </row>
    <row r="383">
      <c r="A383" s="341"/>
      <c r="B383" s="168"/>
      <c r="C383" s="341"/>
      <c r="D383" s="168"/>
      <c r="E383" s="341"/>
      <c r="F383" s="168"/>
      <c r="G383" s="341"/>
      <c r="H383" s="168"/>
      <c r="I383" s="369"/>
      <c r="J383" s="188"/>
      <c r="K383" s="369"/>
      <c r="L383" s="188"/>
      <c r="M383" s="341"/>
      <c r="N383" s="168"/>
      <c r="O383" s="341"/>
      <c r="P383" s="168"/>
      <c r="Q383" s="369"/>
      <c r="R383" s="188"/>
      <c r="S383" s="17"/>
      <c r="T383" s="17"/>
      <c r="U383" s="17"/>
      <c r="V383" s="17"/>
    </row>
    <row r="384">
      <c r="A384" s="341"/>
      <c r="B384" s="168"/>
      <c r="C384" s="341"/>
      <c r="D384" s="168"/>
      <c r="E384" s="341"/>
      <c r="F384" s="168"/>
      <c r="G384" s="341"/>
      <c r="H384" s="168"/>
      <c r="I384" s="369"/>
      <c r="J384" s="188"/>
      <c r="K384" s="369"/>
      <c r="L384" s="188"/>
      <c r="M384" s="341"/>
      <c r="N384" s="168"/>
      <c r="O384" s="341"/>
      <c r="P384" s="168"/>
      <c r="Q384" s="369"/>
      <c r="R384" s="188"/>
      <c r="S384" s="17"/>
      <c r="T384" s="17"/>
      <c r="U384" s="17"/>
      <c r="V384" s="17"/>
    </row>
    <row r="385">
      <c r="A385" s="341"/>
      <c r="B385" s="168"/>
      <c r="C385" s="341"/>
      <c r="D385" s="168"/>
      <c r="E385" s="341"/>
      <c r="F385" s="168"/>
      <c r="G385" s="341"/>
      <c r="H385" s="168"/>
      <c r="I385" s="369"/>
      <c r="J385" s="188"/>
      <c r="K385" s="369"/>
      <c r="L385" s="188"/>
      <c r="M385" s="341"/>
      <c r="N385" s="168"/>
      <c r="O385" s="341"/>
      <c r="P385" s="168"/>
      <c r="Q385" s="369"/>
      <c r="R385" s="188"/>
      <c r="S385" s="17"/>
      <c r="T385" s="17"/>
      <c r="U385" s="17"/>
      <c r="V385" s="17"/>
    </row>
    <row r="386">
      <c r="A386" s="341"/>
      <c r="B386" s="168"/>
      <c r="C386" s="341"/>
      <c r="D386" s="168"/>
      <c r="E386" s="341"/>
      <c r="F386" s="168"/>
      <c r="G386" s="341"/>
      <c r="H386" s="168"/>
      <c r="I386" s="369"/>
      <c r="J386" s="188"/>
      <c r="K386" s="369"/>
      <c r="L386" s="188"/>
      <c r="M386" s="341"/>
      <c r="N386" s="168"/>
      <c r="O386" s="341"/>
      <c r="P386" s="168"/>
      <c r="Q386" s="369"/>
      <c r="R386" s="188"/>
      <c r="S386" s="17"/>
      <c r="T386" s="17"/>
      <c r="U386" s="17"/>
      <c r="V386" s="17"/>
    </row>
    <row r="387">
      <c r="A387" s="341"/>
      <c r="B387" s="168"/>
      <c r="C387" s="341"/>
      <c r="D387" s="168"/>
      <c r="E387" s="341"/>
      <c r="F387" s="168"/>
      <c r="G387" s="341"/>
      <c r="H387" s="168"/>
      <c r="I387" s="369"/>
      <c r="J387" s="188"/>
      <c r="K387" s="369"/>
      <c r="L387" s="188"/>
      <c r="M387" s="341"/>
      <c r="N387" s="168"/>
      <c r="O387" s="341"/>
      <c r="P387" s="168"/>
      <c r="Q387" s="369"/>
      <c r="R387" s="188"/>
      <c r="S387" s="17"/>
      <c r="T387" s="17"/>
      <c r="U387" s="17"/>
      <c r="V387" s="17"/>
    </row>
    <row r="388">
      <c r="A388" s="341"/>
      <c r="B388" s="168"/>
      <c r="C388" s="341"/>
      <c r="D388" s="168"/>
      <c r="E388" s="341"/>
      <c r="F388" s="168"/>
      <c r="G388" s="341"/>
      <c r="H388" s="168"/>
      <c r="I388" s="369"/>
      <c r="J388" s="188"/>
      <c r="K388" s="369"/>
      <c r="L388" s="188"/>
      <c r="M388" s="341"/>
      <c r="N388" s="168"/>
      <c r="O388" s="341"/>
      <c r="P388" s="168"/>
      <c r="Q388" s="369"/>
      <c r="R388" s="188"/>
      <c r="S388" s="17"/>
      <c r="T388" s="17"/>
      <c r="U388" s="17"/>
      <c r="V388" s="17"/>
    </row>
    <row r="389">
      <c r="A389" s="341"/>
      <c r="B389" s="168"/>
      <c r="C389" s="341"/>
      <c r="D389" s="168"/>
      <c r="E389" s="341"/>
      <c r="F389" s="168"/>
      <c r="G389" s="341"/>
      <c r="H389" s="168"/>
      <c r="I389" s="369"/>
      <c r="J389" s="188"/>
      <c r="K389" s="369"/>
      <c r="L389" s="188"/>
      <c r="M389" s="341"/>
      <c r="N389" s="168"/>
      <c r="O389" s="341"/>
      <c r="P389" s="168"/>
      <c r="Q389" s="369"/>
      <c r="R389" s="188"/>
      <c r="S389" s="17"/>
      <c r="T389" s="17"/>
      <c r="U389" s="17"/>
      <c r="V389" s="17"/>
    </row>
    <row r="390">
      <c r="A390" s="341"/>
      <c r="B390" s="168"/>
      <c r="C390" s="341"/>
      <c r="D390" s="168"/>
      <c r="E390" s="341"/>
      <c r="F390" s="168"/>
      <c r="G390" s="341"/>
      <c r="H390" s="168"/>
      <c r="I390" s="369"/>
      <c r="J390" s="188"/>
      <c r="K390" s="369"/>
      <c r="L390" s="188"/>
      <c r="M390" s="341"/>
      <c r="N390" s="168"/>
      <c r="O390" s="341"/>
      <c r="P390" s="168"/>
      <c r="Q390" s="369"/>
      <c r="R390" s="370"/>
      <c r="S390" s="17"/>
      <c r="T390" s="17"/>
      <c r="U390" s="17"/>
      <c r="V390" s="17"/>
    </row>
    <row r="391">
      <c r="A391" s="341"/>
      <c r="B391" s="168"/>
      <c r="C391" s="341"/>
      <c r="D391" s="168"/>
      <c r="E391" s="341"/>
      <c r="F391" s="168"/>
      <c r="G391" s="341"/>
      <c r="H391" s="168"/>
      <c r="I391" s="369"/>
      <c r="J391" s="188"/>
      <c r="K391" s="369"/>
      <c r="L391" s="188"/>
      <c r="M391" s="341"/>
      <c r="N391" s="168"/>
      <c r="O391" s="341"/>
      <c r="P391" s="168"/>
      <c r="Q391" s="369"/>
      <c r="R391" s="370"/>
      <c r="S391" s="17"/>
      <c r="T391" s="17"/>
      <c r="U391" s="17"/>
      <c r="V391" s="17"/>
    </row>
    <row r="392">
      <c r="A392" s="341"/>
      <c r="B392" s="168"/>
      <c r="C392" s="341"/>
      <c r="D392" s="168"/>
      <c r="E392" s="341"/>
      <c r="F392" s="168"/>
      <c r="G392" s="341"/>
      <c r="H392" s="168"/>
      <c r="I392" s="369"/>
      <c r="J392" s="188"/>
      <c r="K392" s="369"/>
      <c r="L392" s="188"/>
      <c r="M392" s="341"/>
      <c r="N392" s="168"/>
      <c r="O392" s="341"/>
      <c r="P392" s="168"/>
      <c r="Q392" s="369"/>
      <c r="R392" s="370"/>
      <c r="S392" s="17"/>
      <c r="T392" s="17"/>
      <c r="U392" s="17"/>
      <c r="V392" s="17"/>
    </row>
    <row r="393">
      <c r="A393" s="341"/>
      <c r="B393" s="168"/>
      <c r="C393" s="341"/>
      <c r="D393" s="168"/>
      <c r="E393" s="341"/>
      <c r="F393" s="168"/>
      <c r="G393" s="341"/>
      <c r="H393" s="168"/>
      <c r="I393" s="369"/>
      <c r="J393" s="188"/>
      <c r="K393" s="369"/>
      <c r="L393" s="188"/>
      <c r="M393" s="341"/>
      <c r="N393" s="168"/>
      <c r="O393" s="341"/>
      <c r="P393" s="168"/>
      <c r="Q393" s="369"/>
      <c r="R393" s="370"/>
      <c r="S393" s="17"/>
      <c r="T393" s="17"/>
      <c r="U393" s="17"/>
      <c r="V393" s="17"/>
    </row>
    <row r="394">
      <c r="A394" s="341"/>
      <c r="B394" s="168"/>
      <c r="C394" s="341"/>
      <c r="D394" s="168"/>
      <c r="E394" s="341"/>
      <c r="F394" s="168"/>
      <c r="G394" s="341"/>
      <c r="H394" s="168"/>
      <c r="I394" s="369"/>
      <c r="J394" s="188"/>
      <c r="K394" s="369"/>
      <c r="L394" s="188"/>
      <c r="M394" s="341"/>
      <c r="N394" s="168"/>
      <c r="O394" s="341"/>
      <c r="P394" s="168"/>
      <c r="Q394" s="369"/>
      <c r="R394" s="370"/>
      <c r="S394" s="17"/>
      <c r="T394" s="17"/>
      <c r="U394" s="17"/>
      <c r="V394" s="17"/>
    </row>
    <row r="395">
      <c r="A395" s="341"/>
      <c r="B395" s="168"/>
      <c r="C395" s="341"/>
      <c r="D395" s="168"/>
      <c r="E395" s="341"/>
      <c r="F395" s="168"/>
      <c r="G395" s="341"/>
      <c r="H395" s="168"/>
      <c r="I395" s="369"/>
      <c r="J395" s="188"/>
      <c r="K395" s="369"/>
      <c r="L395" s="188"/>
      <c r="M395" s="341"/>
      <c r="N395" s="168"/>
      <c r="O395" s="341"/>
      <c r="P395" s="168"/>
      <c r="Q395" s="369"/>
      <c r="R395" s="370"/>
      <c r="S395" s="17"/>
      <c r="T395" s="17"/>
      <c r="U395" s="17"/>
      <c r="V395" s="17"/>
    </row>
    <row r="396">
      <c r="A396" s="341"/>
      <c r="B396" s="168"/>
      <c r="C396" s="341"/>
      <c r="D396" s="168"/>
      <c r="E396" s="341"/>
      <c r="F396" s="168"/>
      <c r="G396" s="341"/>
      <c r="H396" s="168"/>
      <c r="I396" s="369"/>
      <c r="J396" s="188"/>
      <c r="K396" s="369"/>
      <c r="L396" s="188"/>
      <c r="M396" s="341"/>
      <c r="N396" s="168"/>
      <c r="O396" s="341"/>
      <c r="P396" s="168"/>
      <c r="Q396" s="369"/>
      <c r="R396" s="370"/>
      <c r="S396" s="17"/>
      <c r="T396" s="17"/>
      <c r="U396" s="17"/>
      <c r="V396" s="17"/>
    </row>
    <row r="397">
      <c r="A397" s="341"/>
      <c r="B397" s="168"/>
      <c r="C397" s="341"/>
      <c r="D397" s="168"/>
      <c r="E397" s="341"/>
      <c r="F397" s="168"/>
      <c r="G397" s="341"/>
      <c r="H397" s="168"/>
      <c r="I397" s="369"/>
      <c r="J397" s="188"/>
      <c r="K397" s="369"/>
      <c r="L397" s="188"/>
      <c r="M397" s="341"/>
      <c r="N397" s="168"/>
      <c r="O397" s="341"/>
      <c r="P397" s="168"/>
      <c r="Q397" s="369"/>
      <c r="R397" s="370"/>
      <c r="S397" s="17"/>
      <c r="T397" s="17"/>
      <c r="U397" s="17"/>
      <c r="V397" s="17"/>
    </row>
    <row r="398">
      <c r="A398" s="341"/>
      <c r="B398" s="168"/>
      <c r="C398" s="341"/>
      <c r="D398" s="168"/>
      <c r="E398" s="341"/>
      <c r="F398" s="168"/>
      <c r="G398" s="341"/>
      <c r="H398" s="168"/>
      <c r="I398" s="369"/>
      <c r="J398" s="188"/>
      <c r="K398" s="369"/>
      <c r="L398" s="188"/>
      <c r="M398" s="341"/>
      <c r="N398" s="168"/>
      <c r="O398" s="341"/>
      <c r="P398" s="168"/>
      <c r="Q398" s="369"/>
      <c r="R398" s="370"/>
      <c r="S398" s="17"/>
      <c r="T398" s="17"/>
      <c r="U398" s="17"/>
      <c r="V398" s="17"/>
    </row>
    <row r="399">
      <c r="A399" s="341"/>
      <c r="B399" s="168"/>
      <c r="C399" s="341"/>
      <c r="D399" s="168"/>
      <c r="E399" s="341"/>
      <c r="F399" s="168"/>
      <c r="G399" s="341"/>
      <c r="H399" s="168"/>
      <c r="I399" s="369"/>
      <c r="J399" s="188"/>
      <c r="K399" s="369"/>
      <c r="L399" s="188"/>
      <c r="M399" s="341"/>
      <c r="N399" s="168"/>
      <c r="O399" s="341"/>
      <c r="P399" s="168"/>
      <c r="Q399" s="369"/>
      <c r="R399" s="370"/>
      <c r="S399" s="17"/>
      <c r="T399" s="17"/>
      <c r="U399" s="17"/>
      <c r="V399" s="17"/>
    </row>
    <row r="400">
      <c r="A400" s="341"/>
      <c r="B400" s="168"/>
      <c r="C400" s="341"/>
      <c r="D400" s="168"/>
      <c r="E400" s="341"/>
      <c r="F400" s="168"/>
      <c r="G400" s="341"/>
      <c r="H400" s="168"/>
      <c r="I400" s="369"/>
      <c r="J400" s="188"/>
      <c r="K400" s="369"/>
      <c r="L400" s="188"/>
      <c r="M400" s="341"/>
      <c r="N400" s="168"/>
      <c r="O400" s="341"/>
      <c r="P400" s="168"/>
      <c r="Q400" s="369"/>
      <c r="R400" s="370"/>
      <c r="S400" s="17"/>
      <c r="T400" s="17"/>
      <c r="U400" s="17"/>
      <c r="V400" s="17"/>
    </row>
    <row r="401">
      <c r="A401" s="341"/>
      <c r="B401" s="168"/>
      <c r="C401" s="341"/>
      <c r="D401" s="168"/>
      <c r="E401" s="341"/>
      <c r="F401" s="168"/>
      <c r="G401" s="341"/>
      <c r="H401" s="168"/>
      <c r="I401" s="369"/>
      <c r="J401" s="188"/>
      <c r="K401" s="369"/>
      <c r="L401" s="188"/>
      <c r="M401" s="341"/>
      <c r="N401" s="168"/>
      <c r="O401" s="341"/>
      <c r="P401" s="168"/>
      <c r="Q401" s="369"/>
      <c r="R401" s="370"/>
      <c r="S401" s="17"/>
      <c r="T401" s="17"/>
      <c r="U401" s="17"/>
      <c r="V401" s="17"/>
    </row>
    <row r="402">
      <c r="A402" s="341"/>
      <c r="B402" s="168"/>
      <c r="C402" s="341"/>
      <c r="D402" s="168"/>
      <c r="E402" s="341"/>
      <c r="F402" s="168"/>
      <c r="G402" s="341"/>
      <c r="H402" s="168"/>
      <c r="I402" s="369"/>
      <c r="J402" s="188"/>
      <c r="K402" s="369"/>
      <c r="L402" s="188"/>
      <c r="M402" s="341"/>
      <c r="N402" s="168"/>
      <c r="O402" s="341"/>
      <c r="P402" s="168"/>
      <c r="Q402" s="369"/>
      <c r="R402" s="370"/>
      <c r="S402" s="17"/>
      <c r="T402" s="17"/>
      <c r="U402" s="17"/>
      <c r="V402" s="17"/>
    </row>
    <row r="403">
      <c r="A403" s="341"/>
      <c r="B403" s="168"/>
      <c r="C403" s="341"/>
      <c r="D403" s="168"/>
      <c r="E403" s="341"/>
      <c r="F403" s="168"/>
      <c r="G403" s="341"/>
      <c r="H403" s="168"/>
      <c r="I403" s="369"/>
      <c r="J403" s="188"/>
      <c r="K403" s="369"/>
      <c r="L403" s="188"/>
      <c r="M403" s="341"/>
      <c r="N403" s="168"/>
      <c r="O403" s="341"/>
      <c r="P403" s="168"/>
      <c r="Q403" s="369"/>
      <c r="R403" s="370"/>
      <c r="S403" s="17"/>
      <c r="T403" s="17"/>
      <c r="U403" s="17"/>
      <c r="V403" s="17"/>
    </row>
    <row r="404">
      <c r="A404" s="341"/>
      <c r="B404" s="168"/>
      <c r="C404" s="341"/>
      <c r="D404" s="168"/>
      <c r="E404" s="341"/>
      <c r="F404" s="168"/>
      <c r="G404" s="341"/>
      <c r="H404" s="168"/>
      <c r="I404" s="369"/>
      <c r="J404" s="188"/>
      <c r="K404" s="369"/>
      <c r="L404" s="188"/>
      <c r="M404" s="341"/>
      <c r="N404" s="168"/>
      <c r="O404" s="341"/>
      <c r="P404" s="168"/>
      <c r="Q404" s="369"/>
      <c r="R404" s="370"/>
      <c r="S404" s="17"/>
      <c r="T404" s="17"/>
      <c r="U404" s="17"/>
      <c r="V404" s="17"/>
    </row>
    <row r="405">
      <c r="A405" s="341"/>
      <c r="B405" s="168"/>
      <c r="C405" s="341"/>
      <c r="D405" s="168"/>
      <c r="E405" s="341"/>
      <c r="F405" s="168"/>
      <c r="G405" s="341"/>
      <c r="H405" s="168"/>
      <c r="I405" s="369"/>
      <c r="J405" s="188"/>
      <c r="K405" s="369"/>
      <c r="L405" s="188"/>
      <c r="M405" s="341"/>
      <c r="N405" s="168"/>
      <c r="O405" s="341"/>
      <c r="P405" s="168"/>
      <c r="Q405" s="369"/>
      <c r="R405" s="370"/>
      <c r="S405" s="17"/>
      <c r="T405" s="17"/>
      <c r="U405" s="17"/>
      <c r="V405" s="17"/>
    </row>
    <row r="406">
      <c r="A406" s="341"/>
      <c r="B406" s="168"/>
      <c r="C406" s="341"/>
      <c r="D406" s="168"/>
      <c r="E406" s="341"/>
      <c r="F406" s="168"/>
      <c r="G406" s="341"/>
      <c r="H406" s="168"/>
      <c r="I406" s="369"/>
      <c r="J406" s="188"/>
      <c r="K406" s="369"/>
      <c r="L406" s="188"/>
      <c r="M406" s="341"/>
      <c r="N406" s="168"/>
      <c r="O406" s="341"/>
      <c r="P406" s="168"/>
      <c r="Q406" s="369"/>
      <c r="R406" s="370"/>
      <c r="S406" s="17"/>
      <c r="T406" s="17"/>
      <c r="U406" s="17"/>
      <c r="V406" s="17"/>
    </row>
    <row r="407">
      <c r="A407" s="341"/>
      <c r="B407" s="168"/>
      <c r="C407" s="341"/>
      <c r="D407" s="168"/>
      <c r="E407" s="341"/>
      <c r="F407" s="168"/>
      <c r="G407" s="341"/>
      <c r="H407" s="168"/>
      <c r="I407" s="369"/>
      <c r="J407" s="188"/>
      <c r="K407" s="369"/>
      <c r="L407" s="188"/>
      <c r="M407" s="341"/>
      <c r="N407" s="168"/>
      <c r="O407" s="341"/>
      <c r="P407" s="168"/>
      <c r="Q407" s="369"/>
      <c r="R407" s="370"/>
      <c r="S407" s="17"/>
      <c r="T407" s="17"/>
      <c r="U407" s="17"/>
      <c r="V407" s="17"/>
    </row>
    <row r="408">
      <c r="A408" s="341"/>
      <c r="B408" s="168"/>
      <c r="C408" s="341"/>
      <c r="D408" s="168"/>
      <c r="E408" s="341"/>
      <c r="F408" s="168"/>
      <c r="G408" s="341"/>
      <c r="H408" s="168"/>
      <c r="I408" s="369"/>
      <c r="J408" s="188"/>
      <c r="K408" s="369"/>
      <c r="L408" s="188"/>
      <c r="M408" s="341"/>
      <c r="N408" s="168"/>
      <c r="O408" s="341"/>
      <c r="P408" s="168"/>
      <c r="Q408" s="369"/>
      <c r="R408" s="370"/>
      <c r="S408" s="17"/>
      <c r="T408" s="17"/>
      <c r="U408" s="17"/>
      <c r="V408" s="17"/>
    </row>
    <row r="409">
      <c r="A409" s="341"/>
      <c r="B409" s="168"/>
      <c r="C409" s="341"/>
      <c r="D409" s="168"/>
      <c r="E409" s="341"/>
      <c r="F409" s="168"/>
      <c r="G409" s="341"/>
      <c r="H409" s="168"/>
      <c r="I409" s="369"/>
      <c r="J409" s="188"/>
      <c r="K409" s="369"/>
      <c r="L409" s="188"/>
      <c r="M409" s="341"/>
      <c r="N409" s="168"/>
      <c r="O409" s="341"/>
      <c r="P409" s="168"/>
      <c r="Q409" s="369"/>
      <c r="R409" s="370"/>
      <c r="S409" s="17"/>
      <c r="T409" s="17"/>
      <c r="U409" s="17"/>
      <c r="V409" s="17"/>
    </row>
    <row r="410">
      <c r="A410" s="341"/>
      <c r="B410" s="168"/>
      <c r="C410" s="341"/>
      <c r="D410" s="168"/>
      <c r="E410" s="341"/>
      <c r="F410" s="168"/>
      <c r="G410" s="341"/>
      <c r="H410" s="168"/>
      <c r="I410" s="369"/>
      <c r="J410" s="188"/>
      <c r="K410" s="369"/>
      <c r="L410" s="188"/>
      <c r="M410" s="341"/>
      <c r="N410" s="168"/>
      <c r="O410" s="341"/>
      <c r="P410" s="168"/>
      <c r="Q410" s="369"/>
      <c r="R410" s="370"/>
      <c r="S410" s="17"/>
      <c r="T410" s="17"/>
      <c r="U410" s="17"/>
      <c r="V410" s="17"/>
    </row>
    <row r="411">
      <c r="A411" s="341"/>
      <c r="B411" s="168"/>
      <c r="C411" s="341"/>
      <c r="D411" s="168"/>
      <c r="E411" s="341"/>
      <c r="F411" s="168"/>
      <c r="G411" s="341"/>
      <c r="H411" s="168"/>
      <c r="I411" s="369"/>
      <c r="J411" s="188"/>
      <c r="K411" s="369"/>
      <c r="L411" s="188"/>
      <c r="M411" s="341"/>
      <c r="N411" s="168"/>
      <c r="O411" s="341"/>
      <c r="P411" s="168"/>
      <c r="Q411" s="369"/>
      <c r="R411" s="370"/>
      <c r="S411" s="17"/>
      <c r="T411" s="17"/>
      <c r="U411" s="17"/>
      <c r="V411" s="17"/>
    </row>
    <row r="412">
      <c r="A412" s="341"/>
      <c r="B412" s="168"/>
      <c r="C412" s="341"/>
      <c r="D412" s="168"/>
      <c r="E412" s="341"/>
      <c r="F412" s="168"/>
      <c r="G412" s="341"/>
      <c r="H412" s="168"/>
      <c r="I412" s="369"/>
      <c r="J412" s="188"/>
      <c r="K412" s="369"/>
      <c r="L412" s="188"/>
      <c r="M412" s="341"/>
      <c r="N412" s="168"/>
      <c r="O412" s="341"/>
      <c r="P412" s="168"/>
      <c r="Q412" s="369"/>
      <c r="R412" s="370"/>
      <c r="S412" s="17"/>
      <c r="T412" s="17"/>
      <c r="U412" s="17"/>
      <c r="V412" s="17"/>
    </row>
    <row r="413">
      <c r="A413" s="341"/>
      <c r="B413" s="168"/>
      <c r="C413" s="341"/>
      <c r="D413" s="168"/>
      <c r="E413" s="341"/>
      <c r="F413" s="168"/>
      <c r="G413" s="341"/>
      <c r="H413" s="168"/>
      <c r="I413" s="369"/>
      <c r="J413" s="188"/>
      <c r="K413" s="369"/>
      <c r="L413" s="188"/>
      <c r="M413" s="341"/>
      <c r="N413" s="168"/>
      <c r="O413" s="341"/>
      <c r="P413" s="168"/>
      <c r="Q413" s="369"/>
      <c r="R413" s="370"/>
      <c r="S413" s="17"/>
      <c r="T413" s="17"/>
      <c r="U413" s="17"/>
      <c r="V413" s="17"/>
    </row>
    <row r="414">
      <c r="A414" s="341"/>
      <c r="B414" s="168"/>
      <c r="C414" s="341"/>
      <c r="D414" s="168"/>
      <c r="E414" s="341"/>
      <c r="F414" s="168"/>
      <c r="G414" s="341"/>
      <c r="H414" s="168"/>
      <c r="I414" s="369"/>
      <c r="J414" s="188"/>
      <c r="K414" s="369"/>
      <c r="L414" s="188"/>
      <c r="M414" s="341"/>
      <c r="N414" s="168"/>
      <c r="O414" s="341"/>
      <c r="P414" s="168"/>
      <c r="Q414" s="369"/>
      <c r="R414" s="370"/>
      <c r="S414" s="17"/>
      <c r="T414" s="17"/>
      <c r="U414" s="17"/>
      <c r="V414" s="17"/>
    </row>
    <row r="415">
      <c r="A415" s="341"/>
      <c r="B415" s="168"/>
      <c r="C415" s="341"/>
      <c r="D415" s="168"/>
      <c r="E415" s="341"/>
      <c r="F415" s="168"/>
      <c r="G415" s="341"/>
      <c r="H415" s="168"/>
      <c r="I415" s="369"/>
      <c r="J415" s="188"/>
      <c r="K415" s="369"/>
      <c r="L415" s="188"/>
      <c r="M415" s="341"/>
      <c r="N415" s="168"/>
      <c r="O415" s="341"/>
      <c r="P415" s="168"/>
      <c r="Q415" s="369"/>
      <c r="R415" s="370"/>
      <c r="S415" s="17"/>
      <c r="T415" s="17"/>
      <c r="U415" s="17"/>
      <c r="V415" s="17"/>
    </row>
    <row r="416">
      <c r="A416" s="341"/>
      <c r="B416" s="168"/>
      <c r="C416" s="341"/>
      <c r="D416" s="168"/>
      <c r="E416" s="341"/>
      <c r="F416" s="168"/>
      <c r="G416" s="341"/>
      <c r="H416" s="168"/>
      <c r="I416" s="369"/>
      <c r="J416" s="188"/>
      <c r="K416" s="369"/>
      <c r="L416" s="188"/>
      <c r="M416" s="341"/>
      <c r="N416" s="168"/>
      <c r="O416" s="341"/>
      <c r="P416" s="168"/>
      <c r="Q416" s="369"/>
      <c r="R416" s="370"/>
      <c r="S416" s="17"/>
      <c r="T416" s="17"/>
      <c r="U416" s="17"/>
      <c r="V416" s="17"/>
    </row>
    <row r="417">
      <c r="A417" s="341"/>
      <c r="B417" s="168"/>
      <c r="C417" s="341"/>
      <c r="D417" s="168"/>
      <c r="E417" s="341"/>
      <c r="F417" s="168"/>
      <c r="G417" s="341"/>
      <c r="H417" s="168"/>
      <c r="I417" s="369"/>
      <c r="J417" s="188"/>
      <c r="K417" s="369"/>
      <c r="L417" s="188"/>
      <c r="M417" s="341"/>
      <c r="N417" s="168"/>
      <c r="O417" s="341"/>
      <c r="P417" s="168"/>
      <c r="Q417" s="369"/>
      <c r="R417" s="370"/>
      <c r="S417" s="17"/>
      <c r="T417" s="17"/>
      <c r="U417" s="17"/>
      <c r="V417" s="17"/>
    </row>
    <row r="418">
      <c r="A418" s="341"/>
      <c r="B418" s="168"/>
      <c r="C418" s="341"/>
      <c r="D418" s="168"/>
      <c r="E418" s="341"/>
      <c r="F418" s="168"/>
      <c r="G418" s="341"/>
      <c r="H418" s="168"/>
      <c r="I418" s="369"/>
      <c r="J418" s="188"/>
      <c r="K418" s="369"/>
      <c r="L418" s="188"/>
      <c r="M418" s="341"/>
      <c r="N418" s="168"/>
      <c r="O418" s="341"/>
      <c r="P418" s="168"/>
      <c r="Q418" s="369"/>
      <c r="R418" s="370"/>
      <c r="S418" s="17"/>
      <c r="T418" s="17"/>
      <c r="U418" s="17"/>
      <c r="V418" s="17"/>
    </row>
    <row r="419">
      <c r="A419" s="341"/>
      <c r="B419" s="168"/>
      <c r="C419" s="341"/>
      <c r="D419" s="168"/>
      <c r="E419" s="341"/>
      <c r="F419" s="168"/>
      <c r="G419" s="341"/>
      <c r="H419" s="168"/>
      <c r="I419" s="369"/>
      <c r="J419" s="188"/>
      <c r="K419" s="369"/>
      <c r="L419" s="188"/>
      <c r="M419" s="341"/>
      <c r="N419" s="168"/>
      <c r="O419" s="341"/>
      <c r="P419" s="168"/>
      <c r="Q419" s="369"/>
      <c r="R419" s="370"/>
      <c r="S419" s="17"/>
      <c r="T419" s="17"/>
      <c r="U419" s="17"/>
      <c r="V419" s="17"/>
    </row>
    <row r="420">
      <c r="A420" s="341"/>
      <c r="B420" s="168"/>
      <c r="C420" s="341"/>
      <c r="D420" s="168"/>
      <c r="E420" s="341"/>
      <c r="F420" s="168"/>
      <c r="G420" s="341"/>
      <c r="H420" s="168"/>
      <c r="I420" s="369"/>
      <c r="J420" s="188"/>
      <c r="K420" s="369"/>
      <c r="L420" s="188"/>
      <c r="M420" s="341"/>
      <c r="N420" s="168"/>
      <c r="O420" s="341"/>
      <c r="P420" s="168"/>
      <c r="Q420" s="369"/>
      <c r="R420" s="370"/>
      <c r="S420" s="17"/>
      <c r="T420" s="17"/>
      <c r="U420" s="17"/>
      <c r="V420" s="17"/>
    </row>
    <row r="421">
      <c r="A421" s="341"/>
      <c r="B421" s="168"/>
      <c r="C421" s="341"/>
      <c r="D421" s="168"/>
      <c r="E421" s="341"/>
      <c r="F421" s="168"/>
      <c r="G421" s="341"/>
      <c r="H421" s="168"/>
      <c r="I421" s="369"/>
      <c r="J421" s="188"/>
      <c r="K421" s="369"/>
      <c r="L421" s="188"/>
      <c r="M421" s="341"/>
      <c r="N421" s="168"/>
      <c r="O421" s="341"/>
      <c r="P421" s="168"/>
      <c r="Q421" s="369"/>
      <c r="R421" s="370"/>
      <c r="S421" s="17"/>
      <c r="T421" s="17"/>
      <c r="U421" s="17"/>
      <c r="V421" s="17"/>
    </row>
    <row r="422">
      <c r="A422" s="341"/>
      <c r="B422" s="168"/>
      <c r="C422" s="341"/>
      <c r="D422" s="168"/>
      <c r="E422" s="341"/>
      <c r="F422" s="168"/>
      <c r="G422" s="341"/>
      <c r="H422" s="168"/>
      <c r="I422" s="369"/>
      <c r="J422" s="188"/>
      <c r="K422" s="369"/>
      <c r="L422" s="188"/>
      <c r="M422" s="341"/>
      <c r="N422" s="168"/>
      <c r="O422" s="341"/>
      <c r="P422" s="168"/>
      <c r="Q422" s="369"/>
      <c r="R422" s="370"/>
      <c r="S422" s="17"/>
      <c r="T422" s="17"/>
      <c r="U422" s="17"/>
      <c r="V422" s="17"/>
    </row>
    <row r="423">
      <c r="A423" s="341"/>
      <c r="B423" s="168"/>
      <c r="C423" s="341"/>
      <c r="D423" s="168"/>
      <c r="E423" s="341"/>
      <c r="F423" s="168"/>
      <c r="G423" s="341"/>
      <c r="H423" s="168"/>
      <c r="I423" s="369"/>
      <c r="J423" s="188"/>
      <c r="K423" s="369"/>
      <c r="L423" s="188"/>
      <c r="M423" s="341"/>
      <c r="N423" s="168"/>
      <c r="O423" s="341"/>
      <c r="P423" s="168"/>
      <c r="Q423" s="369"/>
      <c r="R423" s="370"/>
      <c r="S423" s="17"/>
      <c r="T423" s="17"/>
      <c r="U423" s="17"/>
      <c r="V423" s="17"/>
    </row>
    <row r="424">
      <c r="A424" s="341"/>
      <c r="B424" s="168"/>
      <c r="C424" s="341"/>
      <c r="D424" s="168"/>
      <c r="E424" s="341"/>
      <c r="F424" s="168"/>
      <c r="G424" s="341"/>
      <c r="H424" s="168"/>
      <c r="I424" s="369"/>
      <c r="J424" s="188"/>
      <c r="K424" s="369"/>
      <c r="L424" s="188"/>
      <c r="M424" s="341"/>
      <c r="N424" s="168"/>
      <c r="O424" s="341"/>
      <c r="P424" s="168"/>
      <c r="Q424" s="369"/>
      <c r="R424" s="370"/>
      <c r="S424" s="17"/>
      <c r="T424" s="17"/>
      <c r="U424" s="17"/>
      <c r="V424" s="17"/>
    </row>
    <row r="425">
      <c r="A425" s="341"/>
      <c r="B425" s="168"/>
      <c r="C425" s="341"/>
      <c r="D425" s="168"/>
      <c r="E425" s="341"/>
      <c r="F425" s="168"/>
      <c r="G425" s="341"/>
      <c r="H425" s="168"/>
      <c r="I425" s="369"/>
      <c r="J425" s="188"/>
      <c r="K425" s="369"/>
      <c r="L425" s="188"/>
      <c r="M425" s="341"/>
      <c r="N425" s="168"/>
      <c r="O425" s="341"/>
      <c r="P425" s="168"/>
      <c r="Q425" s="369"/>
      <c r="R425" s="370"/>
      <c r="S425" s="17"/>
      <c r="T425" s="17"/>
      <c r="U425" s="17"/>
      <c r="V425" s="17"/>
    </row>
    <row r="426">
      <c r="A426" s="341"/>
      <c r="B426" s="168"/>
      <c r="C426" s="341"/>
      <c r="D426" s="168"/>
      <c r="E426" s="341"/>
      <c r="F426" s="168"/>
      <c r="G426" s="341"/>
      <c r="H426" s="168"/>
      <c r="I426" s="369"/>
      <c r="J426" s="188"/>
      <c r="K426" s="369"/>
      <c r="L426" s="188"/>
      <c r="M426" s="341"/>
      <c r="N426" s="168"/>
      <c r="O426" s="341"/>
      <c r="P426" s="168"/>
      <c r="Q426" s="369"/>
      <c r="R426" s="370"/>
      <c r="S426" s="17"/>
      <c r="T426" s="17"/>
      <c r="U426" s="17"/>
      <c r="V426" s="17"/>
    </row>
    <row r="427">
      <c r="A427" s="341"/>
      <c r="B427" s="168"/>
      <c r="C427" s="341"/>
      <c r="D427" s="168"/>
      <c r="E427" s="341"/>
      <c r="F427" s="168"/>
      <c r="G427" s="341"/>
      <c r="H427" s="168"/>
      <c r="I427" s="369"/>
      <c r="J427" s="188"/>
      <c r="K427" s="369"/>
      <c r="L427" s="188"/>
      <c r="M427" s="341"/>
      <c r="N427" s="168"/>
      <c r="O427" s="341"/>
      <c r="P427" s="168"/>
      <c r="Q427" s="369"/>
      <c r="R427" s="370"/>
      <c r="S427" s="17"/>
      <c r="T427" s="17"/>
      <c r="U427" s="17"/>
      <c r="V427" s="17"/>
    </row>
    <row r="428">
      <c r="A428" s="341"/>
      <c r="B428" s="168"/>
      <c r="C428" s="341"/>
      <c r="D428" s="168"/>
      <c r="E428" s="341"/>
      <c r="F428" s="168"/>
      <c r="G428" s="341"/>
      <c r="H428" s="168"/>
      <c r="I428" s="369"/>
      <c r="J428" s="188"/>
      <c r="K428" s="369"/>
      <c r="L428" s="188"/>
      <c r="M428" s="341"/>
      <c r="N428" s="168"/>
      <c r="O428" s="341"/>
      <c r="P428" s="168"/>
      <c r="Q428" s="369"/>
      <c r="R428" s="370"/>
      <c r="S428" s="17"/>
      <c r="T428" s="17"/>
      <c r="U428" s="17"/>
      <c r="V428" s="17"/>
    </row>
    <row r="429">
      <c r="A429" s="341"/>
      <c r="B429" s="168"/>
      <c r="C429" s="341"/>
      <c r="D429" s="168"/>
      <c r="E429" s="341"/>
      <c r="F429" s="168"/>
      <c r="G429" s="341"/>
      <c r="H429" s="168"/>
      <c r="I429" s="369"/>
      <c r="J429" s="188"/>
      <c r="K429" s="369"/>
      <c r="L429" s="188"/>
      <c r="M429" s="341"/>
      <c r="N429" s="168"/>
      <c r="O429" s="341"/>
      <c r="P429" s="168"/>
      <c r="Q429" s="369"/>
      <c r="R429" s="370"/>
      <c r="S429" s="17"/>
      <c r="T429" s="17"/>
      <c r="U429" s="17"/>
      <c r="V429" s="17"/>
    </row>
    <row r="430">
      <c r="A430" s="341"/>
      <c r="B430" s="168"/>
      <c r="C430" s="341"/>
      <c r="D430" s="168"/>
      <c r="E430" s="341"/>
      <c r="F430" s="168"/>
      <c r="G430" s="341"/>
      <c r="H430" s="168"/>
      <c r="I430" s="369"/>
      <c r="J430" s="188"/>
      <c r="K430" s="369"/>
      <c r="L430" s="188"/>
      <c r="M430" s="341"/>
      <c r="N430" s="168"/>
      <c r="O430" s="341"/>
      <c r="P430" s="168"/>
      <c r="Q430" s="369"/>
      <c r="R430" s="370"/>
      <c r="S430" s="17"/>
      <c r="T430" s="17"/>
      <c r="U430" s="17"/>
      <c r="V430" s="17"/>
    </row>
    <row r="431">
      <c r="A431" s="341"/>
      <c r="B431" s="168"/>
      <c r="C431" s="341"/>
      <c r="D431" s="168"/>
      <c r="E431" s="341"/>
      <c r="F431" s="168"/>
      <c r="G431" s="341"/>
      <c r="H431" s="168"/>
      <c r="I431" s="369"/>
      <c r="J431" s="188"/>
      <c r="K431" s="369"/>
      <c r="L431" s="188"/>
      <c r="M431" s="341"/>
      <c r="N431" s="168"/>
      <c r="O431" s="341"/>
      <c r="P431" s="168"/>
      <c r="Q431" s="369"/>
      <c r="R431" s="370"/>
      <c r="S431" s="17"/>
      <c r="T431" s="17"/>
      <c r="U431" s="17"/>
      <c r="V431" s="17"/>
    </row>
    <row r="432">
      <c r="A432" s="341"/>
      <c r="B432" s="168"/>
      <c r="C432" s="341"/>
      <c r="D432" s="168"/>
      <c r="E432" s="341"/>
      <c r="F432" s="168"/>
      <c r="G432" s="341"/>
      <c r="H432" s="168"/>
      <c r="I432" s="369"/>
      <c r="J432" s="188"/>
      <c r="K432" s="369"/>
      <c r="L432" s="188"/>
      <c r="M432" s="341"/>
      <c r="N432" s="168"/>
      <c r="O432" s="341"/>
      <c r="P432" s="168"/>
      <c r="Q432" s="369"/>
      <c r="R432" s="370"/>
      <c r="S432" s="17"/>
      <c r="T432" s="17"/>
      <c r="U432" s="17"/>
      <c r="V432" s="17"/>
    </row>
    <row r="433">
      <c r="A433" s="341"/>
      <c r="B433" s="168"/>
      <c r="C433" s="341"/>
      <c r="D433" s="168"/>
      <c r="E433" s="341"/>
      <c r="F433" s="168"/>
      <c r="G433" s="341"/>
      <c r="H433" s="168"/>
      <c r="I433" s="369"/>
      <c r="J433" s="188"/>
      <c r="K433" s="369"/>
      <c r="L433" s="188"/>
      <c r="M433" s="341"/>
      <c r="N433" s="168"/>
      <c r="O433" s="341"/>
      <c r="P433" s="168"/>
      <c r="Q433" s="369"/>
      <c r="R433" s="370"/>
      <c r="S433" s="17"/>
      <c r="T433" s="17"/>
      <c r="U433" s="17"/>
      <c r="V433" s="17"/>
    </row>
    <row r="434">
      <c r="A434" s="341"/>
      <c r="B434" s="168"/>
      <c r="C434" s="341"/>
      <c r="D434" s="168"/>
      <c r="E434" s="341"/>
      <c r="F434" s="168"/>
      <c r="G434" s="341"/>
      <c r="H434" s="168"/>
      <c r="I434" s="369"/>
      <c r="J434" s="188"/>
      <c r="K434" s="369"/>
      <c r="L434" s="188"/>
      <c r="M434" s="341"/>
      <c r="N434" s="168"/>
      <c r="O434" s="341"/>
      <c r="P434" s="168"/>
      <c r="Q434" s="369"/>
      <c r="R434" s="370"/>
      <c r="S434" s="17"/>
      <c r="T434" s="17"/>
      <c r="U434" s="17"/>
      <c r="V434" s="17"/>
    </row>
    <row r="435">
      <c r="A435" s="341"/>
      <c r="B435" s="168"/>
      <c r="C435" s="341"/>
      <c r="D435" s="168"/>
      <c r="E435" s="341"/>
      <c r="F435" s="168"/>
      <c r="G435" s="341"/>
      <c r="H435" s="168"/>
      <c r="I435" s="369"/>
      <c r="J435" s="188"/>
      <c r="K435" s="369"/>
      <c r="L435" s="188"/>
      <c r="M435" s="341"/>
      <c r="N435" s="168"/>
      <c r="O435" s="341"/>
      <c r="P435" s="168"/>
      <c r="Q435" s="369"/>
      <c r="R435" s="370"/>
      <c r="S435" s="17"/>
      <c r="T435" s="17"/>
      <c r="U435" s="17"/>
      <c r="V435" s="17"/>
    </row>
    <row r="436">
      <c r="A436" s="341"/>
      <c r="B436" s="168"/>
      <c r="C436" s="341"/>
      <c r="D436" s="168"/>
      <c r="E436" s="341"/>
      <c r="F436" s="168"/>
      <c r="G436" s="341"/>
      <c r="H436" s="168"/>
      <c r="I436" s="369"/>
      <c r="J436" s="188"/>
      <c r="K436" s="369"/>
      <c r="L436" s="188"/>
      <c r="M436" s="341"/>
      <c r="N436" s="168"/>
      <c r="O436" s="341"/>
      <c r="P436" s="168"/>
      <c r="Q436" s="369"/>
      <c r="R436" s="370"/>
      <c r="S436" s="17"/>
      <c r="T436" s="17"/>
      <c r="U436" s="17"/>
      <c r="V436" s="17"/>
    </row>
    <row r="437">
      <c r="A437" s="341"/>
      <c r="B437" s="168"/>
      <c r="C437" s="341"/>
      <c r="D437" s="168"/>
      <c r="E437" s="341"/>
      <c r="F437" s="168"/>
      <c r="G437" s="341"/>
      <c r="H437" s="168"/>
      <c r="I437" s="369"/>
      <c r="J437" s="188"/>
      <c r="K437" s="369"/>
      <c r="L437" s="188"/>
      <c r="M437" s="341"/>
      <c r="N437" s="168"/>
      <c r="O437" s="341"/>
      <c r="P437" s="168"/>
      <c r="Q437" s="369"/>
      <c r="R437" s="370"/>
      <c r="S437" s="17"/>
      <c r="T437" s="17"/>
      <c r="U437" s="17"/>
      <c r="V437" s="17"/>
    </row>
    <row r="438">
      <c r="A438" s="341"/>
      <c r="B438" s="168"/>
      <c r="C438" s="341"/>
      <c r="D438" s="168"/>
      <c r="E438" s="341"/>
      <c r="F438" s="168"/>
      <c r="G438" s="341"/>
      <c r="H438" s="168"/>
      <c r="I438" s="369"/>
      <c r="J438" s="188"/>
      <c r="K438" s="369"/>
      <c r="L438" s="188"/>
      <c r="M438" s="341"/>
      <c r="N438" s="168"/>
      <c r="O438" s="341"/>
      <c r="P438" s="168"/>
      <c r="Q438" s="369"/>
      <c r="R438" s="370"/>
      <c r="S438" s="17"/>
      <c r="T438" s="17"/>
      <c r="U438" s="17"/>
      <c r="V438" s="17"/>
    </row>
    <row r="439">
      <c r="A439" s="341"/>
      <c r="B439" s="168"/>
      <c r="C439" s="341"/>
      <c r="D439" s="168"/>
      <c r="E439" s="341"/>
      <c r="F439" s="168"/>
      <c r="G439" s="341"/>
      <c r="H439" s="168"/>
      <c r="I439" s="369"/>
      <c r="J439" s="188"/>
      <c r="K439" s="369"/>
      <c r="L439" s="188"/>
      <c r="M439" s="341"/>
      <c r="N439" s="168"/>
      <c r="O439" s="341"/>
      <c r="P439" s="168"/>
      <c r="Q439" s="369"/>
      <c r="R439" s="370"/>
      <c r="S439" s="17"/>
      <c r="T439" s="17"/>
      <c r="U439" s="17"/>
      <c r="V439" s="17"/>
    </row>
    <row r="440">
      <c r="A440" s="341"/>
      <c r="B440" s="168"/>
      <c r="C440" s="341"/>
      <c r="D440" s="168"/>
      <c r="E440" s="341"/>
      <c r="F440" s="168"/>
      <c r="G440" s="341"/>
      <c r="H440" s="168"/>
      <c r="I440" s="369"/>
      <c r="J440" s="188"/>
      <c r="K440" s="369"/>
      <c r="L440" s="188"/>
      <c r="M440" s="341"/>
      <c r="N440" s="168"/>
      <c r="O440" s="341"/>
      <c r="P440" s="168"/>
      <c r="Q440" s="369"/>
      <c r="R440" s="370"/>
      <c r="S440" s="17"/>
      <c r="T440" s="17"/>
      <c r="U440" s="17"/>
      <c r="V440" s="17"/>
    </row>
    <row r="441">
      <c r="A441" s="341"/>
      <c r="B441" s="168"/>
      <c r="C441" s="341"/>
      <c r="D441" s="168"/>
      <c r="E441" s="341"/>
      <c r="F441" s="168"/>
      <c r="G441" s="341"/>
      <c r="H441" s="168"/>
      <c r="I441" s="369"/>
      <c r="J441" s="188"/>
      <c r="K441" s="369"/>
      <c r="L441" s="188"/>
      <c r="M441" s="341"/>
      <c r="N441" s="168"/>
      <c r="O441" s="341"/>
      <c r="P441" s="168"/>
      <c r="Q441" s="369"/>
      <c r="R441" s="370"/>
      <c r="S441" s="17"/>
      <c r="T441" s="17"/>
      <c r="U441" s="17"/>
      <c r="V441" s="17"/>
    </row>
    <row r="442">
      <c r="A442" s="341"/>
      <c r="B442" s="168"/>
      <c r="C442" s="341"/>
      <c r="D442" s="168"/>
      <c r="E442" s="341"/>
      <c r="F442" s="168"/>
      <c r="G442" s="341"/>
      <c r="H442" s="168"/>
      <c r="I442" s="369"/>
      <c r="J442" s="188"/>
      <c r="K442" s="369"/>
      <c r="L442" s="188"/>
      <c r="M442" s="341"/>
      <c r="N442" s="168"/>
      <c r="O442" s="341"/>
      <c r="P442" s="168"/>
      <c r="Q442" s="369"/>
      <c r="R442" s="370"/>
      <c r="S442" s="17"/>
      <c r="T442" s="17"/>
      <c r="U442" s="17"/>
      <c r="V442" s="17"/>
    </row>
    <row r="443">
      <c r="A443" s="341"/>
      <c r="B443" s="168"/>
      <c r="C443" s="341"/>
      <c r="D443" s="168"/>
      <c r="E443" s="341"/>
      <c r="F443" s="168"/>
      <c r="G443" s="341"/>
      <c r="H443" s="168"/>
      <c r="I443" s="369"/>
      <c r="J443" s="188"/>
      <c r="K443" s="369"/>
      <c r="L443" s="188"/>
      <c r="M443" s="341"/>
      <c r="N443" s="168"/>
      <c r="O443" s="341"/>
      <c r="P443" s="168"/>
      <c r="Q443" s="369"/>
      <c r="R443" s="370"/>
      <c r="S443" s="17"/>
      <c r="T443" s="17"/>
      <c r="U443" s="17"/>
      <c r="V443" s="17"/>
    </row>
    <row r="444">
      <c r="A444" s="341"/>
      <c r="B444" s="168"/>
      <c r="C444" s="341"/>
      <c r="D444" s="168"/>
      <c r="E444" s="341"/>
      <c r="F444" s="168"/>
      <c r="G444" s="341"/>
      <c r="H444" s="168"/>
      <c r="I444" s="369"/>
      <c r="J444" s="188"/>
      <c r="K444" s="369"/>
      <c r="L444" s="188"/>
      <c r="M444" s="341"/>
      <c r="N444" s="168"/>
      <c r="O444" s="341"/>
      <c r="P444" s="168"/>
      <c r="Q444" s="369"/>
      <c r="R444" s="370"/>
      <c r="S444" s="17"/>
      <c r="T444" s="17"/>
      <c r="U444" s="17"/>
      <c r="V444" s="17"/>
    </row>
    <row r="445">
      <c r="A445" s="341"/>
      <c r="B445" s="168"/>
      <c r="C445" s="341"/>
      <c r="D445" s="168"/>
      <c r="E445" s="341"/>
      <c r="F445" s="168"/>
      <c r="G445" s="341"/>
      <c r="H445" s="168"/>
      <c r="I445" s="369"/>
      <c r="J445" s="188"/>
      <c r="K445" s="369"/>
      <c r="L445" s="188"/>
      <c r="M445" s="341"/>
      <c r="N445" s="168"/>
      <c r="O445" s="341"/>
      <c r="P445" s="168"/>
      <c r="Q445" s="370"/>
      <c r="R445" s="370"/>
      <c r="S445" s="17"/>
      <c r="T445" s="17"/>
      <c r="U445" s="17"/>
      <c r="V445" s="17"/>
    </row>
    <row r="446">
      <c r="A446" s="341"/>
      <c r="B446" s="168"/>
      <c r="C446" s="341"/>
      <c r="D446" s="168"/>
      <c r="E446" s="341"/>
      <c r="F446" s="168"/>
      <c r="G446" s="341"/>
      <c r="H446" s="168"/>
      <c r="I446" s="369"/>
      <c r="J446" s="188"/>
      <c r="K446" s="369"/>
      <c r="L446" s="188"/>
      <c r="M446" s="341"/>
      <c r="N446" s="168"/>
      <c r="O446" s="341"/>
      <c r="P446" s="168"/>
      <c r="Q446" s="370"/>
      <c r="R446" s="370"/>
      <c r="S446" s="17"/>
      <c r="T446" s="17"/>
      <c r="U446" s="17"/>
      <c r="V446" s="17"/>
    </row>
    <row r="447">
      <c r="A447" s="341"/>
      <c r="B447" s="168"/>
      <c r="C447" s="341"/>
      <c r="D447" s="168"/>
      <c r="E447" s="341"/>
      <c r="F447" s="168"/>
      <c r="G447" s="341"/>
      <c r="H447" s="168"/>
      <c r="I447" s="369"/>
      <c r="J447" s="188"/>
      <c r="K447" s="369"/>
      <c r="L447" s="188"/>
      <c r="M447" s="341"/>
      <c r="N447" s="168"/>
      <c r="O447" s="341"/>
      <c r="P447" s="168"/>
      <c r="Q447" s="370"/>
      <c r="R447" s="370"/>
      <c r="S447" s="17"/>
      <c r="T447" s="17"/>
      <c r="U447" s="17"/>
      <c r="V447" s="17"/>
    </row>
    <row r="448">
      <c r="A448" s="341"/>
      <c r="B448" s="168"/>
      <c r="C448" s="341"/>
      <c r="D448" s="168"/>
      <c r="E448" s="341"/>
      <c r="F448" s="168"/>
      <c r="G448" s="341"/>
      <c r="H448" s="168"/>
      <c r="I448" s="369"/>
      <c r="J448" s="188"/>
      <c r="K448" s="369"/>
      <c r="L448" s="188"/>
      <c r="M448" s="341"/>
      <c r="N448" s="168"/>
      <c r="O448" s="341"/>
      <c r="P448" s="168"/>
      <c r="Q448" s="370"/>
      <c r="R448" s="370"/>
      <c r="S448" s="17"/>
      <c r="T448" s="17"/>
      <c r="U448" s="17"/>
      <c r="V448" s="17"/>
    </row>
    <row r="449">
      <c r="A449" s="341"/>
      <c r="B449" s="168"/>
      <c r="C449" s="341"/>
      <c r="D449" s="168"/>
      <c r="E449" s="341"/>
      <c r="F449" s="168"/>
      <c r="G449" s="341"/>
      <c r="H449" s="168"/>
      <c r="I449" s="369"/>
      <c r="J449" s="188"/>
      <c r="K449" s="369"/>
      <c r="L449" s="188"/>
      <c r="M449" s="341"/>
      <c r="N449" s="168"/>
      <c r="O449" s="341"/>
      <c r="P449" s="168"/>
      <c r="Q449" s="370"/>
      <c r="R449" s="370"/>
      <c r="S449" s="17"/>
      <c r="T449" s="17"/>
      <c r="U449" s="17"/>
      <c r="V449" s="17"/>
    </row>
    <row r="450">
      <c r="A450" s="341"/>
      <c r="B450" s="168"/>
      <c r="C450" s="341"/>
      <c r="D450" s="168"/>
      <c r="E450" s="341"/>
      <c r="F450" s="168"/>
      <c r="G450" s="341"/>
      <c r="H450" s="168"/>
      <c r="I450" s="369"/>
      <c r="J450" s="188"/>
      <c r="K450" s="369"/>
      <c r="L450" s="188"/>
      <c r="M450" s="341"/>
      <c r="N450" s="168"/>
      <c r="O450" s="341"/>
      <c r="P450" s="168"/>
      <c r="Q450" s="370"/>
      <c r="R450" s="370"/>
      <c r="S450" s="17"/>
      <c r="T450" s="17"/>
      <c r="U450" s="17"/>
      <c r="V450" s="17"/>
    </row>
    <row r="451">
      <c r="A451" s="341"/>
      <c r="B451" s="168"/>
      <c r="C451" s="341"/>
      <c r="D451" s="168"/>
      <c r="E451" s="341"/>
      <c r="F451" s="168"/>
      <c r="G451" s="341"/>
      <c r="H451" s="168"/>
      <c r="I451" s="369"/>
      <c r="J451" s="188"/>
      <c r="K451" s="369"/>
      <c r="L451" s="188"/>
      <c r="M451" s="341"/>
      <c r="N451" s="168"/>
      <c r="O451" s="341"/>
      <c r="P451" s="168"/>
      <c r="Q451" s="370"/>
      <c r="R451" s="370"/>
      <c r="S451" s="17"/>
      <c r="T451" s="17"/>
      <c r="U451" s="17"/>
      <c r="V451" s="17"/>
    </row>
    <row r="452">
      <c r="A452" s="341"/>
      <c r="B452" s="168"/>
      <c r="C452" s="341"/>
      <c r="D452" s="168"/>
      <c r="E452" s="341"/>
      <c r="F452" s="168"/>
      <c r="G452" s="341"/>
      <c r="H452" s="168"/>
      <c r="I452" s="369"/>
      <c r="J452" s="188"/>
      <c r="K452" s="369"/>
      <c r="L452" s="188"/>
      <c r="M452" s="341"/>
      <c r="N452" s="168"/>
      <c r="O452" s="341"/>
      <c r="P452" s="168"/>
      <c r="Q452" s="370"/>
      <c r="R452" s="370"/>
      <c r="S452" s="17"/>
      <c r="T452" s="17"/>
      <c r="U452" s="17"/>
      <c r="V452" s="17"/>
    </row>
    <row r="453">
      <c r="A453" s="341"/>
      <c r="B453" s="168"/>
      <c r="C453" s="341"/>
      <c r="D453" s="168"/>
      <c r="E453" s="341"/>
      <c r="F453" s="168"/>
      <c r="G453" s="341"/>
      <c r="H453" s="168"/>
      <c r="I453" s="369"/>
      <c r="J453" s="188"/>
      <c r="K453" s="369"/>
      <c r="L453" s="188"/>
      <c r="M453" s="341"/>
      <c r="N453" s="168"/>
      <c r="O453" s="341"/>
      <c r="P453" s="168"/>
      <c r="Q453" s="370"/>
      <c r="R453" s="370"/>
      <c r="S453" s="17"/>
      <c r="T453" s="17"/>
      <c r="U453" s="17"/>
      <c r="V453" s="17"/>
    </row>
    <row r="454">
      <c r="A454" s="341"/>
      <c r="B454" s="168"/>
      <c r="C454" s="341"/>
      <c r="D454" s="168"/>
      <c r="E454" s="341"/>
      <c r="F454" s="168"/>
      <c r="G454" s="341"/>
      <c r="H454" s="168"/>
      <c r="I454" s="369"/>
      <c r="J454" s="188"/>
      <c r="K454" s="369"/>
      <c r="L454" s="188"/>
      <c r="M454" s="341"/>
      <c r="N454" s="168"/>
      <c r="O454" s="341"/>
      <c r="P454" s="168"/>
      <c r="Q454" s="370"/>
      <c r="R454" s="370"/>
      <c r="S454" s="17"/>
      <c r="T454" s="17"/>
      <c r="U454" s="17"/>
      <c r="V454" s="17"/>
    </row>
    <row r="455">
      <c r="A455" s="341"/>
      <c r="B455" s="168"/>
      <c r="C455" s="341"/>
      <c r="D455" s="168"/>
      <c r="E455" s="341"/>
      <c r="F455" s="168"/>
      <c r="G455" s="341"/>
      <c r="H455" s="168"/>
      <c r="I455" s="369"/>
      <c r="J455" s="188"/>
      <c r="K455" s="369"/>
      <c r="L455" s="188"/>
      <c r="M455" s="341"/>
      <c r="N455" s="168"/>
      <c r="O455" s="341"/>
      <c r="P455" s="168"/>
      <c r="Q455" s="370"/>
      <c r="R455" s="370"/>
      <c r="S455" s="17"/>
      <c r="T455" s="17"/>
      <c r="U455" s="17"/>
      <c r="V455" s="17"/>
    </row>
    <row r="456">
      <c r="A456" s="341"/>
      <c r="B456" s="168"/>
      <c r="C456" s="341"/>
      <c r="D456" s="168"/>
      <c r="E456" s="341"/>
      <c r="F456" s="168"/>
      <c r="G456" s="341"/>
      <c r="H456" s="168"/>
      <c r="I456" s="369"/>
      <c r="J456" s="188"/>
      <c r="K456" s="369"/>
      <c r="L456" s="188"/>
      <c r="M456" s="341"/>
      <c r="N456" s="168"/>
      <c r="O456" s="341"/>
      <c r="P456" s="168"/>
      <c r="Q456" s="370"/>
      <c r="R456" s="370"/>
      <c r="S456" s="17"/>
      <c r="T456" s="17"/>
      <c r="U456" s="17"/>
      <c r="V456" s="17"/>
    </row>
    <row r="457">
      <c r="A457" s="341"/>
      <c r="B457" s="168"/>
      <c r="C457" s="341"/>
      <c r="D457" s="168"/>
      <c r="E457" s="341"/>
      <c r="F457" s="168"/>
      <c r="G457" s="341"/>
      <c r="H457" s="168"/>
      <c r="I457" s="369"/>
      <c r="J457" s="188"/>
      <c r="K457" s="369"/>
      <c r="L457" s="188"/>
      <c r="M457" s="341"/>
      <c r="N457" s="168"/>
      <c r="O457" s="341"/>
      <c r="P457" s="168"/>
      <c r="Q457" s="370"/>
      <c r="R457" s="370"/>
      <c r="S457" s="17"/>
      <c r="T457" s="17"/>
      <c r="U457" s="17"/>
      <c r="V457" s="17"/>
    </row>
    <row r="458">
      <c r="A458" s="341"/>
      <c r="B458" s="168"/>
      <c r="C458" s="341"/>
      <c r="D458" s="168"/>
      <c r="E458" s="341"/>
      <c r="F458" s="168"/>
      <c r="G458" s="341"/>
      <c r="H458" s="168"/>
      <c r="I458" s="369"/>
      <c r="J458" s="188"/>
      <c r="K458" s="369"/>
      <c r="L458" s="188"/>
      <c r="M458" s="341"/>
      <c r="N458" s="168"/>
      <c r="O458" s="341"/>
      <c r="P458" s="168"/>
      <c r="Q458" s="370"/>
      <c r="R458" s="370"/>
      <c r="S458" s="17"/>
      <c r="T458" s="17"/>
      <c r="U458" s="17"/>
      <c r="V458" s="17"/>
    </row>
    <row r="459">
      <c r="A459" s="341"/>
      <c r="B459" s="168"/>
      <c r="C459" s="341"/>
      <c r="D459" s="168"/>
      <c r="E459" s="341"/>
      <c r="F459" s="168"/>
      <c r="G459" s="341"/>
      <c r="H459" s="168"/>
      <c r="I459" s="369"/>
      <c r="J459" s="188"/>
      <c r="K459" s="369"/>
      <c r="L459" s="188"/>
      <c r="M459" s="341"/>
      <c r="N459" s="168"/>
      <c r="O459" s="341"/>
      <c r="P459" s="168"/>
      <c r="Q459" s="370"/>
      <c r="R459" s="370"/>
      <c r="S459" s="17"/>
      <c r="T459" s="17"/>
      <c r="U459" s="17"/>
      <c r="V459" s="17"/>
    </row>
    <row r="460">
      <c r="A460" s="341"/>
      <c r="B460" s="168"/>
      <c r="C460" s="341"/>
      <c r="D460" s="168"/>
      <c r="E460" s="341"/>
      <c r="F460" s="168"/>
      <c r="G460" s="341"/>
      <c r="H460" s="168"/>
      <c r="I460" s="369"/>
      <c r="J460" s="188"/>
      <c r="K460" s="369"/>
      <c r="L460" s="188"/>
      <c r="M460" s="341"/>
      <c r="N460" s="168"/>
      <c r="O460" s="341"/>
      <c r="P460" s="168"/>
      <c r="Q460" s="370"/>
      <c r="R460" s="370"/>
      <c r="S460" s="17"/>
      <c r="T460" s="17"/>
      <c r="U460" s="17"/>
      <c r="V460" s="17"/>
    </row>
    <row r="461">
      <c r="A461" s="341"/>
      <c r="B461" s="168"/>
      <c r="C461" s="341"/>
      <c r="D461" s="168"/>
      <c r="E461" s="341"/>
      <c r="F461" s="168"/>
      <c r="G461" s="341"/>
      <c r="H461" s="168"/>
      <c r="I461" s="369"/>
      <c r="J461" s="188"/>
      <c r="K461" s="369"/>
      <c r="L461" s="188"/>
      <c r="M461" s="341"/>
      <c r="N461" s="168"/>
      <c r="O461" s="341"/>
      <c r="P461" s="168"/>
      <c r="Q461" s="370"/>
      <c r="R461" s="370"/>
      <c r="S461" s="17"/>
      <c r="T461" s="17"/>
      <c r="U461" s="17"/>
      <c r="V461" s="17"/>
    </row>
    <row r="462">
      <c r="A462" s="341"/>
      <c r="B462" s="168"/>
      <c r="C462" s="341"/>
      <c r="D462" s="168"/>
      <c r="E462" s="341"/>
      <c r="F462" s="168"/>
      <c r="G462" s="341"/>
      <c r="H462" s="168"/>
      <c r="I462" s="369"/>
      <c r="J462" s="188"/>
      <c r="K462" s="369"/>
      <c r="L462" s="188"/>
      <c r="M462" s="341"/>
      <c r="N462" s="168"/>
      <c r="O462" s="341"/>
      <c r="P462" s="168"/>
      <c r="Q462" s="370"/>
      <c r="R462" s="370"/>
      <c r="S462" s="17"/>
      <c r="T462" s="17"/>
      <c r="U462" s="17"/>
      <c r="V462" s="17"/>
    </row>
    <row r="463">
      <c r="A463" s="341"/>
      <c r="B463" s="168"/>
      <c r="C463" s="341"/>
      <c r="D463" s="168"/>
      <c r="E463" s="341"/>
      <c r="F463" s="168"/>
      <c r="G463" s="341"/>
      <c r="H463" s="168"/>
      <c r="I463" s="369"/>
      <c r="J463" s="188"/>
      <c r="K463" s="369"/>
      <c r="L463" s="188"/>
      <c r="M463" s="341"/>
      <c r="N463" s="168"/>
      <c r="O463" s="341"/>
      <c r="P463" s="168"/>
      <c r="Q463" s="370"/>
      <c r="R463" s="370"/>
      <c r="S463" s="17"/>
      <c r="T463" s="17"/>
      <c r="U463" s="17"/>
      <c r="V463" s="17"/>
    </row>
    <row r="464">
      <c r="A464" s="341"/>
      <c r="B464" s="168"/>
      <c r="C464" s="341"/>
      <c r="D464" s="168"/>
      <c r="E464" s="341"/>
      <c r="F464" s="168"/>
      <c r="G464" s="341"/>
      <c r="H464" s="168"/>
      <c r="I464" s="369"/>
      <c r="J464" s="188"/>
      <c r="K464" s="369"/>
      <c r="L464" s="188"/>
      <c r="M464" s="341"/>
      <c r="N464" s="168"/>
      <c r="O464" s="341"/>
      <c r="P464" s="168"/>
      <c r="Q464" s="370"/>
      <c r="R464" s="370"/>
      <c r="S464" s="17"/>
      <c r="T464" s="17"/>
      <c r="U464" s="17"/>
      <c r="V464" s="17"/>
    </row>
    <row r="465">
      <c r="A465" s="341"/>
      <c r="B465" s="168"/>
      <c r="C465" s="341"/>
      <c r="D465" s="168"/>
      <c r="E465" s="341"/>
      <c r="F465" s="168"/>
      <c r="G465" s="341"/>
      <c r="H465" s="168"/>
      <c r="I465" s="369"/>
      <c r="J465" s="188"/>
      <c r="K465" s="369"/>
      <c r="L465" s="188"/>
      <c r="M465" s="341"/>
      <c r="N465" s="168"/>
      <c r="O465" s="341"/>
      <c r="P465" s="168"/>
      <c r="Q465" s="370"/>
      <c r="R465" s="370"/>
      <c r="S465" s="17"/>
      <c r="T465" s="17"/>
      <c r="U465" s="17"/>
      <c r="V465" s="17"/>
    </row>
    <row r="466">
      <c r="A466" s="341"/>
      <c r="B466" s="168"/>
      <c r="C466" s="341"/>
      <c r="D466" s="168"/>
      <c r="E466" s="341"/>
      <c r="F466" s="168"/>
      <c r="G466" s="341"/>
      <c r="H466" s="168"/>
      <c r="I466" s="369"/>
      <c r="J466" s="188"/>
      <c r="K466" s="369"/>
      <c r="L466" s="188"/>
      <c r="M466" s="341"/>
      <c r="N466" s="168"/>
      <c r="O466" s="341"/>
      <c r="P466" s="168"/>
      <c r="Q466" s="370"/>
      <c r="R466" s="370"/>
      <c r="S466" s="17"/>
      <c r="T466" s="17"/>
      <c r="U466" s="17"/>
      <c r="V466" s="17"/>
    </row>
    <row r="467">
      <c r="A467" s="341"/>
      <c r="B467" s="168"/>
      <c r="C467" s="341"/>
      <c r="D467" s="168"/>
      <c r="E467" s="341"/>
      <c r="F467" s="168"/>
      <c r="G467" s="341"/>
      <c r="H467" s="168"/>
      <c r="I467" s="369"/>
      <c r="J467" s="188"/>
      <c r="K467" s="369"/>
      <c r="L467" s="188"/>
      <c r="M467" s="341"/>
      <c r="N467" s="168"/>
      <c r="O467" s="341"/>
      <c r="P467" s="168"/>
      <c r="Q467" s="370"/>
      <c r="R467" s="370"/>
      <c r="S467" s="17"/>
      <c r="T467" s="17"/>
      <c r="U467" s="17"/>
      <c r="V467" s="17"/>
    </row>
    <row r="468">
      <c r="A468" s="341"/>
      <c r="B468" s="168"/>
      <c r="C468" s="341"/>
      <c r="D468" s="168"/>
      <c r="E468" s="341"/>
      <c r="F468" s="168"/>
      <c r="G468" s="341"/>
      <c r="H468" s="168"/>
      <c r="I468" s="369"/>
      <c r="J468" s="188"/>
      <c r="K468" s="369"/>
      <c r="L468" s="188"/>
      <c r="M468" s="341"/>
      <c r="N468" s="168"/>
      <c r="O468" s="341"/>
      <c r="P468" s="168"/>
      <c r="Q468" s="370"/>
      <c r="R468" s="370"/>
      <c r="S468" s="17"/>
      <c r="T468" s="17"/>
      <c r="U468" s="17"/>
      <c r="V468" s="17"/>
    </row>
    <row r="469">
      <c r="A469" s="341"/>
      <c r="B469" s="168"/>
      <c r="C469" s="341"/>
      <c r="D469" s="168"/>
      <c r="E469" s="341"/>
      <c r="F469" s="168"/>
      <c r="G469" s="341"/>
      <c r="H469" s="168"/>
      <c r="I469" s="369"/>
      <c r="J469" s="188"/>
      <c r="K469" s="369"/>
      <c r="L469" s="188"/>
      <c r="M469" s="341"/>
      <c r="N469" s="168"/>
      <c r="O469" s="341"/>
      <c r="P469" s="168"/>
      <c r="Q469" s="370"/>
      <c r="R469" s="370"/>
      <c r="S469" s="17"/>
      <c r="T469" s="17"/>
      <c r="U469" s="17"/>
      <c r="V469" s="17"/>
    </row>
    <row r="470">
      <c r="A470" s="341"/>
      <c r="B470" s="168"/>
      <c r="C470" s="341"/>
      <c r="D470" s="168"/>
      <c r="E470" s="341"/>
      <c r="F470" s="168"/>
      <c r="G470" s="341"/>
      <c r="H470" s="168"/>
      <c r="I470" s="369"/>
      <c r="J470" s="188"/>
      <c r="K470" s="369"/>
      <c r="L470" s="188"/>
      <c r="M470" s="341"/>
      <c r="N470" s="168"/>
      <c r="O470" s="341"/>
      <c r="P470" s="168"/>
      <c r="Q470" s="370"/>
      <c r="R470" s="370"/>
      <c r="S470" s="17"/>
      <c r="T470" s="17"/>
      <c r="U470" s="17"/>
      <c r="V470" s="17"/>
    </row>
    <row r="471">
      <c r="A471" s="341"/>
      <c r="B471" s="168"/>
      <c r="C471" s="341"/>
      <c r="D471" s="168"/>
      <c r="E471" s="341"/>
      <c r="F471" s="168"/>
      <c r="G471" s="341"/>
      <c r="H471" s="168"/>
      <c r="I471" s="369"/>
      <c r="J471" s="188"/>
      <c r="K471" s="369"/>
      <c r="L471" s="188"/>
      <c r="M471" s="341"/>
      <c r="N471" s="168"/>
      <c r="O471" s="341"/>
      <c r="P471" s="168"/>
      <c r="Q471" s="370"/>
      <c r="R471" s="370"/>
      <c r="S471" s="17"/>
      <c r="T471" s="17"/>
      <c r="U471" s="17"/>
      <c r="V471" s="17"/>
    </row>
    <row r="472">
      <c r="A472" s="341"/>
      <c r="B472" s="168"/>
      <c r="C472" s="341"/>
      <c r="D472" s="168"/>
      <c r="E472" s="341"/>
      <c r="F472" s="168"/>
      <c r="G472" s="341"/>
      <c r="H472" s="168"/>
      <c r="I472" s="369"/>
      <c r="J472" s="188"/>
      <c r="K472" s="369"/>
      <c r="L472" s="188"/>
      <c r="M472" s="341"/>
      <c r="N472" s="168"/>
      <c r="O472" s="341"/>
      <c r="P472" s="168"/>
      <c r="Q472" s="370"/>
      <c r="R472" s="370"/>
      <c r="S472" s="17"/>
      <c r="T472" s="17"/>
      <c r="U472" s="17"/>
      <c r="V472" s="17"/>
    </row>
    <row r="473">
      <c r="A473" s="341"/>
      <c r="B473" s="168"/>
      <c r="C473" s="341"/>
      <c r="D473" s="168"/>
      <c r="E473" s="341"/>
      <c r="F473" s="168"/>
      <c r="G473" s="341"/>
      <c r="H473" s="168"/>
      <c r="I473" s="369"/>
      <c r="J473" s="188"/>
      <c r="K473" s="369"/>
      <c r="L473" s="188"/>
      <c r="M473" s="341"/>
      <c r="N473" s="168"/>
      <c r="O473" s="341"/>
      <c r="P473" s="168"/>
      <c r="Q473" s="370"/>
      <c r="R473" s="370"/>
      <c r="S473" s="17"/>
      <c r="T473" s="17"/>
      <c r="U473" s="17"/>
      <c r="V473" s="17"/>
    </row>
    <row r="474">
      <c r="A474" s="341"/>
      <c r="B474" s="168"/>
      <c r="C474" s="341"/>
      <c r="D474" s="168"/>
      <c r="E474" s="341"/>
      <c r="F474" s="168"/>
      <c r="G474" s="341"/>
      <c r="H474" s="168"/>
      <c r="I474" s="369"/>
      <c r="J474" s="188"/>
      <c r="K474" s="369"/>
      <c r="L474" s="188"/>
      <c r="M474" s="341"/>
      <c r="N474" s="168"/>
      <c r="O474" s="341"/>
      <c r="P474" s="168"/>
      <c r="Q474" s="370"/>
      <c r="R474" s="370"/>
      <c r="S474" s="17"/>
      <c r="T474" s="17"/>
      <c r="U474" s="17"/>
      <c r="V474" s="17"/>
    </row>
    <row r="475">
      <c r="A475" s="341"/>
      <c r="B475" s="168"/>
      <c r="C475" s="341"/>
      <c r="D475" s="168"/>
      <c r="E475" s="341"/>
      <c r="F475" s="168"/>
      <c r="G475" s="341"/>
      <c r="H475" s="168"/>
      <c r="I475" s="369"/>
      <c r="J475" s="188"/>
      <c r="K475" s="369"/>
      <c r="L475" s="188"/>
      <c r="M475" s="341"/>
      <c r="N475" s="168"/>
      <c r="O475" s="341"/>
      <c r="P475" s="168"/>
      <c r="Q475" s="370"/>
      <c r="R475" s="370"/>
      <c r="S475" s="17"/>
      <c r="T475" s="17"/>
      <c r="U475" s="17"/>
      <c r="V475" s="17"/>
    </row>
    <row r="476">
      <c r="A476" s="341"/>
      <c r="B476" s="168"/>
      <c r="C476" s="341"/>
      <c r="D476" s="168"/>
      <c r="E476" s="341"/>
      <c r="F476" s="168"/>
      <c r="G476" s="341"/>
      <c r="H476" s="168"/>
      <c r="I476" s="369"/>
      <c r="J476" s="188"/>
      <c r="K476" s="369"/>
      <c r="L476" s="188"/>
      <c r="M476" s="341"/>
      <c r="N476" s="168"/>
      <c r="O476" s="341"/>
      <c r="P476" s="168"/>
      <c r="Q476" s="370"/>
      <c r="R476" s="370"/>
      <c r="S476" s="17"/>
      <c r="T476" s="17"/>
      <c r="U476" s="17"/>
      <c r="V476" s="17"/>
    </row>
    <row r="477">
      <c r="A477" s="341"/>
      <c r="B477" s="168"/>
      <c r="C477" s="341"/>
      <c r="D477" s="168"/>
      <c r="E477" s="341"/>
      <c r="F477" s="168"/>
      <c r="G477" s="341"/>
      <c r="H477" s="168"/>
      <c r="I477" s="369"/>
      <c r="J477" s="188"/>
      <c r="K477" s="369"/>
      <c r="L477" s="188"/>
      <c r="M477" s="341"/>
      <c r="N477" s="168"/>
      <c r="O477" s="341"/>
      <c r="P477" s="168"/>
      <c r="Q477" s="370"/>
      <c r="R477" s="370"/>
      <c r="S477" s="17"/>
      <c r="T477" s="17"/>
      <c r="U477" s="17"/>
      <c r="V477" s="17"/>
    </row>
    <row r="478">
      <c r="A478" s="341"/>
      <c r="B478" s="168"/>
      <c r="C478" s="341"/>
      <c r="D478" s="168"/>
      <c r="E478" s="341"/>
      <c r="F478" s="168"/>
      <c r="G478" s="341"/>
      <c r="H478" s="168"/>
      <c r="I478" s="369"/>
      <c r="J478" s="188"/>
      <c r="K478" s="369"/>
      <c r="L478" s="188"/>
      <c r="M478" s="341"/>
      <c r="N478" s="168"/>
      <c r="O478" s="341"/>
      <c r="P478" s="168"/>
      <c r="Q478" s="370"/>
      <c r="R478" s="370"/>
      <c r="S478" s="17"/>
      <c r="T478" s="17"/>
      <c r="U478" s="17"/>
      <c r="V478" s="17"/>
    </row>
    <row r="479">
      <c r="A479" s="341"/>
      <c r="B479" s="168"/>
      <c r="C479" s="341"/>
      <c r="D479" s="168"/>
      <c r="E479" s="341"/>
      <c r="F479" s="168"/>
      <c r="G479" s="341"/>
      <c r="H479" s="168"/>
      <c r="I479" s="369"/>
      <c r="J479" s="188"/>
      <c r="K479" s="369"/>
      <c r="L479" s="188"/>
      <c r="M479" s="341"/>
      <c r="N479" s="168"/>
      <c r="O479" s="341"/>
      <c r="P479" s="168"/>
      <c r="Q479" s="370"/>
      <c r="R479" s="370"/>
      <c r="S479" s="17"/>
      <c r="T479" s="17"/>
      <c r="U479" s="17"/>
      <c r="V479" s="17"/>
    </row>
    <row r="480">
      <c r="A480" s="341"/>
      <c r="B480" s="168"/>
      <c r="C480" s="341"/>
      <c r="D480" s="168"/>
      <c r="E480" s="341"/>
      <c r="F480" s="168"/>
      <c r="G480" s="341"/>
      <c r="H480" s="168"/>
      <c r="I480" s="369"/>
      <c r="J480" s="188"/>
      <c r="K480" s="369"/>
      <c r="L480" s="188"/>
      <c r="M480" s="341"/>
      <c r="N480" s="168"/>
      <c r="O480" s="341"/>
      <c r="P480" s="168"/>
      <c r="Q480" s="370"/>
      <c r="R480" s="370"/>
      <c r="S480" s="17"/>
      <c r="T480" s="17"/>
      <c r="U480" s="17"/>
      <c r="V480" s="17"/>
    </row>
    <row r="481">
      <c r="A481" s="341"/>
      <c r="B481" s="168"/>
      <c r="C481" s="341"/>
      <c r="D481" s="168"/>
      <c r="E481" s="341"/>
      <c r="F481" s="168"/>
      <c r="G481" s="341"/>
      <c r="H481" s="168"/>
      <c r="I481" s="369"/>
      <c r="J481" s="188"/>
      <c r="K481" s="369"/>
      <c r="L481" s="188"/>
      <c r="M481" s="341"/>
      <c r="N481" s="168"/>
      <c r="O481" s="341"/>
      <c r="P481" s="168"/>
      <c r="Q481" s="370"/>
      <c r="R481" s="370"/>
      <c r="S481" s="17"/>
      <c r="T481" s="17"/>
      <c r="U481" s="17"/>
      <c r="V481" s="17"/>
    </row>
    <row r="482">
      <c r="A482" s="341"/>
      <c r="B482" s="168"/>
      <c r="C482" s="341"/>
      <c r="D482" s="168"/>
      <c r="E482" s="341"/>
      <c r="F482" s="168"/>
      <c r="G482" s="341"/>
      <c r="H482" s="168"/>
      <c r="I482" s="369"/>
      <c r="J482" s="188"/>
      <c r="K482" s="369"/>
      <c r="L482" s="188"/>
      <c r="M482" s="341"/>
      <c r="N482" s="168"/>
      <c r="O482" s="341"/>
      <c r="P482" s="168"/>
      <c r="Q482" s="370"/>
      <c r="R482" s="370"/>
      <c r="S482" s="17"/>
      <c r="T482" s="17"/>
      <c r="U482" s="17"/>
      <c r="V482" s="17"/>
    </row>
    <row r="483">
      <c r="A483" s="341"/>
      <c r="B483" s="168"/>
      <c r="C483" s="341"/>
      <c r="D483" s="168"/>
      <c r="E483" s="341"/>
      <c r="F483" s="168"/>
      <c r="G483" s="341"/>
      <c r="H483" s="168"/>
      <c r="I483" s="369"/>
      <c r="J483" s="188"/>
      <c r="K483" s="369"/>
      <c r="L483" s="188"/>
      <c r="M483" s="341"/>
      <c r="N483" s="168"/>
      <c r="O483" s="341"/>
      <c r="P483" s="168"/>
      <c r="Q483" s="370"/>
      <c r="R483" s="370"/>
      <c r="S483" s="17"/>
      <c r="T483" s="17"/>
      <c r="U483" s="17"/>
      <c r="V483" s="17"/>
    </row>
    <row r="484">
      <c r="A484" s="341"/>
      <c r="B484" s="168"/>
      <c r="C484" s="341"/>
      <c r="D484" s="168"/>
      <c r="E484" s="341"/>
      <c r="F484" s="168"/>
      <c r="G484" s="341"/>
      <c r="H484" s="168"/>
      <c r="I484" s="369"/>
      <c r="J484" s="188"/>
      <c r="K484" s="369"/>
      <c r="L484" s="188"/>
      <c r="M484" s="341"/>
      <c r="N484" s="168"/>
      <c r="O484" s="341"/>
      <c r="P484" s="168"/>
      <c r="Q484" s="370"/>
      <c r="R484" s="370"/>
      <c r="S484" s="17"/>
      <c r="T484" s="17"/>
      <c r="U484" s="17"/>
      <c r="V484" s="17"/>
    </row>
    <row r="485">
      <c r="A485" s="341"/>
      <c r="B485" s="168"/>
      <c r="C485" s="341"/>
      <c r="D485" s="168"/>
      <c r="E485" s="341"/>
      <c r="F485" s="168"/>
      <c r="G485" s="341"/>
      <c r="H485" s="168"/>
      <c r="I485" s="369"/>
      <c r="J485" s="188"/>
      <c r="K485" s="369"/>
      <c r="L485" s="188"/>
      <c r="M485" s="341"/>
      <c r="N485" s="168"/>
      <c r="O485" s="341"/>
      <c r="P485" s="168"/>
      <c r="Q485" s="370"/>
      <c r="R485" s="370"/>
      <c r="S485" s="17"/>
      <c r="T485" s="17"/>
      <c r="U485" s="17"/>
      <c r="V485" s="17"/>
    </row>
    <row r="486">
      <c r="A486" s="341"/>
      <c r="B486" s="168"/>
      <c r="C486" s="341"/>
      <c r="D486" s="168"/>
      <c r="E486" s="341"/>
      <c r="F486" s="168"/>
      <c r="G486" s="341"/>
      <c r="H486" s="168"/>
      <c r="I486" s="369"/>
      <c r="J486" s="188"/>
      <c r="K486" s="369"/>
      <c r="L486" s="188"/>
      <c r="M486" s="341"/>
      <c r="N486" s="168"/>
      <c r="O486" s="341"/>
      <c r="P486" s="168"/>
      <c r="Q486" s="370"/>
      <c r="R486" s="370"/>
      <c r="S486" s="17"/>
      <c r="T486" s="17"/>
      <c r="U486" s="17"/>
      <c r="V486" s="17"/>
    </row>
    <row r="487">
      <c r="A487" s="341"/>
      <c r="B487" s="168"/>
      <c r="C487" s="341"/>
      <c r="D487" s="168"/>
      <c r="E487" s="341"/>
      <c r="F487" s="168"/>
      <c r="G487" s="341"/>
      <c r="H487" s="168"/>
      <c r="I487" s="369"/>
      <c r="J487" s="188"/>
      <c r="K487" s="369"/>
      <c r="L487" s="188"/>
      <c r="M487" s="341"/>
      <c r="N487" s="168"/>
      <c r="O487" s="341"/>
      <c r="P487" s="168"/>
      <c r="Q487" s="370"/>
      <c r="R487" s="370"/>
      <c r="S487" s="17"/>
      <c r="T487" s="17"/>
      <c r="U487" s="17"/>
      <c r="V487" s="17"/>
    </row>
    <row r="488">
      <c r="A488" s="341"/>
      <c r="B488" s="168"/>
      <c r="C488" s="341"/>
      <c r="D488" s="168"/>
      <c r="E488" s="341"/>
      <c r="F488" s="168"/>
      <c r="G488" s="341"/>
      <c r="H488" s="168"/>
      <c r="I488" s="369"/>
      <c r="J488" s="188"/>
      <c r="K488" s="369"/>
      <c r="L488" s="188"/>
      <c r="M488" s="341"/>
      <c r="N488" s="168"/>
      <c r="O488" s="341"/>
      <c r="P488" s="168"/>
      <c r="Q488" s="370"/>
      <c r="R488" s="370"/>
      <c r="S488" s="17"/>
      <c r="T488" s="17"/>
      <c r="U488" s="17"/>
      <c r="V488" s="17"/>
    </row>
    <row r="489">
      <c r="A489" s="341"/>
      <c r="B489" s="168"/>
      <c r="C489" s="341"/>
      <c r="D489" s="168"/>
      <c r="E489" s="341"/>
      <c r="F489" s="168"/>
      <c r="G489" s="341"/>
      <c r="H489" s="168"/>
      <c r="I489" s="369"/>
      <c r="J489" s="188"/>
      <c r="K489" s="369"/>
      <c r="L489" s="188"/>
      <c r="M489" s="341"/>
      <c r="N489" s="168"/>
      <c r="O489" s="341"/>
      <c r="P489" s="168"/>
      <c r="Q489" s="370"/>
      <c r="R489" s="370"/>
      <c r="S489" s="17"/>
      <c r="T489" s="17"/>
      <c r="U489" s="17"/>
      <c r="V489" s="17"/>
    </row>
    <row r="490">
      <c r="A490" s="341"/>
      <c r="B490" s="168"/>
      <c r="C490" s="341"/>
      <c r="D490" s="168"/>
      <c r="E490" s="341"/>
      <c r="F490" s="168"/>
      <c r="G490" s="341"/>
      <c r="H490" s="168"/>
      <c r="I490" s="369"/>
      <c r="J490" s="188"/>
      <c r="K490" s="369"/>
      <c r="L490" s="188"/>
      <c r="M490" s="341"/>
      <c r="N490" s="168"/>
      <c r="O490" s="341"/>
      <c r="P490" s="168"/>
      <c r="Q490" s="370"/>
      <c r="R490" s="370"/>
      <c r="S490" s="17"/>
      <c r="T490" s="17"/>
      <c r="U490" s="17"/>
      <c r="V490" s="17"/>
    </row>
    <row r="491">
      <c r="A491" s="341"/>
      <c r="B491" s="168"/>
      <c r="C491" s="341"/>
      <c r="D491" s="168"/>
      <c r="E491" s="341"/>
      <c r="F491" s="168"/>
      <c r="G491" s="341"/>
      <c r="H491" s="168"/>
      <c r="I491" s="369"/>
      <c r="J491" s="188"/>
      <c r="K491" s="369"/>
      <c r="L491" s="188"/>
      <c r="M491" s="341"/>
      <c r="N491" s="168"/>
      <c r="O491" s="341"/>
      <c r="P491" s="168"/>
      <c r="Q491" s="370"/>
      <c r="R491" s="370"/>
      <c r="S491" s="17"/>
      <c r="T491" s="17"/>
      <c r="U491" s="17"/>
      <c r="V491" s="17"/>
    </row>
    <row r="492">
      <c r="A492" s="341"/>
      <c r="B492" s="168"/>
      <c r="C492" s="341"/>
      <c r="D492" s="168"/>
      <c r="E492" s="341"/>
      <c r="F492" s="168"/>
      <c r="G492" s="341"/>
      <c r="H492" s="168"/>
      <c r="I492" s="369"/>
      <c r="J492" s="188"/>
      <c r="K492" s="369"/>
      <c r="L492" s="188"/>
      <c r="M492" s="341"/>
      <c r="N492" s="168"/>
      <c r="O492" s="341"/>
      <c r="P492" s="168"/>
      <c r="Q492" s="370"/>
      <c r="R492" s="370"/>
      <c r="S492" s="17"/>
      <c r="T492" s="17"/>
      <c r="U492" s="17"/>
      <c r="V492" s="17"/>
    </row>
    <row r="493">
      <c r="A493" s="341"/>
      <c r="B493" s="168"/>
      <c r="C493" s="341"/>
      <c r="D493" s="168"/>
      <c r="E493" s="341"/>
      <c r="F493" s="168"/>
      <c r="G493" s="341"/>
      <c r="H493" s="168"/>
      <c r="I493" s="369"/>
      <c r="J493" s="188"/>
      <c r="K493" s="369"/>
      <c r="L493" s="188"/>
      <c r="M493" s="341"/>
      <c r="N493" s="168"/>
      <c r="O493" s="341"/>
      <c r="P493" s="168"/>
      <c r="Q493" s="370"/>
      <c r="R493" s="370"/>
      <c r="S493" s="17"/>
      <c r="T493" s="17"/>
      <c r="U493" s="17"/>
      <c r="V493" s="17"/>
    </row>
    <row r="494">
      <c r="A494" s="341"/>
      <c r="B494" s="168"/>
      <c r="C494" s="341"/>
      <c r="D494" s="168"/>
      <c r="E494" s="341"/>
      <c r="F494" s="168"/>
      <c r="G494" s="341"/>
      <c r="H494" s="168"/>
      <c r="I494" s="369"/>
      <c r="J494" s="188"/>
      <c r="K494" s="369"/>
      <c r="L494" s="188"/>
      <c r="M494" s="341"/>
      <c r="N494" s="168"/>
      <c r="O494" s="341"/>
      <c r="P494" s="168"/>
      <c r="Q494" s="370"/>
      <c r="R494" s="370"/>
      <c r="S494" s="17"/>
      <c r="T494" s="17"/>
      <c r="U494" s="17"/>
      <c r="V494" s="17"/>
    </row>
    <row r="495">
      <c r="A495" s="341"/>
      <c r="B495" s="168"/>
      <c r="C495" s="341"/>
      <c r="D495" s="168"/>
      <c r="E495" s="341"/>
      <c r="F495" s="168"/>
      <c r="G495" s="341"/>
      <c r="H495" s="168"/>
      <c r="I495" s="369"/>
      <c r="J495" s="188"/>
      <c r="K495" s="369"/>
      <c r="L495" s="188"/>
      <c r="M495" s="341"/>
      <c r="N495" s="168"/>
      <c r="O495" s="341"/>
      <c r="P495" s="168"/>
      <c r="Q495" s="370"/>
      <c r="R495" s="370"/>
      <c r="S495" s="17"/>
      <c r="T495" s="17"/>
      <c r="U495" s="17"/>
      <c r="V495" s="17"/>
    </row>
    <row r="496">
      <c r="A496" s="341"/>
      <c r="B496" s="168"/>
      <c r="C496" s="341"/>
      <c r="D496" s="168"/>
      <c r="E496" s="341"/>
      <c r="F496" s="168"/>
      <c r="G496" s="341"/>
      <c r="H496" s="168"/>
      <c r="I496" s="369"/>
      <c r="J496" s="188"/>
      <c r="K496" s="369"/>
      <c r="L496" s="188"/>
      <c r="M496" s="341"/>
      <c r="N496" s="168"/>
      <c r="O496" s="341"/>
      <c r="P496" s="168"/>
      <c r="Q496" s="370"/>
      <c r="R496" s="370"/>
      <c r="S496" s="17"/>
      <c r="T496" s="17"/>
      <c r="U496" s="17"/>
      <c r="V496" s="17"/>
    </row>
    <row r="497">
      <c r="A497" s="341"/>
      <c r="B497" s="168"/>
      <c r="C497" s="341"/>
      <c r="D497" s="168"/>
      <c r="E497" s="341"/>
      <c r="F497" s="168"/>
      <c r="G497" s="341"/>
      <c r="H497" s="168"/>
      <c r="I497" s="369"/>
      <c r="J497" s="188"/>
      <c r="K497" s="369"/>
      <c r="L497" s="188"/>
      <c r="M497" s="341"/>
      <c r="N497" s="168"/>
      <c r="O497" s="341"/>
      <c r="P497" s="168"/>
      <c r="Q497" s="370"/>
      <c r="R497" s="370"/>
      <c r="S497" s="17"/>
      <c r="T497" s="17"/>
      <c r="U497" s="17"/>
      <c r="V497" s="17"/>
    </row>
    <row r="498">
      <c r="A498" s="341"/>
      <c r="B498" s="168"/>
      <c r="C498" s="341"/>
      <c r="D498" s="168"/>
      <c r="E498" s="341"/>
      <c r="F498" s="168"/>
      <c r="G498" s="341"/>
      <c r="H498" s="168"/>
      <c r="I498" s="369"/>
      <c r="J498" s="188"/>
      <c r="K498" s="369"/>
      <c r="L498" s="188"/>
      <c r="M498" s="341"/>
      <c r="N498" s="168"/>
      <c r="O498" s="341"/>
      <c r="P498" s="168"/>
      <c r="Q498" s="370"/>
      <c r="R498" s="370"/>
      <c r="S498" s="17"/>
      <c r="T498" s="17"/>
      <c r="U498" s="17"/>
      <c r="V498" s="17"/>
    </row>
    <row r="499">
      <c r="A499" s="341"/>
      <c r="B499" s="168"/>
      <c r="C499" s="341"/>
      <c r="D499" s="168"/>
      <c r="E499" s="341"/>
      <c r="F499" s="168"/>
      <c r="G499" s="341"/>
      <c r="H499" s="168"/>
      <c r="I499" s="369"/>
      <c r="J499" s="188"/>
      <c r="K499" s="369"/>
      <c r="L499" s="188"/>
      <c r="M499" s="341"/>
      <c r="N499" s="168"/>
      <c r="O499" s="341"/>
      <c r="P499" s="168"/>
      <c r="Q499" s="370"/>
      <c r="R499" s="370"/>
      <c r="S499" s="17"/>
      <c r="T499" s="17"/>
      <c r="U499" s="17"/>
      <c r="V499" s="17"/>
    </row>
    <row r="500">
      <c r="A500" s="341"/>
      <c r="B500" s="168"/>
      <c r="C500" s="341"/>
      <c r="D500" s="168"/>
      <c r="E500" s="341"/>
      <c r="F500" s="168"/>
      <c r="G500" s="341"/>
      <c r="H500" s="168"/>
      <c r="I500" s="369"/>
      <c r="J500" s="188"/>
      <c r="K500" s="369"/>
      <c r="L500" s="188"/>
      <c r="M500" s="341"/>
      <c r="N500" s="168"/>
      <c r="O500" s="341"/>
      <c r="P500" s="168"/>
      <c r="Q500" s="370"/>
      <c r="R500" s="370"/>
      <c r="S500" s="17"/>
      <c r="T500" s="17"/>
      <c r="U500" s="17"/>
      <c r="V500" s="17"/>
    </row>
    <row r="501">
      <c r="A501" s="341"/>
      <c r="B501" s="168"/>
      <c r="C501" s="341"/>
      <c r="D501" s="168"/>
      <c r="E501" s="341"/>
      <c r="F501" s="168"/>
      <c r="G501" s="341"/>
      <c r="H501" s="168"/>
      <c r="I501" s="369"/>
      <c r="J501" s="188"/>
      <c r="K501" s="369"/>
      <c r="L501" s="188"/>
      <c r="M501" s="341"/>
      <c r="N501" s="168"/>
      <c r="O501" s="341"/>
      <c r="P501" s="168"/>
      <c r="Q501" s="370"/>
      <c r="R501" s="370"/>
      <c r="S501" s="17"/>
      <c r="T501" s="17"/>
      <c r="U501" s="17"/>
      <c r="V501" s="17"/>
    </row>
    <row r="502">
      <c r="A502" s="341"/>
      <c r="B502" s="168"/>
      <c r="C502" s="341"/>
      <c r="D502" s="168"/>
      <c r="E502" s="341"/>
      <c r="F502" s="168"/>
      <c r="G502" s="341"/>
      <c r="H502" s="168"/>
      <c r="I502" s="369"/>
      <c r="J502" s="188"/>
      <c r="K502" s="369"/>
      <c r="L502" s="188"/>
      <c r="M502" s="341"/>
      <c r="N502" s="168"/>
      <c r="O502" s="341"/>
      <c r="P502" s="168"/>
      <c r="Q502" s="370"/>
      <c r="R502" s="370"/>
      <c r="S502" s="17"/>
      <c r="T502" s="17"/>
      <c r="U502" s="17"/>
      <c r="V502" s="17"/>
    </row>
    <row r="503">
      <c r="A503" s="341"/>
      <c r="B503" s="168"/>
      <c r="C503" s="341"/>
      <c r="D503" s="168"/>
      <c r="E503" s="341"/>
      <c r="F503" s="168"/>
      <c r="G503" s="341"/>
      <c r="H503" s="168"/>
      <c r="I503" s="369"/>
      <c r="J503" s="188"/>
      <c r="K503" s="369"/>
      <c r="L503" s="188"/>
      <c r="M503" s="341"/>
      <c r="N503" s="168"/>
      <c r="O503" s="341"/>
      <c r="P503" s="168"/>
      <c r="Q503" s="370"/>
      <c r="R503" s="370"/>
      <c r="S503" s="17"/>
      <c r="T503" s="17"/>
      <c r="U503" s="17"/>
      <c r="V503" s="17"/>
    </row>
    <row r="504">
      <c r="A504" s="341"/>
      <c r="B504" s="168"/>
      <c r="C504" s="341"/>
      <c r="D504" s="168"/>
      <c r="E504" s="341"/>
      <c r="F504" s="168"/>
      <c r="G504" s="341"/>
      <c r="H504" s="168"/>
      <c r="I504" s="369"/>
      <c r="J504" s="188"/>
      <c r="K504" s="369"/>
      <c r="L504" s="188"/>
      <c r="M504" s="341"/>
      <c r="N504" s="168"/>
      <c r="O504" s="341"/>
      <c r="P504" s="168"/>
      <c r="Q504" s="370"/>
      <c r="R504" s="370"/>
      <c r="S504" s="17"/>
      <c r="T504" s="17"/>
      <c r="U504" s="17"/>
      <c r="V504" s="17"/>
    </row>
    <row r="505">
      <c r="A505" s="341"/>
      <c r="B505" s="168"/>
      <c r="C505" s="341"/>
      <c r="D505" s="168"/>
      <c r="E505" s="341"/>
      <c r="F505" s="168"/>
      <c r="G505" s="341"/>
      <c r="H505" s="168"/>
      <c r="I505" s="369"/>
      <c r="J505" s="188"/>
      <c r="K505" s="369"/>
      <c r="L505" s="188"/>
      <c r="M505" s="341"/>
      <c r="N505" s="168"/>
      <c r="O505" s="341"/>
      <c r="P505" s="168"/>
      <c r="Q505" s="370"/>
      <c r="R505" s="370"/>
      <c r="S505" s="17"/>
      <c r="T505" s="17"/>
      <c r="U505" s="17"/>
      <c r="V505" s="17"/>
    </row>
    <row r="506">
      <c r="A506" s="341"/>
      <c r="B506" s="168"/>
      <c r="C506" s="341"/>
      <c r="D506" s="168"/>
      <c r="E506" s="341"/>
      <c r="F506" s="168"/>
      <c r="G506" s="341"/>
      <c r="H506" s="168"/>
      <c r="I506" s="369"/>
      <c r="J506" s="188"/>
      <c r="K506" s="369"/>
      <c r="L506" s="188"/>
      <c r="M506" s="341"/>
      <c r="N506" s="168"/>
      <c r="O506" s="341"/>
      <c r="P506" s="168"/>
      <c r="Q506" s="370"/>
      <c r="R506" s="370"/>
      <c r="S506" s="17"/>
      <c r="T506" s="17"/>
      <c r="U506" s="17"/>
      <c r="V506" s="17"/>
    </row>
    <row r="507">
      <c r="A507" s="341"/>
      <c r="B507" s="168"/>
      <c r="C507" s="341"/>
      <c r="D507" s="168"/>
      <c r="E507" s="341"/>
      <c r="F507" s="168"/>
      <c r="G507" s="341"/>
      <c r="H507" s="168"/>
      <c r="I507" s="369"/>
      <c r="J507" s="188"/>
      <c r="K507" s="369"/>
      <c r="L507" s="188"/>
      <c r="M507" s="341"/>
      <c r="N507" s="168"/>
      <c r="O507" s="341"/>
      <c r="P507" s="168"/>
      <c r="Q507" s="370"/>
      <c r="R507" s="370"/>
      <c r="S507" s="17"/>
      <c r="T507" s="17"/>
      <c r="U507" s="17"/>
      <c r="V507" s="17"/>
    </row>
    <row r="508">
      <c r="A508" s="341"/>
      <c r="B508" s="168"/>
      <c r="C508" s="341"/>
      <c r="D508" s="168"/>
      <c r="E508" s="341"/>
      <c r="F508" s="168"/>
      <c r="G508" s="341"/>
      <c r="H508" s="168"/>
      <c r="I508" s="369"/>
      <c r="J508" s="188"/>
      <c r="K508" s="369"/>
      <c r="L508" s="188"/>
      <c r="M508" s="341"/>
      <c r="N508" s="168"/>
      <c r="O508" s="341"/>
      <c r="P508" s="168"/>
      <c r="Q508" s="370"/>
      <c r="R508" s="370"/>
      <c r="S508" s="17"/>
      <c r="T508" s="17"/>
      <c r="U508" s="17"/>
      <c r="V508" s="17"/>
    </row>
    <row r="509">
      <c r="A509" s="341"/>
      <c r="B509" s="168"/>
      <c r="C509" s="341"/>
      <c r="D509" s="168"/>
      <c r="E509" s="341"/>
      <c r="F509" s="168"/>
      <c r="G509" s="341"/>
      <c r="H509" s="168"/>
      <c r="I509" s="369"/>
      <c r="J509" s="188"/>
      <c r="K509" s="369"/>
      <c r="L509" s="188"/>
      <c r="M509" s="341"/>
      <c r="N509" s="168"/>
      <c r="O509" s="341"/>
      <c r="P509" s="168"/>
      <c r="Q509" s="370"/>
      <c r="R509" s="370"/>
      <c r="S509" s="17"/>
      <c r="T509" s="17"/>
      <c r="U509" s="17"/>
      <c r="V509" s="17"/>
    </row>
    <row r="510">
      <c r="A510" s="341"/>
      <c r="B510" s="168"/>
      <c r="C510" s="341"/>
      <c r="D510" s="168"/>
      <c r="E510" s="341"/>
      <c r="F510" s="168"/>
      <c r="G510" s="341"/>
      <c r="H510" s="168"/>
      <c r="I510" s="369"/>
      <c r="J510" s="188"/>
      <c r="K510" s="369"/>
      <c r="L510" s="188"/>
      <c r="M510" s="341"/>
      <c r="N510" s="168"/>
      <c r="O510" s="341"/>
      <c r="P510" s="168"/>
      <c r="Q510" s="370"/>
      <c r="R510" s="370"/>
      <c r="S510" s="17"/>
      <c r="T510" s="17"/>
      <c r="U510" s="17"/>
      <c r="V510" s="17"/>
    </row>
    <row r="511">
      <c r="A511" s="341"/>
      <c r="B511" s="168"/>
      <c r="C511" s="341"/>
      <c r="D511" s="168"/>
      <c r="E511" s="341"/>
      <c r="F511" s="168"/>
      <c r="G511" s="341"/>
      <c r="H511" s="168"/>
      <c r="I511" s="369"/>
      <c r="J511" s="188"/>
      <c r="K511" s="369"/>
      <c r="L511" s="188"/>
      <c r="M511" s="341"/>
      <c r="N511" s="168"/>
      <c r="O511" s="341"/>
      <c r="P511" s="168"/>
      <c r="Q511" s="370"/>
      <c r="R511" s="370"/>
      <c r="S511" s="17"/>
      <c r="T511" s="17"/>
      <c r="U511" s="17"/>
      <c r="V511" s="17"/>
    </row>
    <row r="512">
      <c r="A512" s="341"/>
      <c r="B512" s="168"/>
      <c r="C512" s="341"/>
      <c r="D512" s="168"/>
      <c r="E512" s="341"/>
      <c r="F512" s="168"/>
      <c r="G512" s="341"/>
      <c r="H512" s="168"/>
      <c r="I512" s="369"/>
      <c r="J512" s="188"/>
      <c r="K512" s="369"/>
      <c r="L512" s="188"/>
      <c r="M512" s="341"/>
      <c r="N512" s="168"/>
      <c r="O512" s="341"/>
      <c r="P512" s="168"/>
      <c r="Q512" s="370"/>
      <c r="R512" s="370"/>
      <c r="S512" s="17"/>
      <c r="T512" s="17"/>
      <c r="U512" s="17"/>
      <c r="V512" s="17"/>
    </row>
    <row r="513">
      <c r="A513" s="341"/>
      <c r="B513" s="168"/>
      <c r="C513" s="341"/>
      <c r="D513" s="168"/>
      <c r="E513" s="341"/>
      <c r="F513" s="168"/>
      <c r="G513" s="341"/>
      <c r="H513" s="168"/>
      <c r="I513" s="369"/>
      <c r="J513" s="188"/>
      <c r="K513" s="369"/>
      <c r="L513" s="188"/>
      <c r="M513" s="341"/>
      <c r="N513" s="168"/>
      <c r="O513" s="341"/>
      <c r="P513" s="168"/>
      <c r="Q513" s="370"/>
      <c r="R513" s="370"/>
      <c r="S513" s="17"/>
      <c r="T513" s="17"/>
      <c r="U513" s="17"/>
      <c r="V513" s="17"/>
    </row>
    <row r="514">
      <c r="A514" s="341"/>
      <c r="B514" s="168"/>
      <c r="C514" s="341"/>
      <c r="D514" s="168"/>
      <c r="E514" s="341"/>
      <c r="F514" s="168"/>
      <c r="G514" s="341"/>
      <c r="H514" s="168"/>
      <c r="I514" s="369"/>
      <c r="J514" s="188"/>
      <c r="K514" s="369"/>
      <c r="L514" s="188"/>
      <c r="M514" s="341"/>
      <c r="N514" s="168"/>
      <c r="O514" s="341"/>
      <c r="P514" s="168"/>
      <c r="Q514" s="370"/>
      <c r="R514" s="370"/>
      <c r="S514" s="17"/>
      <c r="T514" s="17"/>
      <c r="U514" s="17"/>
      <c r="V514" s="17"/>
    </row>
    <row r="515">
      <c r="A515" s="341"/>
      <c r="B515" s="168"/>
      <c r="C515" s="341"/>
      <c r="D515" s="168"/>
      <c r="E515" s="341"/>
      <c r="F515" s="168"/>
      <c r="G515" s="341"/>
      <c r="H515" s="168"/>
      <c r="I515" s="369"/>
      <c r="J515" s="188"/>
      <c r="K515" s="369"/>
      <c r="L515" s="188"/>
      <c r="M515" s="341"/>
      <c r="N515" s="168"/>
      <c r="O515" s="341"/>
      <c r="P515" s="168"/>
      <c r="Q515" s="370"/>
      <c r="R515" s="370"/>
      <c r="S515" s="17"/>
      <c r="T515" s="17"/>
      <c r="U515" s="17"/>
      <c r="V515" s="17"/>
    </row>
    <row r="516">
      <c r="A516" s="341"/>
      <c r="B516" s="168"/>
      <c r="C516" s="341"/>
      <c r="D516" s="168"/>
      <c r="E516" s="341"/>
      <c r="F516" s="168"/>
      <c r="G516" s="341"/>
      <c r="H516" s="168"/>
      <c r="I516" s="369"/>
      <c r="J516" s="188"/>
      <c r="K516" s="369"/>
      <c r="L516" s="188"/>
      <c r="M516" s="341"/>
      <c r="N516" s="168"/>
      <c r="O516" s="341"/>
      <c r="P516" s="168"/>
      <c r="Q516" s="370"/>
      <c r="R516" s="370"/>
      <c r="S516" s="17"/>
      <c r="T516" s="17"/>
      <c r="U516" s="17"/>
      <c r="V516" s="17"/>
    </row>
    <row r="517">
      <c r="A517" s="341"/>
      <c r="B517" s="168"/>
      <c r="C517" s="341"/>
      <c r="D517" s="168"/>
      <c r="E517" s="341"/>
      <c r="F517" s="168"/>
      <c r="G517" s="341"/>
      <c r="H517" s="168"/>
      <c r="I517" s="369"/>
      <c r="J517" s="188"/>
      <c r="K517" s="369"/>
      <c r="L517" s="188"/>
      <c r="M517" s="341"/>
      <c r="N517" s="168"/>
      <c r="O517" s="341"/>
      <c r="P517" s="168"/>
      <c r="Q517" s="370"/>
      <c r="R517" s="370"/>
      <c r="S517" s="17"/>
      <c r="T517" s="17"/>
      <c r="U517" s="17"/>
      <c r="V517" s="17"/>
    </row>
    <row r="518">
      <c r="A518" s="341"/>
      <c r="B518" s="168"/>
      <c r="C518" s="341"/>
      <c r="D518" s="168"/>
      <c r="E518" s="341"/>
      <c r="F518" s="168"/>
      <c r="G518" s="341"/>
      <c r="H518" s="168"/>
      <c r="I518" s="369"/>
      <c r="J518" s="188"/>
      <c r="K518" s="369"/>
      <c r="L518" s="188"/>
      <c r="M518" s="341"/>
      <c r="N518" s="168"/>
      <c r="O518" s="341"/>
      <c r="P518" s="168"/>
      <c r="Q518" s="370"/>
      <c r="R518" s="370"/>
      <c r="S518" s="17"/>
      <c r="T518" s="17"/>
      <c r="U518" s="17"/>
      <c r="V518" s="17"/>
    </row>
    <row r="519">
      <c r="A519" s="341"/>
      <c r="B519" s="168"/>
      <c r="C519" s="341"/>
      <c r="D519" s="168"/>
      <c r="E519" s="341"/>
      <c r="F519" s="168"/>
      <c r="G519" s="341"/>
      <c r="H519" s="168"/>
      <c r="I519" s="369"/>
      <c r="J519" s="188"/>
      <c r="K519" s="369"/>
      <c r="L519" s="188"/>
      <c r="M519" s="341"/>
      <c r="N519" s="168"/>
      <c r="O519" s="341"/>
      <c r="P519" s="168"/>
      <c r="Q519" s="370"/>
      <c r="R519" s="370"/>
      <c r="S519" s="17"/>
      <c r="T519" s="17"/>
      <c r="U519" s="17"/>
      <c r="V519" s="17"/>
    </row>
    <row r="520">
      <c r="A520" s="341"/>
      <c r="B520" s="168"/>
      <c r="C520" s="341"/>
      <c r="D520" s="168"/>
      <c r="E520" s="341"/>
      <c r="F520" s="168"/>
      <c r="G520" s="341"/>
      <c r="H520" s="168"/>
      <c r="I520" s="369"/>
      <c r="J520" s="188"/>
      <c r="K520" s="369"/>
      <c r="L520" s="188"/>
      <c r="M520" s="341"/>
      <c r="N520" s="168"/>
      <c r="O520" s="341"/>
      <c r="P520" s="168"/>
      <c r="Q520" s="370"/>
      <c r="R520" s="370"/>
      <c r="S520" s="17"/>
      <c r="T520" s="17"/>
      <c r="U520" s="17"/>
      <c r="V520" s="17"/>
    </row>
    <row r="521">
      <c r="A521" s="341"/>
      <c r="B521" s="168"/>
      <c r="C521" s="341"/>
      <c r="D521" s="168"/>
      <c r="E521" s="341"/>
      <c r="F521" s="168"/>
      <c r="G521" s="341"/>
      <c r="H521" s="168"/>
      <c r="I521" s="369"/>
      <c r="J521" s="188"/>
      <c r="K521" s="369"/>
      <c r="L521" s="188"/>
      <c r="M521" s="341"/>
      <c r="N521" s="168"/>
      <c r="O521" s="341"/>
      <c r="P521" s="168"/>
      <c r="Q521" s="370"/>
      <c r="R521" s="370"/>
      <c r="S521" s="17"/>
      <c r="T521" s="17"/>
      <c r="U521" s="17"/>
      <c r="V521" s="17"/>
    </row>
    <row r="522">
      <c r="A522" s="341"/>
      <c r="B522" s="168"/>
      <c r="C522" s="341"/>
      <c r="D522" s="168"/>
      <c r="E522" s="341"/>
      <c r="F522" s="168"/>
      <c r="G522" s="341"/>
      <c r="H522" s="168"/>
      <c r="I522" s="369"/>
      <c r="J522" s="188"/>
      <c r="K522" s="369"/>
      <c r="L522" s="188"/>
      <c r="M522" s="341"/>
      <c r="N522" s="168"/>
      <c r="O522" s="341"/>
      <c r="P522" s="168"/>
      <c r="Q522" s="370"/>
      <c r="R522" s="370"/>
      <c r="S522" s="17"/>
      <c r="T522" s="17"/>
      <c r="U522" s="17"/>
      <c r="V522" s="17"/>
    </row>
    <row r="523">
      <c r="A523" s="341"/>
      <c r="B523" s="168"/>
      <c r="C523" s="341"/>
      <c r="D523" s="168"/>
      <c r="E523" s="341"/>
      <c r="F523" s="168"/>
      <c r="G523" s="341"/>
      <c r="H523" s="168"/>
      <c r="I523" s="369"/>
      <c r="J523" s="188"/>
      <c r="K523" s="369"/>
      <c r="L523" s="188"/>
      <c r="M523" s="341"/>
      <c r="N523" s="168"/>
      <c r="O523" s="341"/>
      <c r="P523" s="168"/>
      <c r="Q523" s="370"/>
      <c r="R523" s="370"/>
      <c r="S523" s="17"/>
      <c r="T523" s="17"/>
      <c r="U523" s="17"/>
      <c r="V523" s="17"/>
    </row>
    <row r="524">
      <c r="A524" s="341"/>
      <c r="B524" s="168"/>
      <c r="C524" s="341"/>
      <c r="D524" s="168"/>
      <c r="E524" s="341"/>
      <c r="F524" s="168"/>
      <c r="G524" s="341"/>
      <c r="H524" s="168"/>
      <c r="I524" s="369"/>
      <c r="J524" s="188"/>
      <c r="K524" s="369"/>
      <c r="L524" s="188"/>
      <c r="M524" s="341"/>
      <c r="N524" s="168"/>
      <c r="O524" s="341"/>
      <c r="P524" s="168"/>
      <c r="Q524" s="370"/>
      <c r="R524" s="370"/>
      <c r="S524" s="17"/>
      <c r="T524" s="17"/>
      <c r="U524" s="17"/>
      <c r="V524" s="17"/>
    </row>
    <row r="525">
      <c r="A525" s="341"/>
      <c r="B525" s="168"/>
      <c r="C525" s="341"/>
      <c r="D525" s="168"/>
      <c r="E525" s="341"/>
      <c r="F525" s="168"/>
      <c r="G525" s="341"/>
      <c r="H525" s="168"/>
      <c r="I525" s="369"/>
      <c r="J525" s="188"/>
      <c r="K525" s="369"/>
      <c r="L525" s="188"/>
      <c r="M525" s="341"/>
      <c r="N525" s="168"/>
      <c r="O525" s="341"/>
      <c r="P525" s="168"/>
      <c r="Q525" s="370"/>
      <c r="R525" s="370"/>
      <c r="S525" s="17"/>
      <c r="T525" s="17"/>
      <c r="U525" s="17"/>
      <c r="V525" s="17"/>
    </row>
    <row r="526">
      <c r="A526" s="341"/>
      <c r="B526" s="168"/>
      <c r="C526" s="341"/>
      <c r="D526" s="168"/>
      <c r="E526" s="341"/>
      <c r="F526" s="168"/>
      <c r="G526" s="341"/>
      <c r="H526" s="168"/>
      <c r="I526" s="369"/>
      <c r="J526" s="188"/>
      <c r="K526" s="369"/>
      <c r="L526" s="188"/>
      <c r="M526" s="341"/>
      <c r="N526" s="168"/>
      <c r="O526" s="341"/>
      <c r="P526" s="168"/>
      <c r="Q526" s="370"/>
      <c r="R526" s="370"/>
      <c r="S526" s="17"/>
      <c r="T526" s="17"/>
      <c r="U526" s="17"/>
      <c r="V526" s="17"/>
    </row>
    <row r="527">
      <c r="A527" s="341"/>
      <c r="B527" s="168"/>
      <c r="C527" s="341"/>
      <c r="D527" s="168"/>
      <c r="E527" s="341"/>
      <c r="F527" s="168"/>
      <c r="G527" s="341"/>
      <c r="H527" s="168"/>
      <c r="I527" s="369"/>
      <c r="J527" s="188"/>
      <c r="K527" s="369"/>
      <c r="L527" s="188"/>
      <c r="M527" s="341"/>
      <c r="N527" s="168"/>
      <c r="O527" s="341"/>
      <c r="P527" s="168"/>
      <c r="Q527" s="370"/>
      <c r="R527" s="370"/>
      <c r="S527" s="17"/>
      <c r="T527" s="17"/>
      <c r="U527" s="17"/>
      <c r="V527" s="17"/>
    </row>
    <row r="528">
      <c r="A528" s="341"/>
      <c r="B528" s="168"/>
      <c r="C528" s="341"/>
      <c r="D528" s="168"/>
      <c r="E528" s="341"/>
      <c r="F528" s="168"/>
      <c r="G528" s="341"/>
      <c r="H528" s="168"/>
      <c r="I528" s="369"/>
      <c r="J528" s="188"/>
      <c r="K528" s="369"/>
      <c r="L528" s="188"/>
      <c r="M528" s="341"/>
      <c r="N528" s="168"/>
      <c r="O528" s="341"/>
      <c r="P528" s="168"/>
      <c r="Q528" s="370"/>
      <c r="R528" s="370"/>
      <c r="S528" s="17"/>
      <c r="T528" s="17"/>
      <c r="U528" s="17"/>
      <c r="V528" s="17"/>
    </row>
    <row r="529">
      <c r="A529" s="341"/>
      <c r="B529" s="168"/>
      <c r="C529" s="341"/>
      <c r="D529" s="168"/>
      <c r="E529" s="341"/>
      <c r="F529" s="168"/>
      <c r="G529" s="341"/>
      <c r="H529" s="168"/>
      <c r="I529" s="369"/>
      <c r="J529" s="188"/>
      <c r="K529" s="369"/>
      <c r="L529" s="188"/>
      <c r="M529" s="341"/>
      <c r="N529" s="168"/>
      <c r="O529" s="341"/>
      <c r="P529" s="168"/>
      <c r="Q529" s="370"/>
      <c r="R529" s="370"/>
      <c r="S529" s="17"/>
      <c r="T529" s="17"/>
      <c r="U529" s="17"/>
      <c r="V529" s="17"/>
    </row>
    <row r="530">
      <c r="A530" s="341"/>
      <c r="B530" s="168"/>
      <c r="C530" s="341"/>
      <c r="D530" s="168"/>
      <c r="E530" s="341"/>
      <c r="F530" s="168"/>
      <c r="G530" s="341"/>
      <c r="H530" s="168"/>
      <c r="I530" s="369"/>
      <c r="J530" s="188"/>
      <c r="K530" s="369"/>
      <c r="L530" s="188"/>
      <c r="M530" s="341"/>
      <c r="N530" s="168"/>
      <c r="O530" s="341"/>
      <c r="P530" s="168"/>
      <c r="Q530" s="370"/>
      <c r="R530" s="370"/>
      <c r="S530" s="17"/>
      <c r="T530" s="17"/>
      <c r="U530" s="17"/>
      <c r="V530" s="17"/>
    </row>
    <row r="531">
      <c r="A531" s="341"/>
      <c r="B531" s="168"/>
      <c r="C531" s="341"/>
      <c r="D531" s="168"/>
      <c r="E531" s="341"/>
      <c r="F531" s="168"/>
      <c r="G531" s="341"/>
      <c r="H531" s="168"/>
      <c r="I531" s="369"/>
      <c r="J531" s="188"/>
      <c r="K531" s="369"/>
      <c r="L531" s="188"/>
      <c r="M531" s="341"/>
      <c r="N531" s="168"/>
      <c r="O531" s="341"/>
      <c r="P531" s="168"/>
      <c r="Q531" s="370"/>
      <c r="R531" s="370"/>
      <c r="S531" s="17"/>
      <c r="T531" s="17"/>
      <c r="U531" s="17"/>
      <c r="V531" s="17"/>
    </row>
    <row r="532">
      <c r="A532" s="341"/>
      <c r="B532" s="168"/>
      <c r="C532" s="341"/>
      <c r="D532" s="168"/>
      <c r="E532" s="341"/>
      <c r="F532" s="168"/>
      <c r="G532" s="341"/>
      <c r="H532" s="168"/>
      <c r="I532" s="369"/>
      <c r="J532" s="188"/>
      <c r="K532" s="369"/>
      <c r="L532" s="188"/>
      <c r="M532" s="341"/>
      <c r="N532" s="168"/>
      <c r="O532" s="341"/>
      <c r="P532" s="168"/>
      <c r="Q532" s="370"/>
      <c r="R532" s="370"/>
      <c r="S532" s="17"/>
      <c r="T532" s="17"/>
      <c r="U532" s="17"/>
      <c r="V532" s="17"/>
    </row>
    <row r="533">
      <c r="A533" s="341"/>
      <c r="B533" s="168"/>
      <c r="C533" s="341"/>
      <c r="D533" s="168"/>
      <c r="E533" s="341"/>
      <c r="F533" s="168"/>
      <c r="G533" s="341"/>
      <c r="H533" s="168"/>
      <c r="I533" s="369"/>
      <c r="J533" s="188"/>
      <c r="K533" s="369"/>
      <c r="L533" s="188"/>
      <c r="M533" s="341"/>
      <c r="N533" s="168"/>
      <c r="O533" s="341"/>
      <c r="P533" s="168"/>
      <c r="Q533" s="370"/>
      <c r="R533" s="370"/>
      <c r="S533" s="17"/>
      <c r="T533" s="17"/>
      <c r="U533" s="17"/>
      <c r="V533" s="17"/>
    </row>
    <row r="534">
      <c r="A534" s="341"/>
      <c r="B534" s="168"/>
      <c r="C534" s="341"/>
      <c r="D534" s="168"/>
      <c r="E534" s="341"/>
      <c r="F534" s="168"/>
      <c r="G534" s="341"/>
      <c r="H534" s="168"/>
      <c r="I534" s="369"/>
      <c r="J534" s="188"/>
      <c r="K534" s="369"/>
      <c r="L534" s="188"/>
      <c r="M534" s="341"/>
      <c r="N534" s="168"/>
      <c r="O534" s="341"/>
      <c r="P534" s="168"/>
      <c r="Q534" s="370"/>
      <c r="R534" s="370"/>
      <c r="S534" s="17"/>
      <c r="T534" s="17"/>
      <c r="U534" s="17"/>
      <c r="V534" s="17"/>
    </row>
    <row r="535">
      <c r="A535" s="341"/>
      <c r="B535" s="168"/>
      <c r="C535" s="341"/>
      <c r="D535" s="168"/>
      <c r="E535" s="341"/>
      <c r="F535" s="168"/>
      <c r="G535" s="341"/>
      <c r="H535" s="168"/>
      <c r="I535" s="369"/>
      <c r="J535" s="188"/>
      <c r="K535" s="369"/>
      <c r="L535" s="188"/>
      <c r="M535" s="341"/>
      <c r="N535" s="168"/>
      <c r="O535" s="341"/>
      <c r="P535" s="168"/>
      <c r="Q535" s="370"/>
      <c r="R535" s="370"/>
      <c r="S535" s="17"/>
      <c r="T535" s="17"/>
      <c r="U535" s="17"/>
      <c r="V535" s="17"/>
    </row>
    <row r="536">
      <c r="A536" s="341"/>
      <c r="B536" s="168"/>
      <c r="C536" s="341"/>
      <c r="D536" s="168"/>
      <c r="E536" s="341"/>
      <c r="F536" s="168"/>
      <c r="G536" s="341"/>
      <c r="H536" s="168"/>
      <c r="I536" s="369"/>
      <c r="J536" s="188"/>
      <c r="K536" s="369"/>
      <c r="L536" s="188"/>
      <c r="M536" s="341"/>
      <c r="N536" s="168"/>
      <c r="O536" s="341"/>
      <c r="P536" s="168"/>
      <c r="Q536" s="370"/>
      <c r="R536" s="370"/>
      <c r="S536" s="17"/>
      <c r="T536" s="17"/>
      <c r="U536" s="17"/>
      <c r="V536" s="17"/>
    </row>
    <row r="537">
      <c r="A537" s="341"/>
      <c r="B537" s="168"/>
      <c r="C537" s="341"/>
      <c r="D537" s="168"/>
      <c r="E537" s="341"/>
      <c r="F537" s="168"/>
      <c r="G537" s="341"/>
      <c r="H537" s="168"/>
      <c r="I537" s="369"/>
      <c r="J537" s="188"/>
      <c r="K537" s="369"/>
      <c r="L537" s="188"/>
      <c r="M537" s="341"/>
      <c r="N537" s="168"/>
      <c r="O537" s="341"/>
      <c r="P537" s="168"/>
      <c r="Q537" s="370"/>
      <c r="R537" s="370"/>
      <c r="S537" s="17"/>
      <c r="T537" s="17"/>
      <c r="U537" s="17"/>
      <c r="V537" s="17"/>
    </row>
    <row r="538">
      <c r="A538" s="341"/>
      <c r="B538" s="168"/>
      <c r="C538" s="341"/>
      <c r="D538" s="168"/>
      <c r="E538" s="341"/>
      <c r="F538" s="168"/>
      <c r="G538" s="341"/>
      <c r="H538" s="168"/>
      <c r="I538" s="369"/>
      <c r="J538" s="188"/>
      <c r="K538" s="369"/>
      <c r="L538" s="188"/>
      <c r="M538" s="341"/>
      <c r="N538" s="168"/>
      <c r="O538" s="341"/>
      <c r="P538" s="168"/>
      <c r="Q538" s="370"/>
      <c r="R538" s="370"/>
      <c r="S538" s="17"/>
      <c r="T538" s="17"/>
      <c r="U538" s="17"/>
      <c r="V538" s="17"/>
    </row>
    <row r="539">
      <c r="A539" s="341"/>
      <c r="B539" s="168"/>
      <c r="C539" s="341"/>
      <c r="D539" s="168"/>
      <c r="E539" s="341"/>
      <c r="F539" s="168"/>
      <c r="G539" s="341"/>
      <c r="H539" s="168"/>
      <c r="I539" s="369"/>
      <c r="J539" s="188"/>
      <c r="K539" s="369"/>
      <c r="L539" s="188"/>
      <c r="M539" s="341"/>
      <c r="N539" s="168"/>
      <c r="O539" s="341"/>
      <c r="P539" s="168"/>
      <c r="Q539" s="370"/>
      <c r="R539" s="370"/>
      <c r="S539" s="17"/>
      <c r="T539" s="17"/>
      <c r="U539" s="17"/>
      <c r="V539" s="17"/>
    </row>
    <row r="540">
      <c r="A540" s="341"/>
      <c r="B540" s="168"/>
      <c r="C540" s="341"/>
      <c r="D540" s="168"/>
      <c r="E540" s="341"/>
      <c r="F540" s="168"/>
      <c r="G540" s="341"/>
      <c r="H540" s="168"/>
      <c r="I540" s="369"/>
      <c r="J540" s="188"/>
      <c r="K540" s="369"/>
      <c r="L540" s="188"/>
      <c r="M540" s="341"/>
      <c r="N540" s="168"/>
      <c r="O540" s="341"/>
      <c r="P540" s="168"/>
      <c r="Q540" s="370"/>
      <c r="R540" s="370"/>
      <c r="S540" s="17"/>
      <c r="T540" s="17"/>
      <c r="U540" s="17"/>
      <c r="V540" s="17"/>
    </row>
    <row r="541">
      <c r="A541" s="341"/>
      <c r="B541" s="168"/>
      <c r="C541" s="341"/>
      <c r="D541" s="168"/>
      <c r="E541" s="341"/>
      <c r="F541" s="168"/>
      <c r="G541" s="341"/>
      <c r="H541" s="168"/>
      <c r="I541" s="369"/>
      <c r="J541" s="188"/>
      <c r="K541" s="369"/>
      <c r="L541" s="188"/>
      <c r="M541" s="341"/>
      <c r="N541" s="168"/>
      <c r="O541" s="341"/>
      <c r="P541" s="168"/>
      <c r="Q541" s="370"/>
      <c r="R541" s="370"/>
      <c r="S541" s="17"/>
      <c r="T541" s="17"/>
      <c r="U541" s="17"/>
      <c r="V541" s="17"/>
    </row>
    <row r="542">
      <c r="A542" s="341"/>
      <c r="B542" s="168"/>
      <c r="C542" s="341"/>
      <c r="D542" s="168"/>
      <c r="E542" s="341"/>
      <c r="F542" s="168"/>
      <c r="G542" s="341"/>
      <c r="H542" s="168"/>
      <c r="I542" s="369"/>
      <c r="J542" s="188"/>
      <c r="K542" s="369"/>
      <c r="L542" s="188"/>
      <c r="M542" s="341"/>
      <c r="N542" s="168"/>
      <c r="O542" s="341"/>
      <c r="P542" s="168"/>
      <c r="Q542" s="370"/>
      <c r="R542" s="370"/>
      <c r="S542" s="17"/>
      <c r="T542" s="17"/>
      <c r="U542" s="17"/>
      <c r="V542" s="17"/>
    </row>
    <row r="543">
      <c r="A543" s="341"/>
      <c r="B543" s="168"/>
      <c r="C543" s="341"/>
      <c r="D543" s="168"/>
      <c r="E543" s="341"/>
      <c r="F543" s="168"/>
      <c r="G543" s="341"/>
      <c r="H543" s="168"/>
      <c r="I543" s="369"/>
      <c r="J543" s="188"/>
      <c r="K543" s="369"/>
      <c r="L543" s="188"/>
      <c r="M543" s="341"/>
      <c r="N543" s="168"/>
      <c r="O543" s="341"/>
      <c r="P543" s="168"/>
      <c r="Q543" s="370"/>
      <c r="R543" s="370"/>
      <c r="S543" s="17"/>
      <c r="T543" s="17"/>
      <c r="U543" s="17"/>
      <c r="V543" s="17"/>
    </row>
    <row r="544">
      <c r="A544" s="341"/>
      <c r="B544" s="168"/>
      <c r="C544" s="341"/>
      <c r="D544" s="168"/>
      <c r="E544" s="341"/>
      <c r="F544" s="168"/>
      <c r="G544" s="341"/>
      <c r="H544" s="168"/>
      <c r="I544" s="369"/>
      <c r="J544" s="188"/>
      <c r="K544" s="369"/>
      <c r="L544" s="188"/>
      <c r="M544" s="341"/>
      <c r="N544" s="168"/>
      <c r="O544" s="341"/>
      <c r="P544" s="168"/>
      <c r="Q544" s="370"/>
      <c r="R544" s="370"/>
      <c r="S544" s="17"/>
      <c r="T544" s="17"/>
      <c r="U544" s="17"/>
      <c r="V544" s="17"/>
    </row>
    <row r="545">
      <c r="A545" s="341"/>
      <c r="B545" s="168"/>
      <c r="C545" s="341"/>
      <c r="D545" s="168"/>
      <c r="E545" s="341"/>
      <c r="F545" s="168"/>
      <c r="G545" s="341"/>
      <c r="H545" s="168"/>
      <c r="I545" s="369"/>
      <c r="J545" s="188"/>
      <c r="K545" s="369"/>
      <c r="L545" s="188"/>
      <c r="M545" s="341"/>
      <c r="N545" s="168"/>
      <c r="O545" s="341"/>
      <c r="P545" s="168"/>
      <c r="Q545" s="370"/>
      <c r="R545" s="370"/>
      <c r="S545" s="17"/>
      <c r="T545" s="17"/>
      <c r="U545" s="17"/>
      <c r="V545" s="17"/>
    </row>
    <row r="546">
      <c r="A546" s="341"/>
      <c r="B546" s="168"/>
      <c r="C546" s="341"/>
      <c r="D546" s="168"/>
      <c r="E546" s="341"/>
      <c r="F546" s="168"/>
      <c r="G546" s="341"/>
      <c r="H546" s="168"/>
      <c r="I546" s="369"/>
      <c r="J546" s="188"/>
      <c r="K546" s="369"/>
      <c r="L546" s="188"/>
      <c r="M546" s="341"/>
      <c r="N546" s="168"/>
      <c r="O546" s="341"/>
      <c r="P546" s="168"/>
      <c r="Q546" s="370"/>
      <c r="R546" s="370"/>
      <c r="S546" s="17"/>
      <c r="T546" s="17"/>
      <c r="U546" s="17"/>
      <c r="V546" s="17"/>
    </row>
    <row r="547">
      <c r="A547" s="341"/>
      <c r="B547" s="168"/>
      <c r="C547" s="341"/>
      <c r="D547" s="168"/>
      <c r="E547" s="341"/>
      <c r="F547" s="168"/>
      <c r="G547" s="341"/>
      <c r="H547" s="168"/>
      <c r="I547" s="369"/>
      <c r="J547" s="188"/>
      <c r="K547" s="369"/>
      <c r="L547" s="188"/>
      <c r="M547" s="341"/>
      <c r="N547" s="168"/>
      <c r="O547" s="341"/>
      <c r="P547" s="168"/>
      <c r="Q547" s="370"/>
      <c r="R547" s="370"/>
      <c r="S547" s="17"/>
      <c r="T547" s="17"/>
      <c r="U547" s="17"/>
      <c r="V547" s="17"/>
    </row>
    <row r="548">
      <c r="A548" s="341"/>
      <c r="B548" s="168"/>
      <c r="C548" s="341"/>
      <c r="D548" s="168"/>
      <c r="E548" s="341"/>
      <c r="F548" s="168"/>
      <c r="G548" s="341"/>
      <c r="H548" s="168"/>
      <c r="I548" s="369"/>
      <c r="J548" s="188"/>
      <c r="K548" s="369"/>
      <c r="L548" s="188"/>
      <c r="M548" s="341"/>
      <c r="N548" s="168"/>
      <c r="O548" s="341"/>
      <c r="P548" s="168"/>
      <c r="Q548" s="370"/>
      <c r="R548" s="370"/>
      <c r="S548" s="17"/>
      <c r="T548" s="17"/>
      <c r="U548" s="17"/>
      <c r="V548" s="17"/>
    </row>
    <row r="549">
      <c r="A549" s="341"/>
      <c r="B549" s="168"/>
      <c r="C549" s="341"/>
      <c r="D549" s="168"/>
      <c r="E549" s="341"/>
      <c r="F549" s="168"/>
      <c r="G549" s="341"/>
      <c r="H549" s="168"/>
      <c r="I549" s="369"/>
      <c r="J549" s="188"/>
      <c r="K549" s="369"/>
      <c r="L549" s="188"/>
      <c r="M549" s="341"/>
      <c r="N549" s="168"/>
      <c r="O549" s="341"/>
      <c r="P549" s="168"/>
      <c r="Q549" s="370"/>
      <c r="R549" s="370"/>
      <c r="S549" s="17"/>
      <c r="T549" s="17"/>
      <c r="U549" s="17"/>
      <c r="V549" s="17"/>
    </row>
    <row r="550">
      <c r="A550" s="341"/>
      <c r="B550" s="168"/>
      <c r="C550" s="341"/>
      <c r="D550" s="168"/>
      <c r="E550" s="341"/>
      <c r="F550" s="168"/>
      <c r="G550" s="341"/>
      <c r="H550" s="168"/>
      <c r="I550" s="369"/>
      <c r="J550" s="188"/>
      <c r="K550" s="369"/>
      <c r="L550" s="188"/>
      <c r="M550" s="341"/>
      <c r="N550" s="168"/>
      <c r="O550" s="341"/>
      <c r="P550" s="168"/>
      <c r="Q550" s="370"/>
      <c r="R550" s="370"/>
      <c r="S550" s="17"/>
      <c r="T550" s="17"/>
      <c r="U550" s="17"/>
      <c r="V550" s="17"/>
    </row>
    <row r="551">
      <c r="A551" s="341"/>
      <c r="B551" s="168"/>
      <c r="C551" s="341"/>
      <c r="D551" s="168"/>
      <c r="E551" s="341"/>
      <c r="F551" s="168"/>
      <c r="G551" s="341"/>
      <c r="H551" s="168"/>
      <c r="I551" s="369"/>
      <c r="J551" s="188"/>
      <c r="K551" s="369"/>
      <c r="L551" s="188"/>
      <c r="M551" s="341"/>
      <c r="N551" s="168"/>
      <c r="O551" s="341"/>
      <c r="P551" s="168"/>
      <c r="Q551" s="370"/>
      <c r="R551" s="370"/>
      <c r="S551" s="17"/>
      <c r="T551" s="17"/>
      <c r="U551" s="17"/>
      <c r="V551" s="17"/>
    </row>
    <row r="552">
      <c r="A552" s="341"/>
      <c r="B552" s="168"/>
      <c r="C552" s="341"/>
      <c r="D552" s="168"/>
      <c r="E552" s="341"/>
      <c r="F552" s="168"/>
      <c r="G552" s="341"/>
      <c r="H552" s="168"/>
      <c r="I552" s="369"/>
      <c r="J552" s="188"/>
      <c r="K552" s="369"/>
      <c r="L552" s="188"/>
      <c r="M552" s="341"/>
      <c r="N552" s="168"/>
      <c r="O552" s="341"/>
      <c r="P552" s="168"/>
      <c r="Q552" s="370"/>
      <c r="R552" s="370"/>
      <c r="S552" s="17"/>
      <c r="T552" s="17"/>
      <c r="U552" s="17"/>
      <c r="V552" s="17"/>
    </row>
    <row r="553">
      <c r="A553" s="341"/>
      <c r="B553" s="168"/>
      <c r="C553" s="341"/>
      <c r="D553" s="168"/>
      <c r="E553" s="341"/>
      <c r="F553" s="168"/>
      <c r="G553" s="341"/>
      <c r="H553" s="168"/>
      <c r="I553" s="369"/>
      <c r="J553" s="188"/>
      <c r="K553" s="369"/>
      <c r="L553" s="188"/>
      <c r="M553" s="341"/>
      <c r="N553" s="168"/>
      <c r="O553" s="341"/>
      <c r="P553" s="168"/>
      <c r="Q553" s="370"/>
      <c r="R553" s="370"/>
      <c r="S553" s="17"/>
      <c r="T553" s="17"/>
      <c r="U553" s="17"/>
      <c r="V553" s="17"/>
    </row>
    <row r="554">
      <c r="A554" s="341"/>
      <c r="B554" s="168"/>
      <c r="C554" s="341"/>
      <c r="D554" s="168"/>
      <c r="E554" s="341"/>
      <c r="F554" s="168"/>
      <c r="G554" s="341"/>
      <c r="H554" s="168"/>
      <c r="I554" s="369"/>
      <c r="J554" s="188"/>
      <c r="K554" s="369"/>
      <c r="L554" s="188"/>
      <c r="M554" s="341"/>
      <c r="N554" s="168"/>
      <c r="O554" s="341"/>
      <c r="P554" s="168"/>
      <c r="Q554" s="370"/>
      <c r="R554" s="370"/>
      <c r="S554" s="17"/>
      <c r="T554" s="17"/>
      <c r="U554" s="17"/>
      <c r="V554" s="17"/>
    </row>
    <row r="555">
      <c r="A555" s="341"/>
      <c r="B555" s="168"/>
      <c r="C555" s="341"/>
      <c r="D555" s="168"/>
      <c r="E555" s="341"/>
      <c r="F555" s="168"/>
      <c r="G555" s="341"/>
      <c r="H555" s="168"/>
      <c r="I555" s="369"/>
      <c r="J555" s="188"/>
      <c r="K555" s="369"/>
      <c r="L555" s="188"/>
      <c r="M555" s="341"/>
      <c r="N555" s="168"/>
      <c r="O555" s="341"/>
      <c r="P555" s="168"/>
      <c r="Q555" s="370"/>
      <c r="R555" s="370"/>
      <c r="S555" s="17"/>
      <c r="T555" s="17"/>
      <c r="U555" s="17"/>
      <c r="V555" s="17"/>
    </row>
    <row r="556">
      <c r="A556" s="341"/>
      <c r="B556" s="168"/>
      <c r="C556" s="341"/>
      <c r="D556" s="168"/>
      <c r="E556" s="341"/>
      <c r="F556" s="168"/>
      <c r="G556" s="341"/>
      <c r="H556" s="168"/>
      <c r="I556" s="369"/>
      <c r="J556" s="188"/>
      <c r="K556" s="369"/>
      <c r="L556" s="188"/>
      <c r="M556" s="341"/>
      <c r="N556" s="168"/>
      <c r="O556" s="341"/>
      <c r="P556" s="168"/>
      <c r="Q556" s="370"/>
      <c r="R556" s="370"/>
      <c r="S556" s="17"/>
      <c r="T556" s="17"/>
      <c r="U556" s="17"/>
      <c r="V556" s="17"/>
    </row>
    <row r="557">
      <c r="A557" s="341"/>
      <c r="B557" s="168"/>
      <c r="C557" s="341"/>
      <c r="D557" s="168"/>
      <c r="E557" s="341"/>
      <c r="F557" s="168"/>
      <c r="G557" s="341"/>
      <c r="H557" s="168"/>
      <c r="I557" s="369"/>
      <c r="J557" s="188"/>
      <c r="K557" s="369"/>
      <c r="L557" s="188"/>
      <c r="M557" s="341"/>
      <c r="N557" s="168"/>
      <c r="O557" s="341"/>
      <c r="P557" s="168"/>
      <c r="Q557" s="370"/>
      <c r="R557" s="370"/>
      <c r="S557" s="17"/>
      <c r="T557" s="17"/>
      <c r="U557" s="17"/>
      <c r="V557" s="17"/>
    </row>
    <row r="558">
      <c r="A558" s="341"/>
      <c r="B558" s="168"/>
      <c r="C558" s="341"/>
      <c r="D558" s="168"/>
      <c r="E558" s="341"/>
      <c r="F558" s="168"/>
      <c r="G558" s="341"/>
      <c r="H558" s="168"/>
      <c r="I558" s="369"/>
      <c r="J558" s="188"/>
      <c r="K558" s="369"/>
      <c r="L558" s="188"/>
      <c r="M558" s="341"/>
      <c r="N558" s="168"/>
      <c r="O558" s="341"/>
      <c r="P558" s="168"/>
      <c r="Q558" s="370"/>
      <c r="R558" s="370"/>
      <c r="S558" s="17"/>
      <c r="T558" s="17"/>
      <c r="U558" s="17"/>
      <c r="V558" s="17"/>
    </row>
    <row r="559">
      <c r="A559" s="341"/>
      <c r="B559" s="168"/>
      <c r="C559" s="341"/>
      <c r="D559" s="168"/>
      <c r="E559" s="341"/>
      <c r="F559" s="168"/>
      <c r="G559" s="341"/>
      <c r="H559" s="168"/>
      <c r="I559" s="369"/>
      <c r="J559" s="188"/>
      <c r="K559" s="369"/>
      <c r="L559" s="188"/>
      <c r="M559" s="341"/>
      <c r="N559" s="168"/>
      <c r="O559" s="341"/>
      <c r="P559" s="168"/>
      <c r="Q559" s="370"/>
      <c r="R559" s="370"/>
      <c r="S559" s="17"/>
      <c r="T559" s="17"/>
      <c r="U559" s="17"/>
      <c r="V559" s="17"/>
    </row>
    <row r="560">
      <c r="A560" s="341"/>
      <c r="B560" s="168"/>
      <c r="C560" s="341"/>
      <c r="D560" s="168"/>
      <c r="E560" s="341"/>
      <c r="F560" s="168"/>
      <c r="G560" s="341"/>
      <c r="H560" s="168"/>
      <c r="I560" s="369"/>
      <c r="J560" s="188"/>
      <c r="K560" s="369"/>
      <c r="L560" s="188"/>
      <c r="M560" s="341"/>
      <c r="N560" s="168"/>
      <c r="O560" s="341"/>
      <c r="P560" s="168"/>
      <c r="Q560" s="370"/>
      <c r="R560" s="370"/>
      <c r="S560" s="17"/>
      <c r="T560" s="17"/>
      <c r="U560" s="17"/>
      <c r="V560" s="17"/>
    </row>
    <row r="561">
      <c r="A561" s="341"/>
      <c r="B561" s="168"/>
      <c r="C561" s="341"/>
      <c r="D561" s="168"/>
      <c r="E561" s="341"/>
      <c r="F561" s="168"/>
      <c r="G561" s="341"/>
      <c r="H561" s="168"/>
      <c r="I561" s="369"/>
      <c r="J561" s="188"/>
      <c r="K561" s="369"/>
      <c r="L561" s="188"/>
      <c r="M561" s="341"/>
      <c r="N561" s="168"/>
      <c r="O561" s="341"/>
      <c r="P561" s="168"/>
      <c r="Q561" s="370"/>
      <c r="R561" s="370"/>
      <c r="S561" s="17"/>
      <c r="T561" s="17"/>
      <c r="U561" s="17"/>
      <c r="V561" s="17"/>
    </row>
    <row r="562">
      <c r="A562" s="341"/>
      <c r="B562" s="168"/>
      <c r="C562" s="341"/>
      <c r="D562" s="168"/>
      <c r="E562" s="341"/>
      <c r="F562" s="168"/>
      <c r="G562" s="341"/>
      <c r="H562" s="168"/>
      <c r="I562" s="369"/>
      <c r="J562" s="188"/>
      <c r="K562" s="369"/>
      <c r="L562" s="188"/>
      <c r="M562" s="341"/>
      <c r="N562" s="168"/>
      <c r="O562" s="341"/>
      <c r="P562" s="168"/>
      <c r="Q562" s="370"/>
      <c r="R562" s="370"/>
      <c r="S562" s="17"/>
      <c r="T562" s="17"/>
      <c r="U562" s="17"/>
      <c r="V562" s="17"/>
    </row>
    <row r="563">
      <c r="A563" s="341"/>
      <c r="B563" s="168"/>
      <c r="C563" s="341"/>
      <c r="D563" s="168"/>
      <c r="E563" s="341"/>
      <c r="F563" s="168"/>
      <c r="G563" s="341"/>
      <c r="H563" s="168"/>
      <c r="I563" s="369"/>
      <c r="J563" s="188"/>
      <c r="K563" s="369"/>
      <c r="L563" s="188"/>
      <c r="M563" s="341"/>
      <c r="N563" s="168"/>
      <c r="O563" s="341"/>
      <c r="P563" s="168"/>
      <c r="Q563" s="370"/>
      <c r="R563" s="370"/>
      <c r="S563" s="17"/>
      <c r="T563" s="17"/>
      <c r="U563" s="17"/>
      <c r="V563" s="17"/>
    </row>
    <row r="564">
      <c r="A564" s="341"/>
      <c r="B564" s="168"/>
      <c r="C564" s="341"/>
      <c r="D564" s="168"/>
      <c r="E564" s="341"/>
      <c r="F564" s="168"/>
      <c r="G564" s="341"/>
      <c r="H564" s="168"/>
      <c r="I564" s="369"/>
      <c r="J564" s="188"/>
      <c r="K564" s="369"/>
      <c r="L564" s="188"/>
      <c r="M564" s="341"/>
      <c r="N564" s="168"/>
      <c r="O564" s="341"/>
      <c r="P564" s="168"/>
      <c r="Q564" s="370"/>
      <c r="R564" s="370"/>
      <c r="S564" s="17"/>
      <c r="T564" s="17"/>
      <c r="U564" s="17"/>
      <c r="V564" s="17"/>
    </row>
    <row r="565">
      <c r="A565" s="341"/>
      <c r="B565" s="168"/>
      <c r="C565" s="341"/>
      <c r="D565" s="168"/>
      <c r="E565" s="341"/>
      <c r="F565" s="168"/>
      <c r="G565" s="341"/>
      <c r="H565" s="168"/>
      <c r="I565" s="369"/>
      <c r="J565" s="188"/>
      <c r="K565" s="369"/>
      <c r="L565" s="188"/>
      <c r="M565" s="341"/>
      <c r="N565" s="168"/>
      <c r="O565" s="341"/>
      <c r="P565" s="168"/>
      <c r="Q565" s="370"/>
      <c r="R565" s="370"/>
      <c r="S565" s="17"/>
      <c r="T565" s="17"/>
      <c r="U565" s="17"/>
      <c r="V565" s="17"/>
    </row>
    <row r="566">
      <c r="A566" s="341"/>
      <c r="B566" s="168"/>
      <c r="C566" s="341"/>
      <c r="D566" s="168"/>
      <c r="E566" s="341"/>
      <c r="F566" s="168"/>
      <c r="G566" s="341"/>
      <c r="H566" s="168"/>
      <c r="I566" s="369"/>
      <c r="J566" s="188"/>
      <c r="K566" s="369"/>
      <c r="L566" s="188"/>
      <c r="M566" s="341"/>
      <c r="N566" s="168"/>
      <c r="O566" s="341"/>
      <c r="P566" s="168"/>
      <c r="Q566" s="370"/>
      <c r="R566" s="370"/>
      <c r="S566" s="17"/>
      <c r="T566" s="17"/>
      <c r="U566" s="17"/>
      <c r="V566" s="17"/>
    </row>
    <row r="567">
      <c r="A567" s="341"/>
      <c r="B567" s="168"/>
      <c r="C567" s="341"/>
      <c r="D567" s="168"/>
      <c r="E567" s="341"/>
      <c r="F567" s="168"/>
      <c r="G567" s="341"/>
      <c r="H567" s="168"/>
      <c r="I567" s="369"/>
      <c r="J567" s="188"/>
      <c r="K567" s="369"/>
      <c r="L567" s="188"/>
      <c r="M567" s="341"/>
      <c r="N567" s="168"/>
      <c r="O567" s="341"/>
      <c r="P567" s="168"/>
      <c r="Q567" s="370"/>
      <c r="R567" s="370"/>
      <c r="S567" s="17"/>
      <c r="T567" s="17"/>
      <c r="U567" s="17"/>
      <c r="V567" s="17"/>
    </row>
    <row r="568">
      <c r="A568" s="341"/>
      <c r="B568" s="168"/>
      <c r="C568" s="341"/>
      <c r="D568" s="168"/>
      <c r="E568" s="341"/>
      <c r="F568" s="168"/>
      <c r="G568" s="341"/>
      <c r="H568" s="168"/>
      <c r="I568" s="369"/>
      <c r="J568" s="188"/>
      <c r="K568" s="369"/>
      <c r="L568" s="188"/>
      <c r="M568" s="341"/>
      <c r="N568" s="168"/>
      <c r="O568" s="341"/>
      <c r="P568" s="168"/>
      <c r="Q568" s="370"/>
      <c r="R568" s="370"/>
      <c r="S568" s="17"/>
      <c r="T568" s="17"/>
      <c r="U568" s="17"/>
      <c r="V568" s="17"/>
    </row>
    <row r="569">
      <c r="A569" s="341"/>
      <c r="B569" s="168"/>
      <c r="C569" s="341"/>
      <c r="D569" s="168"/>
      <c r="E569" s="341"/>
      <c r="F569" s="168"/>
      <c r="G569" s="341"/>
      <c r="H569" s="168"/>
      <c r="I569" s="369"/>
      <c r="J569" s="188"/>
      <c r="K569" s="369"/>
      <c r="L569" s="188"/>
      <c r="M569" s="341"/>
      <c r="N569" s="168"/>
      <c r="O569" s="341"/>
      <c r="P569" s="168"/>
      <c r="Q569" s="370"/>
      <c r="R569" s="370"/>
      <c r="S569" s="17"/>
      <c r="T569" s="17"/>
      <c r="U569" s="17"/>
      <c r="V569" s="17"/>
    </row>
    <row r="570">
      <c r="A570" s="341"/>
      <c r="B570" s="168"/>
      <c r="C570" s="341"/>
      <c r="D570" s="168"/>
      <c r="E570" s="341"/>
      <c r="F570" s="168"/>
      <c r="G570" s="341"/>
      <c r="H570" s="168"/>
      <c r="I570" s="369"/>
      <c r="J570" s="188"/>
      <c r="K570" s="369"/>
      <c r="L570" s="188"/>
      <c r="M570" s="341"/>
      <c r="N570" s="168"/>
      <c r="O570" s="341"/>
      <c r="P570" s="168"/>
      <c r="Q570" s="370"/>
      <c r="R570" s="370"/>
      <c r="S570" s="17"/>
      <c r="T570" s="17"/>
      <c r="U570" s="17"/>
      <c r="V570" s="17"/>
    </row>
    <row r="571">
      <c r="A571" s="341"/>
      <c r="B571" s="168"/>
      <c r="C571" s="341"/>
      <c r="D571" s="168"/>
      <c r="E571" s="341"/>
      <c r="F571" s="168"/>
      <c r="G571" s="341"/>
      <c r="H571" s="168"/>
      <c r="I571" s="369"/>
      <c r="J571" s="188"/>
      <c r="K571" s="369"/>
      <c r="L571" s="188"/>
      <c r="M571" s="341"/>
      <c r="N571" s="168"/>
      <c r="O571" s="341"/>
      <c r="P571" s="168"/>
      <c r="Q571" s="370"/>
      <c r="R571" s="370"/>
      <c r="S571" s="17"/>
      <c r="T571" s="17"/>
      <c r="U571" s="17"/>
      <c r="V571" s="17"/>
    </row>
    <row r="572">
      <c r="A572" s="341"/>
      <c r="B572" s="168"/>
      <c r="C572" s="341"/>
      <c r="D572" s="168"/>
      <c r="E572" s="341"/>
      <c r="F572" s="168"/>
      <c r="G572" s="341"/>
      <c r="H572" s="168"/>
      <c r="I572" s="369"/>
      <c r="J572" s="188"/>
      <c r="K572" s="369"/>
      <c r="L572" s="188"/>
      <c r="M572" s="341"/>
      <c r="N572" s="168"/>
      <c r="O572" s="341"/>
      <c r="P572" s="168"/>
      <c r="Q572" s="370"/>
      <c r="R572" s="370"/>
      <c r="S572" s="17"/>
      <c r="T572" s="17"/>
      <c r="U572" s="17"/>
      <c r="V572" s="17"/>
    </row>
    <row r="573">
      <c r="A573" s="341"/>
      <c r="B573" s="168"/>
      <c r="C573" s="341"/>
      <c r="D573" s="168"/>
      <c r="E573" s="341"/>
      <c r="F573" s="168"/>
      <c r="G573" s="341"/>
      <c r="H573" s="168"/>
      <c r="I573" s="369"/>
      <c r="J573" s="188"/>
      <c r="K573" s="369"/>
      <c r="L573" s="188"/>
      <c r="M573" s="341"/>
      <c r="N573" s="168"/>
      <c r="O573" s="341"/>
      <c r="P573" s="168"/>
      <c r="Q573" s="370"/>
      <c r="R573" s="370"/>
      <c r="S573" s="17"/>
      <c r="T573" s="17"/>
      <c r="U573" s="17"/>
      <c r="V573" s="17"/>
    </row>
    <row r="574">
      <c r="A574" s="341"/>
      <c r="B574" s="168"/>
      <c r="C574" s="341"/>
      <c r="D574" s="168"/>
      <c r="E574" s="341"/>
      <c r="F574" s="168"/>
      <c r="G574" s="341"/>
      <c r="H574" s="168"/>
      <c r="I574" s="369"/>
      <c r="J574" s="188"/>
      <c r="K574" s="369"/>
      <c r="L574" s="188"/>
      <c r="M574" s="341"/>
      <c r="N574" s="168"/>
      <c r="O574" s="341"/>
      <c r="P574" s="168"/>
      <c r="Q574" s="370"/>
      <c r="R574" s="370"/>
      <c r="S574" s="17"/>
      <c r="T574" s="17"/>
      <c r="U574" s="17"/>
      <c r="V574" s="17"/>
    </row>
    <row r="575">
      <c r="A575" s="341"/>
      <c r="B575" s="168"/>
      <c r="C575" s="341"/>
      <c r="D575" s="168"/>
      <c r="E575" s="341"/>
      <c r="F575" s="168"/>
      <c r="G575" s="341"/>
      <c r="H575" s="168"/>
      <c r="I575" s="369"/>
      <c r="J575" s="188"/>
      <c r="K575" s="369"/>
      <c r="L575" s="188"/>
      <c r="M575" s="341"/>
      <c r="N575" s="168"/>
      <c r="O575" s="341"/>
      <c r="P575" s="168"/>
      <c r="Q575" s="370"/>
      <c r="R575" s="370"/>
      <c r="S575" s="17"/>
      <c r="T575" s="17"/>
      <c r="U575" s="17"/>
      <c r="V575" s="17"/>
    </row>
    <row r="576">
      <c r="A576" s="341"/>
      <c r="B576" s="168"/>
      <c r="C576" s="341"/>
      <c r="D576" s="168"/>
      <c r="E576" s="341"/>
      <c r="F576" s="168"/>
      <c r="G576" s="341"/>
      <c r="H576" s="168"/>
      <c r="I576" s="369"/>
      <c r="J576" s="188"/>
      <c r="K576" s="369"/>
      <c r="L576" s="188"/>
      <c r="M576" s="341"/>
      <c r="N576" s="168"/>
      <c r="O576" s="341"/>
      <c r="P576" s="168"/>
      <c r="Q576" s="370"/>
      <c r="R576" s="370"/>
      <c r="S576" s="17"/>
      <c r="T576" s="17"/>
      <c r="U576" s="17"/>
      <c r="V576" s="17"/>
    </row>
    <row r="577">
      <c r="A577" s="341"/>
      <c r="B577" s="168"/>
      <c r="C577" s="341"/>
      <c r="D577" s="168"/>
      <c r="E577" s="341"/>
      <c r="F577" s="168"/>
      <c r="G577" s="341"/>
      <c r="H577" s="168"/>
      <c r="I577" s="369"/>
      <c r="J577" s="188"/>
      <c r="K577" s="369"/>
      <c r="L577" s="188"/>
      <c r="M577" s="341"/>
      <c r="N577" s="168"/>
      <c r="O577" s="341"/>
      <c r="P577" s="168"/>
      <c r="Q577" s="370"/>
      <c r="R577" s="370"/>
      <c r="S577" s="17"/>
      <c r="T577" s="17"/>
      <c r="U577" s="17"/>
      <c r="V577" s="17"/>
    </row>
    <row r="578">
      <c r="A578" s="341"/>
      <c r="B578" s="168"/>
      <c r="C578" s="341"/>
      <c r="D578" s="168"/>
      <c r="E578" s="341"/>
      <c r="F578" s="168"/>
      <c r="G578" s="341"/>
      <c r="H578" s="168"/>
      <c r="I578" s="369"/>
      <c r="J578" s="188"/>
      <c r="K578" s="369"/>
      <c r="L578" s="188"/>
      <c r="M578" s="341"/>
      <c r="N578" s="168"/>
      <c r="O578" s="341"/>
      <c r="P578" s="168"/>
      <c r="Q578" s="370"/>
      <c r="R578" s="370"/>
      <c r="S578" s="17"/>
      <c r="T578" s="17"/>
      <c r="U578" s="17"/>
      <c r="V578" s="17"/>
    </row>
    <row r="579">
      <c r="A579" s="341"/>
      <c r="B579" s="168"/>
      <c r="C579" s="341"/>
      <c r="D579" s="168"/>
      <c r="E579" s="341"/>
      <c r="F579" s="168"/>
      <c r="G579" s="341"/>
      <c r="H579" s="168"/>
      <c r="I579" s="369"/>
      <c r="J579" s="188"/>
      <c r="K579" s="369"/>
      <c r="L579" s="188"/>
      <c r="M579" s="341"/>
      <c r="N579" s="168"/>
      <c r="O579" s="341"/>
      <c r="P579" s="168"/>
      <c r="Q579" s="370"/>
      <c r="R579" s="370"/>
      <c r="S579" s="17"/>
      <c r="T579" s="17"/>
      <c r="U579" s="17"/>
      <c r="V579" s="17"/>
    </row>
    <row r="580">
      <c r="A580" s="341"/>
      <c r="B580" s="168"/>
      <c r="C580" s="341"/>
      <c r="D580" s="168"/>
      <c r="E580" s="341"/>
      <c r="F580" s="168"/>
      <c r="G580" s="341"/>
      <c r="H580" s="168"/>
      <c r="I580" s="369"/>
      <c r="J580" s="188"/>
      <c r="K580" s="369"/>
      <c r="L580" s="188"/>
      <c r="M580" s="341"/>
      <c r="N580" s="168"/>
      <c r="O580" s="341"/>
      <c r="P580" s="168"/>
      <c r="Q580" s="370"/>
      <c r="R580" s="370"/>
      <c r="S580" s="17"/>
      <c r="T580" s="17"/>
      <c r="U580" s="17"/>
      <c r="V580" s="17"/>
    </row>
    <row r="581">
      <c r="A581" s="341"/>
      <c r="B581" s="168"/>
      <c r="C581" s="341"/>
      <c r="D581" s="168"/>
      <c r="E581" s="341"/>
      <c r="F581" s="168"/>
      <c r="G581" s="341"/>
      <c r="H581" s="168"/>
      <c r="I581" s="369"/>
      <c r="J581" s="188"/>
      <c r="K581" s="369"/>
      <c r="L581" s="188"/>
      <c r="M581" s="341"/>
      <c r="N581" s="168"/>
      <c r="O581" s="341"/>
      <c r="P581" s="168"/>
      <c r="Q581" s="370"/>
      <c r="R581" s="370"/>
      <c r="S581" s="17"/>
      <c r="T581" s="17"/>
      <c r="U581" s="17"/>
      <c r="V581" s="17"/>
    </row>
    <row r="582">
      <c r="A582" s="341"/>
      <c r="B582" s="168"/>
      <c r="C582" s="341"/>
      <c r="D582" s="168"/>
      <c r="E582" s="341"/>
      <c r="F582" s="168"/>
      <c r="G582" s="341"/>
      <c r="H582" s="168"/>
      <c r="I582" s="369"/>
      <c r="J582" s="188"/>
      <c r="K582" s="369"/>
      <c r="L582" s="188"/>
      <c r="M582" s="341"/>
      <c r="N582" s="168"/>
      <c r="O582" s="341"/>
      <c r="P582" s="168"/>
      <c r="Q582" s="370"/>
      <c r="R582" s="370"/>
      <c r="S582" s="17"/>
      <c r="T582" s="17"/>
      <c r="U582" s="17"/>
      <c r="V582" s="17"/>
    </row>
    <row r="583">
      <c r="A583" s="341"/>
      <c r="B583" s="168"/>
      <c r="C583" s="341"/>
      <c r="D583" s="168"/>
      <c r="E583" s="341"/>
      <c r="F583" s="168"/>
      <c r="G583" s="341"/>
      <c r="H583" s="168"/>
      <c r="I583" s="369"/>
      <c r="J583" s="188"/>
      <c r="K583" s="369"/>
      <c r="L583" s="188"/>
      <c r="M583" s="341"/>
      <c r="N583" s="168"/>
      <c r="O583" s="341"/>
      <c r="P583" s="168"/>
      <c r="Q583" s="370"/>
      <c r="R583" s="370"/>
      <c r="S583" s="17"/>
      <c r="T583" s="17"/>
      <c r="U583" s="17"/>
      <c r="V583" s="17"/>
    </row>
    <row r="584">
      <c r="A584" s="341"/>
      <c r="B584" s="168"/>
      <c r="C584" s="341"/>
      <c r="D584" s="168"/>
      <c r="E584" s="341"/>
      <c r="F584" s="168"/>
      <c r="G584" s="341"/>
      <c r="H584" s="168"/>
      <c r="I584" s="369"/>
      <c r="J584" s="188"/>
      <c r="K584" s="369"/>
      <c r="L584" s="188"/>
      <c r="M584" s="341"/>
      <c r="N584" s="168"/>
      <c r="O584" s="341"/>
      <c r="P584" s="168"/>
      <c r="Q584" s="370"/>
      <c r="R584" s="370"/>
      <c r="S584" s="17"/>
      <c r="T584" s="17"/>
      <c r="U584" s="17"/>
      <c r="V584" s="17"/>
    </row>
    <row r="585">
      <c r="A585" s="341"/>
      <c r="B585" s="168"/>
      <c r="C585" s="341"/>
      <c r="D585" s="168"/>
      <c r="E585" s="341"/>
      <c r="F585" s="168"/>
      <c r="G585" s="341"/>
      <c r="H585" s="168"/>
      <c r="I585" s="369"/>
      <c r="J585" s="188"/>
      <c r="K585" s="369"/>
      <c r="L585" s="188"/>
      <c r="M585" s="341"/>
      <c r="N585" s="168"/>
      <c r="O585" s="341"/>
      <c r="P585" s="168"/>
      <c r="Q585" s="370"/>
      <c r="R585" s="370"/>
      <c r="S585" s="17"/>
      <c r="T585" s="17"/>
      <c r="U585" s="17"/>
      <c r="V585" s="17"/>
    </row>
    <row r="586">
      <c r="A586" s="341"/>
      <c r="B586" s="168"/>
      <c r="C586" s="341"/>
      <c r="D586" s="168"/>
      <c r="E586" s="341"/>
      <c r="F586" s="168"/>
      <c r="G586" s="341"/>
      <c r="H586" s="168"/>
      <c r="I586" s="369"/>
      <c r="J586" s="188"/>
      <c r="K586" s="369"/>
      <c r="L586" s="188"/>
      <c r="M586" s="341"/>
      <c r="N586" s="168"/>
      <c r="O586" s="341"/>
      <c r="P586" s="168"/>
      <c r="Q586" s="370"/>
      <c r="R586" s="370"/>
      <c r="S586" s="17"/>
      <c r="T586" s="17"/>
      <c r="U586" s="17"/>
      <c r="V586" s="17"/>
    </row>
    <row r="587">
      <c r="A587" s="341"/>
      <c r="B587" s="168"/>
      <c r="C587" s="341"/>
      <c r="D587" s="168"/>
      <c r="E587" s="341"/>
      <c r="F587" s="168"/>
      <c r="G587" s="341"/>
      <c r="H587" s="168"/>
      <c r="I587" s="369"/>
      <c r="J587" s="188"/>
      <c r="K587" s="369"/>
      <c r="L587" s="188"/>
      <c r="M587" s="341"/>
      <c r="N587" s="168"/>
      <c r="O587" s="341"/>
      <c r="P587" s="168"/>
      <c r="Q587" s="370"/>
      <c r="R587" s="370"/>
      <c r="S587" s="17"/>
      <c r="T587" s="17"/>
      <c r="U587" s="17"/>
      <c r="V587" s="17"/>
    </row>
    <row r="588">
      <c r="A588" s="341"/>
      <c r="B588" s="168"/>
      <c r="C588" s="341"/>
      <c r="D588" s="168"/>
      <c r="E588" s="341"/>
      <c r="F588" s="168"/>
      <c r="G588" s="341"/>
      <c r="H588" s="168"/>
      <c r="I588" s="369"/>
      <c r="J588" s="188"/>
      <c r="K588" s="369"/>
      <c r="L588" s="188"/>
      <c r="M588" s="341"/>
      <c r="N588" s="168"/>
      <c r="O588" s="341"/>
      <c r="P588" s="168"/>
      <c r="Q588" s="370"/>
      <c r="R588" s="370"/>
      <c r="S588" s="17"/>
      <c r="T588" s="17"/>
      <c r="U588" s="17"/>
      <c r="V588" s="17"/>
    </row>
    <row r="589">
      <c r="A589" s="341"/>
      <c r="B589" s="168"/>
      <c r="C589" s="341"/>
      <c r="D589" s="168"/>
      <c r="E589" s="341"/>
      <c r="F589" s="168"/>
      <c r="G589" s="341"/>
      <c r="H589" s="168"/>
      <c r="I589" s="369"/>
      <c r="J589" s="188"/>
      <c r="K589" s="369"/>
      <c r="L589" s="188"/>
      <c r="M589" s="341"/>
      <c r="N589" s="168"/>
      <c r="O589" s="341"/>
      <c r="P589" s="168"/>
      <c r="Q589" s="370"/>
      <c r="R589" s="370"/>
      <c r="S589" s="17"/>
      <c r="T589" s="17"/>
      <c r="U589" s="17"/>
      <c r="V589" s="17"/>
    </row>
    <row r="590">
      <c r="A590" s="341"/>
      <c r="B590" s="168"/>
      <c r="C590" s="341"/>
      <c r="D590" s="168"/>
      <c r="E590" s="341"/>
      <c r="F590" s="168"/>
      <c r="G590" s="341"/>
      <c r="H590" s="168"/>
      <c r="I590" s="369"/>
      <c r="J590" s="188"/>
      <c r="K590" s="369"/>
      <c r="L590" s="188"/>
      <c r="M590" s="341"/>
      <c r="N590" s="168"/>
      <c r="O590" s="341"/>
      <c r="P590" s="168"/>
      <c r="Q590" s="370"/>
      <c r="R590" s="370"/>
      <c r="S590" s="17"/>
      <c r="T590" s="17"/>
      <c r="U590" s="17"/>
      <c r="V590" s="17"/>
    </row>
    <row r="591">
      <c r="A591" s="341"/>
      <c r="B591" s="168"/>
      <c r="C591" s="341"/>
      <c r="D591" s="168"/>
      <c r="E591" s="341"/>
      <c r="F591" s="168"/>
      <c r="G591" s="341"/>
      <c r="H591" s="168"/>
      <c r="I591" s="369"/>
      <c r="J591" s="188"/>
      <c r="K591" s="369"/>
      <c r="L591" s="188"/>
      <c r="M591" s="341"/>
      <c r="N591" s="168"/>
      <c r="O591" s="341"/>
      <c r="P591" s="168"/>
      <c r="Q591" s="370"/>
      <c r="R591" s="370"/>
      <c r="S591" s="17"/>
      <c r="T591" s="17"/>
      <c r="U591" s="17"/>
      <c r="V591" s="17"/>
    </row>
    <row r="592">
      <c r="A592" s="341"/>
      <c r="B592" s="168"/>
      <c r="C592" s="341"/>
      <c r="D592" s="168"/>
      <c r="E592" s="341"/>
      <c r="F592" s="168"/>
      <c r="G592" s="341"/>
      <c r="H592" s="168"/>
      <c r="I592" s="369"/>
      <c r="J592" s="188"/>
      <c r="K592" s="369"/>
      <c r="L592" s="188"/>
      <c r="M592" s="341"/>
      <c r="N592" s="168"/>
      <c r="O592" s="341"/>
      <c r="P592" s="168"/>
      <c r="Q592" s="370"/>
      <c r="R592" s="370"/>
      <c r="S592" s="17"/>
      <c r="T592" s="17"/>
      <c r="U592" s="17"/>
      <c r="V592" s="17"/>
    </row>
    <row r="593">
      <c r="A593" s="341"/>
      <c r="B593" s="168"/>
      <c r="C593" s="341"/>
      <c r="D593" s="168"/>
      <c r="E593" s="341"/>
      <c r="F593" s="168"/>
      <c r="G593" s="341"/>
      <c r="H593" s="168"/>
      <c r="I593" s="369"/>
      <c r="J593" s="188"/>
      <c r="K593" s="369"/>
      <c r="L593" s="188"/>
      <c r="M593" s="341"/>
      <c r="N593" s="168"/>
      <c r="O593" s="341"/>
      <c r="P593" s="168"/>
      <c r="Q593" s="370"/>
      <c r="R593" s="370"/>
      <c r="S593" s="17"/>
      <c r="T593" s="17"/>
      <c r="U593" s="17"/>
      <c r="V593" s="17"/>
    </row>
    <row r="594">
      <c r="A594" s="341"/>
      <c r="B594" s="168"/>
      <c r="C594" s="341"/>
      <c r="D594" s="168"/>
      <c r="E594" s="341"/>
      <c r="F594" s="168"/>
      <c r="G594" s="341"/>
      <c r="H594" s="168"/>
      <c r="I594" s="369"/>
      <c r="J594" s="188"/>
      <c r="K594" s="369"/>
      <c r="L594" s="188"/>
      <c r="M594" s="341"/>
      <c r="N594" s="168"/>
      <c r="O594" s="341"/>
      <c r="P594" s="168"/>
      <c r="Q594" s="370"/>
      <c r="R594" s="370"/>
      <c r="S594" s="17"/>
      <c r="T594" s="17"/>
      <c r="U594" s="17"/>
      <c r="V594" s="17"/>
    </row>
    <row r="595">
      <c r="A595" s="341"/>
      <c r="B595" s="168"/>
      <c r="C595" s="341"/>
      <c r="D595" s="168"/>
      <c r="E595" s="341"/>
      <c r="F595" s="168"/>
      <c r="G595" s="341"/>
      <c r="H595" s="168"/>
      <c r="I595" s="369"/>
      <c r="J595" s="188"/>
      <c r="K595" s="369"/>
      <c r="L595" s="188"/>
      <c r="M595" s="341"/>
      <c r="N595" s="168"/>
      <c r="O595" s="341"/>
      <c r="P595" s="168"/>
      <c r="Q595" s="370"/>
      <c r="R595" s="370"/>
      <c r="S595" s="17"/>
      <c r="T595" s="17"/>
      <c r="U595" s="17"/>
      <c r="V595" s="17"/>
    </row>
    <row r="596">
      <c r="A596" s="341"/>
      <c r="B596" s="168"/>
      <c r="C596" s="341"/>
      <c r="D596" s="168"/>
      <c r="E596" s="341"/>
      <c r="F596" s="168"/>
      <c r="G596" s="341"/>
      <c r="H596" s="168"/>
      <c r="I596" s="369"/>
      <c r="J596" s="188"/>
      <c r="K596" s="369"/>
      <c r="L596" s="188"/>
      <c r="M596" s="341"/>
      <c r="N596" s="168"/>
      <c r="O596" s="341"/>
      <c r="P596" s="168"/>
      <c r="Q596" s="370"/>
      <c r="R596" s="370"/>
      <c r="S596" s="17"/>
      <c r="T596" s="17"/>
      <c r="U596" s="17"/>
      <c r="V596" s="17"/>
    </row>
    <row r="597">
      <c r="A597" s="341"/>
      <c r="B597" s="168"/>
      <c r="C597" s="341"/>
      <c r="D597" s="168"/>
      <c r="E597" s="341"/>
      <c r="F597" s="168"/>
      <c r="G597" s="341"/>
      <c r="H597" s="168"/>
      <c r="I597" s="369"/>
      <c r="J597" s="188"/>
      <c r="K597" s="369"/>
      <c r="L597" s="188"/>
      <c r="M597" s="341"/>
      <c r="N597" s="168"/>
      <c r="O597" s="341"/>
      <c r="P597" s="168"/>
      <c r="Q597" s="370"/>
      <c r="R597" s="370"/>
      <c r="S597" s="17"/>
      <c r="T597" s="17"/>
      <c r="U597" s="17"/>
      <c r="V597" s="17"/>
    </row>
    <row r="598">
      <c r="A598" s="341"/>
      <c r="B598" s="168"/>
      <c r="C598" s="341"/>
      <c r="D598" s="168"/>
      <c r="E598" s="341"/>
      <c r="F598" s="168"/>
      <c r="G598" s="341"/>
      <c r="H598" s="168"/>
      <c r="I598" s="369"/>
      <c r="J598" s="188"/>
      <c r="K598" s="369"/>
      <c r="L598" s="188"/>
      <c r="M598" s="341"/>
      <c r="N598" s="168"/>
      <c r="O598" s="341"/>
      <c r="P598" s="168"/>
      <c r="Q598" s="370"/>
      <c r="R598" s="370"/>
      <c r="S598" s="17"/>
      <c r="T598" s="17"/>
      <c r="U598" s="17"/>
      <c r="V598" s="17"/>
    </row>
    <row r="599">
      <c r="A599" s="341"/>
      <c r="B599" s="168"/>
      <c r="C599" s="341"/>
      <c r="D599" s="168"/>
      <c r="E599" s="341"/>
      <c r="F599" s="168"/>
      <c r="G599" s="341"/>
      <c r="H599" s="168"/>
      <c r="I599" s="369"/>
      <c r="J599" s="188"/>
      <c r="K599" s="369"/>
      <c r="L599" s="188"/>
      <c r="M599" s="341"/>
      <c r="N599" s="168"/>
      <c r="O599" s="341"/>
      <c r="P599" s="168"/>
      <c r="Q599" s="370"/>
      <c r="R599" s="370"/>
      <c r="S599" s="17"/>
      <c r="T599" s="17"/>
      <c r="U599" s="17"/>
      <c r="V599" s="17"/>
    </row>
    <row r="600">
      <c r="A600" s="341"/>
      <c r="B600" s="168"/>
      <c r="C600" s="341"/>
      <c r="D600" s="168"/>
      <c r="E600" s="341"/>
      <c r="F600" s="168"/>
      <c r="G600" s="341"/>
      <c r="H600" s="168"/>
      <c r="I600" s="369"/>
      <c r="J600" s="188"/>
      <c r="K600" s="369"/>
      <c r="L600" s="188"/>
      <c r="M600" s="341"/>
      <c r="N600" s="168"/>
      <c r="O600" s="341"/>
      <c r="P600" s="168"/>
      <c r="Q600" s="370"/>
      <c r="R600" s="370"/>
      <c r="S600" s="17"/>
      <c r="T600" s="17"/>
      <c r="U600" s="17"/>
      <c r="V600" s="17"/>
    </row>
    <row r="601">
      <c r="A601" s="341"/>
      <c r="B601" s="168"/>
      <c r="C601" s="341"/>
      <c r="D601" s="168"/>
      <c r="E601" s="341"/>
      <c r="F601" s="168"/>
      <c r="G601" s="341"/>
      <c r="H601" s="168"/>
      <c r="I601" s="369"/>
      <c r="J601" s="188"/>
      <c r="K601" s="369"/>
      <c r="L601" s="188"/>
      <c r="M601" s="341"/>
      <c r="N601" s="168"/>
      <c r="O601" s="341"/>
      <c r="P601" s="168"/>
      <c r="Q601" s="370"/>
      <c r="R601" s="370"/>
      <c r="S601" s="17"/>
      <c r="T601" s="17"/>
      <c r="U601" s="17"/>
      <c r="V601" s="17"/>
    </row>
    <row r="602">
      <c r="A602" s="341"/>
      <c r="B602" s="168"/>
      <c r="C602" s="341"/>
      <c r="D602" s="168"/>
      <c r="E602" s="341"/>
      <c r="F602" s="168"/>
      <c r="G602" s="341"/>
      <c r="H602" s="168"/>
      <c r="I602" s="369"/>
      <c r="J602" s="188"/>
      <c r="K602" s="369"/>
      <c r="L602" s="188"/>
      <c r="M602" s="341"/>
      <c r="N602" s="168"/>
      <c r="O602" s="341"/>
      <c r="P602" s="168"/>
      <c r="Q602" s="370"/>
      <c r="R602" s="370"/>
      <c r="S602" s="17"/>
      <c r="T602" s="17"/>
      <c r="U602" s="17"/>
      <c r="V602" s="17"/>
    </row>
    <row r="603">
      <c r="A603" s="341"/>
      <c r="B603" s="168"/>
      <c r="C603" s="341"/>
      <c r="D603" s="168"/>
      <c r="E603" s="341"/>
      <c r="F603" s="168"/>
      <c r="G603" s="341"/>
      <c r="H603" s="168"/>
      <c r="I603" s="369"/>
      <c r="J603" s="188"/>
      <c r="K603" s="369"/>
      <c r="L603" s="188"/>
      <c r="M603" s="341"/>
      <c r="N603" s="168"/>
      <c r="O603" s="341"/>
      <c r="P603" s="168"/>
      <c r="Q603" s="370"/>
      <c r="R603" s="370"/>
      <c r="S603" s="17"/>
      <c r="T603" s="17"/>
      <c r="U603" s="17"/>
      <c r="V603" s="17"/>
    </row>
    <row r="604">
      <c r="A604" s="341"/>
      <c r="B604" s="168"/>
      <c r="C604" s="341"/>
      <c r="D604" s="168"/>
      <c r="E604" s="341"/>
      <c r="F604" s="168"/>
      <c r="G604" s="341"/>
      <c r="H604" s="168"/>
      <c r="I604" s="369"/>
      <c r="J604" s="188"/>
      <c r="K604" s="369"/>
      <c r="L604" s="188"/>
      <c r="M604" s="341"/>
      <c r="N604" s="168"/>
      <c r="O604" s="341"/>
      <c r="P604" s="168"/>
      <c r="Q604" s="370"/>
      <c r="R604" s="370"/>
      <c r="S604" s="17"/>
      <c r="T604" s="17"/>
      <c r="U604" s="17"/>
      <c r="V604" s="17"/>
    </row>
    <row r="605">
      <c r="A605" s="341"/>
      <c r="B605" s="168"/>
      <c r="C605" s="341"/>
      <c r="D605" s="168"/>
      <c r="E605" s="341"/>
      <c r="F605" s="168"/>
      <c r="G605" s="341"/>
      <c r="H605" s="168"/>
      <c r="I605" s="369"/>
      <c r="J605" s="188"/>
      <c r="K605" s="369"/>
      <c r="L605" s="188"/>
      <c r="M605" s="341"/>
      <c r="N605" s="168"/>
      <c r="O605" s="341"/>
      <c r="P605" s="168"/>
      <c r="Q605" s="370"/>
      <c r="R605" s="370"/>
      <c r="S605" s="17"/>
      <c r="T605" s="17"/>
      <c r="U605" s="17"/>
      <c r="V605" s="17"/>
    </row>
    <row r="606">
      <c r="A606" s="341"/>
      <c r="B606" s="168"/>
      <c r="C606" s="341"/>
      <c r="D606" s="168"/>
      <c r="E606" s="341"/>
      <c r="F606" s="168"/>
      <c r="G606" s="341"/>
      <c r="H606" s="168"/>
      <c r="I606" s="369"/>
      <c r="J606" s="188"/>
      <c r="K606" s="369"/>
      <c r="L606" s="188"/>
      <c r="M606" s="341"/>
      <c r="N606" s="168"/>
      <c r="O606" s="341"/>
      <c r="P606" s="168"/>
      <c r="Q606" s="370"/>
      <c r="R606" s="370"/>
      <c r="S606" s="17"/>
      <c r="T606" s="17"/>
      <c r="U606" s="17"/>
      <c r="V606" s="17"/>
    </row>
    <row r="607">
      <c r="A607" s="341"/>
      <c r="B607" s="168"/>
      <c r="C607" s="341"/>
      <c r="D607" s="168"/>
      <c r="E607" s="341"/>
      <c r="F607" s="168"/>
      <c r="G607" s="341"/>
      <c r="H607" s="168"/>
      <c r="I607" s="369"/>
      <c r="J607" s="188"/>
      <c r="K607" s="369"/>
      <c r="L607" s="188"/>
      <c r="M607" s="341"/>
      <c r="N607" s="168"/>
      <c r="O607" s="341"/>
      <c r="P607" s="168"/>
      <c r="Q607" s="370"/>
      <c r="R607" s="370"/>
      <c r="S607" s="17"/>
      <c r="T607" s="17"/>
      <c r="U607" s="17"/>
      <c r="V607" s="17"/>
    </row>
    <row r="608">
      <c r="A608" s="341"/>
      <c r="B608" s="168"/>
      <c r="C608" s="341"/>
      <c r="D608" s="168"/>
      <c r="E608" s="341"/>
      <c r="F608" s="168"/>
      <c r="G608" s="341"/>
      <c r="H608" s="168"/>
      <c r="I608" s="369"/>
      <c r="J608" s="188"/>
      <c r="K608" s="369"/>
      <c r="L608" s="188"/>
      <c r="M608" s="341"/>
      <c r="N608" s="168"/>
      <c r="O608" s="341"/>
      <c r="P608" s="168"/>
      <c r="Q608" s="370"/>
      <c r="R608" s="370"/>
      <c r="S608" s="17"/>
      <c r="T608" s="17"/>
      <c r="U608" s="17"/>
      <c r="V608" s="17"/>
    </row>
    <row r="609">
      <c r="A609" s="341"/>
      <c r="B609" s="168"/>
      <c r="C609" s="341"/>
      <c r="D609" s="168"/>
      <c r="E609" s="341"/>
      <c r="F609" s="168"/>
      <c r="G609" s="341"/>
      <c r="H609" s="168"/>
      <c r="I609" s="369"/>
      <c r="J609" s="188"/>
      <c r="K609" s="369"/>
      <c r="L609" s="188"/>
      <c r="M609" s="341"/>
      <c r="N609" s="168"/>
      <c r="O609" s="341"/>
      <c r="P609" s="168"/>
      <c r="Q609" s="370"/>
      <c r="R609" s="370"/>
      <c r="S609" s="17"/>
      <c r="T609" s="17"/>
      <c r="U609" s="17"/>
      <c r="V609" s="17"/>
    </row>
    <row r="610">
      <c r="A610" s="341"/>
      <c r="B610" s="168"/>
      <c r="C610" s="341"/>
      <c r="D610" s="168"/>
      <c r="E610" s="341"/>
      <c r="F610" s="168"/>
      <c r="G610" s="341"/>
      <c r="H610" s="168"/>
      <c r="I610" s="369"/>
      <c r="J610" s="188"/>
      <c r="K610" s="369"/>
      <c r="L610" s="188"/>
      <c r="M610" s="341"/>
      <c r="N610" s="168"/>
      <c r="O610" s="341"/>
      <c r="P610" s="168"/>
      <c r="Q610" s="370"/>
      <c r="R610" s="370"/>
      <c r="S610" s="17"/>
      <c r="T610" s="17"/>
      <c r="U610" s="17"/>
      <c r="V610" s="17"/>
    </row>
    <row r="611">
      <c r="A611" s="341"/>
      <c r="B611" s="168"/>
      <c r="C611" s="341"/>
      <c r="D611" s="168"/>
      <c r="E611" s="341"/>
      <c r="F611" s="168"/>
      <c r="G611" s="341"/>
      <c r="H611" s="168"/>
      <c r="I611" s="369"/>
      <c r="J611" s="188"/>
      <c r="K611" s="369"/>
      <c r="L611" s="188"/>
      <c r="M611" s="341"/>
      <c r="N611" s="168"/>
      <c r="O611" s="341"/>
      <c r="P611" s="168"/>
      <c r="Q611" s="370"/>
      <c r="R611" s="370"/>
      <c r="S611" s="17"/>
      <c r="T611" s="17"/>
      <c r="U611" s="17"/>
      <c r="V611" s="17"/>
    </row>
    <row r="612">
      <c r="A612" s="341"/>
      <c r="B612" s="168"/>
      <c r="C612" s="341"/>
      <c r="D612" s="168"/>
      <c r="E612" s="341"/>
      <c r="F612" s="168"/>
      <c r="G612" s="341"/>
      <c r="H612" s="168"/>
      <c r="I612" s="369"/>
      <c r="J612" s="188"/>
      <c r="K612" s="369"/>
      <c r="L612" s="188"/>
      <c r="M612" s="341"/>
      <c r="N612" s="168"/>
      <c r="O612" s="341"/>
      <c r="P612" s="168"/>
      <c r="Q612" s="370"/>
      <c r="R612" s="370"/>
      <c r="S612" s="17"/>
      <c r="T612" s="17"/>
      <c r="U612" s="17"/>
      <c r="V612" s="17"/>
    </row>
    <row r="613">
      <c r="A613" s="341"/>
      <c r="B613" s="168"/>
      <c r="C613" s="341"/>
      <c r="D613" s="168"/>
      <c r="E613" s="341"/>
      <c r="F613" s="168"/>
      <c r="G613" s="341"/>
      <c r="H613" s="168"/>
      <c r="I613" s="369"/>
      <c r="J613" s="188"/>
      <c r="K613" s="369"/>
      <c r="L613" s="188"/>
      <c r="M613" s="341"/>
      <c r="N613" s="168"/>
      <c r="O613" s="341"/>
      <c r="P613" s="168"/>
      <c r="Q613" s="370"/>
      <c r="R613" s="370"/>
      <c r="S613" s="17"/>
      <c r="T613" s="17"/>
      <c r="U613" s="17"/>
      <c r="V613" s="17"/>
    </row>
    <row r="614">
      <c r="A614" s="341"/>
      <c r="B614" s="168"/>
      <c r="C614" s="341"/>
      <c r="D614" s="168"/>
      <c r="E614" s="341"/>
      <c r="F614" s="168"/>
      <c r="G614" s="341"/>
      <c r="H614" s="168"/>
      <c r="I614" s="369"/>
      <c r="J614" s="188"/>
      <c r="K614" s="369"/>
      <c r="L614" s="188"/>
      <c r="M614" s="341"/>
      <c r="N614" s="168"/>
      <c r="O614" s="341"/>
      <c r="P614" s="168"/>
      <c r="Q614" s="370"/>
      <c r="R614" s="370"/>
      <c r="S614" s="17"/>
      <c r="T614" s="17"/>
      <c r="U614" s="17"/>
      <c r="V614" s="17"/>
    </row>
    <row r="615">
      <c r="A615" s="341"/>
      <c r="B615" s="168"/>
      <c r="C615" s="341"/>
      <c r="D615" s="168"/>
      <c r="E615" s="341"/>
      <c r="F615" s="168"/>
      <c r="G615" s="341"/>
      <c r="H615" s="168"/>
      <c r="I615" s="369"/>
      <c r="J615" s="188"/>
      <c r="K615" s="369"/>
      <c r="L615" s="188"/>
      <c r="M615" s="341"/>
      <c r="N615" s="168"/>
      <c r="O615" s="341"/>
      <c r="P615" s="168"/>
      <c r="Q615" s="370"/>
      <c r="R615" s="370"/>
      <c r="S615" s="17"/>
      <c r="T615" s="17"/>
      <c r="U615" s="17"/>
      <c r="V615" s="17"/>
    </row>
    <row r="616">
      <c r="A616" s="341"/>
      <c r="B616" s="168"/>
      <c r="C616" s="341"/>
      <c r="D616" s="168"/>
      <c r="E616" s="341"/>
      <c r="F616" s="168"/>
      <c r="G616" s="341"/>
      <c r="H616" s="168"/>
      <c r="I616" s="369"/>
      <c r="J616" s="188"/>
      <c r="K616" s="369"/>
      <c r="L616" s="188"/>
      <c r="M616" s="341"/>
      <c r="N616" s="168"/>
      <c r="O616" s="341"/>
      <c r="P616" s="168"/>
      <c r="Q616" s="370"/>
      <c r="R616" s="370"/>
      <c r="S616" s="17"/>
      <c r="T616" s="17"/>
      <c r="U616" s="17"/>
      <c r="V616" s="17"/>
    </row>
    <row r="617">
      <c r="A617" s="341"/>
      <c r="B617" s="168"/>
      <c r="C617" s="341"/>
      <c r="D617" s="168"/>
      <c r="E617" s="341"/>
      <c r="F617" s="168"/>
      <c r="G617" s="341"/>
      <c r="H617" s="168"/>
      <c r="I617" s="369"/>
      <c r="J617" s="188"/>
      <c r="K617" s="369"/>
      <c r="L617" s="188"/>
      <c r="M617" s="341"/>
      <c r="N617" s="168"/>
      <c r="O617" s="341"/>
      <c r="P617" s="168"/>
      <c r="Q617" s="370"/>
      <c r="R617" s="370"/>
      <c r="S617" s="17"/>
      <c r="T617" s="17"/>
      <c r="U617" s="17"/>
      <c r="V617" s="17"/>
    </row>
    <row r="618">
      <c r="A618" s="341"/>
      <c r="B618" s="168"/>
      <c r="C618" s="341"/>
      <c r="D618" s="168"/>
      <c r="E618" s="341"/>
      <c r="F618" s="168"/>
      <c r="G618" s="341"/>
      <c r="H618" s="168"/>
      <c r="I618" s="369"/>
      <c r="J618" s="188"/>
      <c r="K618" s="369"/>
      <c r="L618" s="188"/>
      <c r="M618" s="341"/>
      <c r="N618" s="168"/>
      <c r="O618" s="341"/>
      <c r="P618" s="168"/>
      <c r="Q618" s="370"/>
      <c r="R618" s="370"/>
      <c r="S618" s="17"/>
      <c r="T618" s="17"/>
      <c r="U618" s="17"/>
      <c r="V618" s="17"/>
    </row>
    <row r="619">
      <c r="A619" s="341"/>
      <c r="B619" s="168"/>
      <c r="C619" s="341"/>
      <c r="D619" s="168"/>
      <c r="E619" s="341"/>
      <c r="F619" s="168"/>
      <c r="G619" s="341"/>
      <c r="H619" s="168"/>
      <c r="I619" s="369"/>
      <c r="J619" s="188"/>
      <c r="K619" s="369"/>
      <c r="L619" s="188"/>
      <c r="M619" s="341"/>
      <c r="N619" s="168"/>
      <c r="O619" s="341"/>
      <c r="P619" s="168"/>
      <c r="Q619" s="370"/>
      <c r="R619" s="370"/>
      <c r="S619" s="17"/>
      <c r="T619" s="17"/>
      <c r="U619" s="17"/>
      <c r="V619" s="17"/>
    </row>
    <row r="620">
      <c r="A620" s="341"/>
      <c r="B620" s="168"/>
      <c r="C620" s="341"/>
      <c r="D620" s="168"/>
      <c r="E620" s="341"/>
      <c r="F620" s="168"/>
      <c r="G620" s="341"/>
      <c r="H620" s="168"/>
      <c r="I620" s="369"/>
      <c r="J620" s="188"/>
      <c r="K620" s="369"/>
      <c r="L620" s="188"/>
      <c r="M620" s="341"/>
      <c r="N620" s="168"/>
      <c r="O620" s="341"/>
      <c r="P620" s="168"/>
      <c r="Q620" s="370"/>
      <c r="R620" s="370"/>
      <c r="S620" s="17"/>
      <c r="T620" s="17"/>
      <c r="U620" s="17"/>
      <c r="V620" s="17"/>
    </row>
    <row r="621">
      <c r="A621" s="341"/>
      <c r="B621" s="168"/>
      <c r="C621" s="341"/>
      <c r="D621" s="168"/>
      <c r="E621" s="341"/>
      <c r="F621" s="168"/>
      <c r="G621" s="341"/>
      <c r="H621" s="168"/>
      <c r="I621" s="369"/>
      <c r="J621" s="188"/>
      <c r="K621" s="369"/>
      <c r="L621" s="188"/>
      <c r="M621" s="341"/>
      <c r="N621" s="168"/>
      <c r="O621" s="341"/>
      <c r="P621" s="168"/>
      <c r="Q621" s="370"/>
      <c r="R621" s="370"/>
      <c r="S621" s="17"/>
      <c r="T621" s="17"/>
      <c r="U621" s="17"/>
      <c r="V621" s="17"/>
    </row>
    <row r="622">
      <c r="A622" s="341"/>
      <c r="B622" s="168"/>
      <c r="C622" s="341"/>
      <c r="D622" s="168"/>
      <c r="E622" s="341"/>
      <c r="F622" s="168"/>
      <c r="G622" s="341"/>
      <c r="H622" s="168"/>
      <c r="I622" s="369"/>
      <c r="J622" s="188"/>
      <c r="K622" s="369"/>
      <c r="L622" s="188"/>
      <c r="M622" s="341"/>
      <c r="N622" s="168"/>
      <c r="O622" s="341"/>
      <c r="P622" s="168"/>
      <c r="Q622" s="370"/>
      <c r="R622" s="370"/>
      <c r="S622" s="17"/>
      <c r="T622" s="17"/>
      <c r="U622" s="17"/>
      <c r="V622" s="17"/>
    </row>
    <row r="623">
      <c r="A623" s="341"/>
      <c r="B623" s="168"/>
      <c r="C623" s="341"/>
      <c r="D623" s="168"/>
      <c r="E623" s="341"/>
      <c r="F623" s="168"/>
      <c r="G623" s="341"/>
      <c r="H623" s="168"/>
      <c r="I623" s="369"/>
      <c r="J623" s="188"/>
      <c r="K623" s="369"/>
      <c r="L623" s="188"/>
      <c r="M623" s="341"/>
      <c r="N623" s="168"/>
      <c r="O623" s="341"/>
      <c r="P623" s="168"/>
      <c r="Q623" s="370"/>
      <c r="R623" s="370"/>
      <c r="S623" s="17"/>
      <c r="T623" s="17"/>
      <c r="U623" s="17"/>
      <c r="V623" s="17"/>
    </row>
    <row r="624">
      <c r="A624" s="341"/>
      <c r="B624" s="168"/>
      <c r="C624" s="341"/>
      <c r="D624" s="168"/>
      <c r="E624" s="341"/>
      <c r="F624" s="168"/>
      <c r="G624" s="341"/>
      <c r="H624" s="168"/>
      <c r="I624" s="369"/>
      <c r="J624" s="188"/>
      <c r="K624" s="369"/>
      <c r="L624" s="188"/>
      <c r="M624" s="341"/>
      <c r="N624" s="168"/>
      <c r="O624" s="341"/>
      <c r="P624" s="168"/>
      <c r="Q624" s="370"/>
      <c r="R624" s="370"/>
      <c r="S624" s="17"/>
      <c r="T624" s="17"/>
      <c r="U624" s="17"/>
      <c r="V624" s="17"/>
    </row>
    <row r="625">
      <c r="A625" s="341"/>
      <c r="B625" s="168"/>
      <c r="C625" s="341"/>
      <c r="D625" s="168"/>
      <c r="E625" s="341"/>
      <c r="F625" s="168"/>
      <c r="G625" s="341"/>
      <c r="H625" s="168"/>
      <c r="I625" s="369"/>
      <c r="J625" s="188"/>
      <c r="K625" s="369"/>
      <c r="L625" s="188"/>
      <c r="M625" s="341"/>
      <c r="N625" s="168"/>
      <c r="O625" s="341"/>
      <c r="P625" s="168"/>
      <c r="Q625" s="370"/>
      <c r="R625" s="370"/>
      <c r="S625" s="17"/>
      <c r="T625" s="17"/>
      <c r="U625" s="17"/>
      <c r="V625" s="17"/>
    </row>
    <row r="626">
      <c r="A626" s="341"/>
      <c r="B626" s="168"/>
      <c r="C626" s="341"/>
      <c r="D626" s="168"/>
      <c r="E626" s="341"/>
      <c r="F626" s="168"/>
      <c r="G626" s="341"/>
      <c r="H626" s="168"/>
      <c r="I626" s="369"/>
      <c r="J626" s="188"/>
      <c r="K626" s="369"/>
      <c r="L626" s="188"/>
      <c r="M626" s="341"/>
      <c r="N626" s="168"/>
      <c r="O626" s="341"/>
      <c r="P626" s="168"/>
      <c r="Q626" s="370"/>
      <c r="R626" s="370"/>
      <c r="S626" s="17"/>
      <c r="T626" s="17"/>
      <c r="U626" s="17"/>
      <c r="V626" s="17"/>
    </row>
    <row r="627">
      <c r="A627" s="341"/>
      <c r="B627" s="168"/>
      <c r="C627" s="341"/>
      <c r="D627" s="168"/>
      <c r="E627" s="341"/>
      <c r="F627" s="168"/>
      <c r="G627" s="341"/>
      <c r="H627" s="168"/>
      <c r="I627" s="369"/>
      <c r="J627" s="188"/>
      <c r="K627" s="369"/>
      <c r="L627" s="188"/>
      <c r="M627" s="341"/>
      <c r="N627" s="168"/>
      <c r="O627" s="341"/>
      <c r="P627" s="168"/>
      <c r="Q627" s="370"/>
      <c r="R627" s="370"/>
      <c r="S627" s="17"/>
      <c r="T627" s="17"/>
      <c r="U627" s="17"/>
      <c r="V627" s="17"/>
    </row>
    <row r="628">
      <c r="A628" s="341"/>
      <c r="B628" s="168"/>
      <c r="C628" s="341"/>
      <c r="D628" s="168"/>
      <c r="E628" s="341"/>
      <c r="F628" s="168"/>
      <c r="G628" s="341"/>
      <c r="H628" s="168"/>
      <c r="I628" s="369"/>
      <c r="J628" s="188"/>
      <c r="K628" s="369"/>
      <c r="L628" s="188"/>
      <c r="M628" s="341"/>
      <c r="N628" s="168"/>
      <c r="O628" s="341"/>
      <c r="P628" s="168"/>
      <c r="Q628" s="370"/>
      <c r="R628" s="370"/>
      <c r="S628" s="17"/>
      <c r="T628" s="17"/>
      <c r="U628" s="17"/>
      <c r="V628" s="17"/>
    </row>
    <row r="629">
      <c r="A629" s="341"/>
      <c r="B629" s="168"/>
      <c r="C629" s="341"/>
      <c r="D629" s="168"/>
      <c r="E629" s="341"/>
      <c r="F629" s="168"/>
      <c r="G629" s="341"/>
      <c r="H629" s="168"/>
      <c r="I629" s="369"/>
      <c r="J629" s="188"/>
      <c r="K629" s="369"/>
      <c r="L629" s="188"/>
      <c r="M629" s="341"/>
      <c r="N629" s="168"/>
      <c r="O629" s="341"/>
      <c r="P629" s="168"/>
      <c r="Q629" s="370"/>
      <c r="R629" s="370"/>
      <c r="S629" s="17"/>
      <c r="T629" s="17"/>
      <c r="U629" s="17"/>
      <c r="V629" s="17"/>
    </row>
    <row r="630">
      <c r="A630" s="341"/>
      <c r="B630" s="168"/>
      <c r="C630" s="341"/>
      <c r="D630" s="168"/>
      <c r="E630" s="341"/>
      <c r="F630" s="168"/>
      <c r="G630" s="341"/>
      <c r="H630" s="168"/>
      <c r="I630" s="369"/>
      <c r="J630" s="188"/>
      <c r="K630" s="369"/>
      <c r="L630" s="188"/>
      <c r="M630" s="341"/>
      <c r="N630" s="168"/>
      <c r="O630" s="341"/>
      <c r="P630" s="168"/>
      <c r="Q630" s="370"/>
      <c r="R630" s="370"/>
      <c r="S630" s="17"/>
      <c r="T630" s="17"/>
      <c r="U630" s="17"/>
      <c r="V630" s="17"/>
    </row>
    <row r="631">
      <c r="A631" s="341"/>
      <c r="B631" s="168"/>
      <c r="C631" s="341"/>
      <c r="D631" s="168"/>
      <c r="E631" s="341"/>
      <c r="F631" s="168"/>
      <c r="G631" s="341"/>
      <c r="H631" s="168"/>
      <c r="I631" s="369"/>
      <c r="J631" s="188"/>
      <c r="K631" s="369"/>
      <c r="L631" s="188"/>
      <c r="M631" s="341"/>
      <c r="N631" s="168"/>
      <c r="O631" s="341"/>
      <c r="P631" s="168"/>
      <c r="Q631" s="370"/>
      <c r="R631" s="370"/>
      <c r="S631" s="17"/>
      <c r="T631" s="17"/>
      <c r="U631" s="17"/>
      <c r="V631" s="17"/>
    </row>
    <row r="632">
      <c r="A632" s="341"/>
      <c r="B632" s="168"/>
      <c r="C632" s="341"/>
      <c r="D632" s="168"/>
      <c r="E632" s="341"/>
      <c r="F632" s="168"/>
      <c r="G632" s="341"/>
      <c r="H632" s="168"/>
      <c r="I632" s="369"/>
      <c r="J632" s="188"/>
      <c r="K632" s="369"/>
      <c r="L632" s="188"/>
      <c r="M632" s="341"/>
      <c r="N632" s="168"/>
      <c r="O632" s="341"/>
      <c r="P632" s="168"/>
      <c r="Q632" s="370"/>
      <c r="R632" s="370"/>
      <c r="S632" s="17"/>
      <c r="T632" s="17"/>
      <c r="U632" s="17"/>
      <c r="V632" s="17"/>
    </row>
    <row r="633">
      <c r="A633" s="341"/>
      <c r="B633" s="168"/>
      <c r="C633" s="341"/>
      <c r="D633" s="168"/>
      <c r="E633" s="341"/>
      <c r="F633" s="168"/>
      <c r="G633" s="341"/>
      <c r="H633" s="168"/>
      <c r="I633" s="369"/>
      <c r="J633" s="188"/>
      <c r="K633" s="369"/>
      <c r="L633" s="188"/>
      <c r="M633" s="341"/>
      <c r="N633" s="168"/>
      <c r="O633" s="341"/>
      <c r="P633" s="168"/>
      <c r="Q633" s="370"/>
      <c r="R633" s="370"/>
      <c r="S633" s="17"/>
      <c r="T633" s="17"/>
      <c r="U633" s="17"/>
      <c r="V633" s="17"/>
    </row>
    <row r="634">
      <c r="A634" s="341"/>
      <c r="B634" s="168"/>
      <c r="C634" s="341"/>
      <c r="D634" s="168"/>
      <c r="E634" s="341"/>
      <c r="F634" s="168"/>
      <c r="G634" s="341"/>
      <c r="H634" s="168"/>
      <c r="I634" s="369"/>
      <c r="J634" s="188"/>
      <c r="K634" s="369"/>
      <c r="L634" s="188"/>
      <c r="M634" s="341"/>
      <c r="N634" s="168"/>
      <c r="O634" s="341"/>
      <c r="P634" s="168"/>
      <c r="Q634" s="370"/>
      <c r="R634" s="370"/>
      <c r="S634" s="17"/>
      <c r="T634" s="17"/>
      <c r="U634" s="17"/>
      <c r="V634" s="17"/>
    </row>
    <row r="635">
      <c r="A635" s="341"/>
      <c r="B635" s="168"/>
      <c r="C635" s="341"/>
      <c r="D635" s="168"/>
      <c r="E635" s="341"/>
      <c r="F635" s="168"/>
      <c r="G635" s="341"/>
      <c r="H635" s="168"/>
      <c r="I635" s="369"/>
      <c r="J635" s="188"/>
      <c r="K635" s="369"/>
      <c r="L635" s="188"/>
      <c r="M635" s="341"/>
      <c r="N635" s="168"/>
      <c r="O635" s="341"/>
      <c r="P635" s="168"/>
      <c r="Q635" s="370"/>
      <c r="R635" s="370"/>
      <c r="S635" s="17"/>
      <c r="T635" s="17"/>
      <c r="U635" s="17"/>
      <c r="V635" s="17"/>
    </row>
    <row r="636">
      <c r="A636" s="341"/>
      <c r="B636" s="168"/>
      <c r="C636" s="341"/>
      <c r="D636" s="168"/>
      <c r="E636" s="341"/>
      <c r="F636" s="168"/>
      <c r="G636" s="341"/>
      <c r="H636" s="168"/>
      <c r="I636" s="369"/>
      <c r="J636" s="188"/>
      <c r="K636" s="369"/>
      <c r="L636" s="188"/>
      <c r="M636" s="341"/>
      <c r="N636" s="168"/>
      <c r="O636" s="341"/>
      <c r="P636" s="168"/>
      <c r="Q636" s="370"/>
      <c r="R636" s="370"/>
      <c r="S636" s="17"/>
      <c r="T636" s="17"/>
      <c r="U636" s="17"/>
      <c r="V636" s="17"/>
    </row>
    <row r="637">
      <c r="A637" s="341"/>
      <c r="B637" s="168"/>
      <c r="C637" s="341"/>
      <c r="D637" s="168"/>
      <c r="E637" s="341"/>
      <c r="F637" s="168"/>
      <c r="G637" s="341"/>
      <c r="H637" s="168"/>
      <c r="I637" s="369"/>
      <c r="J637" s="188"/>
      <c r="K637" s="369"/>
      <c r="L637" s="188"/>
      <c r="M637" s="341"/>
      <c r="N637" s="168"/>
      <c r="O637" s="341"/>
      <c r="P637" s="168"/>
      <c r="Q637" s="370"/>
      <c r="R637" s="370"/>
      <c r="S637" s="17"/>
      <c r="T637" s="17"/>
      <c r="U637" s="17"/>
      <c r="V637" s="17"/>
    </row>
    <row r="638">
      <c r="A638" s="341"/>
      <c r="B638" s="168"/>
      <c r="C638" s="341"/>
      <c r="D638" s="168"/>
      <c r="E638" s="341"/>
      <c r="F638" s="168"/>
      <c r="G638" s="341"/>
      <c r="H638" s="168"/>
      <c r="I638" s="369"/>
      <c r="J638" s="188"/>
      <c r="K638" s="369"/>
      <c r="L638" s="188"/>
      <c r="M638" s="341"/>
      <c r="N638" s="168"/>
      <c r="O638" s="341"/>
      <c r="P638" s="168"/>
      <c r="Q638" s="370"/>
      <c r="R638" s="370"/>
      <c r="S638" s="17"/>
      <c r="T638" s="17"/>
      <c r="U638" s="17"/>
      <c r="V638" s="17"/>
    </row>
    <row r="639">
      <c r="A639" s="341"/>
      <c r="B639" s="168"/>
      <c r="C639" s="341"/>
      <c r="D639" s="168"/>
      <c r="E639" s="341"/>
      <c r="F639" s="168"/>
      <c r="G639" s="341"/>
      <c r="H639" s="168"/>
      <c r="I639" s="369"/>
      <c r="J639" s="188"/>
      <c r="K639" s="369"/>
      <c r="L639" s="188"/>
      <c r="M639" s="341"/>
      <c r="N639" s="168"/>
      <c r="O639" s="341"/>
      <c r="P639" s="168"/>
      <c r="Q639" s="370"/>
      <c r="R639" s="370"/>
      <c r="S639" s="17"/>
      <c r="T639" s="17"/>
      <c r="U639" s="17"/>
      <c r="V639" s="17"/>
    </row>
    <row r="640">
      <c r="A640" s="341"/>
      <c r="B640" s="168"/>
      <c r="C640" s="341"/>
      <c r="D640" s="168"/>
      <c r="E640" s="341"/>
      <c r="F640" s="168"/>
      <c r="G640" s="341"/>
      <c r="H640" s="168"/>
      <c r="I640" s="369"/>
      <c r="J640" s="188"/>
      <c r="K640" s="369"/>
      <c r="L640" s="188"/>
      <c r="M640" s="341"/>
      <c r="N640" s="168"/>
      <c r="O640" s="341"/>
      <c r="P640" s="168"/>
      <c r="Q640" s="370"/>
      <c r="R640" s="370"/>
      <c r="S640" s="17"/>
      <c r="T640" s="17"/>
      <c r="U640" s="17"/>
      <c r="V640" s="17"/>
    </row>
    <row r="641">
      <c r="A641" s="341"/>
      <c r="B641" s="168"/>
      <c r="C641" s="341"/>
      <c r="D641" s="168"/>
      <c r="E641" s="341"/>
      <c r="F641" s="168"/>
      <c r="G641" s="341"/>
      <c r="H641" s="168"/>
      <c r="I641" s="369"/>
      <c r="J641" s="188"/>
      <c r="K641" s="369"/>
      <c r="L641" s="188"/>
      <c r="M641" s="341"/>
      <c r="N641" s="168"/>
      <c r="O641" s="341"/>
      <c r="P641" s="168"/>
      <c r="Q641" s="370"/>
      <c r="R641" s="370"/>
      <c r="S641" s="17"/>
      <c r="T641" s="17"/>
      <c r="U641" s="17"/>
      <c r="V641" s="17"/>
    </row>
    <row r="642">
      <c r="A642" s="341"/>
      <c r="B642" s="168"/>
      <c r="C642" s="341"/>
      <c r="D642" s="168"/>
      <c r="E642" s="341"/>
      <c r="F642" s="168"/>
      <c r="G642" s="341"/>
      <c r="H642" s="168"/>
      <c r="I642" s="369"/>
      <c r="J642" s="188"/>
      <c r="K642" s="369"/>
      <c r="L642" s="188"/>
      <c r="M642" s="341"/>
      <c r="N642" s="168"/>
      <c r="O642" s="341"/>
      <c r="P642" s="168"/>
      <c r="Q642" s="370"/>
      <c r="R642" s="370"/>
      <c r="S642" s="17"/>
      <c r="T642" s="17"/>
      <c r="U642" s="17"/>
      <c r="V642" s="17"/>
    </row>
    <row r="643">
      <c r="A643" s="341"/>
      <c r="B643" s="168"/>
      <c r="C643" s="341"/>
      <c r="D643" s="168"/>
      <c r="E643" s="341"/>
      <c r="F643" s="168"/>
      <c r="G643" s="341"/>
      <c r="H643" s="168"/>
      <c r="I643" s="369"/>
      <c r="J643" s="188"/>
      <c r="K643" s="369"/>
      <c r="L643" s="188"/>
      <c r="M643" s="341"/>
      <c r="N643" s="168"/>
      <c r="O643" s="341"/>
      <c r="P643" s="168"/>
      <c r="Q643" s="370"/>
      <c r="R643" s="370"/>
      <c r="S643" s="17"/>
      <c r="T643" s="17"/>
      <c r="U643" s="17"/>
      <c r="V643" s="17"/>
    </row>
    <row r="644">
      <c r="A644" s="341"/>
      <c r="B644" s="168"/>
      <c r="C644" s="341"/>
      <c r="D644" s="168"/>
      <c r="E644" s="341"/>
      <c r="F644" s="168"/>
      <c r="G644" s="341"/>
      <c r="H644" s="168"/>
      <c r="I644" s="369"/>
      <c r="J644" s="188"/>
      <c r="K644" s="369"/>
      <c r="L644" s="188"/>
      <c r="M644" s="341"/>
      <c r="N644" s="168"/>
      <c r="O644" s="341"/>
      <c r="P644" s="168"/>
      <c r="Q644" s="370"/>
      <c r="R644" s="370"/>
      <c r="S644" s="17"/>
      <c r="T644" s="17"/>
      <c r="U644" s="17"/>
      <c r="V644" s="17"/>
    </row>
    <row r="645">
      <c r="A645" s="341"/>
      <c r="B645" s="168"/>
      <c r="C645" s="341"/>
      <c r="D645" s="168"/>
      <c r="E645" s="341"/>
      <c r="F645" s="168"/>
      <c r="G645" s="341"/>
      <c r="H645" s="168"/>
      <c r="I645" s="369"/>
      <c r="J645" s="188"/>
      <c r="K645" s="369"/>
      <c r="L645" s="188"/>
      <c r="M645" s="341"/>
      <c r="N645" s="168"/>
      <c r="O645" s="341"/>
      <c r="P645" s="168"/>
      <c r="Q645" s="370"/>
      <c r="R645" s="370"/>
      <c r="S645" s="17"/>
      <c r="T645" s="17"/>
      <c r="U645" s="17"/>
      <c r="V645" s="17"/>
    </row>
    <row r="646">
      <c r="A646" s="341"/>
      <c r="B646" s="168"/>
      <c r="C646" s="341"/>
      <c r="D646" s="168"/>
      <c r="E646" s="341"/>
      <c r="F646" s="168"/>
      <c r="G646" s="341"/>
      <c r="H646" s="168"/>
      <c r="I646" s="369"/>
      <c r="J646" s="188"/>
      <c r="K646" s="369"/>
      <c r="L646" s="188"/>
      <c r="M646" s="341"/>
      <c r="N646" s="168"/>
      <c r="O646" s="341"/>
      <c r="P646" s="168"/>
      <c r="Q646" s="370"/>
      <c r="R646" s="370"/>
      <c r="S646" s="17"/>
      <c r="T646" s="17"/>
      <c r="U646" s="17"/>
      <c r="V646" s="17"/>
    </row>
    <row r="647">
      <c r="A647" s="341"/>
      <c r="B647" s="168"/>
      <c r="C647" s="341"/>
      <c r="D647" s="168"/>
      <c r="E647" s="341"/>
      <c r="F647" s="168"/>
      <c r="G647" s="341"/>
      <c r="H647" s="168"/>
      <c r="I647" s="369"/>
      <c r="J647" s="188"/>
      <c r="K647" s="369"/>
      <c r="L647" s="188"/>
      <c r="M647" s="341"/>
      <c r="N647" s="168"/>
      <c r="O647" s="341"/>
      <c r="P647" s="168"/>
      <c r="Q647" s="370"/>
      <c r="R647" s="370"/>
      <c r="S647" s="17"/>
      <c r="T647" s="17"/>
      <c r="U647" s="17"/>
      <c r="V647" s="17"/>
    </row>
    <row r="648">
      <c r="A648" s="341"/>
      <c r="B648" s="168"/>
      <c r="C648" s="341"/>
      <c r="D648" s="168"/>
      <c r="E648" s="341"/>
      <c r="F648" s="168"/>
      <c r="G648" s="341"/>
      <c r="H648" s="168"/>
      <c r="I648" s="369"/>
      <c r="J648" s="188"/>
      <c r="K648" s="369"/>
      <c r="L648" s="188"/>
      <c r="M648" s="341"/>
      <c r="N648" s="168"/>
      <c r="O648" s="341"/>
      <c r="P648" s="168"/>
      <c r="Q648" s="370"/>
      <c r="R648" s="370"/>
      <c r="S648" s="17"/>
      <c r="T648" s="17"/>
      <c r="U648" s="17"/>
      <c r="V648" s="17"/>
    </row>
    <row r="649">
      <c r="A649" s="341"/>
      <c r="B649" s="168"/>
      <c r="C649" s="341"/>
      <c r="D649" s="168"/>
      <c r="E649" s="341"/>
      <c r="F649" s="168"/>
      <c r="G649" s="341"/>
      <c r="H649" s="168"/>
      <c r="I649" s="369"/>
      <c r="J649" s="188"/>
      <c r="K649" s="369"/>
      <c r="L649" s="188"/>
      <c r="M649" s="341"/>
      <c r="N649" s="168"/>
      <c r="O649" s="341"/>
      <c r="P649" s="168"/>
      <c r="Q649" s="370"/>
      <c r="R649" s="370"/>
      <c r="S649" s="17"/>
      <c r="T649" s="17"/>
      <c r="U649" s="17"/>
      <c r="V649" s="17"/>
    </row>
    <row r="650">
      <c r="A650" s="341"/>
      <c r="B650" s="168"/>
      <c r="C650" s="341"/>
      <c r="D650" s="168"/>
      <c r="E650" s="341"/>
      <c r="F650" s="168"/>
      <c r="G650" s="341"/>
      <c r="H650" s="168"/>
      <c r="I650" s="369"/>
      <c r="J650" s="188"/>
      <c r="K650" s="369"/>
      <c r="L650" s="188"/>
      <c r="M650" s="341"/>
      <c r="N650" s="168"/>
      <c r="O650" s="341"/>
      <c r="P650" s="168"/>
      <c r="Q650" s="370"/>
      <c r="R650" s="370"/>
      <c r="S650" s="17"/>
      <c r="T650" s="17"/>
      <c r="U650" s="17"/>
      <c r="V650" s="17"/>
    </row>
    <row r="651">
      <c r="A651" s="341"/>
      <c r="B651" s="168"/>
      <c r="C651" s="341"/>
      <c r="D651" s="168"/>
      <c r="E651" s="341"/>
      <c r="F651" s="168"/>
      <c r="G651" s="341"/>
      <c r="H651" s="168"/>
      <c r="I651" s="369"/>
      <c r="J651" s="188"/>
      <c r="K651" s="369"/>
      <c r="L651" s="188"/>
      <c r="M651" s="341"/>
      <c r="N651" s="168"/>
      <c r="O651" s="341"/>
      <c r="P651" s="168"/>
      <c r="Q651" s="370"/>
      <c r="R651" s="370"/>
      <c r="S651" s="17"/>
      <c r="T651" s="17"/>
      <c r="U651" s="17"/>
      <c r="V651" s="17"/>
    </row>
    <row r="652">
      <c r="A652" s="341"/>
      <c r="B652" s="168"/>
      <c r="C652" s="341"/>
      <c r="D652" s="168"/>
      <c r="E652" s="341"/>
      <c r="F652" s="168"/>
      <c r="G652" s="341"/>
      <c r="H652" s="168"/>
      <c r="I652" s="369"/>
      <c r="J652" s="188"/>
      <c r="K652" s="369"/>
      <c r="L652" s="188"/>
      <c r="M652" s="341"/>
      <c r="N652" s="168"/>
      <c r="O652" s="341"/>
      <c r="P652" s="168"/>
      <c r="Q652" s="370"/>
      <c r="R652" s="370"/>
      <c r="S652" s="17"/>
      <c r="T652" s="17"/>
      <c r="U652" s="17"/>
      <c r="V652" s="17"/>
    </row>
    <row r="653">
      <c r="A653" s="341"/>
      <c r="B653" s="168"/>
      <c r="C653" s="341"/>
      <c r="D653" s="168"/>
      <c r="E653" s="341"/>
      <c r="F653" s="168"/>
      <c r="G653" s="341"/>
      <c r="H653" s="168"/>
      <c r="I653" s="369"/>
      <c r="J653" s="188"/>
      <c r="K653" s="369"/>
      <c r="L653" s="188"/>
      <c r="M653" s="341"/>
      <c r="N653" s="168"/>
      <c r="O653" s="341"/>
      <c r="P653" s="168"/>
      <c r="Q653" s="370"/>
      <c r="R653" s="370"/>
      <c r="S653" s="17"/>
      <c r="T653" s="17"/>
      <c r="U653" s="17"/>
      <c r="V653" s="17"/>
    </row>
    <row r="654">
      <c r="A654" s="341"/>
      <c r="B654" s="168"/>
      <c r="C654" s="341"/>
      <c r="D654" s="168"/>
      <c r="E654" s="341"/>
      <c r="F654" s="168"/>
      <c r="G654" s="341"/>
      <c r="H654" s="168"/>
      <c r="I654" s="369"/>
      <c r="J654" s="188"/>
      <c r="K654" s="369"/>
      <c r="L654" s="188"/>
      <c r="M654" s="341"/>
      <c r="N654" s="168"/>
      <c r="O654" s="341"/>
      <c r="P654" s="168"/>
      <c r="Q654" s="370"/>
      <c r="R654" s="370"/>
      <c r="S654" s="17"/>
      <c r="T654" s="17"/>
      <c r="U654" s="17"/>
      <c r="V654" s="17"/>
    </row>
    <row r="655">
      <c r="A655" s="341"/>
      <c r="B655" s="168"/>
      <c r="C655" s="341"/>
      <c r="D655" s="168"/>
      <c r="E655" s="341"/>
      <c r="F655" s="168"/>
      <c r="G655" s="341"/>
      <c r="H655" s="168"/>
      <c r="I655" s="369"/>
      <c r="J655" s="188"/>
      <c r="K655" s="369"/>
      <c r="L655" s="188"/>
      <c r="M655" s="341"/>
      <c r="N655" s="168"/>
      <c r="O655" s="341"/>
      <c r="P655" s="168"/>
      <c r="Q655" s="370"/>
      <c r="R655" s="370"/>
      <c r="S655" s="17"/>
      <c r="T655" s="17"/>
      <c r="U655" s="17"/>
      <c r="V655" s="17"/>
    </row>
    <row r="656">
      <c r="A656" s="341"/>
      <c r="B656" s="168"/>
      <c r="C656" s="341"/>
      <c r="D656" s="168"/>
      <c r="E656" s="341"/>
      <c r="F656" s="168"/>
      <c r="G656" s="341"/>
      <c r="H656" s="168"/>
      <c r="I656" s="369"/>
      <c r="J656" s="188"/>
      <c r="K656" s="369"/>
      <c r="L656" s="188"/>
      <c r="M656" s="341"/>
      <c r="N656" s="168"/>
      <c r="O656" s="341"/>
      <c r="P656" s="168"/>
      <c r="Q656" s="370"/>
      <c r="R656" s="370"/>
      <c r="S656" s="17"/>
      <c r="T656" s="17"/>
      <c r="U656" s="17"/>
      <c r="V656" s="17"/>
    </row>
    <row r="657">
      <c r="A657" s="341"/>
      <c r="B657" s="168"/>
      <c r="C657" s="341"/>
      <c r="D657" s="168"/>
      <c r="E657" s="341"/>
      <c r="F657" s="168"/>
      <c r="G657" s="341"/>
      <c r="H657" s="168"/>
      <c r="I657" s="369"/>
      <c r="J657" s="188"/>
      <c r="K657" s="369"/>
      <c r="L657" s="188"/>
      <c r="M657" s="341"/>
      <c r="N657" s="168"/>
      <c r="O657" s="341"/>
      <c r="P657" s="168"/>
      <c r="Q657" s="370"/>
      <c r="R657" s="370"/>
      <c r="S657" s="17"/>
      <c r="T657" s="17"/>
      <c r="U657" s="17"/>
      <c r="V657" s="17"/>
    </row>
    <row r="658">
      <c r="A658" s="341"/>
      <c r="B658" s="168"/>
      <c r="C658" s="341"/>
      <c r="D658" s="168"/>
      <c r="E658" s="341"/>
      <c r="F658" s="168"/>
      <c r="G658" s="341"/>
      <c r="H658" s="168"/>
      <c r="I658" s="369"/>
      <c r="J658" s="188"/>
      <c r="K658" s="369"/>
      <c r="L658" s="188"/>
      <c r="M658" s="341"/>
      <c r="N658" s="168"/>
      <c r="O658" s="341"/>
      <c r="P658" s="168"/>
      <c r="Q658" s="370"/>
      <c r="R658" s="370"/>
      <c r="S658" s="17"/>
      <c r="T658" s="17"/>
      <c r="U658" s="17"/>
      <c r="V658" s="17"/>
    </row>
    <row r="659">
      <c r="A659" s="341"/>
      <c r="B659" s="168"/>
      <c r="C659" s="341"/>
      <c r="D659" s="168"/>
      <c r="E659" s="341"/>
      <c r="F659" s="168"/>
      <c r="G659" s="341"/>
      <c r="H659" s="168"/>
      <c r="I659" s="369"/>
      <c r="J659" s="188"/>
      <c r="K659" s="369"/>
      <c r="L659" s="188"/>
      <c r="M659" s="341"/>
      <c r="N659" s="168"/>
      <c r="O659" s="341"/>
      <c r="P659" s="168"/>
      <c r="Q659" s="370"/>
      <c r="R659" s="370"/>
      <c r="S659" s="17"/>
      <c r="T659" s="17"/>
      <c r="U659" s="17"/>
      <c r="V659" s="17"/>
    </row>
    <row r="660">
      <c r="A660" s="341"/>
      <c r="B660" s="168"/>
      <c r="C660" s="341"/>
      <c r="D660" s="168"/>
      <c r="E660" s="341"/>
      <c r="F660" s="168"/>
      <c r="G660" s="341"/>
      <c r="H660" s="168"/>
      <c r="I660" s="369"/>
      <c r="J660" s="188"/>
      <c r="K660" s="369"/>
      <c r="L660" s="188"/>
      <c r="M660" s="341"/>
      <c r="N660" s="168"/>
      <c r="O660" s="341"/>
      <c r="P660" s="168"/>
      <c r="Q660" s="370"/>
      <c r="R660" s="370"/>
      <c r="S660" s="17"/>
      <c r="T660" s="17"/>
      <c r="U660" s="17"/>
      <c r="V660" s="17"/>
    </row>
    <row r="661">
      <c r="A661" s="341"/>
      <c r="B661" s="168"/>
      <c r="C661" s="341"/>
      <c r="D661" s="168"/>
      <c r="E661" s="341"/>
      <c r="F661" s="168"/>
      <c r="G661" s="341"/>
      <c r="H661" s="168"/>
      <c r="I661" s="369"/>
      <c r="J661" s="188"/>
      <c r="K661" s="369"/>
      <c r="L661" s="188"/>
      <c r="M661" s="341"/>
      <c r="N661" s="168"/>
      <c r="O661" s="341"/>
      <c r="P661" s="168"/>
      <c r="Q661" s="370"/>
      <c r="R661" s="370"/>
      <c r="S661" s="17"/>
      <c r="T661" s="17"/>
      <c r="U661" s="17"/>
      <c r="V661" s="17"/>
    </row>
    <row r="662">
      <c r="A662" s="341"/>
      <c r="B662" s="168"/>
      <c r="C662" s="341"/>
      <c r="D662" s="168"/>
      <c r="E662" s="341"/>
      <c r="F662" s="168"/>
      <c r="G662" s="341"/>
      <c r="H662" s="168"/>
      <c r="I662" s="369"/>
      <c r="J662" s="188"/>
      <c r="K662" s="369"/>
      <c r="L662" s="188"/>
      <c r="M662" s="341"/>
      <c r="N662" s="168"/>
      <c r="O662" s="341"/>
      <c r="P662" s="168"/>
      <c r="Q662" s="370"/>
      <c r="R662" s="370"/>
      <c r="S662" s="17"/>
      <c r="T662" s="17"/>
      <c r="U662" s="17"/>
      <c r="V662" s="17"/>
    </row>
    <row r="663">
      <c r="A663" s="341"/>
      <c r="B663" s="168"/>
      <c r="C663" s="341"/>
      <c r="D663" s="168"/>
      <c r="E663" s="341"/>
      <c r="F663" s="168"/>
      <c r="G663" s="341"/>
      <c r="H663" s="168"/>
      <c r="I663" s="369"/>
      <c r="J663" s="188"/>
      <c r="K663" s="369"/>
      <c r="L663" s="188"/>
      <c r="M663" s="341"/>
      <c r="N663" s="168"/>
      <c r="O663" s="341"/>
      <c r="P663" s="168"/>
      <c r="Q663" s="370"/>
      <c r="R663" s="370"/>
      <c r="S663" s="17"/>
      <c r="T663" s="17"/>
      <c r="U663" s="17"/>
      <c r="V663" s="17"/>
    </row>
    <row r="664">
      <c r="A664" s="341"/>
      <c r="B664" s="168"/>
      <c r="C664" s="341"/>
      <c r="D664" s="168"/>
      <c r="E664" s="341"/>
      <c r="F664" s="168"/>
      <c r="G664" s="341"/>
      <c r="H664" s="168"/>
      <c r="I664" s="369"/>
      <c r="J664" s="188"/>
      <c r="K664" s="369"/>
      <c r="L664" s="188"/>
      <c r="M664" s="341"/>
      <c r="N664" s="168"/>
      <c r="O664" s="341"/>
      <c r="P664" s="168"/>
      <c r="Q664" s="370"/>
      <c r="R664" s="370"/>
      <c r="S664" s="17"/>
      <c r="T664" s="17"/>
      <c r="U664" s="17"/>
      <c r="V664" s="17"/>
    </row>
    <row r="665">
      <c r="A665" s="341"/>
      <c r="B665" s="168"/>
      <c r="C665" s="341"/>
      <c r="D665" s="168"/>
      <c r="E665" s="341"/>
      <c r="F665" s="168"/>
      <c r="G665" s="341"/>
      <c r="H665" s="168"/>
      <c r="I665" s="369"/>
      <c r="J665" s="188"/>
      <c r="K665" s="369"/>
      <c r="L665" s="188"/>
      <c r="M665" s="341"/>
      <c r="N665" s="168"/>
      <c r="O665" s="341"/>
      <c r="P665" s="168"/>
      <c r="Q665" s="370"/>
      <c r="R665" s="370"/>
      <c r="S665" s="17"/>
      <c r="T665" s="17"/>
      <c r="U665" s="17"/>
      <c r="V665" s="17"/>
    </row>
    <row r="666">
      <c r="A666" s="341"/>
      <c r="B666" s="168"/>
      <c r="C666" s="341"/>
      <c r="D666" s="168"/>
      <c r="E666" s="341"/>
      <c r="F666" s="168"/>
      <c r="G666" s="341"/>
      <c r="H666" s="168"/>
      <c r="I666" s="369"/>
      <c r="J666" s="188"/>
      <c r="K666" s="369"/>
      <c r="L666" s="188"/>
      <c r="M666" s="341"/>
      <c r="N666" s="168"/>
      <c r="O666" s="341"/>
      <c r="P666" s="168"/>
      <c r="Q666" s="370"/>
      <c r="R666" s="370"/>
      <c r="S666" s="17"/>
      <c r="T666" s="17"/>
      <c r="U666" s="17"/>
      <c r="V666" s="17"/>
    </row>
    <row r="667">
      <c r="A667" s="341"/>
      <c r="B667" s="168"/>
      <c r="C667" s="341"/>
      <c r="D667" s="168"/>
      <c r="E667" s="341"/>
      <c r="F667" s="168"/>
      <c r="G667" s="341"/>
      <c r="H667" s="168"/>
      <c r="I667" s="369"/>
      <c r="J667" s="188"/>
      <c r="K667" s="369"/>
      <c r="L667" s="188"/>
      <c r="M667" s="341"/>
      <c r="N667" s="168"/>
      <c r="O667" s="341"/>
      <c r="P667" s="168"/>
      <c r="Q667" s="370"/>
      <c r="R667" s="370"/>
      <c r="S667" s="17"/>
      <c r="T667" s="17"/>
      <c r="U667" s="17"/>
      <c r="V667" s="17"/>
    </row>
    <row r="668">
      <c r="A668" s="341"/>
      <c r="B668" s="168"/>
      <c r="C668" s="341"/>
      <c r="D668" s="168"/>
      <c r="E668" s="341"/>
      <c r="F668" s="168"/>
      <c r="G668" s="341"/>
      <c r="H668" s="168"/>
      <c r="I668" s="369"/>
      <c r="J668" s="188"/>
      <c r="K668" s="369"/>
      <c r="L668" s="188"/>
      <c r="M668" s="341"/>
      <c r="N668" s="168"/>
      <c r="O668" s="341"/>
      <c r="P668" s="168"/>
      <c r="Q668" s="370"/>
      <c r="R668" s="370"/>
      <c r="S668" s="17"/>
      <c r="T668" s="17"/>
      <c r="U668" s="17"/>
      <c r="V668" s="17"/>
    </row>
    <row r="669">
      <c r="A669" s="341"/>
      <c r="B669" s="168"/>
      <c r="C669" s="341"/>
      <c r="D669" s="168"/>
      <c r="E669" s="341"/>
      <c r="F669" s="168"/>
      <c r="G669" s="341"/>
      <c r="H669" s="168"/>
      <c r="I669" s="369"/>
      <c r="J669" s="188"/>
      <c r="K669" s="369"/>
      <c r="L669" s="188"/>
      <c r="M669" s="341"/>
      <c r="N669" s="168"/>
      <c r="O669" s="341"/>
      <c r="P669" s="168"/>
      <c r="Q669" s="370"/>
      <c r="R669" s="370"/>
      <c r="S669" s="17"/>
      <c r="T669" s="17"/>
      <c r="U669" s="17"/>
      <c r="V669" s="17"/>
    </row>
    <row r="670">
      <c r="A670" s="341"/>
      <c r="B670" s="168"/>
      <c r="C670" s="341"/>
      <c r="D670" s="168"/>
      <c r="E670" s="341"/>
      <c r="F670" s="168"/>
      <c r="G670" s="341"/>
      <c r="H670" s="168"/>
      <c r="I670" s="369"/>
      <c r="J670" s="188"/>
      <c r="K670" s="369"/>
      <c r="L670" s="188"/>
      <c r="M670" s="341"/>
      <c r="N670" s="168"/>
      <c r="O670" s="341"/>
      <c r="P670" s="168"/>
      <c r="Q670" s="370"/>
      <c r="R670" s="370"/>
      <c r="S670" s="17"/>
      <c r="T670" s="17"/>
      <c r="U670" s="17"/>
      <c r="V670" s="17"/>
    </row>
    <row r="671">
      <c r="A671" s="341"/>
      <c r="B671" s="168"/>
      <c r="C671" s="341"/>
      <c r="D671" s="168"/>
      <c r="E671" s="341"/>
      <c r="F671" s="168"/>
      <c r="G671" s="341"/>
      <c r="H671" s="168"/>
      <c r="I671" s="369"/>
      <c r="J671" s="188"/>
      <c r="K671" s="369"/>
      <c r="L671" s="188"/>
      <c r="M671" s="341"/>
      <c r="N671" s="168"/>
      <c r="O671" s="341"/>
      <c r="P671" s="168"/>
      <c r="Q671" s="370"/>
      <c r="R671" s="370"/>
      <c r="S671" s="17"/>
      <c r="T671" s="17"/>
      <c r="U671" s="17"/>
      <c r="V671" s="17"/>
    </row>
    <row r="672">
      <c r="A672" s="341"/>
      <c r="B672" s="168"/>
      <c r="C672" s="341"/>
      <c r="D672" s="168"/>
      <c r="E672" s="341"/>
      <c r="F672" s="168"/>
      <c r="G672" s="341"/>
      <c r="H672" s="168"/>
      <c r="I672" s="369"/>
      <c r="J672" s="188"/>
      <c r="K672" s="369"/>
      <c r="L672" s="188"/>
      <c r="M672" s="341"/>
      <c r="N672" s="168"/>
      <c r="O672" s="341"/>
      <c r="P672" s="168"/>
      <c r="Q672" s="370"/>
      <c r="R672" s="370"/>
      <c r="S672" s="17"/>
      <c r="T672" s="17"/>
      <c r="U672" s="17"/>
      <c r="V672" s="17"/>
    </row>
    <row r="673">
      <c r="A673" s="341"/>
      <c r="B673" s="168"/>
      <c r="C673" s="341"/>
      <c r="D673" s="168"/>
      <c r="E673" s="341"/>
      <c r="F673" s="168"/>
      <c r="G673" s="341"/>
      <c r="H673" s="168"/>
      <c r="I673" s="369"/>
      <c r="J673" s="188"/>
      <c r="K673" s="369"/>
      <c r="L673" s="188"/>
      <c r="M673" s="341"/>
      <c r="N673" s="168"/>
      <c r="O673" s="341"/>
      <c r="P673" s="168"/>
      <c r="Q673" s="370"/>
      <c r="R673" s="370"/>
      <c r="S673" s="17"/>
      <c r="T673" s="17"/>
      <c r="U673" s="17"/>
      <c r="V673" s="17"/>
    </row>
    <row r="674">
      <c r="A674" s="341"/>
      <c r="B674" s="168"/>
      <c r="C674" s="341"/>
      <c r="D674" s="168"/>
      <c r="E674" s="341"/>
      <c r="F674" s="168"/>
      <c r="G674" s="341"/>
      <c r="H674" s="168"/>
      <c r="I674" s="369"/>
      <c r="J674" s="188"/>
      <c r="K674" s="369"/>
      <c r="L674" s="188"/>
      <c r="M674" s="341"/>
      <c r="N674" s="168"/>
      <c r="O674" s="341"/>
      <c r="P674" s="168"/>
      <c r="Q674" s="370"/>
      <c r="R674" s="370"/>
      <c r="S674" s="17"/>
      <c r="T674" s="17"/>
      <c r="U674" s="17"/>
      <c r="V674" s="17"/>
    </row>
    <row r="675">
      <c r="A675" s="341"/>
      <c r="B675" s="168"/>
      <c r="C675" s="341"/>
      <c r="D675" s="168"/>
      <c r="E675" s="341"/>
      <c r="F675" s="168"/>
      <c r="G675" s="341"/>
      <c r="H675" s="168"/>
      <c r="I675" s="369"/>
      <c r="J675" s="188"/>
      <c r="K675" s="369"/>
      <c r="L675" s="188"/>
      <c r="M675" s="341"/>
      <c r="N675" s="168"/>
      <c r="O675" s="341"/>
      <c r="P675" s="168"/>
      <c r="Q675" s="370"/>
      <c r="R675" s="370"/>
      <c r="S675" s="17"/>
      <c r="T675" s="17"/>
      <c r="U675" s="17"/>
      <c r="V675" s="17"/>
    </row>
    <row r="676">
      <c r="A676" s="341"/>
      <c r="B676" s="168"/>
      <c r="C676" s="341"/>
      <c r="D676" s="168"/>
      <c r="E676" s="341"/>
      <c r="F676" s="168"/>
      <c r="G676" s="341"/>
      <c r="H676" s="168"/>
      <c r="I676" s="369"/>
      <c r="J676" s="188"/>
      <c r="K676" s="369"/>
      <c r="L676" s="188"/>
      <c r="M676" s="341"/>
      <c r="N676" s="168"/>
      <c r="O676" s="341"/>
      <c r="P676" s="168"/>
      <c r="Q676" s="370"/>
      <c r="R676" s="370"/>
      <c r="S676" s="17"/>
      <c r="T676" s="17"/>
      <c r="U676" s="17"/>
      <c r="V676" s="17"/>
    </row>
    <row r="677">
      <c r="A677" s="341"/>
      <c r="B677" s="168"/>
      <c r="C677" s="341"/>
      <c r="D677" s="168"/>
      <c r="E677" s="341"/>
      <c r="F677" s="168"/>
      <c r="G677" s="341"/>
      <c r="H677" s="168"/>
      <c r="I677" s="369"/>
      <c r="J677" s="188"/>
      <c r="K677" s="369"/>
      <c r="L677" s="188"/>
      <c r="M677" s="341"/>
      <c r="N677" s="168"/>
      <c r="O677" s="341"/>
      <c r="P677" s="168"/>
      <c r="Q677" s="370"/>
      <c r="R677" s="370"/>
      <c r="S677" s="17"/>
      <c r="T677" s="17"/>
      <c r="U677" s="17"/>
      <c r="V677" s="17"/>
    </row>
    <row r="678">
      <c r="A678" s="341"/>
      <c r="B678" s="168"/>
      <c r="C678" s="341"/>
      <c r="D678" s="168"/>
      <c r="E678" s="341"/>
      <c r="F678" s="168"/>
      <c r="G678" s="341"/>
      <c r="H678" s="168"/>
      <c r="I678" s="369"/>
      <c r="J678" s="188"/>
      <c r="K678" s="369"/>
      <c r="L678" s="188"/>
      <c r="M678" s="341"/>
      <c r="N678" s="168"/>
      <c r="O678" s="341"/>
      <c r="P678" s="168"/>
      <c r="Q678" s="370"/>
      <c r="R678" s="370"/>
      <c r="S678" s="17"/>
      <c r="T678" s="17"/>
      <c r="U678" s="17"/>
      <c r="V678" s="17"/>
    </row>
    <row r="679">
      <c r="A679" s="341"/>
      <c r="B679" s="168"/>
      <c r="C679" s="341"/>
      <c r="D679" s="168"/>
      <c r="E679" s="341"/>
      <c r="F679" s="168"/>
      <c r="G679" s="341"/>
      <c r="H679" s="168"/>
      <c r="I679" s="369"/>
      <c r="J679" s="188"/>
      <c r="K679" s="369"/>
      <c r="L679" s="188"/>
      <c r="M679" s="341"/>
      <c r="N679" s="168"/>
      <c r="O679" s="341"/>
      <c r="P679" s="168"/>
      <c r="Q679" s="370"/>
      <c r="R679" s="370"/>
      <c r="S679" s="17"/>
      <c r="T679" s="17"/>
      <c r="U679" s="17"/>
      <c r="V679" s="17"/>
    </row>
    <row r="680">
      <c r="A680" s="341"/>
      <c r="B680" s="168"/>
      <c r="C680" s="341"/>
      <c r="D680" s="168"/>
      <c r="E680" s="341"/>
      <c r="F680" s="168"/>
      <c r="G680" s="341"/>
      <c r="H680" s="168"/>
      <c r="I680" s="369"/>
      <c r="J680" s="188"/>
      <c r="K680" s="369"/>
      <c r="L680" s="188"/>
      <c r="M680" s="341"/>
      <c r="N680" s="168"/>
      <c r="O680" s="341"/>
      <c r="P680" s="168"/>
      <c r="Q680" s="370"/>
      <c r="R680" s="370"/>
      <c r="S680" s="17"/>
      <c r="T680" s="17"/>
      <c r="U680" s="17"/>
      <c r="V680" s="17"/>
    </row>
    <row r="681">
      <c r="A681" s="341"/>
      <c r="B681" s="168"/>
      <c r="C681" s="341"/>
      <c r="D681" s="168"/>
      <c r="E681" s="341"/>
      <c r="F681" s="168"/>
      <c r="G681" s="341"/>
      <c r="H681" s="168"/>
      <c r="I681" s="369"/>
      <c r="J681" s="188"/>
      <c r="K681" s="369"/>
      <c r="L681" s="188"/>
      <c r="M681" s="341"/>
      <c r="N681" s="168"/>
      <c r="O681" s="341"/>
      <c r="P681" s="168"/>
      <c r="Q681" s="370"/>
      <c r="R681" s="370"/>
      <c r="S681" s="17"/>
      <c r="T681" s="17"/>
      <c r="U681" s="17"/>
      <c r="V681" s="17"/>
    </row>
    <row r="682">
      <c r="A682" s="341"/>
      <c r="B682" s="168"/>
      <c r="C682" s="341"/>
      <c r="D682" s="168"/>
      <c r="E682" s="341"/>
      <c r="F682" s="168"/>
      <c r="G682" s="341"/>
      <c r="H682" s="168"/>
      <c r="I682" s="369"/>
      <c r="J682" s="188"/>
      <c r="K682" s="369"/>
      <c r="L682" s="188"/>
      <c r="M682" s="341"/>
      <c r="N682" s="168"/>
      <c r="O682" s="341"/>
      <c r="P682" s="168"/>
      <c r="Q682" s="370"/>
      <c r="R682" s="370"/>
      <c r="S682" s="17"/>
      <c r="T682" s="17"/>
      <c r="U682" s="17"/>
      <c r="V682" s="17"/>
    </row>
    <row r="683">
      <c r="A683" s="341"/>
      <c r="B683" s="168"/>
      <c r="C683" s="341"/>
      <c r="D683" s="168"/>
      <c r="E683" s="341"/>
      <c r="F683" s="168"/>
      <c r="G683" s="341"/>
      <c r="H683" s="168"/>
      <c r="I683" s="369"/>
      <c r="J683" s="188"/>
      <c r="K683" s="369"/>
      <c r="L683" s="188"/>
      <c r="M683" s="341"/>
      <c r="N683" s="168"/>
      <c r="O683" s="341"/>
      <c r="P683" s="168"/>
      <c r="Q683" s="370"/>
      <c r="R683" s="370"/>
      <c r="S683" s="17"/>
      <c r="T683" s="17"/>
      <c r="U683" s="17"/>
      <c r="V683" s="17"/>
    </row>
    <row r="684">
      <c r="A684" s="341"/>
      <c r="B684" s="168"/>
      <c r="C684" s="341"/>
      <c r="D684" s="168"/>
      <c r="E684" s="341"/>
      <c r="F684" s="168"/>
      <c r="G684" s="341"/>
      <c r="H684" s="168"/>
      <c r="I684" s="369"/>
      <c r="J684" s="188"/>
      <c r="K684" s="369"/>
      <c r="L684" s="188"/>
      <c r="M684" s="341"/>
      <c r="N684" s="168"/>
      <c r="O684" s="341"/>
      <c r="P684" s="168"/>
      <c r="Q684" s="370"/>
      <c r="R684" s="370"/>
      <c r="S684" s="17"/>
      <c r="T684" s="17"/>
      <c r="U684" s="17"/>
      <c r="V684" s="17"/>
    </row>
    <row r="685">
      <c r="A685" s="341"/>
      <c r="B685" s="168"/>
      <c r="C685" s="341"/>
      <c r="D685" s="168"/>
      <c r="E685" s="341"/>
      <c r="F685" s="168"/>
      <c r="G685" s="341"/>
      <c r="H685" s="168"/>
      <c r="I685" s="369"/>
      <c r="J685" s="188"/>
      <c r="K685" s="369"/>
      <c r="L685" s="188"/>
      <c r="M685" s="341"/>
      <c r="N685" s="168"/>
      <c r="O685" s="341"/>
      <c r="P685" s="168"/>
      <c r="Q685" s="370"/>
      <c r="R685" s="370"/>
      <c r="S685" s="17"/>
      <c r="T685" s="17"/>
      <c r="U685" s="17"/>
      <c r="V685" s="17"/>
    </row>
    <row r="686">
      <c r="A686" s="341"/>
      <c r="B686" s="168"/>
      <c r="C686" s="341"/>
      <c r="D686" s="168"/>
      <c r="E686" s="341"/>
      <c r="F686" s="168"/>
      <c r="G686" s="341"/>
      <c r="H686" s="168"/>
      <c r="I686" s="369"/>
      <c r="J686" s="188"/>
      <c r="K686" s="369"/>
      <c r="L686" s="188"/>
      <c r="M686" s="341"/>
      <c r="N686" s="168"/>
      <c r="O686" s="341"/>
      <c r="P686" s="168"/>
      <c r="Q686" s="370"/>
      <c r="R686" s="370"/>
      <c r="S686" s="17"/>
      <c r="T686" s="17"/>
      <c r="U686" s="17"/>
      <c r="V686" s="17"/>
    </row>
    <row r="687">
      <c r="A687" s="341"/>
      <c r="B687" s="168"/>
      <c r="C687" s="341"/>
      <c r="D687" s="168"/>
      <c r="E687" s="341"/>
      <c r="F687" s="168"/>
      <c r="G687" s="341"/>
      <c r="H687" s="168"/>
      <c r="I687" s="369"/>
      <c r="J687" s="188"/>
      <c r="K687" s="369"/>
      <c r="L687" s="188"/>
      <c r="M687" s="341"/>
      <c r="N687" s="168"/>
      <c r="O687" s="341"/>
      <c r="P687" s="168"/>
      <c r="Q687" s="370"/>
      <c r="R687" s="370"/>
      <c r="S687" s="17"/>
      <c r="T687" s="17"/>
      <c r="U687" s="17"/>
      <c r="V687" s="17"/>
    </row>
    <row r="688">
      <c r="A688" s="341"/>
      <c r="B688" s="168"/>
      <c r="C688" s="341"/>
      <c r="D688" s="168"/>
      <c r="E688" s="341"/>
      <c r="F688" s="168"/>
      <c r="G688" s="341"/>
      <c r="H688" s="168"/>
      <c r="I688" s="369"/>
      <c r="J688" s="188"/>
      <c r="K688" s="369"/>
      <c r="L688" s="188"/>
      <c r="M688" s="341"/>
      <c r="N688" s="168"/>
      <c r="O688" s="341"/>
      <c r="P688" s="168"/>
      <c r="Q688" s="370"/>
      <c r="R688" s="370"/>
      <c r="S688" s="17"/>
      <c r="T688" s="17"/>
      <c r="U688" s="17"/>
      <c r="V688" s="17"/>
    </row>
    <row r="689">
      <c r="A689" s="341"/>
      <c r="B689" s="168"/>
      <c r="C689" s="341"/>
      <c r="D689" s="168"/>
      <c r="E689" s="341"/>
      <c r="F689" s="168"/>
      <c r="G689" s="341"/>
      <c r="H689" s="168"/>
      <c r="I689" s="369"/>
      <c r="J689" s="188"/>
      <c r="K689" s="369"/>
      <c r="L689" s="188"/>
      <c r="M689" s="341"/>
      <c r="N689" s="168"/>
      <c r="O689" s="341"/>
      <c r="P689" s="168"/>
      <c r="Q689" s="370"/>
      <c r="R689" s="370"/>
      <c r="S689" s="17"/>
      <c r="T689" s="17"/>
      <c r="U689" s="17"/>
      <c r="V689" s="17"/>
    </row>
    <row r="690">
      <c r="A690" s="341"/>
      <c r="B690" s="168"/>
      <c r="C690" s="341"/>
      <c r="D690" s="168"/>
      <c r="E690" s="341"/>
      <c r="F690" s="168"/>
      <c r="G690" s="341"/>
      <c r="H690" s="168"/>
      <c r="I690" s="369"/>
      <c r="J690" s="188"/>
      <c r="K690" s="369"/>
      <c r="L690" s="188"/>
      <c r="M690" s="341"/>
      <c r="N690" s="168"/>
      <c r="O690" s="341"/>
      <c r="P690" s="168"/>
      <c r="Q690" s="370"/>
      <c r="R690" s="370"/>
      <c r="S690" s="17"/>
      <c r="T690" s="17"/>
      <c r="U690" s="17"/>
      <c r="V690" s="17"/>
    </row>
    <row r="691">
      <c r="A691" s="341"/>
      <c r="B691" s="168"/>
      <c r="C691" s="341"/>
      <c r="D691" s="168"/>
      <c r="E691" s="341"/>
      <c r="F691" s="168"/>
      <c r="G691" s="341"/>
      <c r="H691" s="168"/>
      <c r="I691" s="369"/>
      <c r="J691" s="188"/>
      <c r="K691" s="369"/>
      <c r="L691" s="188"/>
      <c r="M691" s="341"/>
      <c r="N691" s="168"/>
      <c r="O691" s="341"/>
      <c r="P691" s="168"/>
      <c r="Q691" s="370"/>
      <c r="R691" s="370"/>
      <c r="S691" s="17"/>
      <c r="T691" s="17"/>
      <c r="U691" s="17"/>
      <c r="V691" s="17"/>
    </row>
    <row r="692">
      <c r="A692" s="341"/>
      <c r="B692" s="168"/>
      <c r="C692" s="341"/>
      <c r="D692" s="168"/>
      <c r="E692" s="341"/>
      <c r="F692" s="168"/>
      <c r="G692" s="341"/>
      <c r="H692" s="168"/>
      <c r="I692" s="369"/>
      <c r="J692" s="188"/>
      <c r="K692" s="369"/>
      <c r="L692" s="188"/>
      <c r="M692" s="341"/>
      <c r="N692" s="168"/>
      <c r="O692" s="341"/>
      <c r="P692" s="168"/>
      <c r="Q692" s="370"/>
      <c r="R692" s="370"/>
      <c r="S692" s="17"/>
      <c r="T692" s="17"/>
      <c r="U692" s="17"/>
      <c r="V692" s="17"/>
    </row>
    <row r="693">
      <c r="A693" s="341"/>
      <c r="B693" s="168"/>
      <c r="C693" s="341"/>
      <c r="D693" s="168"/>
      <c r="E693" s="341"/>
      <c r="F693" s="168"/>
      <c r="G693" s="341"/>
      <c r="H693" s="168"/>
      <c r="I693" s="369"/>
      <c r="J693" s="188"/>
      <c r="K693" s="369"/>
      <c r="L693" s="188"/>
      <c r="M693" s="341"/>
      <c r="N693" s="168"/>
      <c r="O693" s="341"/>
      <c r="P693" s="168"/>
      <c r="Q693" s="370"/>
      <c r="R693" s="370"/>
      <c r="S693" s="17"/>
      <c r="T693" s="17"/>
      <c r="U693" s="17"/>
      <c r="V693" s="17"/>
    </row>
    <row r="694">
      <c r="A694" s="341"/>
      <c r="B694" s="168"/>
      <c r="C694" s="341"/>
      <c r="D694" s="168"/>
      <c r="E694" s="341"/>
      <c r="F694" s="168"/>
      <c r="G694" s="341"/>
      <c r="H694" s="168"/>
      <c r="I694" s="369"/>
      <c r="J694" s="188"/>
      <c r="K694" s="369"/>
      <c r="L694" s="188"/>
      <c r="M694" s="341"/>
      <c r="N694" s="168"/>
      <c r="O694" s="341"/>
      <c r="P694" s="168"/>
      <c r="Q694" s="370"/>
      <c r="R694" s="370"/>
      <c r="S694" s="17"/>
      <c r="T694" s="17"/>
      <c r="U694" s="17"/>
      <c r="V694" s="17"/>
    </row>
    <row r="695">
      <c r="A695" s="341"/>
      <c r="B695" s="168"/>
      <c r="C695" s="341"/>
      <c r="D695" s="168"/>
      <c r="E695" s="341"/>
      <c r="F695" s="168"/>
      <c r="G695" s="341"/>
      <c r="H695" s="168"/>
      <c r="I695" s="369"/>
      <c r="J695" s="188"/>
      <c r="K695" s="369"/>
      <c r="L695" s="188"/>
      <c r="M695" s="341"/>
      <c r="N695" s="168"/>
      <c r="O695" s="341"/>
      <c r="P695" s="168"/>
      <c r="Q695" s="370"/>
      <c r="R695" s="370"/>
      <c r="S695" s="17"/>
      <c r="T695" s="17"/>
      <c r="U695" s="17"/>
      <c r="V695" s="17"/>
    </row>
    <row r="696">
      <c r="A696" s="341"/>
      <c r="B696" s="168"/>
      <c r="C696" s="341"/>
      <c r="D696" s="168"/>
      <c r="E696" s="341"/>
      <c r="F696" s="168"/>
      <c r="G696" s="341"/>
      <c r="H696" s="168"/>
      <c r="I696" s="369"/>
      <c r="J696" s="188"/>
      <c r="K696" s="369"/>
      <c r="L696" s="188"/>
      <c r="M696" s="341"/>
      <c r="N696" s="168"/>
      <c r="O696" s="341"/>
      <c r="P696" s="168"/>
      <c r="Q696" s="370"/>
      <c r="R696" s="370"/>
      <c r="S696" s="17"/>
      <c r="T696" s="17"/>
      <c r="U696" s="17"/>
      <c r="V696" s="17"/>
    </row>
    <row r="697">
      <c r="A697" s="341"/>
      <c r="B697" s="168"/>
      <c r="C697" s="341"/>
      <c r="D697" s="168"/>
      <c r="E697" s="341"/>
      <c r="F697" s="168"/>
      <c r="G697" s="341"/>
      <c r="H697" s="168"/>
      <c r="I697" s="369"/>
      <c r="J697" s="188"/>
      <c r="K697" s="369"/>
      <c r="L697" s="188"/>
      <c r="M697" s="341"/>
      <c r="N697" s="168"/>
      <c r="O697" s="341"/>
      <c r="P697" s="168"/>
      <c r="Q697" s="370"/>
      <c r="R697" s="370"/>
      <c r="S697" s="17"/>
      <c r="T697" s="17"/>
      <c r="U697" s="17"/>
      <c r="V697" s="17"/>
    </row>
    <row r="698">
      <c r="A698" s="341"/>
      <c r="B698" s="168"/>
      <c r="C698" s="341"/>
      <c r="D698" s="168"/>
      <c r="E698" s="341"/>
      <c r="F698" s="168"/>
      <c r="G698" s="341"/>
      <c r="H698" s="168"/>
      <c r="I698" s="369"/>
      <c r="J698" s="188"/>
      <c r="K698" s="369"/>
      <c r="L698" s="188"/>
      <c r="M698" s="341"/>
      <c r="N698" s="168"/>
      <c r="O698" s="341"/>
      <c r="P698" s="168"/>
      <c r="Q698" s="370"/>
      <c r="R698" s="370"/>
      <c r="S698" s="17"/>
      <c r="T698" s="17"/>
      <c r="U698" s="17"/>
      <c r="V698" s="17"/>
    </row>
    <row r="699">
      <c r="A699" s="341"/>
      <c r="B699" s="168"/>
      <c r="C699" s="341"/>
      <c r="D699" s="168"/>
      <c r="E699" s="341"/>
      <c r="F699" s="168"/>
      <c r="G699" s="341"/>
      <c r="H699" s="168"/>
      <c r="I699" s="369"/>
      <c r="J699" s="188"/>
      <c r="K699" s="369"/>
      <c r="L699" s="188"/>
      <c r="M699" s="341"/>
      <c r="N699" s="168"/>
      <c r="O699" s="341"/>
      <c r="P699" s="168"/>
      <c r="Q699" s="370"/>
      <c r="R699" s="370"/>
      <c r="S699" s="17"/>
      <c r="T699" s="17"/>
      <c r="U699" s="17"/>
      <c r="V699" s="17"/>
    </row>
    <row r="700">
      <c r="A700" s="341"/>
      <c r="B700" s="168"/>
      <c r="C700" s="341"/>
      <c r="D700" s="168"/>
      <c r="E700" s="341"/>
      <c r="F700" s="168"/>
      <c r="G700" s="341"/>
      <c r="H700" s="168"/>
      <c r="I700" s="369"/>
      <c r="J700" s="188"/>
      <c r="K700" s="369"/>
      <c r="L700" s="188"/>
      <c r="M700" s="341"/>
      <c r="N700" s="168"/>
      <c r="O700" s="341"/>
      <c r="P700" s="168"/>
      <c r="Q700" s="370"/>
      <c r="R700" s="370"/>
      <c r="S700" s="17"/>
      <c r="T700" s="17"/>
      <c r="U700" s="17"/>
      <c r="V700" s="17"/>
    </row>
    <row r="701">
      <c r="A701" s="341"/>
      <c r="B701" s="168"/>
      <c r="C701" s="341"/>
      <c r="D701" s="168"/>
      <c r="E701" s="341"/>
      <c r="F701" s="168"/>
      <c r="G701" s="341"/>
      <c r="H701" s="168"/>
      <c r="I701" s="369"/>
      <c r="J701" s="188"/>
      <c r="K701" s="369"/>
      <c r="L701" s="188"/>
      <c r="M701" s="341"/>
      <c r="N701" s="168"/>
      <c r="O701" s="341"/>
      <c r="P701" s="168"/>
      <c r="Q701" s="370"/>
      <c r="R701" s="370"/>
      <c r="S701" s="17"/>
      <c r="T701" s="17"/>
      <c r="U701" s="17"/>
      <c r="V701" s="17"/>
    </row>
    <row r="702">
      <c r="A702" s="341"/>
      <c r="B702" s="168"/>
      <c r="C702" s="341"/>
      <c r="D702" s="168"/>
      <c r="E702" s="341"/>
      <c r="F702" s="168"/>
      <c r="G702" s="341"/>
      <c r="H702" s="168"/>
      <c r="I702" s="369"/>
      <c r="J702" s="188"/>
      <c r="K702" s="369"/>
      <c r="L702" s="188"/>
      <c r="M702" s="341"/>
      <c r="N702" s="168"/>
      <c r="O702" s="341"/>
      <c r="P702" s="168"/>
      <c r="Q702" s="370"/>
      <c r="R702" s="370"/>
      <c r="S702" s="17"/>
      <c r="T702" s="17"/>
      <c r="U702" s="17"/>
      <c r="V702" s="17"/>
    </row>
    <row r="703">
      <c r="A703" s="341"/>
      <c r="B703" s="168"/>
      <c r="C703" s="341"/>
      <c r="D703" s="168"/>
      <c r="E703" s="341"/>
      <c r="F703" s="168"/>
      <c r="G703" s="341"/>
      <c r="H703" s="168"/>
      <c r="I703" s="369"/>
      <c r="J703" s="188"/>
      <c r="K703" s="369"/>
      <c r="L703" s="188"/>
      <c r="M703" s="341"/>
      <c r="N703" s="168"/>
      <c r="O703" s="341"/>
      <c r="P703" s="168"/>
      <c r="Q703" s="370"/>
      <c r="R703" s="370"/>
      <c r="S703" s="17"/>
      <c r="T703" s="17"/>
      <c r="U703" s="17"/>
      <c r="V703" s="17"/>
    </row>
    <row r="704">
      <c r="A704" s="341"/>
      <c r="B704" s="168"/>
      <c r="C704" s="341"/>
      <c r="D704" s="168"/>
      <c r="E704" s="341"/>
      <c r="F704" s="168"/>
      <c r="G704" s="341"/>
      <c r="H704" s="168"/>
      <c r="I704" s="369"/>
      <c r="J704" s="188"/>
      <c r="K704" s="369"/>
      <c r="L704" s="188"/>
      <c r="M704" s="341"/>
      <c r="N704" s="168"/>
      <c r="O704" s="341"/>
      <c r="P704" s="168"/>
      <c r="Q704" s="370"/>
      <c r="R704" s="370"/>
      <c r="S704" s="17"/>
      <c r="T704" s="17"/>
      <c r="U704" s="17"/>
      <c r="V704" s="17"/>
    </row>
    <row r="705">
      <c r="A705" s="341"/>
      <c r="B705" s="168"/>
      <c r="C705" s="341"/>
      <c r="D705" s="168"/>
      <c r="E705" s="341"/>
      <c r="F705" s="168"/>
      <c r="G705" s="341"/>
      <c r="H705" s="168"/>
      <c r="I705" s="369"/>
      <c r="J705" s="188"/>
      <c r="K705" s="369"/>
      <c r="L705" s="188"/>
      <c r="M705" s="341"/>
      <c r="N705" s="168"/>
      <c r="O705" s="341"/>
      <c r="P705" s="168"/>
      <c r="Q705" s="370"/>
      <c r="R705" s="370"/>
      <c r="S705" s="17"/>
      <c r="T705" s="17"/>
      <c r="U705" s="17"/>
      <c r="V705" s="17"/>
    </row>
    <row r="706">
      <c r="A706" s="341"/>
      <c r="B706" s="168"/>
      <c r="C706" s="341"/>
      <c r="D706" s="168"/>
      <c r="E706" s="341"/>
      <c r="F706" s="168"/>
      <c r="G706" s="341"/>
      <c r="H706" s="168"/>
      <c r="I706" s="369"/>
      <c r="J706" s="188"/>
      <c r="K706" s="369"/>
      <c r="L706" s="188"/>
      <c r="M706" s="341"/>
      <c r="N706" s="168"/>
      <c r="O706" s="341"/>
      <c r="P706" s="168"/>
      <c r="Q706" s="370"/>
      <c r="R706" s="370"/>
      <c r="S706" s="17"/>
      <c r="T706" s="17"/>
      <c r="U706" s="17"/>
      <c r="V706" s="17"/>
    </row>
    <row r="707">
      <c r="A707" s="341"/>
      <c r="B707" s="168"/>
      <c r="C707" s="341"/>
      <c r="D707" s="168"/>
      <c r="E707" s="341"/>
      <c r="F707" s="168"/>
      <c r="G707" s="341"/>
      <c r="H707" s="168"/>
      <c r="I707" s="369"/>
      <c r="J707" s="188"/>
      <c r="K707" s="369"/>
      <c r="L707" s="188"/>
      <c r="M707" s="341"/>
      <c r="N707" s="168"/>
      <c r="O707" s="341"/>
      <c r="P707" s="168"/>
      <c r="Q707" s="370"/>
      <c r="R707" s="370"/>
      <c r="S707" s="17"/>
      <c r="T707" s="17"/>
      <c r="U707" s="17"/>
      <c r="V707" s="17"/>
    </row>
    <row r="708">
      <c r="A708" s="341"/>
      <c r="B708" s="168"/>
      <c r="C708" s="341"/>
      <c r="D708" s="168"/>
      <c r="E708" s="341"/>
      <c r="F708" s="168"/>
      <c r="G708" s="341"/>
      <c r="H708" s="168"/>
      <c r="I708" s="369"/>
      <c r="J708" s="188"/>
      <c r="K708" s="369"/>
      <c r="L708" s="188"/>
      <c r="M708" s="341"/>
      <c r="N708" s="168"/>
      <c r="O708" s="341"/>
      <c r="P708" s="168"/>
      <c r="Q708" s="370"/>
      <c r="R708" s="370"/>
      <c r="S708" s="17"/>
      <c r="T708" s="17"/>
      <c r="U708" s="17"/>
      <c r="V708" s="17"/>
    </row>
    <row r="709">
      <c r="A709" s="341"/>
      <c r="B709" s="168"/>
      <c r="C709" s="341"/>
      <c r="D709" s="168"/>
      <c r="E709" s="341"/>
      <c r="F709" s="168"/>
      <c r="G709" s="341"/>
      <c r="H709" s="168"/>
      <c r="I709" s="369"/>
      <c r="J709" s="188"/>
      <c r="K709" s="369"/>
      <c r="L709" s="188"/>
      <c r="M709" s="341"/>
      <c r="N709" s="168"/>
      <c r="O709" s="341"/>
      <c r="P709" s="168"/>
      <c r="Q709" s="370"/>
      <c r="R709" s="370"/>
      <c r="S709" s="17"/>
      <c r="T709" s="17"/>
      <c r="U709" s="17"/>
      <c r="V709" s="17"/>
    </row>
    <row r="710">
      <c r="A710" s="341"/>
      <c r="B710" s="168"/>
      <c r="C710" s="341"/>
      <c r="D710" s="168"/>
      <c r="E710" s="341"/>
      <c r="F710" s="168"/>
      <c r="G710" s="341"/>
      <c r="H710" s="168"/>
      <c r="I710" s="369"/>
      <c r="J710" s="188"/>
      <c r="K710" s="369"/>
      <c r="L710" s="188"/>
      <c r="M710" s="341"/>
      <c r="N710" s="168"/>
      <c r="O710" s="341"/>
      <c r="P710" s="168"/>
      <c r="Q710" s="370"/>
      <c r="R710" s="370"/>
      <c r="S710" s="17"/>
      <c r="T710" s="17"/>
      <c r="U710" s="17"/>
      <c r="V710" s="17"/>
    </row>
    <row r="711">
      <c r="A711" s="341"/>
      <c r="B711" s="168"/>
      <c r="C711" s="341"/>
      <c r="D711" s="168"/>
      <c r="E711" s="341"/>
      <c r="F711" s="168"/>
      <c r="G711" s="341"/>
      <c r="H711" s="168"/>
      <c r="I711" s="369"/>
      <c r="J711" s="188"/>
      <c r="K711" s="369"/>
      <c r="L711" s="188"/>
      <c r="M711" s="341"/>
      <c r="N711" s="168"/>
      <c r="O711" s="341"/>
      <c r="P711" s="168"/>
      <c r="Q711" s="370"/>
      <c r="R711" s="370"/>
      <c r="S711" s="17"/>
      <c r="T711" s="17"/>
      <c r="U711" s="17"/>
      <c r="V711" s="17"/>
    </row>
    <row r="712">
      <c r="A712" s="341"/>
      <c r="B712" s="168"/>
      <c r="C712" s="341"/>
      <c r="D712" s="168"/>
      <c r="E712" s="341"/>
      <c r="F712" s="168"/>
      <c r="G712" s="341"/>
      <c r="H712" s="168"/>
      <c r="I712" s="369"/>
      <c r="J712" s="188"/>
      <c r="K712" s="369"/>
      <c r="L712" s="188"/>
      <c r="M712" s="341"/>
      <c r="N712" s="168"/>
      <c r="O712" s="341"/>
      <c r="P712" s="168"/>
      <c r="Q712" s="370"/>
      <c r="R712" s="370"/>
      <c r="S712" s="17"/>
      <c r="T712" s="17"/>
      <c r="U712" s="17"/>
      <c r="V712" s="17"/>
    </row>
    <row r="713">
      <c r="A713" s="341"/>
      <c r="B713" s="168"/>
      <c r="C713" s="341"/>
      <c r="D713" s="168"/>
      <c r="E713" s="341"/>
      <c r="F713" s="168"/>
      <c r="G713" s="341"/>
      <c r="H713" s="168"/>
      <c r="I713" s="369"/>
      <c r="J713" s="188"/>
      <c r="K713" s="369"/>
      <c r="L713" s="188"/>
      <c r="M713" s="341"/>
      <c r="N713" s="168"/>
      <c r="O713" s="341"/>
      <c r="P713" s="168"/>
      <c r="Q713" s="370"/>
      <c r="R713" s="370"/>
      <c r="S713" s="17"/>
      <c r="T713" s="17"/>
      <c r="U713" s="17"/>
      <c r="V713" s="17"/>
    </row>
    <row r="714">
      <c r="A714" s="341"/>
      <c r="B714" s="168"/>
      <c r="C714" s="341"/>
      <c r="D714" s="168"/>
      <c r="E714" s="341"/>
      <c r="F714" s="168"/>
      <c r="G714" s="341"/>
      <c r="H714" s="168"/>
      <c r="I714" s="369"/>
      <c r="J714" s="188"/>
      <c r="K714" s="369"/>
      <c r="L714" s="188"/>
      <c r="M714" s="341"/>
      <c r="N714" s="168"/>
      <c r="O714" s="341"/>
      <c r="P714" s="168"/>
      <c r="Q714" s="370"/>
      <c r="R714" s="370"/>
      <c r="S714" s="17"/>
      <c r="T714" s="17"/>
      <c r="U714" s="17"/>
      <c r="V714" s="17"/>
    </row>
    <row r="715">
      <c r="A715" s="341"/>
      <c r="B715" s="168"/>
      <c r="C715" s="341"/>
      <c r="D715" s="168"/>
      <c r="E715" s="341"/>
      <c r="F715" s="168"/>
      <c r="G715" s="341"/>
      <c r="H715" s="168"/>
      <c r="I715" s="369"/>
      <c r="J715" s="188"/>
      <c r="K715" s="369"/>
      <c r="L715" s="188"/>
      <c r="M715" s="341"/>
      <c r="N715" s="168"/>
      <c r="O715" s="341"/>
      <c r="P715" s="168"/>
      <c r="Q715" s="370"/>
      <c r="R715" s="370"/>
      <c r="S715" s="17"/>
      <c r="T715" s="17"/>
      <c r="U715" s="17"/>
      <c r="V715" s="17"/>
    </row>
    <row r="716">
      <c r="A716" s="341"/>
      <c r="B716" s="168"/>
      <c r="C716" s="341"/>
      <c r="D716" s="168"/>
      <c r="E716" s="341"/>
      <c r="F716" s="168"/>
      <c r="G716" s="341"/>
      <c r="H716" s="168"/>
      <c r="I716" s="369"/>
      <c r="J716" s="188"/>
      <c r="K716" s="369"/>
      <c r="L716" s="188"/>
      <c r="M716" s="341"/>
      <c r="N716" s="168"/>
      <c r="O716" s="341"/>
      <c r="P716" s="168"/>
      <c r="Q716" s="370"/>
      <c r="R716" s="370"/>
      <c r="S716" s="17"/>
      <c r="T716" s="17"/>
      <c r="U716" s="17"/>
      <c r="V716" s="17"/>
    </row>
    <row r="717">
      <c r="A717" s="341"/>
      <c r="B717" s="168"/>
      <c r="C717" s="341"/>
      <c r="D717" s="168"/>
      <c r="E717" s="341"/>
      <c r="F717" s="168"/>
      <c r="G717" s="341"/>
      <c r="H717" s="168"/>
      <c r="I717" s="369"/>
      <c r="J717" s="188"/>
      <c r="K717" s="369"/>
      <c r="L717" s="188"/>
      <c r="M717" s="341"/>
      <c r="N717" s="168"/>
      <c r="O717" s="341"/>
      <c r="P717" s="168"/>
      <c r="Q717" s="370"/>
      <c r="R717" s="370"/>
      <c r="S717" s="17"/>
      <c r="T717" s="17"/>
      <c r="U717" s="17"/>
      <c r="V717" s="17"/>
    </row>
    <row r="718">
      <c r="A718" s="341"/>
      <c r="B718" s="168"/>
      <c r="C718" s="341"/>
      <c r="D718" s="168"/>
      <c r="E718" s="341"/>
      <c r="F718" s="168"/>
      <c r="G718" s="341"/>
      <c r="H718" s="168"/>
      <c r="I718" s="369"/>
      <c r="J718" s="188"/>
      <c r="K718" s="369"/>
      <c r="L718" s="188"/>
      <c r="M718" s="341"/>
      <c r="N718" s="168"/>
      <c r="O718" s="341"/>
      <c r="P718" s="168"/>
      <c r="Q718" s="370"/>
      <c r="R718" s="370"/>
      <c r="S718" s="17"/>
      <c r="T718" s="17"/>
      <c r="U718" s="17"/>
      <c r="V718" s="17"/>
    </row>
    <row r="719">
      <c r="A719" s="341"/>
      <c r="B719" s="168"/>
      <c r="C719" s="341"/>
      <c r="D719" s="168"/>
      <c r="E719" s="341"/>
      <c r="F719" s="168"/>
      <c r="G719" s="341"/>
      <c r="H719" s="168"/>
      <c r="I719" s="369"/>
      <c r="J719" s="188"/>
      <c r="K719" s="369"/>
      <c r="L719" s="188"/>
      <c r="M719" s="341"/>
      <c r="N719" s="168"/>
      <c r="O719" s="341"/>
      <c r="P719" s="168"/>
      <c r="Q719" s="370"/>
      <c r="R719" s="370"/>
      <c r="S719" s="17"/>
      <c r="T719" s="17"/>
      <c r="U719" s="17"/>
      <c r="V719" s="17"/>
    </row>
    <row r="720">
      <c r="A720" s="341"/>
      <c r="B720" s="168"/>
      <c r="C720" s="341"/>
      <c r="D720" s="168"/>
      <c r="E720" s="341"/>
      <c r="F720" s="168"/>
      <c r="G720" s="341"/>
      <c r="H720" s="168"/>
      <c r="I720" s="369"/>
      <c r="J720" s="188"/>
      <c r="K720" s="369"/>
      <c r="L720" s="188"/>
      <c r="M720" s="341"/>
      <c r="N720" s="168"/>
      <c r="O720" s="341"/>
      <c r="P720" s="168"/>
      <c r="Q720" s="370"/>
      <c r="R720" s="370"/>
      <c r="S720" s="17"/>
      <c r="T720" s="17"/>
      <c r="U720" s="17"/>
      <c r="V720" s="17"/>
    </row>
    <row r="721">
      <c r="A721" s="341"/>
      <c r="B721" s="168"/>
      <c r="C721" s="341"/>
      <c r="D721" s="168"/>
      <c r="E721" s="341"/>
      <c r="F721" s="168"/>
      <c r="G721" s="341"/>
      <c r="H721" s="168"/>
      <c r="I721" s="369"/>
      <c r="J721" s="188"/>
      <c r="K721" s="369"/>
      <c r="L721" s="188"/>
      <c r="M721" s="341"/>
      <c r="N721" s="168"/>
      <c r="O721" s="341"/>
      <c r="P721" s="168"/>
      <c r="Q721" s="370"/>
      <c r="R721" s="370"/>
      <c r="S721" s="17"/>
      <c r="T721" s="17"/>
      <c r="U721" s="17"/>
      <c r="V721" s="17"/>
    </row>
    <row r="722">
      <c r="A722" s="341"/>
      <c r="B722" s="168"/>
      <c r="C722" s="341"/>
      <c r="D722" s="168"/>
      <c r="E722" s="341"/>
      <c r="F722" s="168"/>
      <c r="G722" s="341"/>
      <c r="H722" s="168"/>
      <c r="I722" s="369"/>
      <c r="J722" s="188"/>
      <c r="K722" s="369"/>
      <c r="L722" s="188"/>
      <c r="M722" s="341"/>
      <c r="N722" s="168"/>
      <c r="O722" s="341"/>
      <c r="P722" s="168"/>
      <c r="Q722" s="370"/>
      <c r="R722" s="370"/>
      <c r="S722" s="17"/>
      <c r="T722" s="17"/>
      <c r="U722" s="17"/>
      <c r="V722" s="17"/>
    </row>
    <row r="723">
      <c r="A723" s="341"/>
      <c r="B723" s="168"/>
      <c r="C723" s="341"/>
      <c r="D723" s="168"/>
      <c r="E723" s="341"/>
      <c r="F723" s="168"/>
      <c r="G723" s="341"/>
      <c r="H723" s="168"/>
      <c r="I723" s="369"/>
      <c r="J723" s="188"/>
      <c r="K723" s="369"/>
      <c r="L723" s="188"/>
      <c r="M723" s="341"/>
      <c r="N723" s="168"/>
      <c r="O723" s="341"/>
      <c r="P723" s="168"/>
      <c r="Q723" s="370"/>
      <c r="R723" s="370"/>
      <c r="S723" s="17"/>
      <c r="T723" s="17"/>
      <c r="U723" s="17"/>
      <c r="V723" s="17"/>
    </row>
    <row r="724">
      <c r="A724" s="341"/>
      <c r="B724" s="168"/>
      <c r="C724" s="341"/>
      <c r="D724" s="168"/>
      <c r="E724" s="341"/>
      <c r="F724" s="168"/>
      <c r="G724" s="341"/>
      <c r="H724" s="168"/>
      <c r="I724" s="369"/>
      <c r="J724" s="188"/>
      <c r="K724" s="369"/>
      <c r="L724" s="188"/>
      <c r="M724" s="341"/>
      <c r="N724" s="168"/>
      <c r="O724" s="341"/>
      <c r="P724" s="168"/>
      <c r="Q724" s="370"/>
      <c r="R724" s="370"/>
      <c r="S724" s="17"/>
      <c r="T724" s="17"/>
      <c r="U724" s="17"/>
      <c r="V724" s="17"/>
    </row>
    <row r="725">
      <c r="A725" s="341"/>
      <c r="B725" s="168"/>
      <c r="C725" s="341"/>
      <c r="D725" s="168"/>
      <c r="E725" s="341"/>
      <c r="F725" s="168"/>
      <c r="G725" s="341"/>
      <c r="H725" s="168"/>
      <c r="I725" s="369"/>
      <c r="J725" s="188"/>
      <c r="K725" s="369"/>
      <c r="L725" s="188"/>
      <c r="M725" s="341"/>
      <c r="N725" s="168"/>
      <c r="O725" s="341"/>
      <c r="P725" s="168"/>
      <c r="Q725" s="370"/>
      <c r="R725" s="370"/>
      <c r="S725" s="17"/>
      <c r="T725" s="17"/>
      <c r="U725" s="17"/>
      <c r="V725" s="17"/>
    </row>
    <row r="726">
      <c r="A726" s="341"/>
      <c r="B726" s="168"/>
      <c r="C726" s="341"/>
      <c r="D726" s="168"/>
      <c r="E726" s="341"/>
      <c r="F726" s="168"/>
      <c r="G726" s="341"/>
      <c r="H726" s="168"/>
      <c r="I726" s="369"/>
      <c r="J726" s="188"/>
      <c r="K726" s="369"/>
      <c r="L726" s="188"/>
      <c r="M726" s="341"/>
      <c r="N726" s="168"/>
      <c r="O726" s="341"/>
      <c r="P726" s="168"/>
      <c r="Q726" s="370"/>
      <c r="R726" s="370"/>
      <c r="S726" s="17"/>
      <c r="T726" s="17"/>
      <c r="U726" s="17"/>
      <c r="V726" s="17"/>
    </row>
    <row r="727">
      <c r="A727" s="341"/>
      <c r="B727" s="168"/>
      <c r="C727" s="341"/>
      <c r="D727" s="168"/>
      <c r="E727" s="341"/>
      <c r="F727" s="168"/>
      <c r="G727" s="341"/>
      <c r="H727" s="168"/>
      <c r="I727" s="369"/>
      <c r="J727" s="188"/>
      <c r="K727" s="369"/>
      <c r="L727" s="188"/>
      <c r="M727" s="341"/>
      <c r="N727" s="168"/>
      <c r="O727" s="341"/>
      <c r="P727" s="168"/>
      <c r="Q727" s="370"/>
      <c r="R727" s="370"/>
      <c r="S727" s="17"/>
      <c r="T727" s="17"/>
      <c r="U727" s="17"/>
      <c r="V727" s="17"/>
    </row>
    <row r="728">
      <c r="A728" s="341"/>
      <c r="B728" s="168"/>
      <c r="C728" s="341"/>
      <c r="D728" s="168"/>
      <c r="E728" s="341"/>
      <c r="F728" s="168"/>
      <c r="G728" s="341"/>
      <c r="H728" s="168"/>
      <c r="I728" s="369"/>
      <c r="J728" s="188"/>
      <c r="K728" s="369"/>
      <c r="L728" s="188"/>
      <c r="M728" s="341"/>
      <c r="N728" s="168"/>
      <c r="O728" s="341"/>
      <c r="P728" s="168"/>
      <c r="Q728" s="370"/>
      <c r="R728" s="370"/>
      <c r="S728" s="17"/>
      <c r="T728" s="17"/>
      <c r="U728" s="17"/>
      <c r="V728" s="17"/>
    </row>
    <row r="729">
      <c r="A729" s="341"/>
      <c r="B729" s="168"/>
      <c r="C729" s="341"/>
      <c r="D729" s="168"/>
      <c r="E729" s="341"/>
      <c r="F729" s="168"/>
      <c r="G729" s="341"/>
      <c r="H729" s="168"/>
      <c r="I729" s="369"/>
      <c r="J729" s="188"/>
      <c r="K729" s="369"/>
      <c r="L729" s="188"/>
      <c r="M729" s="341"/>
      <c r="N729" s="168"/>
      <c r="O729" s="341"/>
      <c r="P729" s="168"/>
      <c r="Q729" s="370"/>
      <c r="R729" s="370"/>
      <c r="S729" s="17"/>
      <c r="T729" s="17"/>
      <c r="U729" s="17"/>
      <c r="V729" s="17"/>
    </row>
    <row r="730">
      <c r="A730" s="341"/>
      <c r="B730" s="168"/>
      <c r="C730" s="341"/>
      <c r="D730" s="168"/>
      <c r="E730" s="341"/>
      <c r="F730" s="168"/>
      <c r="G730" s="341"/>
      <c r="H730" s="168"/>
      <c r="I730" s="369"/>
      <c r="J730" s="188"/>
      <c r="K730" s="369"/>
      <c r="L730" s="188"/>
      <c r="M730" s="341"/>
      <c r="N730" s="168"/>
      <c r="O730" s="341"/>
      <c r="P730" s="168"/>
      <c r="Q730" s="370"/>
      <c r="R730" s="370"/>
      <c r="S730" s="17"/>
      <c r="T730" s="17"/>
      <c r="U730" s="17"/>
      <c r="V730" s="17"/>
    </row>
    <row r="731">
      <c r="A731" s="341"/>
      <c r="B731" s="168"/>
      <c r="C731" s="341"/>
      <c r="D731" s="168"/>
      <c r="E731" s="341"/>
      <c r="F731" s="168"/>
      <c r="G731" s="341"/>
      <c r="H731" s="168"/>
      <c r="I731" s="369"/>
      <c r="J731" s="188"/>
      <c r="K731" s="369"/>
      <c r="L731" s="188"/>
      <c r="M731" s="341"/>
      <c r="N731" s="168"/>
      <c r="O731" s="341"/>
      <c r="P731" s="168"/>
      <c r="Q731" s="370"/>
      <c r="R731" s="370"/>
      <c r="S731" s="17"/>
      <c r="T731" s="17"/>
      <c r="U731" s="17"/>
      <c r="V731" s="17"/>
    </row>
    <row r="732">
      <c r="A732" s="341"/>
      <c r="B732" s="168"/>
      <c r="C732" s="341"/>
      <c r="D732" s="168"/>
      <c r="E732" s="341"/>
      <c r="F732" s="168"/>
      <c r="G732" s="341"/>
      <c r="H732" s="168"/>
      <c r="I732" s="369"/>
      <c r="J732" s="188"/>
      <c r="K732" s="369"/>
      <c r="L732" s="188"/>
      <c r="M732" s="341"/>
      <c r="N732" s="168"/>
      <c r="O732" s="341"/>
      <c r="P732" s="168"/>
      <c r="Q732" s="370"/>
      <c r="R732" s="370"/>
      <c r="S732" s="17"/>
      <c r="T732" s="17"/>
      <c r="U732" s="17"/>
      <c r="V732" s="17"/>
    </row>
    <row r="733">
      <c r="A733" s="341"/>
      <c r="B733" s="168"/>
      <c r="C733" s="341"/>
      <c r="D733" s="168"/>
      <c r="E733" s="341"/>
      <c r="F733" s="168"/>
      <c r="G733" s="341"/>
      <c r="H733" s="168"/>
      <c r="I733" s="369"/>
      <c r="J733" s="188"/>
      <c r="K733" s="369"/>
      <c r="L733" s="188"/>
      <c r="M733" s="341"/>
      <c r="N733" s="168"/>
      <c r="O733" s="341"/>
      <c r="P733" s="168"/>
      <c r="Q733" s="370"/>
      <c r="R733" s="370"/>
      <c r="S733" s="17"/>
      <c r="T733" s="17"/>
      <c r="U733" s="17"/>
      <c r="V733" s="17"/>
    </row>
    <row r="734">
      <c r="A734" s="341"/>
      <c r="B734" s="168"/>
      <c r="C734" s="341"/>
      <c r="D734" s="168"/>
      <c r="E734" s="341"/>
      <c r="F734" s="168"/>
      <c r="G734" s="341"/>
      <c r="H734" s="168"/>
      <c r="I734" s="369"/>
      <c r="J734" s="188"/>
      <c r="K734" s="369"/>
      <c r="L734" s="188"/>
      <c r="M734" s="341"/>
      <c r="N734" s="168"/>
      <c r="O734" s="341"/>
      <c r="P734" s="168"/>
      <c r="Q734" s="370"/>
      <c r="R734" s="370"/>
      <c r="S734" s="17"/>
      <c r="T734" s="17"/>
      <c r="U734" s="17"/>
      <c r="V734" s="17"/>
    </row>
    <row r="735">
      <c r="A735" s="341"/>
      <c r="B735" s="168"/>
      <c r="C735" s="341"/>
      <c r="D735" s="168"/>
      <c r="E735" s="341"/>
      <c r="F735" s="168"/>
      <c r="G735" s="341"/>
      <c r="H735" s="168"/>
      <c r="I735" s="369"/>
      <c r="J735" s="188"/>
      <c r="K735" s="369"/>
      <c r="L735" s="188"/>
      <c r="M735" s="341"/>
      <c r="N735" s="168"/>
      <c r="O735" s="341"/>
      <c r="P735" s="168"/>
      <c r="Q735" s="370"/>
      <c r="R735" s="370"/>
      <c r="S735" s="17"/>
      <c r="T735" s="17"/>
      <c r="U735" s="17"/>
      <c r="V735" s="17"/>
    </row>
    <row r="736">
      <c r="A736" s="341"/>
      <c r="B736" s="168"/>
      <c r="C736" s="341"/>
      <c r="D736" s="168"/>
      <c r="E736" s="341"/>
      <c r="F736" s="168"/>
      <c r="G736" s="341"/>
      <c r="H736" s="168"/>
      <c r="I736" s="369"/>
      <c r="J736" s="188"/>
      <c r="K736" s="369"/>
      <c r="L736" s="188"/>
      <c r="M736" s="341"/>
      <c r="N736" s="168"/>
      <c r="O736" s="341"/>
      <c r="P736" s="168"/>
      <c r="Q736" s="370"/>
      <c r="R736" s="370"/>
      <c r="S736" s="17"/>
      <c r="T736" s="17"/>
      <c r="U736" s="17"/>
      <c r="V736" s="17"/>
    </row>
    <row r="737">
      <c r="A737" s="341"/>
      <c r="B737" s="168"/>
      <c r="C737" s="341"/>
      <c r="D737" s="168"/>
      <c r="E737" s="341"/>
      <c r="F737" s="168"/>
      <c r="G737" s="341"/>
      <c r="H737" s="168"/>
      <c r="I737" s="369"/>
      <c r="J737" s="188"/>
      <c r="K737" s="369"/>
      <c r="L737" s="188"/>
      <c r="M737" s="341"/>
      <c r="N737" s="168"/>
      <c r="O737" s="341"/>
      <c r="P737" s="168"/>
      <c r="Q737" s="370"/>
      <c r="R737" s="370"/>
      <c r="S737" s="17"/>
      <c r="T737" s="17"/>
      <c r="U737" s="17"/>
      <c r="V737" s="17"/>
    </row>
    <row r="738">
      <c r="A738" s="341"/>
      <c r="B738" s="168"/>
      <c r="C738" s="341"/>
      <c r="D738" s="168"/>
      <c r="E738" s="341"/>
      <c r="F738" s="168"/>
      <c r="G738" s="341"/>
      <c r="H738" s="168"/>
      <c r="I738" s="369"/>
      <c r="J738" s="188"/>
      <c r="K738" s="369"/>
      <c r="L738" s="188"/>
      <c r="M738" s="341"/>
      <c r="N738" s="168"/>
      <c r="O738" s="341"/>
      <c r="P738" s="168"/>
      <c r="Q738" s="370"/>
      <c r="R738" s="370"/>
      <c r="S738" s="17"/>
      <c r="T738" s="17"/>
      <c r="U738" s="17"/>
      <c r="V738" s="17"/>
    </row>
    <row r="739">
      <c r="A739" s="341"/>
      <c r="B739" s="168"/>
      <c r="C739" s="341"/>
      <c r="D739" s="168"/>
      <c r="E739" s="341"/>
      <c r="F739" s="168"/>
      <c r="G739" s="341"/>
      <c r="H739" s="168"/>
      <c r="I739" s="369"/>
      <c r="J739" s="188"/>
      <c r="K739" s="369"/>
      <c r="L739" s="188"/>
      <c r="M739" s="341"/>
      <c r="N739" s="168"/>
      <c r="O739" s="341"/>
      <c r="P739" s="168"/>
      <c r="Q739" s="370"/>
      <c r="R739" s="370"/>
      <c r="S739" s="17"/>
      <c r="T739" s="17"/>
      <c r="U739" s="17"/>
      <c r="V739" s="17"/>
    </row>
    <row r="740">
      <c r="A740" s="341"/>
      <c r="B740" s="168"/>
      <c r="C740" s="341"/>
      <c r="D740" s="168"/>
      <c r="E740" s="341"/>
      <c r="F740" s="168"/>
      <c r="G740" s="341"/>
      <c r="H740" s="168"/>
      <c r="I740" s="369"/>
      <c r="J740" s="188"/>
      <c r="K740" s="369"/>
      <c r="L740" s="188"/>
      <c r="M740" s="341"/>
      <c r="N740" s="168"/>
      <c r="O740" s="341"/>
      <c r="P740" s="168"/>
      <c r="Q740" s="370"/>
      <c r="R740" s="370"/>
      <c r="S740" s="17"/>
      <c r="T740" s="17"/>
      <c r="U740" s="17"/>
      <c r="V740" s="17"/>
    </row>
    <row r="741">
      <c r="A741" s="341"/>
      <c r="B741" s="168"/>
      <c r="C741" s="341"/>
      <c r="D741" s="168"/>
      <c r="E741" s="341"/>
      <c r="F741" s="168"/>
      <c r="G741" s="341"/>
      <c r="H741" s="168"/>
      <c r="I741" s="369"/>
      <c r="J741" s="188"/>
      <c r="K741" s="369"/>
      <c r="L741" s="188"/>
      <c r="M741" s="341"/>
      <c r="N741" s="168"/>
      <c r="O741" s="341"/>
      <c r="P741" s="168"/>
      <c r="Q741" s="370"/>
      <c r="R741" s="370"/>
      <c r="S741" s="17"/>
      <c r="T741" s="17"/>
      <c r="U741" s="17"/>
      <c r="V741" s="17"/>
    </row>
    <row r="742">
      <c r="A742" s="341"/>
      <c r="B742" s="168"/>
      <c r="C742" s="341"/>
      <c r="D742" s="168"/>
      <c r="E742" s="341"/>
      <c r="F742" s="168"/>
      <c r="G742" s="341"/>
      <c r="H742" s="168"/>
      <c r="I742" s="369"/>
      <c r="J742" s="188"/>
      <c r="K742" s="369"/>
      <c r="L742" s="188"/>
      <c r="M742" s="341"/>
      <c r="N742" s="168"/>
      <c r="O742" s="341"/>
      <c r="P742" s="168"/>
      <c r="Q742" s="370"/>
      <c r="R742" s="370"/>
      <c r="S742" s="17"/>
      <c r="T742" s="17"/>
      <c r="U742" s="17"/>
      <c r="V742" s="17"/>
    </row>
    <row r="743">
      <c r="A743" s="341"/>
      <c r="B743" s="168"/>
      <c r="C743" s="341"/>
      <c r="D743" s="168"/>
      <c r="E743" s="341"/>
      <c r="F743" s="168"/>
      <c r="G743" s="341"/>
      <c r="H743" s="168"/>
      <c r="I743" s="369"/>
      <c r="J743" s="188"/>
      <c r="K743" s="369"/>
      <c r="L743" s="188"/>
      <c r="M743" s="341"/>
      <c r="N743" s="168"/>
      <c r="O743" s="341"/>
      <c r="P743" s="168"/>
      <c r="Q743" s="370"/>
      <c r="R743" s="370"/>
      <c r="S743" s="17"/>
      <c r="T743" s="17"/>
      <c r="U743" s="17"/>
      <c r="V743" s="17"/>
    </row>
    <row r="744">
      <c r="A744" s="341"/>
      <c r="B744" s="168"/>
      <c r="C744" s="341"/>
      <c r="D744" s="168"/>
      <c r="E744" s="341"/>
      <c r="F744" s="168"/>
      <c r="G744" s="341"/>
      <c r="H744" s="168"/>
      <c r="I744" s="369"/>
      <c r="J744" s="188"/>
      <c r="K744" s="369"/>
      <c r="L744" s="188"/>
      <c r="M744" s="341"/>
      <c r="N744" s="168"/>
      <c r="O744" s="341"/>
      <c r="P744" s="168"/>
      <c r="Q744" s="370"/>
      <c r="R744" s="370"/>
      <c r="S744" s="17"/>
      <c r="T744" s="17"/>
      <c r="U744" s="17"/>
      <c r="V744" s="17"/>
    </row>
    <row r="745">
      <c r="A745" s="341"/>
      <c r="B745" s="168"/>
      <c r="C745" s="341"/>
      <c r="D745" s="168"/>
      <c r="E745" s="341"/>
      <c r="F745" s="168"/>
      <c r="G745" s="341"/>
      <c r="H745" s="168"/>
      <c r="I745" s="369"/>
      <c r="J745" s="188"/>
      <c r="K745" s="369"/>
      <c r="L745" s="188"/>
      <c r="M745" s="341"/>
      <c r="N745" s="168"/>
      <c r="O745" s="341"/>
      <c r="P745" s="168"/>
      <c r="Q745" s="370"/>
      <c r="R745" s="370"/>
      <c r="S745" s="17"/>
      <c r="T745" s="17"/>
      <c r="U745" s="17"/>
      <c r="V745" s="17"/>
    </row>
    <row r="746">
      <c r="A746" s="341"/>
      <c r="B746" s="168"/>
      <c r="C746" s="341"/>
      <c r="D746" s="168"/>
      <c r="E746" s="341"/>
      <c r="F746" s="168"/>
      <c r="G746" s="341"/>
      <c r="H746" s="168"/>
      <c r="I746" s="369"/>
      <c r="J746" s="188"/>
      <c r="K746" s="369"/>
      <c r="L746" s="188"/>
      <c r="M746" s="341"/>
      <c r="N746" s="168"/>
      <c r="O746" s="341"/>
      <c r="P746" s="168"/>
      <c r="Q746" s="370"/>
      <c r="R746" s="370"/>
      <c r="S746" s="17"/>
      <c r="T746" s="17"/>
      <c r="U746" s="17"/>
      <c r="V746" s="17"/>
    </row>
    <row r="747">
      <c r="A747" s="341"/>
      <c r="B747" s="168"/>
      <c r="C747" s="341"/>
      <c r="D747" s="168"/>
      <c r="E747" s="341"/>
      <c r="F747" s="168"/>
      <c r="G747" s="341"/>
      <c r="H747" s="168"/>
      <c r="I747" s="369"/>
      <c r="J747" s="188"/>
      <c r="K747" s="369"/>
      <c r="L747" s="188"/>
      <c r="M747" s="341"/>
      <c r="N747" s="168"/>
      <c r="O747" s="341"/>
      <c r="P747" s="168"/>
      <c r="Q747" s="370"/>
      <c r="R747" s="370"/>
      <c r="S747" s="17"/>
      <c r="T747" s="17"/>
      <c r="U747" s="17"/>
      <c r="V747" s="17"/>
    </row>
    <row r="748">
      <c r="A748" s="341"/>
      <c r="B748" s="168"/>
      <c r="C748" s="341"/>
      <c r="D748" s="168"/>
      <c r="E748" s="341"/>
      <c r="F748" s="168"/>
      <c r="G748" s="341"/>
      <c r="H748" s="168"/>
      <c r="I748" s="369"/>
      <c r="J748" s="188"/>
      <c r="K748" s="369"/>
      <c r="L748" s="188"/>
      <c r="M748" s="341"/>
      <c r="N748" s="168"/>
      <c r="O748" s="341"/>
      <c r="P748" s="168"/>
      <c r="Q748" s="370"/>
      <c r="R748" s="370"/>
      <c r="S748" s="17"/>
      <c r="T748" s="17"/>
      <c r="U748" s="17"/>
      <c r="V748" s="17"/>
    </row>
    <row r="749">
      <c r="A749" s="341"/>
      <c r="B749" s="168"/>
      <c r="C749" s="341"/>
      <c r="D749" s="168"/>
      <c r="E749" s="341"/>
      <c r="F749" s="168"/>
      <c r="G749" s="341"/>
      <c r="H749" s="168"/>
      <c r="I749" s="369"/>
      <c r="J749" s="188"/>
      <c r="K749" s="369"/>
      <c r="L749" s="188"/>
      <c r="M749" s="341"/>
      <c r="N749" s="168"/>
      <c r="O749" s="341"/>
      <c r="P749" s="168"/>
      <c r="Q749" s="370"/>
      <c r="R749" s="370"/>
      <c r="S749" s="17"/>
      <c r="T749" s="17"/>
      <c r="U749" s="17"/>
      <c r="V749" s="17"/>
    </row>
    <row r="750">
      <c r="A750" s="341"/>
      <c r="B750" s="168"/>
      <c r="C750" s="341"/>
      <c r="D750" s="168"/>
      <c r="E750" s="341"/>
      <c r="F750" s="168"/>
      <c r="G750" s="341"/>
      <c r="H750" s="168"/>
      <c r="I750" s="369"/>
      <c r="J750" s="188"/>
      <c r="K750" s="369"/>
      <c r="L750" s="188"/>
      <c r="M750" s="341"/>
      <c r="N750" s="168"/>
      <c r="O750" s="341"/>
      <c r="P750" s="168"/>
      <c r="Q750" s="370"/>
      <c r="R750" s="370"/>
      <c r="S750" s="17"/>
      <c r="T750" s="17"/>
      <c r="U750" s="17"/>
      <c r="V750" s="17"/>
    </row>
    <row r="751">
      <c r="A751" s="341"/>
      <c r="B751" s="168"/>
      <c r="C751" s="341"/>
      <c r="D751" s="168"/>
      <c r="E751" s="341"/>
      <c r="F751" s="168"/>
      <c r="G751" s="341"/>
      <c r="H751" s="168"/>
      <c r="I751" s="369"/>
      <c r="J751" s="188"/>
      <c r="K751" s="369"/>
      <c r="L751" s="188"/>
      <c r="M751" s="341"/>
      <c r="N751" s="168"/>
      <c r="O751" s="341"/>
      <c r="P751" s="168"/>
      <c r="Q751" s="370"/>
      <c r="R751" s="370"/>
      <c r="S751" s="17"/>
      <c r="T751" s="17"/>
      <c r="U751" s="17"/>
      <c r="V751" s="17"/>
    </row>
    <row r="752">
      <c r="A752" s="341"/>
      <c r="B752" s="168"/>
      <c r="C752" s="341"/>
      <c r="D752" s="168"/>
      <c r="E752" s="341"/>
      <c r="F752" s="168"/>
      <c r="G752" s="341"/>
      <c r="H752" s="168"/>
      <c r="I752" s="369"/>
      <c r="J752" s="188"/>
      <c r="K752" s="369"/>
      <c r="L752" s="188"/>
      <c r="M752" s="341"/>
      <c r="N752" s="168"/>
      <c r="O752" s="341"/>
      <c r="P752" s="168"/>
      <c r="Q752" s="370"/>
      <c r="R752" s="370"/>
      <c r="S752" s="17"/>
      <c r="T752" s="17"/>
      <c r="U752" s="17"/>
      <c r="V752" s="17"/>
    </row>
    <row r="753">
      <c r="A753" s="341"/>
      <c r="B753" s="168"/>
      <c r="C753" s="341"/>
      <c r="D753" s="168"/>
      <c r="E753" s="341"/>
      <c r="F753" s="168"/>
      <c r="G753" s="341"/>
      <c r="H753" s="168"/>
      <c r="I753" s="369"/>
      <c r="J753" s="188"/>
      <c r="K753" s="369"/>
      <c r="L753" s="188"/>
      <c r="M753" s="341"/>
      <c r="N753" s="168"/>
      <c r="O753" s="341"/>
      <c r="P753" s="168"/>
      <c r="Q753" s="370"/>
      <c r="R753" s="370"/>
      <c r="S753" s="17"/>
      <c r="T753" s="17"/>
      <c r="U753" s="17"/>
      <c r="V753" s="17"/>
    </row>
    <row r="754">
      <c r="A754" s="341"/>
      <c r="B754" s="168"/>
      <c r="C754" s="341"/>
      <c r="D754" s="168"/>
      <c r="E754" s="341"/>
      <c r="F754" s="168"/>
      <c r="G754" s="341"/>
      <c r="H754" s="168"/>
      <c r="I754" s="369"/>
      <c r="J754" s="188"/>
      <c r="K754" s="369"/>
      <c r="L754" s="188"/>
      <c r="M754" s="341"/>
      <c r="N754" s="168"/>
      <c r="O754" s="341"/>
      <c r="P754" s="168"/>
      <c r="Q754" s="370"/>
      <c r="R754" s="370"/>
      <c r="S754" s="17"/>
      <c r="T754" s="17"/>
      <c r="U754" s="17"/>
      <c r="V754" s="17"/>
    </row>
    <row r="755">
      <c r="A755" s="341"/>
      <c r="B755" s="168"/>
      <c r="C755" s="341"/>
      <c r="D755" s="168"/>
      <c r="E755" s="341"/>
      <c r="F755" s="168"/>
      <c r="G755" s="341"/>
      <c r="H755" s="168"/>
      <c r="I755" s="369"/>
      <c r="J755" s="188"/>
      <c r="K755" s="369"/>
      <c r="L755" s="188"/>
      <c r="M755" s="341"/>
      <c r="N755" s="168"/>
      <c r="O755" s="341"/>
      <c r="P755" s="168"/>
      <c r="Q755" s="370"/>
      <c r="R755" s="370"/>
      <c r="S755" s="17"/>
      <c r="T755" s="17"/>
      <c r="U755" s="17"/>
      <c r="V755" s="17"/>
    </row>
    <row r="756">
      <c r="A756" s="341"/>
      <c r="B756" s="168"/>
      <c r="C756" s="341"/>
      <c r="D756" s="168"/>
      <c r="E756" s="341"/>
      <c r="F756" s="168"/>
      <c r="G756" s="341"/>
      <c r="H756" s="168"/>
      <c r="I756" s="369"/>
      <c r="J756" s="188"/>
      <c r="K756" s="369"/>
      <c r="L756" s="188"/>
      <c r="M756" s="341"/>
      <c r="N756" s="168"/>
      <c r="O756" s="341"/>
      <c r="P756" s="168"/>
      <c r="Q756" s="370"/>
      <c r="R756" s="370"/>
      <c r="S756" s="17"/>
      <c r="T756" s="17"/>
      <c r="U756" s="17"/>
      <c r="V756" s="17"/>
    </row>
    <row r="757">
      <c r="A757" s="341"/>
      <c r="B757" s="168"/>
      <c r="C757" s="341"/>
      <c r="D757" s="168"/>
      <c r="E757" s="341"/>
      <c r="F757" s="168"/>
      <c r="G757" s="341"/>
      <c r="H757" s="168"/>
      <c r="I757" s="369"/>
      <c r="J757" s="188"/>
      <c r="K757" s="369"/>
      <c r="L757" s="188"/>
      <c r="M757" s="341"/>
      <c r="N757" s="168"/>
      <c r="O757" s="341"/>
      <c r="P757" s="168"/>
      <c r="Q757" s="370"/>
      <c r="R757" s="370"/>
      <c r="S757" s="17"/>
      <c r="T757" s="17"/>
      <c r="U757" s="17"/>
      <c r="V757" s="17"/>
    </row>
    <row r="758">
      <c r="A758" s="341"/>
      <c r="B758" s="168"/>
      <c r="C758" s="341"/>
      <c r="D758" s="168"/>
      <c r="E758" s="341"/>
      <c r="F758" s="168"/>
      <c r="G758" s="341"/>
      <c r="H758" s="168"/>
      <c r="I758" s="369"/>
      <c r="J758" s="188"/>
      <c r="K758" s="369"/>
      <c r="L758" s="188"/>
      <c r="M758" s="341"/>
      <c r="N758" s="168"/>
      <c r="O758" s="341"/>
      <c r="P758" s="168"/>
      <c r="Q758" s="370"/>
      <c r="R758" s="370"/>
      <c r="S758" s="17"/>
      <c r="T758" s="17"/>
      <c r="U758" s="17"/>
      <c r="V758" s="17"/>
    </row>
    <row r="759">
      <c r="A759" s="341"/>
      <c r="B759" s="168"/>
      <c r="C759" s="341"/>
      <c r="D759" s="168"/>
      <c r="E759" s="341"/>
      <c r="F759" s="168"/>
      <c r="G759" s="341"/>
      <c r="H759" s="168"/>
      <c r="I759" s="369"/>
      <c r="J759" s="188"/>
      <c r="K759" s="369"/>
      <c r="L759" s="188"/>
      <c r="M759" s="341"/>
      <c r="N759" s="168"/>
      <c r="O759" s="341"/>
      <c r="P759" s="168"/>
      <c r="Q759" s="370"/>
      <c r="R759" s="370"/>
      <c r="S759" s="17"/>
      <c r="T759" s="17"/>
      <c r="U759" s="17"/>
      <c r="V759" s="17"/>
    </row>
    <row r="760">
      <c r="A760" s="341"/>
      <c r="B760" s="168"/>
      <c r="C760" s="341"/>
      <c r="D760" s="168"/>
      <c r="E760" s="341"/>
      <c r="F760" s="168"/>
      <c r="G760" s="341"/>
      <c r="H760" s="168"/>
      <c r="I760" s="369"/>
      <c r="J760" s="188"/>
      <c r="K760" s="369"/>
      <c r="L760" s="188"/>
      <c r="M760" s="341"/>
      <c r="N760" s="168"/>
      <c r="O760" s="341"/>
      <c r="P760" s="168"/>
      <c r="Q760" s="370"/>
      <c r="R760" s="370"/>
      <c r="S760" s="17"/>
      <c r="T760" s="17"/>
      <c r="U760" s="17"/>
      <c r="V760" s="17"/>
    </row>
    <row r="761">
      <c r="A761" s="341"/>
      <c r="B761" s="168"/>
      <c r="C761" s="341"/>
      <c r="D761" s="168"/>
      <c r="E761" s="341"/>
      <c r="F761" s="168"/>
      <c r="G761" s="341"/>
      <c r="H761" s="168"/>
      <c r="I761" s="369"/>
      <c r="J761" s="188"/>
      <c r="K761" s="369"/>
      <c r="L761" s="188"/>
      <c r="M761" s="341"/>
      <c r="N761" s="168"/>
      <c r="O761" s="341"/>
      <c r="P761" s="168"/>
      <c r="Q761" s="370"/>
      <c r="R761" s="370"/>
      <c r="S761" s="17"/>
      <c r="T761" s="17"/>
      <c r="U761" s="17"/>
      <c r="V761" s="17"/>
    </row>
    <row r="762">
      <c r="A762" s="341"/>
      <c r="B762" s="168"/>
      <c r="C762" s="341"/>
      <c r="D762" s="168"/>
      <c r="E762" s="341"/>
      <c r="F762" s="168"/>
      <c r="G762" s="341"/>
      <c r="H762" s="168"/>
      <c r="I762" s="369"/>
      <c r="J762" s="188"/>
      <c r="K762" s="369"/>
      <c r="L762" s="188"/>
      <c r="M762" s="341"/>
      <c r="N762" s="168"/>
      <c r="O762" s="341"/>
      <c r="P762" s="168"/>
      <c r="Q762" s="370"/>
      <c r="R762" s="370"/>
      <c r="S762" s="17"/>
      <c r="T762" s="17"/>
      <c r="U762" s="17"/>
      <c r="V762" s="17"/>
    </row>
    <row r="763">
      <c r="A763" s="341"/>
      <c r="B763" s="168"/>
      <c r="C763" s="341"/>
      <c r="D763" s="168"/>
      <c r="E763" s="341"/>
      <c r="F763" s="168"/>
      <c r="G763" s="341"/>
      <c r="H763" s="168"/>
      <c r="I763" s="369"/>
      <c r="J763" s="188"/>
      <c r="K763" s="369"/>
      <c r="L763" s="188"/>
      <c r="M763" s="341"/>
      <c r="N763" s="168"/>
      <c r="O763" s="341"/>
      <c r="P763" s="168"/>
      <c r="Q763" s="370"/>
      <c r="R763" s="370"/>
      <c r="S763" s="17"/>
      <c r="T763" s="17"/>
      <c r="U763" s="17"/>
      <c r="V763" s="17"/>
    </row>
    <row r="764">
      <c r="A764" s="341"/>
      <c r="B764" s="168"/>
      <c r="C764" s="341"/>
      <c r="D764" s="168"/>
      <c r="E764" s="341"/>
      <c r="F764" s="168"/>
      <c r="G764" s="341"/>
      <c r="H764" s="168"/>
      <c r="I764" s="369"/>
      <c r="J764" s="188"/>
      <c r="K764" s="369"/>
      <c r="L764" s="188"/>
      <c r="M764" s="341"/>
      <c r="N764" s="168"/>
      <c r="O764" s="341"/>
      <c r="P764" s="168"/>
      <c r="Q764" s="370"/>
      <c r="R764" s="370"/>
      <c r="S764" s="17"/>
      <c r="T764" s="17"/>
      <c r="U764" s="17"/>
      <c r="V764" s="17"/>
    </row>
    <row r="765">
      <c r="A765" s="341"/>
      <c r="B765" s="168"/>
      <c r="C765" s="341"/>
      <c r="D765" s="168"/>
      <c r="E765" s="341"/>
      <c r="F765" s="168"/>
      <c r="G765" s="341"/>
      <c r="H765" s="168"/>
      <c r="I765" s="369"/>
      <c r="J765" s="188"/>
      <c r="K765" s="369"/>
      <c r="L765" s="188"/>
      <c r="M765" s="341"/>
      <c r="N765" s="168"/>
      <c r="O765" s="341"/>
      <c r="P765" s="168"/>
      <c r="Q765" s="370"/>
      <c r="R765" s="370"/>
      <c r="S765" s="17"/>
      <c r="T765" s="17"/>
      <c r="U765" s="17"/>
      <c r="V765" s="17"/>
    </row>
    <row r="766">
      <c r="A766" s="341"/>
      <c r="B766" s="168"/>
      <c r="C766" s="341"/>
      <c r="D766" s="168"/>
      <c r="E766" s="341"/>
      <c r="F766" s="168"/>
      <c r="G766" s="341"/>
      <c r="H766" s="168"/>
      <c r="I766" s="369"/>
      <c r="J766" s="188"/>
      <c r="K766" s="369"/>
      <c r="L766" s="188"/>
      <c r="M766" s="341"/>
      <c r="N766" s="168"/>
      <c r="O766" s="341"/>
      <c r="P766" s="168"/>
      <c r="Q766" s="370"/>
      <c r="R766" s="370"/>
      <c r="S766" s="17"/>
      <c r="T766" s="17"/>
      <c r="U766" s="17"/>
      <c r="V766" s="17"/>
    </row>
    <row r="767">
      <c r="A767" s="341"/>
      <c r="B767" s="168"/>
      <c r="C767" s="341"/>
      <c r="D767" s="168"/>
      <c r="E767" s="341"/>
      <c r="F767" s="168"/>
      <c r="G767" s="341"/>
      <c r="H767" s="168"/>
      <c r="I767" s="369"/>
      <c r="J767" s="188"/>
      <c r="K767" s="369"/>
      <c r="L767" s="188"/>
      <c r="M767" s="341"/>
      <c r="N767" s="168"/>
      <c r="O767" s="341"/>
      <c r="P767" s="168"/>
      <c r="Q767" s="370"/>
      <c r="R767" s="370"/>
      <c r="S767" s="17"/>
      <c r="T767" s="17"/>
      <c r="U767" s="17"/>
      <c r="V767" s="17"/>
    </row>
    <row r="768">
      <c r="A768" s="341"/>
      <c r="B768" s="168"/>
      <c r="C768" s="341"/>
      <c r="D768" s="168"/>
      <c r="E768" s="341"/>
      <c r="F768" s="168"/>
      <c r="G768" s="341"/>
      <c r="H768" s="168"/>
      <c r="I768" s="369"/>
      <c r="J768" s="188"/>
      <c r="K768" s="369"/>
      <c r="L768" s="188"/>
      <c r="M768" s="341"/>
      <c r="N768" s="168"/>
      <c r="O768" s="341"/>
      <c r="P768" s="168"/>
      <c r="Q768" s="370"/>
      <c r="R768" s="370"/>
      <c r="S768" s="17"/>
      <c r="T768" s="17"/>
      <c r="U768" s="17"/>
      <c r="V768" s="17"/>
    </row>
    <row r="769">
      <c r="A769" s="341"/>
      <c r="B769" s="168"/>
      <c r="C769" s="341"/>
      <c r="D769" s="168"/>
      <c r="E769" s="341"/>
      <c r="F769" s="168"/>
      <c r="G769" s="341"/>
      <c r="H769" s="168"/>
      <c r="I769" s="369"/>
      <c r="J769" s="188"/>
      <c r="K769" s="369"/>
      <c r="L769" s="188"/>
      <c r="M769" s="341"/>
      <c r="N769" s="168"/>
      <c r="O769" s="341"/>
      <c r="P769" s="168"/>
      <c r="Q769" s="370"/>
      <c r="R769" s="370"/>
      <c r="S769" s="17"/>
      <c r="T769" s="17"/>
      <c r="U769" s="17"/>
      <c r="V769" s="17"/>
    </row>
    <row r="770">
      <c r="A770" s="341"/>
      <c r="B770" s="168"/>
      <c r="C770" s="341"/>
      <c r="D770" s="168"/>
      <c r="E770" s="341"/>
      <c r="F770" s="168"/>
      <c r="G770" s="341"/>
      <c r="H770" s="168"/>
      <c r="I770" s="369"/>
      <c r="J770" s="188"/>
      <c r="K770" s="369"/>
      <c r="L770" s="188"/>
      <c r="M770" s="341"/>
      <c r="N770" s="168"/>
      <c r="O770" s="341"/>
      <c r="P770" s="168"/>
      <c r="Q770" s="370"/>
      <c r="R770" s="370"/>
      <c r="S770" s="17"/>
      <c r="T770" s="17"/>
      <c r="U770" s="17"/>
      <c r="V770" s="17"/>
    </row>
    <row r="771">
      <c r="A771" s="341"/>
      <c r="B771" s="168"/>
      <c r="C771" s="341"/>
      <c r="D771" s="168"/>
      <c r="E771" s="341"/>
      <c r="F771" s="168"/>
      <c r="G771" s="341"/>
      <c r="H771" s="168"/>
      <c r="I771" s="369"/>
      <c r="J771" s="188"/>
      <c r="K771" s="369"/>
      <c r="L771" s="188"/>
      <c r="M771" s="341"/>
      <c r="N771" s="168"/>
      <c r="O771" s="341"/>
      <c r="P771" s="168"/>
      <c r="Q771" s="370"/>
      <c r="R771" s="370"/>
      <c r="S771" s="17"/>
      <c r="T771" s="17"/>
      <c r="U771" s="17"/>
      <c r="V771" s="17"/>
    </row>
    <row r="772">
      <c r="A772" s="341"/>
      <c r="B772" s="168"/>
      <c r="C772" s="341"/>
      <c r="D772" s="168"/>
      <c r="E772" s="341"/>
      <c r="F772" s="168"/>
      <c r="G772" s="341"/>
      <c r="H772" s="168"/>
      <c r="I772" s="369"/>
      <c r="J772" s="188"/>
      <c r="K772" s="369"/>
      <c r="L772" s="188"/>
      <c r="M772" s="341"/>
      <c r="N772" s="168"/>
      <c r="O772" s="341"/>
      <c r="P772" s="168"/>
      <c r="Q772" s="370"/>
      <c r="R772" s="370"/>
      <c r="S772" s="17"/>
      <c r="T772" s="17"/>
      <c r="U772" s="17"/>
      <c r="V772" s="17"/>
    </row>
    <row r="773">
      <c r="A773" s="341"/>
      <c r="B773" s="168"/>
      <c r="C773" s="341"/>
      <c r="D773" s="168"/>
      <c r="E773" s="341"/>
      <c r="F773" s="168"/>
      <c r="G773" s="341"/>
      <c r="H773" s="168"/>
      <c r="I773" s="369"/>
      <c r="J773" s="188"/>
      <c r="K773" s="369"/>
      <c r="L773" s="188"/>
      <c r="M773" s="341"/>
      <c r="N773" s="168"/>
      <c r="O773" s="341"/>
      <c r="P773" s="168"/>
      <c r="Q773" s="370"/>
      <c r="R773" s="370"/>
      <c r="S773" s="17"/>
      <c r="T773" s="17"/>
      <c r="U773" s="17"/>
      <c r="V773" s="17"/>
    </row>
    <row r="774">
      <c r="A774" s="341"/>
      <c r="B774" s="168"/>
      <c r="C774" s="341"/>
      <c r="D774" s="168"/>
      <c r="E774" s="341"/>
      <c r="F774" s="168"/>
      <c r="G774" s="341"/>
      <c r="H774" s="168"/>
      <c r="I774" s="369"/>
      <c r="J774" s="188"/>
      <c r="K774" s="369"/>
      <c r="L774" s="188"/>
      <c r="M774" s="341"/>
      <c r="N774" s="168"/>
      <c r="O774" s="341"/>
      <c r="P774" s="168"/>
      <c r="Q774" s="370"/>
      <c r="R774" s="370"/>
      <c r="S774" s="17"/>
      <c r="T774" s="17"/>
      <c r="U774" s="17"/>
      <c r="V774" s="17"/>
    </row>
    <row r="775">
      <c r="A775" s="341"/>
      <c r="B775" s="168"/>
      <c r="C775" s="341"/>
      <c r="D775" s="168"/>
      <c r="E775" s="341"/>
      <c r="F775" s="168"/>
      <c r="G775" s="341"/>
      <c r="H775" s="168"/>
      <c r="I775" s="369"/>
      <c r="J775" s="188"/>
      <c r="K775" s="369"/>
      <c r="L775" s="188"/>
      <c r="M775" s="341"/>
      <c r="N775" s="168"/>
      <c r="O775" s="341"/>
      <c r="P775" s="168"/>
      <c r="Q775" s="370"/>
      <c r="R775" s="370"/>
      <c r="S775" s="17"/>
      <c r="T775" s="17"/>
      <c r="U775" s="17"/>
      <c r="V775" s="17"/>
    </row>
    <row r="776">
      <c r="A776" s="341"/>
      <c r="B776" s="168"/>
      <c r="C776" s="341"/>
      <c r="D776" s="168"/>
      <c r="E776" s="341"/>
      <c r="F776" s="168"/>
      <c r="G776" s="341"/>
      <c r="H776" s="168"/>
      <c r="I776" s="369"/>
      <c r="J776" s="188"/>
      <c r="K776" s="369"/>
      <c r="L776" s="188"/>
      <c r="M776" s="341"/>
      <c r="N776" s="168"/>
      <c r="O776" s="341"/>
      <c r="P776" s="168"/>
      <c r="Q776" s="370"/>
      <c r="R776" s="370"/>
      <c r="S776" s="17"/>
      <c r="T776" s="17"/>
      <c r="U776" s="17"/>
      <c r="V776" s="17"/>
    </row>
    <row r="777">
      <c r="A777" s="341"/>
      <c r="B777" s="168"/>
      <c r="C777" s="341"/>
      <c r="D777" s="168"/>
      <c r="E777" s="341"/>
      <c r="F777" s="168"/>
      <c r="G777" s="341"/>
      <c r="H777" s="168"/>
      <c r="I777" s="369"/>
      <c r="J777" s="188"/>
      <c r="K777" s="369"/>
      <c r="L777" s="188"/>
      <c r="M777" s="341"/>
      <c r="N777" s="168"/>
      <c r="O777" s="341"/>
      <c r="P777" s="168"/>
      <c r="Q777" s="370"/>
      <c r="R777" s="370"/>
      <c r="S777" s="17"/>
      <c r="T777" s="17"/>
      <c r="U777" s="17"/>
      <c r="V777" s="17"/>
    </row>
    <row r="778">
      <c r="A778" s="341"/>
      <c r="B778" s="168"/>
      <c r="C778" s="341"/>
      <c r="D778" s="168"/>
      <c r="E778" s="341"/>
      <c r="F778" s="168"/>
      <c r="G778" s="341"/>
      <c r="H778" s="168"/>
      <c r="I778" s="369"/>
      <c r="J778" s="188"/>
      <c r="K778" s="369"/>
      <c r="L778" s="188"/>
      <c r="M778" s="341"/>
      <c r="N778" s="168"/>
      <c r="O778" s="341"/>
      <c r="P778" s="168"/>
      <c r="Q778" s="370"/>
      <c r="R778" s="370"/>
      <c r="S778" s="17"/>
      <c r="T778" s="17"/>
      <c r="U778" s="17"/>
      <c r="V778" s="17"/>
    </row>
    <row r="779">
      <c r="A779" s="341"/>
      <c r="B779" s="168"/>
      <c r="C779" s="341"/>
      <c r="D779" s="168"/>
      <c r="E779" s="341"/>
      <c r="F779" s="168"/>
      <c r="G779" s="341"/>
      <c r="H779" s="168"/>
      <c r="I779" s="369"/>
      <c r="J779" s="188"/>
      <c r="K779" s="369"/>
      <c r="L779" s="188"/>
      <c r="M779" s="341"/>
      <c r="N779" s="168"/>
      <c r="O779" s="341"/>
      <c r="P779" s="168"/>
      <c r="Q779" s="370"/>
      <c r="R779" s="370"/>
      <c r="S779" s="17"/>
      <c r="T779" s="17"/>
      <c r="U779" s="17"/>
      <c r="V779" s="17"/>
    </row>
    <row r="780">
      <c r="A780" s="341"/>
      <c r="B780" s="168"/>
      <c r="C780" s="341"/>
      <c r="D780" s="168"/>
      <c r="E780" s="341"/>
      <c r="F780" s="168"/>
      <c r="G780" s="341"/>
      <c r="H780" s="168"/>
      <c r="I780" s="369"/>
      <c r="J780" s="188"/>
      <c r="K780" s="369"/>
      <c r="L780" s="188"/>
      <c r="M780" s="341"/>
      <c r="N780" s="168"/>
      <c r="O780" s="341"/>
      <c r="P780" s="168"/>
      <c r="Q780" s="370"/>
      <c r="R780" s="370"/>
      <c r="S780" s="17"/>
      <c r="T780" s="17"/>
      <c r="U780" s="17"/>
      <c r="V780" s="17"/>
    </row>
    <row r="781">
      <c r="A781" s="341"/>
      <c r="B781" s="168"/>
      <c r="C781" s="341"/>
      <c r="D781" s="168"/>
      <c r="E781" s="341"/>
      <c r="F781" s="168"/>
      <c r="G781" s="341"/>
      <c r="H781" s="168"/>
      <c r="I781" s="369"/>
      <c r="J781" s="188"/>
      <c r="K781" s="369"/>
      <c r="L781" s="188"/>
      <c r="M781" s="341"/>
      <c r="N781" s="168"/>
      <c r="O781" s="341"/>
      <c r="P781" s="168"/>
      <c r="Q781" s="370"/>
      <c r="R781" s="370"/>
      <c r="S781" s="17"/>
      <c r="T781" s="17"/>
      <c r="U781" s="17"/>
      <c r="V781" s="17"/>
    </row>
    <row r="782">
      <c r="A782" s="341"/>
      <c r="B782" s="168"/>
      <c r="C782" s="341"/>
      <c r="D782" s="168"/>
      <c r="E782" s="341"/>
      <c r="F782" s="168"/>
      <c r="G782" s="341"/>
      <c r="H782" s="168"/>
      <c r="I782" s="369"/>
      <c r="J782" s="188"/>
      <c r="K782" s="369"/>
      <c r="L782" s="188"/>
      <c r="M782" s="341"/>
      <c r="N782" s="168"/>
      <c r="O782" s="341"/>
      <c r="P782" s="168"/>
      <c r="Q782" s="370"/>
      <c r="R782" s="370"/>
      <c r="S782" s="17"/>
      <c r="T782" s="17"/>
      <c r="U782" s="17"/>
      <c r="V782" s="17"/>
    </row>
    <row r="783">
      <c r="A783" s="341"/>
      <c r="B783" s="168"/>
      <c r="C783" s="341"/>
      <c r="D783" s="168"/>
      <c r="E783" s="341"/>
      <c r="F783" s="168"/>
      <c r="G783" s="341"/>
      <c r="H783" s="168"/>
      <c r="I783" s="369"/>
      <c r="J783" s="188"/>
      <c r="K783" s="369"/>
      <c r="L783" s="188"/>
      <c r="M783" s="341"/>
      <c r="N783" s="168"/>
      <c r="O783" s="341"/>
      <c r="P783" s="168"/>
      <c r="Q783" s="370"/>
      <c r="R783" s="370"/>
      <c r="S783" s="17"/>
      <c r="T783" s="17"/>
      <c r="U783" s="17"/>
      <c r="V783" s="17"/>
    </row>
    <row r="784">
      <c r="A784" s="341"/>
      <c r="B784" s="168"/>
      <c r="C784" s="341"/>
      <c r="D784" s="168"/>
      <c r="E784" s="341"/>
      <c r="F784" s="168"/>
      <c r="G784" s="341"/>
      <c r="H784" s="168"/>
      <c r="I784" s="369"/>
      <c r="J784" s="188"/>
      <c r="K784" s="369"/>
      <c r="L784" s="188"/>
      <c r="M784" s="341"/>
      <c r="N784" s="168"/>
      <c r="O784" s="341"/>
      <c r="P784" s="168"/>
      <c r="Q784" s="370"/>
      <c r="R784" s="370"/>
      <c r="S784" s="17"/>
      <c r="T784" s="17"/>
      <c r="U784" s="17"/>
      <c r="V784" s="17"/>
    </row>
    <row r="785">
      <c r="A785" s="341"/>
      <c r="B785" s="168"/>
      <c r="C785" s="341"/>
      <c r="D785" s="168"/>
      <c r="E785" s="341"/>
      <c r="F785" s="168"/>
      <c r="G785" s="341"/>
      <c r="H785" s="168"/>
      <c r="I785" s="369"/>
      <c r="J785" s="188"/>
      <c r="K785" s="369"/>
      <c r="L785" s="188"/>
      <c r="M785" s="341"/>
      <c r="N785" s="168"/>
      <c r="O785" s="341"/>
      <c r="P785" s="168"/>
      <c r="Q785" s="370"/>
      <c r="R785" s="370"/>
      <c r="S785" s="17"/>
      <c r="T785" s="17"/>
      <c r="U785" s="17"/>
      <c r="V785" s="17"/>
    </row>
    <row r="786">
      <c r="A786" s="341"/>
      <c r="B786" s="168"/>
      <c r="C786" s="341"/>
      <c r="D786" s="168"/>
      <c r="E786" s="341"/>
      <c r="F786" s="168"/>
      <c r="G786" s="341"/>
      <c r="H786" s="168"/>
      <c r="I786" s="369"/>
      <c r="J786" s="188"/>
      <c r="K786" s="369"/>
      <c r="L786" s="188"/>
      <c r="M786" s="341"/>
      <c r="N786" s="168"/>
      <c r="O786" s="341"/>
      <c r="P786" s="168"/>
      <c r="Q786" s="370"/>
      <c r="R786" s="370"/>
      <c r="S786" s="17"/>
      <c r="T786" s="17"/>
      <c r="U786" s="17"/>
      <c r="V786" s="17"/>
    </row>
    <row r="787">
      <c r="A787" s="341"/>
      <c r="B787" s="168"/>
      <c r="C787" s="341"/>
      <c r="D787" s="168"/>
      <c r="E787" s="341"/>
      <c r="F787" s="168"/>
      <c r="G787" s="341"/>
      <c r="H787" s="168"/>
      <c r="I787" s="369"/>
      <c r="J787" s="188"/>
      <c r="K787" s="369"/>
      <c r="L787" s="188"/>
      <c r="M787" s="341"/>
      <c r="N787" s="168"/>
      <c r="O787" s="341"/>
      <c r="P787" s="168"/>
      <c r="Q787" s="370"/>
      <c r="R787" s="370"/>
      <c r="S787" s="17"/>
      <c r="T787" s="17"/>
      <c r="U787" s="17"/>
      <c r="V787" s="17"/>
    </row>
    <row r="788">
      <c r="A788" s="341"/>
      <c r="B788" s="168"/>
      <c r="C788" s="341"/>
      <c r="D788" s="168"/>
      <c r="E788" s="341"/>
      <c r="F788" s="168"/>
      <c r="G788" s="341"/>
      <c r="H788" s="168"/>
      <c r="I788" s="369"/>
      <c r="J788" s="188"/>
      <c r="K788" s="369"/>
      <c r="L788" s="188"/>
      <c r="M788" s="341"/>
      <c r="N788" s="168"/>
      <c r="O788" s="341"/>
      <c r="P788" s="168"/>
      <c r="Q788" s="370"/>
      <c r="R788" s="370"/>
      <c r="S788" s="17"/>
      <c r="T788" s="17"/>
      <c r="U788" s="17"/>
      <c r="V788" s="17"/>
    </row>
    <row r="789">
      <c r="A789" s="341"/>
      <c r="B789" s="168"/>
      <c r="C789" s="341"/>
      <c r="D789" s="168"/>
      <c r="E789" s="341"/>
      <c r="F789" s="168"/>
      <c r="G789" s="341"/>
      <c r="H789" s="168"/>
      <c r="I789" s="369"/>
      <c r="J789" s="188"/>
      <c r="K789" s="369"/>
      <c r="L789" s="188"/>
      <c r="M789" s="341"/>
      <c r="N789" s="168"/>
      <c r="O789" s="341"/>
      <c r="P789" s="168"/>
      <c r="Q789" s="370"/>
      <c r="R789" s="370"/>
      <c r="S789" s="17"/>
      <c r="T789" s="17"/>
      <c r="U789" s="17"/>
      <c r="V789" s="17"/>
    </row>
    <row r="790">
      <c r="A790" s="341"/>
      <c r="B790" s="168"/>
      <c r="C790" s="341"/>
      <c r="D790" s="168"/>
      <c r="E790" s="341"/>
      <c r="F790" s="168"/>
      <c r="G790" s="341"/>
      <c r="H790" s="168"/>
      <c r="I790" s="369"/>
      <c r="J790" s="188"/>
      <c r="K790" s="369"/>
      <c r="L790" s="188"/>
      <c r="M790" s="341"/>
      <c r="N790" s="168"/>
      <c r="O790" s="341"/>
      <c r="P790" s="168"/>
      <c r="Q790" s="370"/>
      <c r="R790" s="370"/>
      <c r="S790" s="17"/>
      <c r="T790" s="17"/>
      <c r="U790" s="17"/>
      <c r="V790" s="17"/>
    </row>
    <row r="791">
      <c r="A791" s="341"/>
      <c r="B791" s="168"/>
      <c r="C791" s="341"/>
      <c r="D791" s="168"/>
      <c r="E791" s="341"/>
      <c r="F791" s="168"/>
      <c r="G791" s="341"/>
      <c r="H791" s="168"/>
      <c r="I791" s="369"/>
      <c r="J791" s="188"/>
      <c r="K791" s="369"/>
      <c r="L791" s="188"/>
      <c r="M791" s="341"/>
      <c r="N791" s="168"/>
      <c r="O791" s="341"/>
      <c r="P791" s="168"/>
      <c r="Q791" s="370"/>
      <c r="R791" s="370"/>
      <c r="S791" s="17"/>
      <c r="T791" s="17"/>
      <c r="U791" s="17"/>
      <c r="V791" s="17"/>
    </row>
    <row r="792">
      <c r="A792" s="341"/>
      <c r="B792" s="168"/>
      <c r="C792" s="341"/>
      <c r="D792" s="168"/>
      <c r="E792" s="341"/>
      <c r="F792" s="168"/>
      <c r="G792" s="341"/>
      <c r="H792" s="168"/>
      <c r="I792" s="369"/>
      <c r="J792" s="188"/>
      <c r="K792" s="369"/>
      <c r="L792" s="188"/>
      <c r="M792" s="341"/>
      <c r="N792" s="168"/>
      <c r="O792" s="341"/>
      <c r="P792" s="168"/>
      <c r="Q792" s="370"/>
      <c r="R792" s="370"/>
      <c r="S792" s="17"/>
      <c r="T792" s="17"/>
      <c r="U792" s="17"/>
      <c r="V792" s="17"/>
    </row>
    <row r="793">
      <c r="A793" s="341"/>
      <c r="B793" s="168"/>
      <c r="C793" s="341"/>
      <c r="D793" s="168"/>
      <c r="E793" s="341"/>
      <c r="F793" s="168"/>
      <c r="G793" s="341"/>
      <c r="H793" s="168"/>
      <c r="I793" s="369"/>
      <c r="J793" s="188"/>
      <c r="K793" s="369"/>
      <c r="L793" s="188"/>
      <c r="M793" s="341"/>
      <c r="N793" s="168"/>
      <c r="O793" s="341"/>
      <c r="P793" s="168"/>
      <c r="Q793" s="370"/>
      <c r="R793" s="370"/>
      <c r="S793" s="17"/>
      <c r="T793" s="17"/>
      <c r="U793" s="17"/>
      <c r="V793" s="17"/>
    </row>
    <row r="794">
      <c r="A794" s="341"/>
      <c r="B794" s="168"/>
      <c r="C794" s="341"/>
      <c r="D794" s="168"/>
      <c r="E794" s="341"/>
      <c r="F794" s="168"/>
      <c r="G794" s="341"/>
      <c r="H794" s="168"/>
      <c r="I794" s="369"/>
      <c r="J794" s="188"/>
      <c r="K794" s="369"/>
      <c r="L794" s="188"/>
      <c r="M794" s="341"/>
      <c r="N794" s="168"/>
      <c r="O794" s="341"/>
      <c r="P794" s="168"/>
      <c r="Q794" s="370"/>
      <c r="R794" s="370"/>
      <c r="S794" s="17"/>
      <c r="T794" s="17"/>
      <c r="U794" s="17"/>
      <c r="V794" s="17"/>
    </row>
    <row r="795">
      <c r="A795" s="341"/>
      <c r="B795" s="168"/>
      <c r="C795" s="341"/>
      <c r="D795" s="168"/>
      <c r="E795" s="341"/>
      <c r="F795" s="168"/>
      <c r="G795" s="341"/>
      <c r="H795" s="168"/>
      <c r="I795" s="369"/>
      <c r="J795" s="188"/>
      <c r="K795" s="369"/>
      <c r="L795" s="188"/>
      <c r="M795" s="341"/>
      <c r="N795" s="168"/>
      <c r="O795" s="341"/>
      <c r="P795" s="168"/>
      <c r="Q795" s="370"/>
      <c r="R795" s="370"/>
      <c r="S795" s="17"/>
      <c r="T795" s="17"/>
      <c r="U795" s="17"/>
      <c r="V795" s="17"/>
    </row>
    <row r="796">
      <c r="A796" s="341"/>
      <c r="B796" s="168"/>
      <c r="C796" s="341"/>
      <c r="D796" s="168"/>
      <c r="E796" s="341"/>
      <c r="F796" s="168"/>
      <c r="G796" s="341"/>
      <c r="H796" s="168"/>
      <c r="I796" s="369"/>
      <c r="J796" s="188"/>
      <c r="K796" s="369"/>
      <c r="L796" s="188"/>
      <c r="M796" s="341"/>
      <c r="N796" s="168"/>
      <c r="O796" s="341"/>
      <c r="P796" s="168"/>
      <c r="Q796" s="370"/>
      <c r="R796" s="370"/>
      <c r="S796" s="17"/>
      <c r="T796" s="17"/>
      <c r="U796" s="17"/>
      <c r="V796" s="17"/>
    </row>
    <row r="797">
      <c r="A797" s="341"/>
      <c r="B797" s="168"/>
      <c r="C797" s="341"/>
      <c r="D797" s="168"/>
      <c r="E797" s="341"/>
      <c r="F797" s="168"/>
      <c r="G797" s="341"/>
      <c r="H797" s="168"/>
      <c r="I797" s="369"/>
      <c r="J797" s="188"/>
      <c r="K797" s="369"/>
      <c r="L797" s="188"/>
      <c r="M797" s="341"/>
      <c r="N797" s="168"/>
      <c r="O797" s="341"/>
      <c r="P797" s="168"/>
      <c r="Q797" s="370"/>
      <c r="R797" s="370"/>
      <c r="S797" s="17"/>
      <c r="T797" s="17"/>
      <c r="U797" s="17"/>
      <c r="V797" s="17"/>
    </row>
    <row r="798">
      <c r="A798" s="341"/>
      <c r="B798" s="168"/>
      <c r="C798" s="341"/>
      <c r="D798" s="168"/>
      <c r="E798" s="341"/>
      <c r="F798" s="168"/>
      <c r="G798" s="341"/>
      <c r="H798" s="168"/>
      <c r="I798" s="369"/>
      <c r="J798" s="188"/>
      <c r="K798" s="369"/>
      <c r="L798" s="188"/>
      <c r="M798" s="341"/>
      <c r="N798" s="168"/>
      <c r="O798" s="341"/>
      <c r="P798" s="168"/>
      <c r="Q798" s="370"/>
      <c r="R798" s="370"/>
      <c r="S798" s="17"/>
      <c r="T798" s="17"/>
      <c r="U798" s="17"/>
      <c r="V798" s="17"/>
    </row>
    <row r="799">
      <c r="A799" s="341"/>
      <c r="B799" s="168"/>
      <c r="C799" s="341"/>
      <c r="D799" s="168"/>
      <c r="E799" s="341"/>
      <c r="F799" s="168"/>
      <c r="G799" s="341"/>
      <c r="H799" s="168"/>
      <c r="I799" s="369"/>
      <c r="J799" s="188"/>
      <c r="K799" s="369"/>
      <c r="L799" s="188"/>
      <c r="M799" s="341"/>
      <c r="N799" s="168"/>
      <c r="O799" s="341"/>
      <c r="P799" s="168"/>
      <c r="Q799" s="370"/>
      <c r="R799" s="370"/>
      <c r="S799" s="17"/>
      <c r="T799" s="17"/>
      <c r="U799" s="17"/>
      <c r="V799" s="17"/>
    </row>
    <row r="800">
      <c r="A800" s="341"/>
      <c r="B800" s="168"/>
      <c r="C800" s="341"/>
      <c r="D800" s="168"/>
      <c r="E800" s="341"/>
      <c r="F800" s="168"/>
      <c r="G800" s="341"/>
      <c r="H800" s="168"/>
      <c r="I800" s="369"/>
      <c r="J800" s="188"/>
      <c r="K800" s="369"/>
      <c r="L800" s="188"/>
      <c r="M800" s="341"/>
      <c r="N800" s="168"/>
      <c r="O800" s="341"/>
      <c r="P800" s="168"/>
      <c r="Q800" s="370"/>
      <c r="R800" s="370"/>
      <c r="S800" s="17"/>
      <c r="T800" s="17"/>
      <c r="U800" s="17"/>
      <c r="V800" s="17"/>
    </row>
    <row r="801">
      <c r="A801" s="341"/>
      <c r="B801" s="168"/>
      <c r="C801" s="341"/>
      <c r="D801" s="168"/>
      <c r="E801" s="341"/>
      <c r="F801" s="168"/>
      <c r="G801" s="341"/>
      <c r="H801" s="168"/>
      <c r="I801" s="369"/>
      <c r="J801" s="188"/>
      <c r="K801" s="369"/>
      <c r="L801" s="188"/>
      <c r="M801" s="341"/>
      <c r="N801" s="168"/>
      <c r="O801" s="341"/>
      <c r="P801" s="168"/>
      <c r="Q801" s="370"/>
      <c r="R801" s="370"/>
      <c r="S801" s="17"/>
      <c r="T801" s="17"/>
      <c r="U801" s="17"/>
      <c r="V801" s="17"/>
    </row>
    <row r="802">
      <c r="A802" s="341"/>
      <c r="B802" s="168"/>
      <c r="C802" s="341"/>
      <c r="D802" s="168"/>
      <c r="E802" s="341"/>
      <c r="F802" s="168"/>
      <c r="G802" s="341"/>
      <c r="H802" s="168"/>
      <c r="I802" s="369"/>
      <c r="J802" s="188"/>
      <c r="K802" s="369"/>
      <c r="L802" s="188"/>
      <c r="M802" s="341"/>
      <c r="N802" s="168"/>
      <c r="O802" s="341"/>
      <c r="P802" s="168"/>
      <c r="Q802" s="370"/>
      <c r="R802" s="370"/>
      <c r="S802" s="17"/>
      <c r="T802" s="17"/>
      <c r="U802" s="17"/>
      <c r="V802" s="17"/>
    </row>
    <row r="803">
      <c r="A803" s="341"/>
      <c r="B803" s="168"/>
      <c r="C803" s="341"/>
      <c r="D803" s="168"/>
      <c r="E803" s="341"/>
      <c r="F803" s="168"/>
      <c r="G803" s="341"/>
      <c r="H803" s="168"/>
      <c r="I803" s="369"/>
      <c r="J803" s="188"/>
      <c r="K803" s="369"/>
      <c r="L803" s="188"/>
      <c r="M803" s="341"/>
      <c r="N803" s="168"/>
      <c r="O803" s="341"/>
      <c r="P803" s="168"/>
      <c r="Q803" s="370"/>
      <c r="R803" s="370"/>
      <c r="S803" s="17"/>
      <c r="T803" s="17"/>
      <c r="U803" s="17"/>
      <c r="V803" s="17"/>
    </row>
    <row r="804">
      <c r="A804" s="341"/>
      <c r="B804" s="168"/>
      <c r="C804" s="341"/>
      <c r="D804" s="168"/>
      <c r="E804" s="341"/>
      <c r="F804" s="168"/>
      <c r="G804" s="341"/>
      <c r="H804" s="168"/>
      <c r="I804" s="369"/>
      <c r="J804" s="188"/>
      <c r="K804" s="369"/>
      <c r="L804" s="188"/>
      <c r="M804" s="341"/>
      <c r="N804" s="168"/>
      <c r="O804" s="341"/>
      <c r="P804" s="168"/>
      <c r="Q804" s="370"/>
      <c r="R804" s="370"/>
      <c r="S804" s="17"/>
      <c r="T804" s="17"/>
      <c r="U804" s="17"/>
      <c r="V804" s="17"/>
    </row>
    <row r="805">
      <c r="A805" s="341"/>
      <c r="B805" s="168"/>
      <c r="C805" s="341"/>
      <c r="D805" s="168"/>
      <c r="E805" s="341"/>
      <c r="F805" s="168"/>
      <c r="G805" s="341"/>
      <c r="H805" s="168"/>
      <c r="I805" s="369"/>
      <c r="J805" s="188"/>
      <c r="K805" s="369"/>
      <c r="L805" s="188"/>
      <c r="M805" s="341"/>
      <c r="N805" s="168"/>
      <c r="O805" s="341"/>
      <c r="P805" s="168"/>
      <c r="Q805" s="370"/>
      <c r="R805" s="370"/>
      <c r="S805" s="17"/>
      <c r="T805" s="17"/>
      <c r="U805" s="17"/>
      <c r="V805" s="17"/>
    </row>
    <row r="806">
      <c r="A806" s="341"/>
      <c r="B806" s="168"/>
      <c r="C806" s="341"/>
      <c r="D806" s="168"/>
      <c r="E806" s="341"/>
      <c r="F806" s="168"/>
      <c r="G806" s="341"/>
      <c r="H806" s="168"/>
      <c r="I806" s="369"/>
      <c r="J806" s="188"/>
      <c r="K806" s="369"/>
      <c r="L806" s="188"/>
      <c r="M806" s="341"/>
      <c r="N806" s="168"/>
      <c r="O806" s="341"/>
      <c r="P806" s="168"/>
      <c r="Q806" s="370"/>
      <c r="R806" s="370"/>
      <c r="S806" s="17"/>
      <c r="T806" s="17"/>
      <c r="U806" s="17"/>
      <c r="V806" s="17"/>
    </row>
    <row r="807">
      <c r="A807" s="341"/>
      <c r="B807" s="168"/>
      <c r="C807" s="341"/>
      <c r="D807" s="168"/>
      <c r="E807" s="341"/>
      <c r="F807" s="168"/>
      <c r="G807" s="341"/>
      <c r="H807" s="168"/>
      <c r="I807" s="369"/>
      <c r="J807" s="188"/>
      <c r="K807" s="369"/>
      <c r="L807" s="188"/>
      <c r="M807" s="341"/>
      <c r="N807" s="168"/>
      <c r="O807" s="341"/>
      <c r="P807" s="168"/>
      <c r="Q807" s="370"/>
      <c r="R807" s="370"/>
      <c r="S807" s="17"/>
      <c r="T807" s="17"/>
      <c r="U807" s="17"/>
      <c r="V807" s="17"/>
    </row>
    <row r="808">
      <c r="A808" s="341"/>
      <c r="B808" s="168"/>
      <c r="C808" s="341"/>
      <c r="D808" s="168"/>
      <c r="E808" s="341"/>
      <c r="F808" s="168"/>
      <c r="G808" s="341"/>
      <c r="H808" s="168"/>
      <c r="I808" s="369"/>
      <c r="J808" s="188"/>
      <c r="K808" s="369"/>
      <c r="L808" s="188"/>
      <c r="M808" s="341"/>
      <c r="N808" s="168"/>
      <c r="O808" s="341"/>
      <c r="P808" s="168"/>
      <c r="Q808" s="370"/>
      <c r="R808" s="370"/>
      <c r="S808" s="17"/>
      <c r="T808" s="17"/>
      <c r="U808" s="17"/>
      <c r="V808" s="17"/>
    </row>
    <row r="809">
      <c r="A809" s="341"/>
      <c r="B809" s="168"/>
      <c r="C809" s="341"/>
      <c r="D809" s="168"/>
      <c r="E809" s="341"/>
      <c r="F809" s="168"/>
      <c r="G809" s="341"/>
      <c r="H809" s="168"/>
      <c r="I809" s="369"/>
      <c r="J809" s="188"/>
      <c r="K809" s="369"/>
      <c r="L809" s="188"/>
      <c r="M809" s="341"/>
      <c r="N809" s="168"/>
      <c r="O809" s="341"/>
      <c r="P809" s="168"/>
      <c r="Q809" s="370"/>
      <c r="R809" s="370"/>
      <c r="S809" s="17"/>
      <c r="T809" s="17"/>
      <c r="U809" s="17"/>
      <c r="V809" s="17"/>
    </row>
    <row r="810">
      <c r="A810" s="341"/>
      <c r="B810" s="168"/>
      <c r="C810" s="341"/>
      <c r="D810" s="168"/>
      <c r="E810" s="341"/>
      <c r="F810" s="168"/>
      <c r="G810" s="341"/>
      <c r="H810" s="168"/>
      <c r="I810" s="369"/>
      <c r="J810" s="188"/>
      <c r="K810" s="369"/>
      <c r="L810" s="188"/>
      <c r="M810" s="341"/>
      <c r="N810" s="168"/>
      <c r="O810" s="341"/>
      <c r="P810" s="168"/>
      <c r="Q810" s="370"/>
      <c r="R810" s="370"/>
      <c r="S810" s="17"/>
      <c r="T810" s="17"/>
      <c r="U810" s="17"/>
      <c r="V810" s="17"/>
    </row>
    <row r="811">
      <c r="A811" s="341"/>
      <c r="B811" s="168"/>
      <c r="C811" s="341"/>
      <c r="D811" s="168"/>
      <c r="E811" s="341"/>
      <c r="F811" s="168"/>
      <c r="G811" s="341"/>
      <c r="H811" s="168"/>
      <c r="I811" s="369"/>
      <c r="J811" s="188"/>
      <c r="K811" s="369"/>
      <c r="L811" s="188"/>
      <c r="M811" s="341"/>
      <c r="N811" s="168"/>
      <c r="O811" s="341"/>
      <c r="P811" s="168"/>
      <c r="Q811" s="370"/>
      <c r="R811" s="370"/>
      <c r="S811" s="17"/>
      <c r="T811" s="17"/>
      <c r="U811" s="17"/>
      <c r="V811" s="17"/>
    </row>
    <row r="812">
      <c r="A812" s="341"/>
      <c r="B812" s="168"/>
      <c r="C812" s="341"/>
      <c r="D812" s="168"/>
      <c r="E812" s="341"/>
      <c r="F812" s="168"/>
      <c r="G812" s="341"/>
      <c r="H812" s="168"/>
      <c r="I812" s="369"/>
      <c r="J812" s="188"/>
      <c r="K812" s="369"/>
      <c r="L812" s="188"/>
      <c r="M812" s="341"/>
      <c r="N812" s="168"/>
      <c r="O812" s="341"/>
      <c r="P812" s="168"/>
      <c r="Q812" s="370"/>
      <c r="R812" s="370"/>
      <c r="S812" s="17"/>
      <c r="T812" s="17"/>
      <c r="U812" s="17"/>
      <c r="V812" s="17"/>
    </row>
    <row r="813">
      <c r="A813" s="341"/>
      <c r="B813" s="168"/>
      <c r="C813" s="341"/>
      <c r="D813" s="168"/>
      <c r="E813" s="341"/>
      <c r="F813" s="168"/>
      <c r="G813" s="341"/>
      <c r="H813" s="168"/>
      <c r="I813" s="369"/>
      <c r="J813" s="188"/>
      <c r="K813" s="369"/>
      <c r="L813" s="188"/>
      <c r="M813" s="341"/>
      <c r="N813" s="168"/>
      <c r="O813" s="341"/>
      <c r="P813" s="168"/>
      <c r="Q813" s="370"/>
      <c r="R813" s="370"/>
      <c r="S813" s="17"/>
      <c r="T813" s="17"/>
      <c r="U813" s="17"/>
      <c r="V813" s="17"/>
    </row>
    <row r="814">
      <c r="A814" s="341"/>
      <c r="B814" s="168"/>
      <c r="C814" s="341"/>
      <c r="D814" s="168"/>
      <c r="E814" s="341"/>
      <c r="F814" s="168"/>
      <c r="G814" s="341"/>
      <c r="H814" s="168"/>
      <c r="I814" s="369"/>
      <c r="J814" s="188"/>
      <c r="K814" s="369"/>
      <c r="L814" s="188"/>
      <c r="M814" s="341"/>
      <c r="N814" s="168"/>
      <c r="O814" s="341"/>
      <c r="P814" s="168"/>
      <c r="Q814" s="370"/>
      <c r="R814" s="370"/>
      <c r="S814" s="17"/>
      <c r="T814" s="17"/>
      <c r="U814" s="17"/>
      <c r="V814" s="17"/>
    </row>
    <row r="815">
      <c r="A815" s="341"/>
      <c r="B815" s="168"/>
      <c r="C815" s="341"/>
      <c r="D815" s="168"/>
      <c r="E815" s="341"/>
      <c r="F815" s="168"/>
      <c r="G815" s="341"/>
      <c r="H815" s="168"/>
      <c r="I815" s="369"/>
      <c r="J815" s="188"/>
      <c r="K815" s="369"/>
      <c r="L815" s="188"/>
      <c r="M815" s="341"/>
      <c r="N815" s="168"/>
      <c r="O815" s="341"/>
      <c r="P815" s="168"/>
      <c r="Q815" s="370"/>
      <c r="R815" s="370"/>
      <c r="S815" s="17"/>
      <c r="T815" s="17"/>
      <c r="U815" s="17"/>
      <c r="V815" s="17"/>
    </row>
    <row r="816">
      <c r="A816" s="341"/>
      <c r="B816" s="168"/>
      <c r="C816" s="341"/>
      <c r="D816" s="168"/>
      <c r="E816" s="341"/>
      <c r="F816" s="168"/>
      <c r="G816" s="341"/>
      <c r="H816" s="168"/>
      <c r="I816" s="369"/>
      <c r="J816" s="188"/>
      <c r="K816" s="369"/>
      <c r="L816" s="188"/>
      <c r="M816" s="341"/>
      <c r="N816" s="168"/>
      <c r="O816" s="341"/>
      <c r="P816" s="168"/>
      <c r="Q816" s="370"/>
      <c r="R816" s="370"/>
      <c r="S816" s="17"/>
      <c r="T816" s="17"/>
      <c r="U816" s="17"/>
      <c r="V816" s="17"/>
    </row>
    <row r="817">
      <c r="A817" s="341"/>
      <c r="B817" s="168"/>
      <c r="C817" s="341"/>
      <c r="D817" s="168"/>
      <c r="E817" s="341"/>
      <c r="F817" s="168"/>
      <c r="G817" s="341"/>
      <c r="H817" s="168"/>
      <c r="I817" s="369"/>
      <c r="J817" s="188"/>
      <c r="K817" s="369"/>
      <c r="L817" s="188"/>
      <c r="M817" s="341"/>
      <c r="N817" s="168"/>
      <c r="O817" s="341"/>
      <c r="P817" s="168"/>
      <c r="Q817" s="370"/>
      <c r="R817" s="370"/>
      <c r="S817" s="17"/>
      <c r="T817" s="17"/>
      <c r="U817" s="17"/>
      <c r="V817" s="17"/>
    </row>
    <row r="818">
      <c r="A818" s="341"/>
      <c r="B818" s="168"/>
      <c r="C818" s="341"/>
      <c r="D818" s="168"/>
      <c r="E818" s="341"/>
      <c r="F818" s="168"/>
      <c r="G818" s="341"/>
      <c r="H818" s="168"/>
      <c r="I818" s="369"/>
      <c r="J818" s="188"/>
      <c r="K818" s="369"/>
      <c r="L818" s="188"/>
      <c r="M818" s="341"/>
      <c r="N818" s="168"/>
      <c r="O818" s="341"/>
      <c r="P818" s="168"/>
      <c r="Q818" s="370"/>
      <c r="R818" s="370"/>
      <c r="S818" s="17"/>
      <c r="T818" s="17"/>
      <c r="U818" s="17"/>
      <c r="V818" s="17"/>
    </row>
    <row r="819">
      <c r="A819" s="341"/>
      <c r="B819" s="168"/>
      <c r="C819" s="341"/>
      <c r="D819" s="168"/>
      <c r="E819" s="341"/>
      <c r="F819" s="168"/>
      <c r="G819" s="341"/>
      <c r="H819" s="168"/>
      <c r="I819" s="369"/>
      <c r="J819" s="188"/>
      <c r="K819" s="369"/>
      <c r="L819" s="188"/>
      <c r="M819" s="341"/>
      <c r="N819" s="168"/>
      <c r="O819" s="341"/>
      <c r="P819" s="168"/>
      <c r="Q819" s="370"/>
      <c r="R819" s="370"/>
      <c r="S819" s="17"/>
      <c r="T819" s="17"/>
      <c r="U819" s="17"/>
      <c r="V819" s="17"/>
    </row>
    <row r="820">
      <c r="A820" s="341"/>
      <c r="B820" s="168"/>
      <c r="C820" s="341"/>
      <c r="D820" s="168"/>
      <c r="E820" s="341"/>
      <c r="F820" s="168"/>
      <c r="G820" s="341"/>
      <c r="H820" s="168"/>
      <c r="I820" s="369"/>
      <c r="J820" s="188"/>
      <c r="K820" s="369"/>
      <c r="L820" s="188"/>
      <c r="M820" s="341"/>
      <c r="N820" s="168"/>
      <c r="O820" s="341"/>
      <c r="P820" s="168"/>
      <c r="Q820" s="370"/>
      <c r="R820" s="370"/>
      <c r="S820" s="17"/>
      <c r="T820" s="17"/>
      <c r="U820" s="17"/>
      <c r="V820" s="17"/>
    </row>
    <row r="821">
      <c r="A821" s="341"/>
      <c r="B821" s="168"/>
      <c r="C821" s="341"/>
      <c r="D821" s="168"/>
      <c r="E821" s="341"/>
      <c r="F821" s="168"/>
      <c r="G821" s="341"/>
      <c r="H821" s="168"/>
      <c r="I821" s="369"/>
      <c r="J821" s="188"/>
      <c r="K821" s="369"/>
      <c r="L821" s="188"/>
      <c r="M821" s="341"/>
      <c r="N821" s="168"/>
      <c r="O821" s="341"/>
      <c r="P821" s="168"/>
      <c r="Q821" s="370"/>
      <c r="R821" s="370"/>
      <c r="S821" s="17"/>
      <c r="T821" s="17"/>
      <c r="U821" s="17"/>
      <c r="V821" s="17"/>
    </row>
    <row r="822">
      <c r="A822" s="341"/>
      <c r="B822" s="168"/>
      <c r="C822" s="341"/>
      <c r="D822" s="168"/>
      <c r="E822" s="341"/>
      <c r="F822" s="168"/>
      <c r="G822" s="341"/>
      <c r="H822" s="168"/>
      <c r="I822" s="369"/>
      <c r="J822" s="188"/>
      <c r="K822" s="369"/>
      <c r="L822" s="188"/>
      <c r="M822" s="341"/>
      <c r="N822" s="168"/>
      <c r="O822" s="341"/>
      <c r="P822" s="168"/>
      <c r="Q822" s="370"/>
      <c r="R822" s="370"/>
      <c r="S822" s="17"/>
      <c r="T822" s="17"/>
      <c r="U822" s="17"/>
      <c r="V822" s="17"/>
    </row>
    <row r="823">
      <c r="A823" s="341"/>
      <c r="B823" s="168"/>
      <c r="C823" s="341"/>
      <c r="D823" s="168"/>
      <c r="E823" s="341"/>
      <c r="F823" s="168"/>
      <c r="G823" s="341"/>
      <c r="H823" s="168"/>
      <c r="I823" s="369"/>
      <c r="J823" s="188"/>
      <c r="K823" s="369"/>
      <c r="L823" s="188"/>
      <c r="M823" s="341"/>
      <c r="N823" s="168"/>
      <c r="O823" s="341"/>
      <c r="P823" s="168"/>
      <c r="Q823" s="370"/>
      <c r="R823" s="370"/>
      <c r="S823" s="17"/>
      <c r="T823" s="17"/>
      <c r="U823" s="17"/>
      <c r="V823" s="17"/>
    </row>
    <row r="824">
      <c r="A824" s="341"/>
      <c r="B824" s="168"/>
      <c r="C824" s="341"/>
      <c r="D824" s="168"/>
      <c r="E824" s="341"/>
      <c r="F824" s="168"/>
      <c r="G824" s="341"/>
      <c r="H824" s="168"/>
      <c r="I824" s="369"/>
      <c r="J824" s="188"/>
      <c r="K824" s="369"/>
      <c r="L824" s="188"/>
      <c r="M824" s="341"/>
      <c r="N824" s="168"/>
      <c r="O824" s="341"/>
      <c r="P824" s="168"/>
      <c r="Q824" s="370"/>
      <c r="R824" s="370"/>
      <c r="S824" s="17"/>
      <c r="T824" s="17"/>
      <c r="U824" s="17"/>
      <c r="V824" s="17"/>
    </row>
    <row r="825">
      <c r="A825" s="341"/>
      <c r="B825" s="168"/>
      <c r="C825" s="341"/>
      <c r="D825" s="168"/>
      <c r="E825" s="341"/>
      <c r="F825" s="168"/>
      <c r="G825" s="341"/>
      <c r="H825" s="168"/>
      <c r="I825" s="369"/>
      <c r="J825" s="188"/>
      <c r="K825" s="369"/>
      <c r="L825" s="188"/>
      <c r="M825" s="341"/>
      <c r="N825" s="168"/>
      <c r="O825" s="341"/>
      <c r="P825" s="168"/>
      <c r="Q825" s="370"/>
      <c r="R825" s="370"/>
      <c r="S825" s="17"/>
      <c r="T825" s="17"/>
      <c r="U825" s="17"/>
      <c r="V825" s="17"/>
    </row>
    <row r="826">
      <c r="A826" s="341"/>
      <c r="B826" s="168"/>
      <c r="C826" s="341"/>
      <c r="D826" s="168"/>
      <c r="E826" s="341"/>
      <c r="F826" s="168"/>
      <c r="G826" s="341"/>
      <c r="H826" s="168"/>
      <c r="I826" s="369"/>
      <c r="J826" s="188"/>
      <c r="K826" s="369"/>
      <c r="L826" s="188"/>
      <c r="M826" s="341"/>
      <c r="N826" s="168"/>
      <c r="O826" s="341"/>
      <c r="P826" s="168"/>
      <c r="Q826" s="370"/>
      <c r="R826" s="370"/>
      <c r="S826" s="17"/>
      <c r="T826" s="17"/>
      <c r="U826" s="17"/>
      <c r="V826" s="17"/>
    </row>
    <row r="827">
      <c r="A827" s="341"/>
      <c r="B827" s="168"/>
      <c r="C827" s="341"/>
      <c r="D827" s="168"/>
      <c r="E827" s="341"/>
      <c r="F827" s="168"/>
      <c r="G827" s="341"/>
      <c r="H827" s="168"/>
      <c r="I827" s="369"/>
      <c r="J827" s="188"/>
      <c r="K827" s="369"/>
      <c r="L827" s="188"/>
      <c r="M827" s="341"/>
      <c r="N827" s="168"/>
      <c r="O827" s="341"/>
      <c r="P827" s="168"/>
      <c r="Q827" s="370"/>
      <c r="R827" s="370"/>
      <c r="S827" s="17"/>
      <c r="T827" s="17"/>
      <c r="U827" s="17"/>
      <c r="V827" s="17"/>
    </row>
    <row r="828">
      <c r="A828" s="341"/>
      <c r="B828" s="168"/>
      <c r="C828" s="341"/>
      <c r="D828" s="168"/>
      <c r="E828" s="341"/>
      <c r="F828" s="168"/>
      <c r="G828" s="341"/>
      <c r="H828" s="168"/>
      <c r="I828" s="369"/>
      <c r="J828" s="188"/>
      <c r="K828" s="369"/>
      <c r="L828" s="188"/>
      <c r="M828" s="341"/>
      <c r="N828" s="168"/>
      <c r="O828" s="341"/>
      <c r="P828" s="168"/>
      <c r="Q828" s="370"/>
      <c r="R828" s="370"/>
      <c r="S828" s="17"/>
      <c r="T828" s="17"/>
      <c r="U828" s="17"/>
      <c r="V828" s="17"/>
    </row>
    <row r="829">
      <c r="A829" s="341"/>
      <c r="B829" s="168"/>
      <c r="C829" s="341"/>
      <c r="D829" s="168"/>
      <c r="E829" s="341"/>
      <c r="F829" s="168"/>
      <c r="G829" s="341"/>
      <c r="H829" s="168"/>
      <c r="I829" s="369"/>
      <c r="J829" s="188"/>
      <c r="K829" s="369"/>
      <c r="L829" s="188"/>
      <c r="M829" s="341"/>
      <c r="N829" s="168"/>
      <c r="O829" s="341"/>
      <c r="P829" s="168"/>
      <c r="Q829" s="370"/>
      <c r="R829" s="370"/>
      <c r="S829" s="17"/>
      <c r="T829" s="17"/>
      <c r="U829" s="17"/>
      <c r="V829" s="17"/>
    </row>
    <row r="830">
      <c r="A830" s="341"/>
      <c r="B830" s="168"/>
      <c r="C830" s="341"/>
      <c r="D830" s="168"/>
      <c r="E830" s="341"/>
      <c r="F830" s="168"/>
      <c r="G830" s="341"/>
      <c r="H830" s="168"/>
      <c r="I830" s="369"/>
      <c r="J830" s="188"/>
      <c r="K830" s="369"/>
      <c r="L830" s="188"/>
      <c r="M830" s="341"/>
      <c r="N830" s="168"/>
      <c r="O830" s="341"/>
      <c r="P830" s="168"/>
      <c r="Q830" s="370"/>
      <c r="R830" s="370"/>
      <c r="S830" s="17"/>
      <c r="T830" s="17"/>
      <c r="U830" s="17"/>
      <c r="V830" s="17"/>
    </row>
    <row r="831">
      <c r="A831" s="341"/>
      <c r="B831" s="168"/>
      <c r="C831" s="341"/>
      <c r="D831" s="168"/>
      <c r="E831" s="341"/>
      <c r="F831" s="168"/>
      <c r="G831" s="341"/>
      <c r="H831" s="168"/>
      <c r="I831" s="369"/>
      <c r="J831" s="188"/>
      <c r="K831" s="369"/>
      <c r="L831" s="188"/>
      <c r="M831" s="341"/>
      <c r="N831" s="168"/>
      <c r="O831" s="341"/>
      <c r="P831" s="168"/>
      <c r="Q831" s="370"/>
      <c r="R831" s="370"/>
      <c r="S831" s="17"/>
      <c r="T831" s="17"/>
      <c r="U831" s="17"/>
      <c r="V831" s="17"/>
    </row>
    <row r="832">
      <c r="A832" s="341"/>
      <c r="B832" s="168"/>
      <c r="C832" s="341"/>
      <c r="D832" s="168"/>
      <c r="E832" s="341"/>
      <c r="F832" s="168"/>
      <c r="G832" s="341"/>
      <c r="H832" s="168"/>
      <c r="I832" s="369"/>
      <c r="J832" s="188"/>
      <c r="K832" s="369"/>
      <c r="L832" s="188"/>
      <c r="M832" s="341"/>
      <c r="N832" s="168"/>
      <c r="O832" s="341"/>
      <c r="P832" s="168"/>
      <c r="Q832" s="370"/>
      <c r="R832" s="370"/>
      <c r="S832" s="17"/>
      <c r="T832" s="17"/>
      <c r="U832" s="17"/>
      <c r="V832" s="17"/>
    </row>
    <row r="833">
      <c r="A833" s="341"/>
      <c r="B833" s="168"/>
      <c r="C833" s="341"/>
      <c r="D833" s="168"/>
      <c r="E833" s="341"/>
      <c r="F833" s="168"/>
      <c r="G833" s="341"/>
      <c r="H833" s="168"/>
      <c r="I833" s="369"/>
      <c r="J833" s="188"/>
      <c r="K833" s="369"/>
      <c r="L833" s="188"/>
      <c r="M833" s="341"/>
      <c r="N833" s="168"/>
      <c r="O833" s="341"/>
      <c r="P833" s="168"/>
      <c r="Q833" s="370"/>
      <c r="R833" s="370"/>
      <c r="S833" s="17"/>
      <c r="T833" s="17"/>
      <c r="U833" s="17"/>
      <c r="V833" s="17"/>
    </row>
    <row r="834">
      <c r="A834" s="341"/>
      <c r="B834" s="168"/>
      <c r="C834" s="341"/>
      <c r="D834" s="168"/>
      <c r="E834" s="341"/>
      <c r="F834" s="168"/>
      <c r="G834" s="341"/>
      <c r="H834" s="168"/>
      <c r="I834" s="369"/>
      <c r="J834" s="188"/>
      <c r="K834" s="369"/>
      <c r="L834" s="188"/>
      <c r="M834" s="341"/>
      <c r="N834" s="168"/>
      <c r="O834" s="341"/>
      <c r="P834" s="168"/>
      <c r="Q834" s="370"/>
      <c r="R834" s="370"/>
      <c r="S834" s="17"/>
      <c r="T834" s="17"/>
      <c r="U834" s="17"/>
      <c r="V834" s="17"/>
    </row>
    <row r="835">
      <c r="A835" s="341"/>
      <c r="B835" s="168"/>
      <c r="C835" s="341"/>
      <c r="D835" s="168"/>
      <c r="E835" s="341"/>
      <c r="F835" s="168"/>
      <c r="G835" s="341"/>
      <c r="H835" s="168"/>
      <c r="I835" s="369"/>
      <c r="J835" s="188"/>
      <c r="K835" s="369"/>
      <c r="L835" s="188"/>
      <c r="M835" s="341"/>
      <c r="N835" s="168"/>
      <c r="O835" s="341"/>
      <c r="P835" s="168"/>
      <c r="Q835" s="370"/>
      <c r="R835" s="370"/>
      <c r="S835" s="17"/>
      <c r="T835" s="17"/>
      <c r="U835" s="17"/>
      <c r="V835" s="17"/>
    </row>
    <row r="836">
      <c r="A836" s="341"/>
      <c r="B836" s="168"/>
      <c r="C836" s="341"/>
      <c r="D836" s="168"/>
      <c r="E836" s="341"/>
      <c r="F836" s="168"/>
      <c r="G836" s="341"/>
      <c r="H836" s="168"/>
      <c r="I836" s="369"/>
      <c r="J836" s="188"/>
      <c r="K836" s="369"/>
      <c r="L836" s="188"/>
      <c r="M836" s="341"/>
      <c r="N836" s="168"/>
      <c r="O836" s="341"/>
      <c r="P836" s="168"/>
      <c r="Q836" s="370"/>
      <c r="R836" s="370"/>
      <c r="S836" s="17"/>
      <c r="T836" s="17"/>
      <c r="U836" s="17"/>
      <c r="V836" s="17"/>
    </row>
    <row r="837">
      <c r="A837" s="341"/>
      <c r="B837" s="168"/>
      <c r="C837" s="341"/>
      <c r="D837" s="168"/>
      <c r="E837" s="341"/>
      <c r="F837" s="168"/>
      <c r="G837" s="341"/>
      <c r="H837" s="168"/>
      <c r="I837" s="369"/>
      <c r="J837" s="188"/>
      <c r="K837" s="369"/>
      <c r="L837" s="188"/>
      <c r="M837" s="341"/>
      <c r="N837" s="168"/>
      <c r="O837" s="341"/>
      <c r="P837" s="168"/>
      <c r="Q837" s="370"/>
      <c r="R837" s="370"/>
      <c r="S837" s="17"/>
      <c r="T837" s="17"/>
      <c r="U837" s="17"/>
      <c r="V837" s="17"/>
    </row>
    <row r="838">
      <c r="A838" s="341"/>
      <c r="B838" s="168"/>
      <c r="C838" s="341"/>
      <c r="D838" s="168"/>
      <c r="E838" s="341"/>
      <c r="F838" s="168"/>
      <c r="G838" s="341"/>
      <c r="H838" s="168"/>
      <c r="I838" s="369"/>
      <c r="J838" s="188"/>
      <c r="K838" s="369"/>
      <c r="L838" s="188"/>
      <c r="M838" s="341"/>
      <c r="N838" s="168"/>
      <c r="O838" s="341"/>
      <c r="P838" s="168"/>
      <c r="Q838" s="370"/>
      <c r="R838" s="370"/>
      <c r="S838" s="17"/>
      <c r="T838" s="17"/>
      <c r="U838" s="17"/>
      <c r="V838" s="17"/>
    </row>
    <row r="839">
      <c r="A839" s="341"/>
      <c r="B839" s="168"/>
      <c r="C839" s="341"/>
      <c r="D839" s="168"/>
      <c r="E839" s="341"/>
      <c r="F839" s="168"/>
      <c r="G839" s="341"/>
      <c r="H839" s="168"/>
      <c r="I839" s="369"/>
      <c r="J839" s="188"/>
      <c r="K839" s="369"/>
      <c r="L839" s="188"/>
      <c r="M839" s="341"/>
      <c r="N839" s="168"/>
      <c r="O839" s="341"/>
      <c r="P839" s="168"/>
      <c r="Q839" s="370"/>
      <c r="R839" s="370"/>
      <c r="S839" s="17"/>
      <c r="T839" s="17"/>
      <c r="U839" s="17"/>
      <c r="V839" s="17"/>
    </row>
    <row r="840">
      <c r="A840" s="341"/>
      <c r="B840" s="168"/>
      <c r="C840" s="341"/>
      <c r="D840" s="168"/>
      <c r="E840" s="341"/>
      <c r="F840" s="168"/>
      <c r="G840" s="341"/>
      <c r="H840" s="168"/>
      <c r="I840" s="369"/>
      <c r="J840" s="188"/>
      <c r="K840" s="369"/>
      <c r="L840" s="188"/>
      <c r="M840" s="341"/>
      <c r="N840" s="168"/>
      <c r="O840" s="341"/>
      <c r="P840" s="168"/>
      <c r="Q840" s="370"/>
      <c r="R840" s="370"/>
      <c r="S840" s="17"/>
      <c r="T840" s="17"/>
      <c r="U840" s="17"/>
      <c r="V840" s="17"/>
    </row>
    <row r="841">
      <c r="A841" s="341"/>
      <c r="B841" s="168"/>
      <c r="C841" s="341"/>
      <c r="D841" s="168"/>
      <c r="E841" s="341"/>
      <c r="F841" s="168"/>
      <c r="G841" s="341"/>
      <c r="H841" s="168"/>
      <c r="I841" s="369"/>
      <c r="J841" s="188"/>
      <c r="K841" s="369"/>
      <c r="L841" s="188"/>
      <c r="M841" s="341"/>
      <c r="N841" s="168"/>
      <c r="O841" s="341"/>
      <c r="P841" s="168"/>
      <c r="Q841" s="370"/>
      <c r="R841" s="370"/>
      <c r="S841" s="17"/>
      <c r="T841" s="17"/>
      <c r="U841" s="17"/>
      <c r="V841" s="17"/>
    </row>
    <row r="842">
      <c r="A842" s="341"/>
      <c r="B842" s="168"/>
      <c r="C842" s="341"/>
      <c r="D842" s="168"/>
      <c r="E842" s="341"/>
      <c r="F842" s="168"/>
      <c r="G842" s="341"/>
      <c r="H842" s="168"/>
      <c r="I842" s="369"/>
      <c r="J842" s="188"/>
      <c r="K842" s="369"/>
      <c r="L842" s="188"/>
      <c r="M842" s="341"/>
      <c r="N842" s="168"/>
      <c r="O842" s="341"/>
      <c r="P842" s="168"/>
      <c r="Q842" s="370"/>
      <c r="R842" s="370"/>
      <c r="S842" s="17"/>
      <c r="T842" s="17"/>
      <c r="U842" s="17"/>
      <c r="V842" s="17"/>
    </row>
    <row r="843">
      <c r="A843" s="341"/>
      <c r="B843" s="168"/>
      <c r="C843" s="341"/>
      <c r="D843" s="168"/>
      <c r="E843" s="341"/>
      <c r="F843" s="168"/>
      <c r="G843" s="341"/>
      <c r="H843" s="168"/>
      <c r="I843" s="369"/>
      <c r="J843" s="188"/>
      <c r="K843" s="369"/>
      <c r="L843" s="188"/>
      <c r="M843" s="341"/>
      <c r="N843" s="168"/>
      <c r="O843" s="341"/>
      <c r="P843" s="168"/>
      <c r="Q843" s="370"/>
      <c r="R843" s="370"/>
      <c r="S843" s="17"/>
      <c r="T843" s="17"/>
      <c r="U843" s="17"/>
      <c r="V843" s="17"/>
    </row>
    <row r="844">
      <c r="A844" s="341"/>
      <c r="B844" s="168"/>
      <c r="C844" s="341"/>
      <c r="D844" s="168"/>
      <c r="E844" s="341"/>
      <c r="F844" s="168"/>
      <c r="G844" s="341"/>
      <c r="H844" s="168"/>
      <c r="I844" s="369"/>
      <c r="J844" s="188"/>
      <c r="K844" s="369"/>
      <c r="L844" s="188"/>
      <c r="M844" s="341"/>
      <c r="N844" s="168"/>
      <c r="O844" s="341"/>
      <c r="P844" s="168"/>
      <c r="Q844" s="370"/>
      <c r="R844" s="370"/>
      <c r="S844" s="17"/>
      <c r="T844" s="17"/>
      <c r="U844" s="17"/>
      <c r="V844" s="17"/>
    </row>
    <row r="845">
      <c r="A845" s="341"/>
      <c r="B845" s="168"/>
      <c r="C845" s="341"/>
      <c r="D845" s="168"/>
      <c r="E845" s="341"/>
      <c r="F845" s="168"/>
      <c r="G845" s="341"/>
      <c r="H845" s="168"/>
      <c r="I845" s="369"/>
      <c r="J845" s="188"/>
      <c r="K845" s="369"/>
      <c r="L845" s="188"/>
      <c r="M845" s="341"/>
      <c r="N845" s="168"/>
      <c r="O845" s="341"/>
      <c r="P845" s="168"/>
      <c r="Q845" s="370"/>
      <c r="R845" s="370"/>
      <c r="S845" s="17"/>
      <c r="T845" s="17"/>
      <c r="U845" s="17"/>
      <c r="V845" s="17"/>
    </row>
    <row r="846">
      <c r="A846" s="341"/>
      <c r="B846" s="168"/>
      <c r="C846" s="341"/>
      <c r="D846" s="168"/>
      <c r="E846" s="341"/>
      <c r="F846" s="168"/>
      <c r="G846" s="341"/>
      <c r="H846" s="168"/>
      <c r="I846" s="369"/>
      <c r="J846" s="188"/>
      <c r="K846" s="369"/>
      <c r="L846" s="188"/>
      <c r="M846" s="341"/>
      <c r="N846" s="168"/>
      <c r="O846" s="341"/>
      <c r="P846" s="168"/>
      <c r="Q846" s="370"/>
      <c r="R846" s="370"/>
      <c r="S846" s="17"/>
      <c r="T846" s="17"/>
      <c r="U846" s="17"/>
      <c r="V846" s="17"/>
    </row>
    <row r="847">
      <c r="A847" s="341"/>
      <c r="B847" s="168"/>
      <c r="C847" s="341"/>
      <c r="D847" s="168"/>
      <c r="E847" s="341"/>
      <c r="F847" s="168"/>
      <c r="G847" s="341"/>
      <c r="H847" s="168"/>
      <c r="I847" s="369"/>
      <c r="J847" s="188"/>
      <c r="K847" s="369"/>
      <c r="L847" s="188"/>
      <c r="M847" s="341"/>
      <c r="N847" s="168"/>
      <c r="O847" s="341"/>
      <c r="P847" s="168"/>
      <c r="Q847" s="370"/>
      <c r="R847" s="370"/>
      <c r="S847" s="17"/>
      <c r="T847" s="17"/>
      <c r="U847" s="17"/>
      <c r="V847" s="17"/>
    </row>
    <row r="848">
      <c r="A848" s="341"/>
      <c r="B848" s="168"/>
      <c r="C848" s="341"/>
      <c r="D848" s="168"/>
      <c r="E848" s="341"/>
      <c r="F848" s="168"/>
      <c r="G848" s="341"/>
      <c r="H848" s="168"/>
      <c r="I848" s="369"/>
      <c r="J848" s="188"/>
      <c r="K848" s="369"/>
      <c r="L848" s="188"/>
      <c r="M848" s="341"/>
      <c r="N848" s="168"/>
      <c r="O848" s="341"/>
      <c r="P848" s="168"/>
      <c r="Q848" s="370"/>
      <c r="R848" s="370"/>
      <c r="S848" s="17"/>
      <c r="T848" s="17"/>
      <c r="U848" s="17"/>
      <c r="V848" s="17"/>
    </row>
    <row r="849">
      <c r="A849" s="341"/>
      <c r="B849" s="168"/>
      <c r="C849" s="341"/>
      <c r="D849" s="168"/>
      <c r="E849" s="341"/>
      <c r="F849" s="168"/>
      <c r="G849" s="341"/>
      <c r="H849" s="168"/>
      <c r="I849" s="369"/>
      <c r="J849" s="188"/>
      <c r="K849" s="369"/>
      <c r="L849" s="188"/>
      <c r="M849" s="341"/>
      <c r="N849" s="168"/>
      <c r="O849" s="341"/>
      <c r="P849" s="168"/>
      <c r="Q849" s="370"/>
      <c r="R849" s="370"/>
      <c r="S849" s="17"/>
      <c r="T849" s="17"/>
      <c r="U849" s="17"/>
      <c r="V849" s="17"/>
    </row>
    <row r="850">
      <c r="A850" s="341"/>
      <c r="B850" s="168"/>
      <c r="C850" s="341"/>
      <c r="D850" s="168"/>
      <c r="E850" s="341"/>
      <c r="F850" s="168"/>
      <c r="G850" s="341"/>
      <c r="H850" s="168"/>
      <c r="I850" s="369"/>
      <c r="J850" s="188"/>
      <c r="K850" s="369"/>
      <c r="L850" s="188"/>
      <c r="M850" s="341"/>
      <c r="N850" s="168"/>
      <c r="O850" s="341"/>
      <c r="P850" s="168"/>
      <c r="Q850" s="370"/>
      <c r="R850" s="370"/>
      <c r="S850" s="17"/>
      <c r="T850" s="17"/>
      <c r="U850" s="17"/>
      <c r="V850" s="17"/>
    </row>
    <row r="851">
      <c r="A851" s="341"/>
      <c r="B851" s="168"/>
      <c r="C851" s="341"/>
      <c r="D851" s="168"/>
      <c r="E851" s="341"/>
      <c r="F851" s="168"/>
      <c r="G851" s="341"/>
      <c r="H851" s="168"/>
      <c r="I851" s="369"/>
      <c r="J851" s="188"/>
      <c r="K851" s="369"/>
      <c r="L851" s="188"/>
      <c r="M851" s="341"/>
      <c r="N851" s="168"/>
      <c r="O851" s="341"/>
      <c r="P851" s="168"/>
      <c r="Q851" s="370"/>
      <c r="R851" s="370"/>
      <c r="S851" s="17"/>
      <c r="T851" s="17"/>
      <c r="U851" s="17"/>
      <c r="V851" s="17"/>
    </row>
    <row r="852">
      <c r="A852" s="341"/>
      <c r="B852" s="168"/>
      <c r="C852" s="341"/>
      <c r="D852" s="168"/>
      <c r="E852" s="341"/>
      <c r="F852" s="168"/>
      <c r="G852" s="341"/>
      <c r="H852" s="168"/>
      <c r="I852" s="369"/>
      <c r="J852" s="188"/>
      <c r="K852" s="369"/>
      <c r="L852" s="188"/>
      <c r="M852" s="341"/>
      <c r="N852" s="168"/>
      <c r="O852" s="341"/>
      <c r="P852" s="168"/>
      <c r="Q852" s="370"/>
      <c r="R852" s="370"/>
      <c r="S852" s="17"/>
      <c r="T852" s="17"/>
      <c r="U852" s="17"/>
      <c r="V852" s="17"/>
    </row>
    <row r="853">
      <c r="A853" s="341"/>
      <c r="B853" s="168"/>
      <c r="C853" s="341"/>
      <c r="D853" s="168"/>
      <c r="E853" s="341"/>
      <c r="F853" s="168"/>
      <c r="G853" s="341"/>
      <c r="H853" s="168"/>
      <c r="I853" s="369"/>
      <c r="J853" s="188"/>
      <c r="K853" s="369"/>
      <c r="L853" s="188"/>
      <c r="M853" s="341"/>
      <c r="N853" s="168"/>
      <c r="O853" s="341"/>
      <c r="P853" s="168"/>
      <c r="Q853" s="370"/>
      <c r="R853" s="370"/>
      <c r="S853" s="17"/>
      <c r="T853" s="17"/>
      <c r="U853" s="17"/>
      <c r="V853" s="17"/>
    </row>
    <row r="854">
      <c r="A854" s="341"/>
      <c r="B854" s="168"/>
      <c r="C854" s="341"/>
      <c r="D854" s="168"/>
      <c r="E854" s="341"/>
      <c r="F854" s="168"/>
      <c r="G854" s="341"/>
      <c r="H854" s="168"/>
      <c r="I854" s="369"/>
      <c r="J854" s="188"/>
      <c r="K854" s="369"/>
      <c r="L854" s="188"/>
      <c r="M854" s="341"/>
      <c r="N854" s="168"/>
      <c r="O854" s="341"/>
      <c r="P854" s="168"/>
      <c r="Q854" s="370"/>
      <c r="R854" s="370"/>
      <c r="S854" s="17"/>
      <c r="T854" s="17"/>
      <c r="U854" s="17"/>
      <c r="V854" s="17"/>
    </row>
    <row r="855">
      <c r="A855" s="341"/>
      <c r="B855" s="168"/>
      <c r="C855" s="341"/>
      <c r="D855" s="168"/>
      <c r="E855" s="341"/>
      <c r="F855" s="168"/>
      <c r="G855" s="341"/>
      <c r="H855" s="168"/>
      <c r="I855" s="369"/>
      <c r="J855" s="188"/>
      <c r="K855" s="369"/>
      <c r="L855" s="188"/>
      <c r="M855" s="341"/>
      <c r="N855" s="168"/>
      <c r="O855" s="341"/>
      <c r="P855" s="168"/>
      <c r="Q855" s="370"/>
      <c r="R855" s="370"/>
      <c r="S855" s="17"/>
      <c r="T855" s="17"/>
      <c r="U855" s="17"/>
      <c r="V855" s="17"/>
    </row>
    <row r="856">
      <c r="A856" s="341"/>
      <c r="B856" s="168"/>
      <c r="C856" s="341"/>
      <c r="D856" s="168"/>
      <c r="E856" s="341"/>
      <c r="F856" s="168"/>
      <c r="G856" s="341"/>
      <c r="H856" s="168"/>
      <c r="I856" s="369"/>
      <c r="J856" s="188"/>
      <c r="K856" s="369"/>
      <c r="L856" s="188"/>
      <c r="M856" s="341"/>
      <c r="N856" s="168"/>
      <c r="O856" s="341"/>
      <c r="P856" s="168"/>
      <c r="Q856" s="370"/>
      <c r="R856" s="370"/>
      <c r="S856" s="17"/>
      <c r="T856" s="17"/>
      <c r="U856" s="17"/>
      <c r="V856" s="17"/>
    </row>
    <row r="857">
      <c r="A857" s="341"/>
      <c r="B857" s="168"/>
      <c r="C857" s="341"/>
      <c r="D857" s="168"/>
      <c r="E857" s="341"/>
      <c r="F857" s="168"/>
      <c r="G857" s="341"/>
      <c r="H857" s="168"/>
      <c r="I857" s="369"/>
      <c r="J857" s="188"/>
      <c r="K857" s="369"/>
      <c r="L857" s="188"/>
      <c r="M857" s="341"/>
      <c r="N857" s="168"/>
      <c r="O857" s="341"/>
      <c r="P857" s="168"/>
      <c r="Q857" s="370"/>
      <c r="R857" s="370"/>
      <c r="S857" s="17"/>
      <c r="T857" s="17"/>
      <c r="U857" s="17"/>
      <c r="V857" s="17"/>
    </row>
    <row r="858">
      <c r="A858" s="341"/>
      <c r="B858" s="168"/>
      <c r="C858" s="341"/>
      <c r="D858" s="168"/>
      <c r="E858" s="341"/>
      <c r="F858" s="168"/>
      <c r="G858" s="341"/>
      <c r="H858" s="168"/>
      <c r="I858" s="369"/>
      <c r="J858" s="188"/>
      <c r="K858" s="369"/>
      <c r="L858" s="188"/>
      <c r="M858" s="341"/>
      <c r="N858" s="168"/>
      <c r="O858" s="341"/>
      <c r="P858" s="168"/>
      <c r="Q858" s="370"/>
      <c r="R858" s="370"/>
      <c r="S858" s="17"/>
      <c r="T858" s="17"/>
      <c r="U858" s="17"/>
      <c r="V858" s="17"/>
    </row>
    <row r="859">
      <c r="A859" s="341"/>
      <c r="B859" s="168"/>
      <c r="C859" s="341"/>
      <c r="D859" s="168"/>
      <c r="E859" s="341"/>
      <c r="F859" s="168"/>
      <c r="G859" s="341"/>
      <c r="H859" s="168"/>
      <c r="I859" s="369"/>
      <c r="J859" s="188"/>
      <c r="K859" s="369"/>
      <c r="L859" s="188"/>
      <c r="M859" s="341"/>
      <c r="N859" s="168"/>
      <c r="O859" s="341"/>
      <c r="P859" s="168"/>
      <c r="Q859" s="370"/>
      <c r="R859" s="370"/>
      <c r="S859" s="17"/>
      <c r="T859" s="17"/>
      <c r="U859" s="17"/>
      <c r="V859" s="17"/>
    </row>
    <row r="860">
      <c r="A860" s="341"/>
      <c r="B860" s="168"/>
      <c r="C860" s="341"/>
      <c r="D860" s="168"/>
      <c r="E860" s="341"/>
      <c r="F860" s="168"/>
      <c r="G860" s="341"/>
      <c r="H860" s="168"/>
      <c r="I860" s="369"/>
      <c r="J860" s="188"/>
      <c r="K860" s="369"/>
      <c r="L860" s="188"/>
      <c r="M860" s="341"/>
      <c r="N860" s="168"/>
      <c r="O860" s="341"/>
      <c r="P860" s="168"/>
      <c r="Q860" s="370"/>
      <c r="R860" s="370"/>
      <c r="S860" s="17"/>
      <c r="T860" s="17"/>
      <c r="U860" s="17"/>
      <c r="V860" s="17"/>
    </row>
    <row r="861">
      <c r="A861" s="341"/>
      <c r="B861" s="168"/>
      <c r="C861" s="341"/>
      <c r="D861" s="168"/>
      <c r="E861" s="341"/>
      <c r="F861" s="168"/>
      <c r="G861" s="341"/>
      <c r="H861" s="168"/>
      <c r="I861" s="369"/>
      <c r="J861" s="188"/>
      <c r="K861" s="369"/>
      <c r="L861" s="188"/>
      <c r="M861" s="341"/>
      <c r="N861" s="168"/>
      <c r="O861" s="341"/>
      <c r="P861" s="168"/>
      <c r="Q861" s="370"/>
      <c r="R861" s="370"/>
      <c r="S861" s="17"/>
      <c r="T861" s="17"/>
      <c r="U861" s="17"/>
      <c r="V861" s="17"/>
    </row>
    <row r="862">
      <c r="A862" s="341"/>
      <c r="B862" s="168"/>
      <c r="C862" s="341"/>
      <c r="D862" s="168"/>
      <c r="E862" s="341"/>
      <c r="F862" s="168"/>
      <c r="G862" s="341"/>
      <c r="H862" s="168"/>
      <c r="I862" s="369"/>
      <c r="J862" s="188"/>
      <c r="K862" s="369"/>
      <c r="L862" s="188"/>
      <c r="M862" s="341"/>
      <c r="N862" s="168"/>
      <c r="O862" s="341"/>
      <c r="P862" s="168"/>
      <c r="Q862" s="370"/>
      <c r="R862" s="370"/>
      <c r="S862" s="17"/>
      <c r="T862" s="17"/>
      <c r="U862" s="17"/>
      <c r="V862" s="17"/>
    </row>
    <row r="863">
      <c r="A863" s="341"/>
      <c r="B863" s="168"/>
      <c r="C863" s="341"/>
      <c r="D863" s="168"/>
      <c r="E863" s="341"/>
      <c r="F863" s="168"/>
      <c r="G863" s="341"/>
      <c r="H863" s="168"/>
      <c r="I863" s="369"/>
      <c r="J863" s="188"/>
      <c r="K863" s="369"/>
      <c r="L863" s="188"/>
      <c r="M863" s="341"/>
      <c r="N863" s="168"/>
      <c r="O863" s="341"/>
      <c r="P863" s="168"/>
      <c r="Q863" s="370"/>
      <c r="R863" s="370"/>
      <c r="S863" s="17"/>
      <c r="T863" s="17"/>
      <c r="U863" s="17"/>
      <c r="V863" s="17"/>
    </row>
    <row r="864">
      <c r="A864" s="341"/>
      <c r="B864" s="168"/>
      <c r="C864" s="341"/>
      <c r="D864" s="168"/>
      <c r="E864" s="341"/>
      <c r="F864" s="168"/>
      <c r="G864" s="341"/>
      <c r="H864" s="168"/>
      <c r="I864" s="369"/>
      <c r="J864" s="188"/>
      <c r="K864" s="369"/>
      <c r="L864" s="188"/>
      <c r="M864" s="341"/>
      <c r="N864" s="168"/>
      <c r="O864" s="341"/>
      <c r="P864" s="168"/>
      <c r="Q864" s="370"/>
      <c r="R864" s="370"/>
      <c r="S864" s="17"/>
      <c r="T864" s="17"/>
      <c r="U864" s="17"/>
      <c r="V864" s="17"/>
    </row>
    <row r="865">
      <c r="A865" s="341"/>
      <c r="B865" s="168"/>
      <c r="C865" s="341"/>
      <c r="D865" s="168"/>
      <c r="E865" s="341"/>
      <c r="F865" s="168"/>
      <c r="G865" s="341"/>
      <c r="H865" s="168"/>
      <c r="I865" s="369"/>
      <c r="J865" s="188"/>
      <c r="K865" s="369"/>
      <c r="L865" s="188"/>
      <c r="M865" s="341"/>
      <c r="N865" s="168"/>
      <c r="O865" s="341"/>
      <c r="P865" s="168"/>
      <c r="Q865" s="370"/>
      <c r="R865" s="370"/>
      <c r="S865" s="17"/>
      <c r="T865" s="17"/>
      <c r="U865" s="17"/>
      <c r="V865" s="17"/>
    </row>
    <row r="866">
      <c r="A866" s="341"/>
      <c r="B866" s="168"/>
      <c r="C866" s="341"/>
      <c r="D866" s="168"/>
      <c r="E866" s="341"/>
      <c r="F866" s="168"/>
      <c r="G866" s="341"/>
      <c r="H866" s="168"/>
      <c r="I866" s="369"/>
      <c r="J866" s="188"/>
      <c r="K866" s="369"/>
      <c r="L866" s="188"/>
      <c r="M866" s="341"/>
      <c r="N866" s="168"/>
      <c r="O866" s="341"/>
      <c r="P866" s="168"/>
      <c r="Q866" s="370"/>
      <c r="R866" s="370"/>
      <c r="S866" s="17"/>
      <c r="T866" s="17"/>
      <c r="U866" s="17"/>
      <c r="V866" s="17"/>
    </row>
    <row r="867">
      <c r="A867" s="341"/>
      <c r="B867" s="168"/>
      <c r="C867" s="341"/>
      <c r="D867" s="168"/>
      <c r="E867" s="341"/>
      <c r="F867" s="168"/>
      <c r="G867" s="341"/>
      <c r="H867" s="168"/>
      <c r="I867" s="369"/>
      <c r="J867" s="188"/>
      <c r="K867" s="369"/>
      <c r="L867" s="188"/>
      <c r="M867" s="341"/>
      <c r="N867" s="168"/>
      <c r="O867" s="341"/>
      <c r="P867" s="168"/>
      <c r="Q867" s="370"/>
      <c r="R867" s="370"/>
      <c r="S867" s="17"/>
      <c r="T867" s="17"/>
      <c r="U867" s="17"/>
      <c r="V867" s="17"/>
    </row>
    <row r="868">
      <c r="A868" s="341"/>
      <c r="B868" s="168"/>
      <c r="C868" s="341"/>
      <c r="D868" s="168"/>
      <c r="E868" s="341"/>
      <c r="F868" s="168"/>
      <c r="G868" s="341"/>
      <c r="H868" s="168"/>
      <c r="I868" s="369"/>
      <c r="J868" s="188"/>
      <c r="K868" s="369"/>
      <c r="L868" s="188"/>
      <c r="M868" s="341"/>
      <c r="N868" s="168"/>
      <c r="O868" s="341"/>
      <c r="P868" s="168"/>
      <c r="Q868" s="370"/>
      <c r="R868" s="370"/>
      <c r="S868" s="17"/>
      <c r="T868" s="17"/>
      <c r="U868" s="17"/>
      <c r="V868" s="17"/>
    </row>
    <row r="869">
      <c r="A869" s="341"/>
      <c r="B869" s="168"/>
      <c r="C869" s="341"/>
      <c r="D869" s="168"/>
      <c r="E869" s="341"/>
      <c r="F869" s="168"/>
      <c r="G869" s="341"/>
      <c r="H869" s="168"/>
      <c r="I869" s="369"/>
      <c r="J869" s="188"/>
      <c r="K869" s="369"/>
      <c r="L869" s="188"/>
      <c r="M869" s="341"/>
      <c r="N869" s="168"/>
      <c r="O869" s="341"/>
      <c r="P869" s="168"/>
      <c r="Q869" s="370"/>
      <c r="R869" s="370"/>
      <c r="S869" s="17"/>
      <c r="T869" s="17"/>
      <c r="U869" s="17"/>
      <c r="V869" s="17"/>
    </row>
    <row r="870">
      <c r="A870" s="341"/>
      <c r="B870" s="168"/>
      <c r="C870" s="341"/>
      <c r="D870" s="168"/>
      <c r="E870" s="341"/>
      <c r="F870" s="168"/>
      <c r="G870" s="341"/>
      <c r="H870" s="168"/>
      <c r="I870" s="369"/>
      <c r="J870" s="188"/>
      <c r="K870" s="369"/>
      <c r="L870" s="188"/>
      <c r="M870" s="341"/>
      <c r="N870" s="168"/>
      <c r="O870" s="341"/>
      <c r="P870" s="168"/>
      <c r="Q870" s="370"/>
      <c r="R870" s="370"/>
      <c r="S870" s="17"/>
      <c r="T870" s="17"/>
      <c r="U870" s="17"/>
      <c r="V870" s="17"/>
    </row>
    <row r="871">
      <c r="A871" s="341"/>
      <c r="B871" s="168"/>
      <c r="C871" s="341"/>
      <c r="D871" s="168"/>
      <c r="E871" s="341"/>
      <c r="F871" s="168"/>
      <c r="G871" s="341"/>
      <c r="H871" s="168"/>
      <c r="I871" s="369"/>
      <c r="J871" s="188"/>
      <c r="K871" s="369"/>
      <c r="L871" s="188"/>
      <c r="M871" s="341"/>
      <c r="N871" s="168"/>
      <c r="O871" s="341"/>
      <c r="P871" s="168"/>
      <c r="Q871" s="370"/>
      <c r="R871" s="370"/>
      <c r="S871" s="17"/>
      <c r="T871" s="17"/>
      <c r="U871" s="17"/>
      <c r="V871" s="17"/>
    </row>
    <row r="872">
      <c r="A872" s="341"/>
      <c r="B872" s="168"/>
      <c r="C872" s="341"/>
      <c r="D872" s="168"/>
      <c r="E872" s="341"/>
      <c r="F872" s="168"/>
      <c r="G872" s="341"/>
      <c r="H872" s="168"/>
      <c r="I872" s="369"/>
      <c r="J872" s="188"/>
      <c r="K872" s="369"/>
      <c r="L872" s="188"/>
      <c r="M872" s="341"/>
      <c r="N872" s="168"/>
      <c r="O872" s="341"/>
      <c r="P872" s="168"/>
      <c r="Q872" s="370"/>
      <c r="R872" s="370"/>
      <c r="S872" s="17"/>
      <c r="T872" s="17"/>
      <c r="U872" s="17"/>
      <c r="V872" s="17"/>
    </row>
    <row r="873">
      <c r="A873" s="341"/>
      <c r="B873" s="168"/>
      <c r="C873" s="341"/>
      <c r="D873" s="168"/>
      <c r="E873" s="341"/>
      <c r="F873" s="168"/>
      <c r="G873" s="341"/>
      <c r="H873" s="168"/>
      <c r="I873" s="369"/>
      <c r="J873" s="188"/>
      <c r="K873" s="369"/>
      <c r="L873" s="188"/>
      <c r="M873" s="341"/>
      <c r="N873" s="168"/>
      <c r="O873" s="341"/>
      <c r="P873" s="168"/>
      <c r="Q873" s="370"/>
      <c r="R873" s="370"/>
      <c r="S873" s="17"/>
      <c r="T873" s="17"/>
      <c r="U873" s="17"/>
      <c r="V873" s="17"/>
    </row>
    <row r="874">
      <c r="A874" s="341"/>
      <c r="B874" s="168"/>
      <c r="C874" s="341"/>
      <c r="D874" s="168"/>
      <c r="E874" s="341"/>
      <c r="F874" s="168"/>
      <c r="G874" s="341"/>
      <c r="H874" s="168"/>
      <c r="I874" s="369"/>
      <c r="J874" s="188"/>
      <c r="K874" s="369"/>
      <c r="L874" s="188"/>
      <c r="M874" s="341"/>
      <c r="N874" s="168"/>
      <c r="O874" s="341"/>
      <c r="P874" s="168"/>
      <c r="Q874" s="370"/>
      <c r="R874" s="370"/>
      <c r="S874" s="17"/>
      <c r="T874" s="17"/>
      <c r="U874" s="17"/>
      <c r="V874" s="17"/>
    </row>
    <row r="875">
      <c r="A875" s="341"/>
      <c r="B875" s="168"/>
      <c r="C875" s="341"/>
      <c r="D875" s="168"/>
      <c r="E875" s="341"/>
      <c r="F875" s="168"/>
      <c r="G875" s="341"/>
      <c r="H875" s="168"/>
      <c r="I875" s="369"/>
      <c r="J875" s="188"/>
      <c r="K875" s="369"/>
      <c r="L875" s="188"/>
      <c r="M875" s="341"/>
      <c r="N875" s="168"/>
      <c r="O875" s="341"/>
      <c r="P875" s="168"/>
      <c r="Q875" s="370"/>
      <c r="R875" s="370"/>
      <c r="S875" s="17"/>
      <c r="T875" s="17"/>
      <c r="U875" s="17"/>
      <c r="V875" s="17"/>
    </row>
    <row r="876">
      <c r="A876" s="341"/>
      <c r="B876" s="168"/>
      <c r="C876" s="341"/>
      <c r="D876" s="168"/>
      <c r="E876" s="341"/>
      <c r="F876" s="168"/>
      <c r="G876" s="341"/>
      <c r="H876" s="168"/>
      <c r="I876" s="369"/>
      <c r="J876" s="188"/>
      <c r="K876" s="369"/>
      <c r="L876" s="188"/>
      <c r="M876" s="341"/>
      <c r="N876" s="168"/>
      <c r="O876" s="341"/>
      <c r="P876" s="168"/>
      <c r="Q876" s="370"/>
      <c r="R876" s="370"/>
      <c r="S876" s="17"/>
      <c r="T876" s="17"/>
      <c r="U876" s="17"/>
      <c r="V876" s="17"/>
    </row>
    <row r="877">
      <c r="A877" s="341"/>
      <c r="B877" s="168"/>
      <c r="C877" s="341"/>
      <c r="D877" s="168"/>
      <c r="E877" s="341"/>
      <c r="F877" s="168"/>
      <c r="G877" s="341"/>
      <c r="H877" s="168"/>
      <c r="I877" s="369"/>
      <c r="J877" s="188"/>
      <c r="K877" s="369"/>
      <c r="L877" s="188"/>
      <c r="M877" s="341"/>
      <c r="N877" s="168"/>
      <c r="O877" s="341"/>
      <c r="P877" s="168"/>
      <c r="Q877" s="370"/>
      <c r="R877" s="370"/>
      <c r="S877" s="17"/>
      <c r="T877" s="17"/>
      <c r="U877" s="17"/>
      <c r="V877" s="17"/>
    </row>
    <row r="878">
      <c r="A878" s="341"/>
      <c r="B878" s="168"/>
      <c r="C878" s="341"/>
      <c r="D878" s="168"/>
      <c r="E878" s="341"/>
      <c r="F878" s="168"/>
      <c r="G878" s="341"/>
      <c r="H878" s="168"/>
      <c r="I878" s="369"/>
      <c r="J878" s="188"/>
      <c r="K878" s="369"/>
      <c r="L878" s="188"/>
      <c r="M878" s="341"/>
      <c r="N878" s="168"/>
      <c r="O878" s="341"/>
      <c r="P878" s="168"/>
      <c r="Q878" s="370"/>
      <c r="R878" s="370"/>
      <c r="S878" s="17"/>
      <c r="T878" s="17"/>
      <c r="U878" s="17"/>
      <c r="V878" s="17"/>
    </row>
    <row r="879">
      <c r="A879" s="341"/>
      <c r="B879" s="168"/>
      <c r="C879" s="341"/>
      <c r="D879" s="168"/>
      <c r="E879" s="341"/>
      <c r="F879" s="168"/>
      <c r="G879" s="341"/>
      <c r="H879" s="168"/>
      <c r="I879" s="369"/>
      <c r="J879" s="188"/>
      <c r="K879" s="369"/>
      <c r="L879" s="188"/>
      <c r="M879" s="341"/>
      <c r="N879" s="168"/>
      <c r="O879" s="341"/>
      <c r="P879" s="168"/>
      <c r="Q879" s="370"/>
      <c r="R879" s="370"/>
      <c r="S879" s="17"/>
      <c r="T879" s="17"/>
      <c r="U879" s="17"/>
      <c r="V879" s="17"/>
    </row>
    <row r="880">
      <c r="A880" s="341"/>
      <c r="B880" s="168"/>
      <c r="C880" s="341"/>
      <c r="D880" s="168"/>
      <c r="E880" s="341"/>
      <c r="F880" s="168"/>
      <c r="G880" s="341"/>
      <c r="H880" s="168"/>
      <c r="I880" s="369"/>
      <c r="J880" s="188"/>
      <c r="K880" s="369"/>
      <c r="L880" s="188"/>
      <c r="M880" s="341"/>
      <c r="N880" s="168"/>
      <c r="O880" s="341"/>
      <c r="P880" s="168"/>
      <c r="Q880" s="370"/>
      <c r="R880" s="370"/>
      <c r="S880" s="17"/>
      <c r="T880" s="17"/>
      <c r="U880" s="17"/>
      <c r="V880" s="17"/>
    </row>
    <row r="881">
      <c r="A881" s="341"/>
      <c r="B881" s="168"/>
      <c r="C881" s="341"/>
      <c r="D881" s="168"/>
      <c r="E881" s="341"/>
      <c r="F881" s="168"/>
      <c r="G881" s="341"/>
      <c r="H881" s="168"/>
      <c r="I881" s="369"/>
      <c r="J881" s="188"/>
      <c r="K881" s="369"/>
      <c r="L881" s="188"/>
      <c r="M881" s="341"/>
      <c r="N881" s="168"/>
      <c r="O881" s="341"/>
      <c r="P881" s="168"/>
      <c r="Q881" s="370"/>
      <c r="R881" s="370"/>
      <c r="S881" s="17"/>
      <c r="T881" s="17"/>
      <c r="U881" s="17"/>
      <c r="V881" s="17"/>
    </row>
    <row r="882">
      <c r="A882" s="341"/>
      <c r="B882" s="168"/>
      <c r="C882" s="341"/>
      <c r="D882" s="168"/>
      <c r="E882" s="341"/>
      <c r="F882" s="168"/>
      <c r="G882" s="341"/>
      <c r="H882" s="168"/>
      <c r="I882" s="369"/>
      <c r="J882" s="188"/>
      <c r="K882" s="369"/>
      <c r="L882" s="188"/>
      <c r="M882" s="341"/>
      <c r="N882" s="168"/>
      <c r="O882" s="341"/>
      <c r="P882" s="168"/>
      <c r="Q882" s="370"/>
      <c r="R882" s="370"/>
      <c r="S882" s="17"/>
      <c r="T882" s="17"/>
      <c r="U882" s="17"/>
      <c r="V882" s="17"/>
    </row>
    <row r="883">
      <c r="A883" s="341"/>
      <c r="B883" s="168"/>
      <c r="C883" s="341"/>
      <c r="D883" s="168"/>
      <c r="E883" s="341"/>
      <c r="F883" s="168"/>
      <c r="G883" s="341"/>
      <c r="H883" s="168"/>
      <c r="I883" s="369"/>
      <c r="J883" s="188"/>
      <c r="K883" s="369"/>
      <c r="L883" s="188"/>
      <c r="M883" s="341"/>
      <c r="N883" s="168"/>
      <c r="O883" s="341"/>
      <c r="P883" s="168"/>
      <c r="Q883" s="370"/>
      <c r="R883" s="370"/>
      <c r="S883" s="17"/>
      <c r="T883" s="17"/>
      <c r="U883" s="17"/>
      <c r="V883" s="17"/>
    </row>
    <row r="884">
      <c r="A884" s="341"/>
      <c r="B884" s="168"/>
      <c r="C884" s="341"/>
      <c r="D884" s="168"/>
      <c r="E884" s="341"/>
      <c r="F884" s="168"/>
      <c r="G884" s="341"/>
      <c r="H884" s="168"/>
      <c r="I884" s="369"/>
      <c r="J884" s="188"/>
      <c r="K884" s="369"/>
      <c r="L884" s="188"/>
      <c r="M884" s="341"/>
      <c r="N884" s="168"/>
      <c r="O884" s="341"/>
      <c r="P884" s="168"/>
      <c r="Q884" s="370"/>
      <c r="R884" s="370"/>
      <c r="S884" s="17"/>
      <c r="T884" s="17"/>
      <c r="U884" s="17"/>
      <c r="V884" s="17"/>
    </row>
    <row r="885">
      <c r="A885" s="341"/>
      <c r="B885" s="168"/>
      <c r="C885" s="341"/>
      <c r="D885" s="168"/>
      <c r="E885" s="341"/>
      <c r="F885" s="168"/>
      <c r="G885" s="341"/>
      <c r="H885" s="168"/>
      <c r="I885" s="369"/>
      <c r="J885" s="188"/>
      <c r="K885" s="369"/>
      <c r="L885" s="188"/>
      <c r="M885" s="341"/>
      <c r="N885" s="168"/>
      <c r="O885" s="341"/>
      <c r="P885" s="168"/>
      <c r="Q885" s="370"/>
      <c r="R885" s="370"/>
      <c r="S885" s="17"/>
      <c r="T885" s="17"/>
      <c r="U885" s="17"/>
      <c r="V885" s="17"/>
    </row>
    <row r="886">
      <c r="A886" s="341"/>
      <c r="B886" s="168"/>
      <c r="C886" s="341"/>
      <c r="D886" s="168"/>
      <c r="E886" s="341"/>
      <c r="F886" s="168"/>
      <c r="G886" s="341"/>
      <c r="H886" s="168"/>
      <c r="I886" s="369"/>
      <c r="J886" s="188"/>
      <c r="K886" s="369"/>
      <c r="L886" s="188"/>
      <c r="M886" s="341"/>
      <c r="N886" s="168"/>
      <c r="O886" s="341"/>
      <c r="P886" s="168"/>
      <c r="Q886" s="370"/>
      <c r="R886" s="370"/>
      <c r="S886" s="17"/>
      <c r="T886" s="17"/>
      <c r="U886" s="17"/>
      <c r="V886" s="17"/>
    </row>
    <row r="887">
      <c r="A887" s="341"/>
      <c r="B887" s="168"/>
      <c r="C887" s="341"/>
      <c r="D887" s="168"/>
      <c r="E887" s="341"/>
      <c r="F887" s="168"/>
      <c r="G887" s="341"/>
      <c r="H887" s="168"/>
      <c r="I887" s="369"/>
      <c r="J887" s="188"/>
      <c r="K887" s="369"/>
      <c r="L887" s="188"/>
      <c r="M887" s="341"/>
      <c r="N887" s="168"/>
      <c r="O887" s="341"/>
      <c r="P887" s="168"/>
      <c r="Q887" s="370"/>
      <c r="R887" s="370"/>
      <c r="S887" s="17"/>
      <c r="T887" s="17"/>
      <c r="U887" s="17"/>
      <c r="V887" s="17"/>
    </row>
    <row r="888">
      <c r="A888" s="341"/>
      <c r="B888" s="168"/>
      <c r="C888" s="341"/>
      <c r="D888" s="168"/>
      <c r="E888" s="341"/>
      <c r="F888" s="168"/>
      <c r="G888" s="341"/>
      <c r="H888" s="168"/>
      <c r="I888" s="369"/>
      <c r="J888" s="188"/>
      <c r="K888" s="369"/>
      <c r="L888" s="188"/>
      <c r="M888" s="341"/>
      <c r="N888" s="168"/>
      <c r="O888" s="341"/>
      <c r="P888" s="168"/>
      <c r="Q888" s="370"/>
      <c r="R888" s="370"/>
      <c r="S888" s="17"/>
      <c r="T888" s="17"/>
      <c r="U888" s="17"/>
      <c r="V888" s="17"/>
    </row>
    <row r="889">
      <c r="A889" s="341"/>
      <c r="B889" s="168"/>
      <c r="C889" s="341"/>
      <c r="D889" s="168"/>
      <c r="E889" s="341"/>
      <c r="F889" s="168"/>
      <c r="G889" s="341"/>
      <c r="H889" s="168"/>
      <c r="I889" s="369"/>
      <c r="J889" s="188"/>
      <c r="K889" s="369"/>
      <c r="L889" s="188"/>
      <c r="M889" s="341"/>
      <c r="N889" s="168"/>
      <c r="O889" s="341"/>
      <c r="P889" s="168"/>
      <c r="Q889" s="370"/>
      <c r="R889" s="370"/>
      <c r="S889" s="17"/>
      <c r="T889" s="17"/>
      <c r="U889" s="17"/>
      <c r="V889" s="17"/>
    </row>
    <row r="890">
      <c r="A890" s="341"/>
      <c r="B890" s="168"/>
      <c r="C890" s="341"/>
      <c r="D890" s="168"/>
      <c r="E890" s="341"/>
      <c r="F890" s="168"/>
      <c r="G890" s="341"/>
      <c r="H890" s="168"/>
      <c r="I890" s="369"/>
      <c r="J890" s="188"/>
      <c r="K890" s="369"/>
      <c r="L890" s="188"/>
      <c r="M890" s="341"/>
      <c r="N890" s="168"/>
      <c r="O890" s="341"/>
      <c r="P890" s="168"/>
      <c r="Q890" s="370"/>
      <c r="R890" s="370"/>
      <c r="S890" s="17"/>
      <c r="T890" s="17"/>
      <c r="U890" s="17"/>
      <c r="V890" s="17"/>
    </row>
    <row r="891">
      <c r="A891" s="341"/>
      <c r="B891" s="168"/>
      <c r="C891" s="341"/>
      <c r="D891" s="168"/>
      <c r="E891" s="341"/>
      <c r="F891" s="168"/>
      <c r="G891" s="341"/>
      <c r="H891" s="168"/>
      <c r="I891" s="369"/>
      <c r="J891" s="188"/>
      <c r="K891" s="369"/>
      <c r="L891" s="188"/>
      <c r="M891" s="341"/>
      <c r="N891" s="168"/>
      <c r="O891" s="341"/>
      <c r="P891" s="168"/>
      <c r="Q891" s="370"/>
      <c r="R891" s="370"/>
      <c r="S891" s="17"/>
      <c r="T891" s="17"/>
      <c r="U891" s="17"/>
      <c r="V891" s="17"/>
    </row>
    <row r="892">
      <c r="A892" s="341"/>
      <c r="B892" s="168"/>
      <c r="C892" s="341"/>
      <c r="D892" s="168"/>
      <c r="E892" s="341"/>
      <c r="F892" s="168"/>
      <c r="G892" s="341"/>
      <c r="H892" s="168"/>
      <c r="I892" s="369"/>
      <c r="J892" s="188"/>
      <c r="K892" s="369"/>
      <c r="L892" s="188"/>
      <c r="M892" s="341"/>
      <c r="N892" s="168"/>
      <c r="O892" s="341"/>
      <c r="P892" s="168"/>
      <c r="Q892" s="370"/>
      <c r="R892" s="370"/>
      <c r="S892" s="17"/>
      <c r="T892" s="17"/>
      <c r="U892" s="17"/>
      <c r="V892" s="17"/>
    </row>
    <row r="893">
      <c r="A893" s="341"/>
      <c r="B893" s="168"/>
      <c r="C893" s="341"/>
      <c r="D893" s="168"/>
      <c r="E893" s="341"/>
      <c r="F893" s="168"/>
      <c r="G893" s="341"/>
      <c r="H893" s="168"/>
      <c r="I893" s="369"/>
      <c r="J893" s="188"/>
      <c r="K893" s="369"/>
      <c r="L893" s="188"/>
      <c r="M893" s="341"/>
      <c r="N893" s="168"/>
      <c r="O893" s="341"/>
      <c r="P893" s="168"/>
      <c r="Q893" s="370"/>
      <c r="R893" s="370"/>
      <c r="S893" s="17"/>
      <c r="T893" s="17"/>
      <c r="U893" s="17"/>
      <c r="V893" s="17"/>
    </row>
    <row r="894">
      <c r="A894" s="341"/>
      <c r="B894" s="168"/>
      <c r="C894" s="341"/>
      <c r="D894" s="168"/>
      <c r="E894" s="341"/>
      <c r="F894" s="168"/>
      <c r="G894" s="341"/>
      <c r="H894" s="168"/>
      <c r="I894" s="369"/>
      <c r="J894" s="188"/>
      <c r="K894" s="369"/>
      <c r="L894" s="188"/>
      <c r="M894" s="341"/>
      <c r="N894" s="168"/>
      <c r="O894" s="341"/>
      <c r="P894" s="168"/>
      <c r="Q894" s="370"/>
      <c r="R894" s="370"/>
      <c r="S894" s="17"/>
      <c r="T894" s="17"/>
      <c r="U894" s="17"/>
      <c r="V894" s="17"/>
    </row>
    <row r="895">
      <c r="A895" s="341"/>
      <c r="B895" s="168"/>
      <c r="C895" s="341"/>
      <c r="D895" s="168"/>
      <c r="E895" s="341"/>
      <c r="F895" s="168"/>
      <c r="G895" s="341"/>
      <c r="H895" s="168"/>
      <c r="I895" s="369"/>
      <c r="J895" s="188"/>
      <c r="K895" s="369"/>
      <c r="L895" s="188"/>
      <c r="M895" s="341"/>
      <c r="N895" s="168"/>
      <c r="O895" s="341"/>
      <c r="P895" s="168"/>
      <c r="Q895" s="370"/>
      <c r="R895" s="370"/>
      <c r="S895" s="17"/>
      <c r="T895" s="17"/>
      <c r="U895" s="17"/>
      <c r="V895" s="17"/>
    </row>
    <row r="896">
      <c r="A896" s="341"/>
      <c r="B896" s="168"/>
      <c r="C896" s="341"/>
      <c r="D896" s="168"/>
      <c r="E896" s="341"/>
      <c r="F896" s="168"/>
      <c r="G896" s="341"/>
      <c r="H896" s="168"/>
      <c r="I896" s="369"/>
      <c r="J896" s="188"/>
      <c r="K896" s="369"/>
      <c r="L896" s="188"/>
      <c r="M896" s="341"/>
      <c r="N896" s="168"/>
      <c r="O896" s="341"/>
      <c r="P896" s="168"/>
      <c r="Q896" s="370"/>
      <c r="R896" s="370"/>
      <c r="S896" s="17"/>
      <c r="T896" s="17"/>
      <c r="U896" s="17"/>
      <c r="V896" s="17"/>
    </row>
    <row r="897">
      <c r="A897" s="341"/>
      <c r="B897" s="168"/>
      <c r="C897" s="341"/>
      <c r="D897" s="168"/>
      <c r="E897" s="341"/>
      <c r="F897" s="168"/>
      <c r="G897" s="341"/>
      <c r="H897" s="168"/>
      <c r="I897" s="369"/>
      <c r="J897" s="188"/>
      <c r="K897" s="369"/>
      <c r="L897" s="188"/>
      <c r="M897" s="341"/>
      <c r="N897" s="168"/>
      <c r="O897" s="341"/>
      <c r="P897" s="168"/>
      <c r="Q897" s="370"/>
      <c r="R897" s="370"/>
      <c r="S897" s="17"/>
      <c r="T897" s="17"/>
      <c r="U897" s="17"/>
      <c r="V897" s="17"/>
    </row>
    <row r="898">
      <c r="A898" s="341"/>
      <c r="B898" s="168"/>
      <c r="C898" s="341"/>
      <c r="D898" s="168"/>
      <c r="E898" s="341"/>
      <c r="F898" s="168"/>
      <c r="G898" s="341"/>
      <c r="H898" s="168"/>
      <c r="I898" s="369"/>
      <c r="J898" s="188"/>
      <c r="K898" s="369"/>
      <c r="L898" s="188"/>
      <c r="M898" s="341"/>
      <c r="N898" s="168"/>
      <c r="O898" s="341"/>
      <c r="P898" s="168"/>
      <c r="Q898" s="370"/>
      <c r="R898" s="370"/>
      <c r="S898" s="17"/>
      <c r="T898" s="17"/>
      <c r="U898" s="17"/>
      <c r="V898" s="17"/>
    </row>
    <row r="899">
      <c r="A899" s="341"/>
      <c r="B899" s="168"/>
      <c r="C899" s="341"/>
      <c r="D899" s="168"/>
      <c r="E899" s="341"/>
      <c r="F899" s="168"/>
      <c r="G899" s="341"/>
      <c r="H899" s="168"/>
      <c r="I899" s="369"/>
      <c r="J899" s="188"/>
      <c r="K899" s="369"/>
      <c r="L899" s="188"/>
      <c r="M899" s="341"/>
      <c r="N899" s="168"/>
      <c r="O899" s="341"/>
      <c r="P899" s="168"/>
      <c r="Q899" s="370"/>
      <c r="R899" s="370"/>
      <c r="S899" s="17"/>
      <c r="T899" s="17"/>
      <c r="U899" s="17"/>
      <c r="V899" s="17"/>
    </row>
    <row r="900">
      <c r="A900" s="341"/>
      <c r="B900" s="168"/>
      <c r="C900" s="341"/>
      <c r="D900" s="168"/>
      <c r="E900" s="341"/>
      <c r="F900" s="168"/>
      <c r="G900" s="341"/>
      <c r="H900" s="168"/>
      <c r="I900" s="369"/>
      <c r="J900" s="188"/>
      <c r="K900" s="369"/>
      <c r="L900" s="188"/>
      <c r="M900" s="341"/>
      <c r="N900" s="168"/>
      <c r="O900" s="341"/>
      <c r="P900" s="168"/>
      <c r="Q900" s="370"/>
      <c r="R900" s="370"/>
      <c r="S900" s="17"/>
      <c r="T900" s="17"/>
      <c r="U900" s="17"/>
      <c r="V900" s="17"/>
    </row>
    <row r="901">
      <c r="A901" s="341"/>
      <c r="B901" s="168"/>
      <c r="C901" s="341"/>
      <c r="D901" s="168"/>
      <c r="E901" s="341"/>
      <c r="F901" s="168"/>
      <c r="G901" s="341"/>
      <c r="H901" s="168"/>
      <c r="I901" s="369"/>
      <c r="J901" s="188"/>
      <c r="K901" s="369"/>
      <c r="L901" s="188"/>
      <c r="M901" s="341"/>
      <c r="N901" s="168"/>
      <c r="O901" s="341"/>
      <c r="P901" s="168"/>
      <c r="Q901" s="370"/>
      <c r="R901" s="370"/>
      <c r="S901" s="17"/>
      <c r="T901" s="17"/>
      <c r="U901" s="17"/>
      <c r="V901" s="17"/>
    </row>
    <row r="902">
      <c r="A902" s="341"/>
      <c r="B902" s="168"/>
      <c r="C902" s="341"/>
      <c r="D902" s="168"/>
      <c r="E902" s="341"/>
      <c r="F902" s="168"/>
      <c r="G902" s="341"/>
      <c r="H902" s="168"/>
      <c r="I902" s="369"/>
      <c r="J902" s="188"/>
      <c r="K902" s="369"/>
      <c r="L902" s="188"/>
      <c r="M902" s="341"/>
      <c r="N902" s="168"/>
      <c r="O902" s="341"/>
      <c r="P902" s="168"/>
      <c r="Q902" s="370"/>
      <c r="R902" s="370"/>
      <c r="S902" s="17"/>
      <c r="T902" s="17"/>
      <c r="U902" s="17"/>
      <c r="V902" s="17"/>
    </row>
    <row r="903">
      <c r="A903" s="341"/>
      <c r="B903" s="168"/>
      <c r="C903" s="341"/>
      <c r="D903" s="168"/>
      <c r="E903" s="341"/>
      <c r="F903" s="168"/>
      <c r="G903" s="341"/>
      <c r="H903" s="168"/>
      <c r="I903" s="369"/>
      <c r="J903" s="188"/>
      <c r="K903" s="369"/>
      <c r="L903" s="188"/>
      <c r="M903" s="341"/>
      <c r="N903" s="168"/>
      <c r="O903" s="341"/>
      <c r="P903" s="168"/>
      <c r="Q903" s="370"/>
      <c r="R903" s="370"/>
      <c r="S903" s="17"/>
      <c r="T903" s="17"/>
      <c r="U903" s="17"/>
      <c r="V903" s="17"/>
    </row>
    <row r="904">
      <c r="A904" s="341"/>
      <c r="B904" s="168"/>
      <c r="C904" s="341"/>
      <c r="D904" s="168"/>
      <c r="E904" s="341"/>
      <c r="F904" s="168"/>
      <c r="G904" s="341"/>
      <c r="H904" s="168"/>
      <c r="I904" s="369"/>
      <c r="J904" s="188"/>
      <c r="K904" s="369"/>
      <c r="L904" s="188"/>
      <c r="M904" s="341"/>
      <c r="N904" s="168"/>
      <c r="O904" s="341"/>
      <c r="P904" s="168"/>
      <c r="Q904" s="370"/>
      <c r="R904" s="370"/>
      <c r="S904" s="17"/>
      <c r="T904" s="17"/>
      <c r="U904" s="17"/>
      <c r="V904" s="17"/>
    </row>
    <row r="905">
      <c r="A905" s="341"/>
      <c r="B905" s="168"/>
      <c r="C905" s="341"/>
      <c r="D905" s="168"/>
      <c r="E905" s="341"/>
      <c r="F905" s="168"/>
      <c r="G905" s="341"/>
      <c r="H905" s="168"/>
      <c r="I905" s="369"/>
      <c r="J905" s="188"/>
      <c r="K905" s="369"/>
      <c r="L905" s="188"/>
      <c r="M905" s="341"/>
      <c r="N905" s="168"/>
      <c r="O905" s="341"/>
      <c r="P905" s="168"/>
      <c r="Q905" s="370"/>
      <c r="R905" s="370"/>
      <c r="S905" s="17"/>
      <c r="T905" s="17"/>
      <c r="U905" s="17"/>
      <c r="V905" s="17"/>
    </row>
    <row r="906">
      <c r="A906" s="341"/>
      <c r="B906" s="168"/>
      <c r="C906" s="341"/>
      <c r="D906" s="168"/>
      <c r="E906" s="341"/>
      <c r="F906" s="168"/>
      <c r="G906" s="341"/>
      <c r="H906" s="168"/>
      <c r="I906" s="369"/>
      <c r="J906" s="188"/>
      <c r="K906" s="369"/>
      <c r="L906" s="188"/>
      <c r="M906" s="341"/>
      <c r="N906" s="168"/>
      <c r="O906" s="341"/>
      <c r="P906" s="168"/>
      <c r="Q906" s="370"/>
      <c r="R906" s="370"/>
      <c r="S906" s="17"/>
      <c r="T906" s="17"/>
      <c r="U906" s="17"/>
      <c r="V906" s="17"/>
    </row>
    <row r="907">
      <c r="A907" s="341"/>
      <c r="B907" s="168"/>
      <c r="C907" s="341"/>
      <c r="D907" s="168"/>
      <c r="E907" s="341"/>
      <c r="F907" s="168"/>
      <c r="G907" s="341"/>
      <c r="H907" s="168"/>
      <c r="I907" s="369"/>
      <c r="J907" s="188"/>
      <c r="K907" s="369"/>
      <c r="L907" s="188"/>
      <c r="M907" s="341"/>
      <c r="N907" s="168"/>
      <c r="O907" s="341"/>
      <c r="P907" s="168"/>
      <c r="Q907" s="370"/>
      <c r="R907" s="370"/>
      <c r="S907" s="17"/>
      <c r="T907" s="17"/>
      <c r="U907" s="17"/>
      <c r="V907" s="17"/>
    </row>
    <row r="908">
      <c r="A908" s="341"/>
      <c r="B908" s="168"/>
      <c r="C908" s="341"/>
      <c r="D908" s="168"/>
      <c r="E908" s="341"/>
      <c r="F908" s="168"/>
      <c r="G908" s="341"/>
      <c r="H908" s="168"/>
      <c r="I908" s="369"/>
      <c r="J908" s="188"/>
      <c r="K908" s="369"/>
      <c r="L908" s="188"/>
      <c r="M908" s="341"/>
      <c r="N908" s="168"/>
      <c r="O908" s="341"/>
      <c r="P908" s="168"/>
      <c r="Q908" s="370"/>
      <c r="R908" s="370"/>
      <c r="S908" s="17"/>
      <c r="T908" s="17"/>
      <c r="U908" s="17"/>
      <c r="V908" s="17"/>
    </row>
    <row r="909">
      <c r="A909" s="341"/>
      <c r="B909" s="168"/>
      <c r="C909" s="341"/>
      <c r="D909" s="168"/>
      <c r="E909" s="341"/>
      <c r="F909" s="168"/>
      <c r="G909" s="341"/>
      <c r="H909" s="168"/>
      <c r="I909" s="369"/>
      <c r="J909" s="188"/>
      <c r="K909" s="369"/>
      <c r="L909" s="188"/>
      <c r="M909" s="341"/>
      <c r="N909" s="168"/>
      <c r="O909" s="341"/>
      <c r="P909" s="168"/>
      <c r="Q909" s="370"/>
      <c r="R909" s="370"/>
      <c r="S909" s="17"/>
      <c r="T909" s="17"/>
      <c r="U909" s="17"/>
      <c r="V909" s="17"/>
    </row>
    <row r="910">
      <c r="A910" s="341"/>
      <c r="B910" s="168"/>
      <c r="C910" s="341"/>
      <c r="D910" s="168"/>
      <c r="E910" s="341"/>
      <c r="F910" s="168"/>
      <c r="G910" s="341"/>
      <c r="H910" s="168"/>
      <c r="I910" s="369"/>
      <c r="J910" s="188"/>
      <c r="K910" s="369"/>
      <c r="L910" s="188"/>
      <c r="M910" s="341"/>
      <c r="N910" s="168"/>
      <c r="O910" s="341"/>
      <c r="P910" s="168"/>
      <c r="Q910" s="370"/>
      <c r="R910" s="370"/>
      <c r="S910" s="17"/>
      <c r="T910" s="17"/>
      <c r="U910" s="17"/>
      <c r="V910" s="17"/>
    </row>
    <row r="911">
      <c r="A911" s="341"/>
      <c r="B911" s="168"/>
      <c r="C911" s="341"/>
      <c r="D911" s="168"/>
      <c r="E911" s="341"/>
      <c r="F911" s="168"/>
      <c r="G911" s="341"/>
      <c r="H911" s="168"/>
      <c r="I911" s="369"/>
      <c r="J911" s="188"/>
      <c r="K911" s="369"/>
      <c r="L911" s="188"/>
      <c r="M911" s="341"/>
      <c r="N911" s="168"/>
      <c r="O911" s="341"/>
      <c r="P911" s="168"/>
      <c r="Q911" s="370"/>
      <c r="R911" s="370"/>
      <c r="S911" s="17"/>
      <c r="T911" s="17"/>
      <c r="U911" s="17"/>
      <c r="V911" s="17"/>
    </row>
    <row r="912">
      <c r="A912" s="341"/>
      <c r="B912" s="168"/>
      <c r="C912" s="341"/>
      <c r="D912" s="168"/>
      <c r="E912" s="341"/>
      <c r="F912" s="168"/>
      <c r="G912" s="341"/>
      <c r="H912" s="168"/>
      <c r="I912" s="369"/>
      <c r="J912" s="188"/>
      <c r="K912" s="369"/>
      <c r="L912" s="188"/>
      <c r="M912" s="341"/>
      <c r="N912" s="168"/>
      <c r="O912" s="341"/>
      <c r="P912" s="168"/>
      <c r="Q912" s="370"/>
      <c r="R912" s="370"/>
      <c r="S912" s="17"/>
      <c r="T912" s="17"/>
      <c r="U912" s="17"/>
      <c r="V912" s="17"/>
    </row>
    <row r="913">
      <c r="A913" s="341"/>
      <c r="B913" s="168"/>
      <c r="C913" s="341"/>
      <c r="D913" s="168"/>
      <c r="E913" s="341"/>
      <c r="F913" s="168"/>
      <c r="G913" s="341"/>
      <c r="H913" s="168"/>
      <c r="I913" s="369"/>
      <c r="J913" s="188"/>
      <c r="K913" s="369"/>
      <c r="L913" s="188"/>
      <c r="M913" s="341"/>
      <c r="N913" s="168"/>
      <c r="O913" s="341"/>
      <c r="P913" s="168"/>
      <c r="Q913" s="370"/>
      <c r="R913" s="370"/>
      <c r="S913" s="17"/>
      <c r="T913" s="17"/>
      <c r="U913" s="17"/>
      <c r="V913" s="17"/>
    </row>
    <row r="914">
      <c r="A914" s="341"/>
      <c r="B914" s="168"/>
      <c r="C914" s="341"/>
      <c r="D914" s="168"/>
      <c r="E914" s="341"/>
      <c r="F914" s="168"/>
      <c r="G914" s="341"/>
      <c r="H914" s="168"/>
      <c r="I914" s="369"/>
      <c r="J914" s="188"/>
      <c r="K914" s="369"/>
      <c r="L914" s="188"/>
      <c r="M914" s="341"/>
      <c r="N914" s="168"/>
      <c r="O914" s="341"/>
      <c r="P914" s="168"/>
      <c r="Q914" s="370"/>
      <c r="R914" s="370"/>
      <c r="S914" s="17"/>
      <c r="T914" s="17"/>
      <c r="U914" s="17"/>
      <c r="V914" s="17"/>
    </row>
    <row r="915">
      <c r="A915" s="341"/>
      <c r="B915" s="168"/>
      <c r="C915" s="341"/>
      <c r="D915" s="168"/>
      <c r="E915" s="341"/>
      <c r="F915" s="168"/>
      <c r="G915" s="341"/>
      <c r="H915" s="168"/>
      <c r="I915" s="369"/>
      <c r="J915" s="188"/>
      <c r="K915" s="369"/>
      <c r="L915" s="188"/>
      <c r="M915" s="341"/>
      <c r="N915" s="168"/>
      <c r="O915" s="341"/>
      <c r="P915" s="168"/>
      <c r="Q915" s="370"/>
      <c r="R915" s="370"/>
      <c r="S915" s="17"/>
      <c r="T915" s="17"/>
      <c r="U915" s="17"/>
      <c r="V915" s="17"/>
    </row>
    <row r="916">
      <c r="A916" s="341"/>
      <c r="B916" s="168"/>
      <c r="C916" s="341"/>
      <c r="D916" s="168"/>
      <c r="E916" s="341"/>
      <c r="F916" s="168"/>
      <c r="G916" s="341"/>
      <c r="H916" s="168"/>
      <c r="I916" s="369"/>
      <c r="J916" s="188"/>
      <c r="K916" s="369"/>
      <c r="L916" s="188"/>
      <c r="M916" s="341"/>
      <c r="N916" s="168"/>
      <c r="O916" s="341"/>
      <c r="P916" s="168"/>
      <c r="Q916" s="370"/>
      <c r="R916" s="370"/>
      <c r="S916" s="17"/>
      <c r="T916" s="17"/>
      <c r="U916" s="17"/>
      <c r="V916" s="17"/>
    </row>
    <row r="917">
      <c r="A917" s="341"/>
      <c r="B917" s="168"/>
      <c r="C917" s="341"/>
      <c r="D917" s="168"/>
      <c r="E917" s="341"/>
      <c r="F917" s="168"/>
      <c r="G917" s="341"/>
      <c r="H917" s="168"/>
      <c r="I917" s="369"/>
      <c r="J917" s="188"/>
      <c r="K917" s="369"/>
      <c r="L917" s="188"/>
      <c r="M917" s="341"/>
      <c r="N917" s="168"/>
      <c r="O917" s="341"/>
      <c r="P917" s="168"/>
      <c r="Q917" s="370"/>
      <c r="R917" s="370"/>
      <c r="S917" s="17"/>
      <c r="T917" s="17"/>
      <c r="U917" s="17"/>
      <c r="V917" s="17"/>
    </row>
    <row r="918">
      <c r="A918" s="341"/>
      <c r="B918" s="168"/>
      <c r="C918" s="341"/>
      <c r="D918" s="168"/>
      <c r="E918" s="341"/>
      <c r="F918" s="168"/>
      <c r="G918" s="341"/>
      <c r="H918" s="168"/>
      <c r="I918" s="369"/>
      <c r="J918" s="188"/>
      <c r="K918" s="369"/>
      <c r="L918" s="188"/>
      <c r="M918" s="341"/>
      <c r="N918" s="168"/>
      <c r="O918" s="341"/>
      <c r="P918" s="168"/>
      <c r="Q918" s="370"/>
      <c r="R918" s="370"/>
      <c r="S918" s="17"/>
      <c r="T918" s="17"/>
      <c r="U918" s="17"/>
      <c r="V918" s="17"/>
    </row>
    <row r="919">
      <c r="A919" s="341"/>
      <c r="B919" s="168"/>
      <c r="C919" s="341"/>
      <c r="D919" s="168"/>
      <c r="E919" s="341"/>
      <c r="F919" s="168"/>
      <c r="G919" s="341"/>
      <c r="H919" s="168"/>
      <c r="I919" s="369"/>
      <c r="J919" s="188"/>
      <c r="K919" s="369"/>
      <c r="L919" s="188"/>
      <c r="M919" s="341"/>
      <c r="N919" s="168"/>
      <c r="O919" s="341"/>
      <c r="P919" s="168"/>
      <c r="Q919" s="370"/>
      <c r="R919" s="370"/>
      <c r="S919" s="17"/>
      <c r="T919" s="17"/>
      <c r="U919" s="17"/>
      <c r="V919" s="17"/>
    </row>
    <row r="920">
      <c r="A920" s="341"/>
      <c r="B920" s="168"/>
      <c r="C920" s="341"/>
      <c r="D920" s="168"/>
      <c r="E920" s="341"/>
      <c r="F920" s="168"/>
      <c r="G920" s="341"/>
      <c r="H920" s="168"/>
      <c r="I920" s="369"/>
      <c r="J920" s="188"/>
      <c r="K920" s="369"/>
      <c r="L920" s="188"/>
      <c r="M920" s="341"/>
      <c r="N920" s="168"/>
      <c r="O920" s="341"/>
      <c r="P920" s="168"/>
      <c r="Q920" s="370"/>
      <c r="R920" s="370"/>
      <c r="S920" s="17"/>
      <c r="T920" s="17"/>
      <c r="U920" s="17"/>
      <c r="V920" s="17"/>
    </row>
    <row r="921">
      <c r="A921" s="341"/>
      <c r="B921" s="168"/>
      <c r="C921" s="341"/>
      <c r="D921" s="168"/>
      <c r="E921" s="341"/>
      <c r="F921" s="168"/>
      <c r="G921" s="341"/>
      <c r="H921" s="168"/>
      <c r="I921" s="369"/>
      <c r="J921" s="188"/>
      <c r="K921" s="369"/>
      <c r="L921" s="188"/>
      <c r="M921" s="341"/>
      <c r="N921" s="168"/>
      <c r="O921" s="341"/>
      <c r="P921" s="168"/>
      <c r="Q921" s="370"/>
      <c r="R921" s="370"/>
      <c r="S921" s="17"/>
      <c r="T921" s="17"/>
      <c r="U921" s="17"/>
      <c r="V921" s="17"/>
    </row>
    <row r="922">
      <c r="A922" s="341"/>
      <c r="B922" s="168"/>
      <c r="C922" s="341"/>
      <c r="D922" s="168"/>
      <c r="E922" s="341"/>
      <c r="F922" s="168"/>
      <c r="G922" s="341"/>
      <c r="H922" s="168"/>
      <c r="I922" s="369"/>
      <c r="J922" s="188"/>
      <c r="K922" s="369"/>
      <c r="L922" s="188"/>
      <c r="M922" s="341"/>
      <c r="N922" s="168"/>
      <c r="O922" s="341"/>
      <c r="P922" s="168"/>
      <c r="Q922" s="370"/>
      <c r="R922" s="370"/>
      <c r="S922" s="17"/>
      <c r="T922" s="17"/>
      <c r="U922" s="17"/>
      <c r="V922" s="17"/>
    </row>
    <row r="923">
      <c r="A923" s="341"/>
      <c r="B923" s="168"/>
      <c r="C923" s="341"/>
      <c r="D923" s="168"/>
      <c r="E923" s="341"/>
      <c r="F923" s="168"/>
      <c r="G923" s="341"/>
      <c r="H923" s="168"/>
      <c r="I923" s="369"/>
      <c r="J923" s="188"/>
      <c r="K923" s="369"/>
      <c r="L923" s="188"/>
      <c r="M923" s="341"/>
      <c r="N923" s="168"/>
      <c r="O923" s="341"/>
      <c r="P923" s="168"/>
      <c r="Q923" s="370"/>
      <c r="R923" s="370"/>
      <c r="S923" s="17"/>
      <c r="T923" s="17"/>
      <c r="U923" s="17"/>
      <c r="V923" s="17"/>
    </row>
    <row r="924">
      <c r="A924" s="341"/>
      <c r="B924" s="168"/>
      <c r="C924" s="341"/>
      <c r="D924" s="168"/>
      <c r="E924" s="341"/>
      <c r="F924" s="168"/>
      <c r="G924" s="341"/>
      <c r="H924" s="168"/>
      <c r="I924" s="369"/>
      <c r="J924" s="188"/>
      <c r="K924" s="369"/>
      <c r="L924" s="188"/>
      <c r="M924" s="341"/>
      <c r="N924" s="168"/>
      <c r="O924" s="341"/>
      <c r="P924" s="168"/>
      <c r="Q924" s="370"/>
      <c r="R924" s="370"/>
      <c r="S924" s="17"/>
      <c r="T924" s="17"/>
      <c r="U924" s="17"/>
      <c r="V924" s="17"/>
    </row>
    <row r="925">
      <c r="A925" s="341"/>
      <c r="B925" s="168"/>
      <c r="C925" s="341"/>
      <c r="D925" s="168"/>
      <c r="E925" s="341"/>
      <c r="F925" s="168"/>
      <c r="G925" s="341"/>
      <c r="H925" s="168"/>
      <c r="I925" s="369"/>
      <c r="J925" s="188"/>
      <c r="K925" s="369"/>
      <c r="L925" s="188"/>
      <c r="M925" s="341"/>
      <c r="N925" s="168"/>
      <c r="O925" s="341"/>
      <c r="P925" s="168"/>
      <c r="Q925" s="370"/>
      <c r="R925" s="370"/>
      <c r="S925" s="17"/>
      <c r="T925" s="17"/>
      <c r="U925" s="17"/>
      <c r="V925" s="17"/>
    </row>
    <row r="926">
      <c r="A926" s="341"/>
      <c r="B926" s="168"/>
      <c r="C926" s="341"/>
      <c r="D926" s="168"/>
      <c r="E926" s="341"/>
      <c r="F926" s="168"/>
      <c r="G926" s="341"/>
      <c r="H926" s="168"/>
      <c r="I926" s="369"/>
      <c r="J926" s="188"/>
      <c r="K926" s="369"/>
      <c r="L926" s="188"/>
      <c r="M926" s="341"/>
      <c r="N926" s="168"/>
      <c r="O926" s="341"/>
      <c r="P926" s="168"/>
      <c r="Q926" s="370"/>
      <c r="R926" s="370"/>
      <c r="S926" s="17"/>
      <c r="T926" s="17"/>
      <c r="U926" s="17"/>
      <c r="V926" s="17"/>
    </row>
    <row r="927">
      <c r="A927" s="341"/>
      <c r="B927" s="168"/>
      <c r="C927" s="341"/>
      <c r="D927" s="168"/>
      <c r="E927" s="341"/>
      <c r="F927" s="168"/>
      <c r="G927" s="341"/>
      <c r="H927" s="168"/>
      <c r="I927" s="369"/>
      <c r="J927" s="188"/>
      <c r="K927" s="369"/>
      <c r="L927" s="188"/>
      <c r="M927" s="341"/>
      <c r="N927" s="168"/>
      <c r="O927" s="341"/>
      <c r="P927" s="168"/>
      <c r="Q927" s="370"/>
      <c r="R927" s="370"/>
      <c r="S927" s="17"/>
      <c r="T927" s="17"/>
      <c r="U927" s="17"/>
      <c r="V927" s="17"/>
    </row>
    <row r="928">
      <c r="A928" s="341"/>
      <c r="B928" s="168"/>
      <c r="C928" s="341"/>
      <c r="D928" s="168"/>
      <c r="E928" s="341"/>
      <c r="F928" s="168"/>
      <c r="G928" s="341"/>
      <c r="H928" s="168"/>
      <c r="I928" s="369"/>
      <c r="J928" s="188"/>
      <c r="K928" s="369"/>
      <c r="L928" s="188"/>
      <c r="M928" s="341"/>
      <c r="N928" s="168"/>
      <c r="O928" s="341"/>
      <c r="P928" s="168"/>
      <c r="Q928" s="370"/>
      <c r="R928" s="370"/>
      <c r="S928" s="17"/>
      <c r="T928" s="17"/>
      <c r="U928" s="17"/>
      <c r="V928" s="17"/>
    </row>
    <row r="929">
      <c r="A929" s="341"/>
      <c r="B929" s="168"/>
      <c r="C929" s="341"/>
      <c r="D929" s="168"/>
      <c r="E929" s="341"/>
      <c r="F929" s="168"/>
      <c r="G929" s="341"/>
      <c r="H929" s="168"/>
      <c r="I929" s="369"/>
      <c r="J929" s="188"/>
      <c r="K929" s="369"/>
      <c r="L929" s="188"/>
      <c r="M929" s="341"/>
      <c r="N929" s="168"/>
      <c r="O929" s="341"/>
      <c r="P929" s="168"/>
      <c r="Q929" s="370"/>
      <c r="R929" s="370"/>
      <c r="S929" s="17"/>
      <c r="T929" s="17"/>
      <c r="U929" s="17"/>
      <c r="V929" s="17"/>
    </row>
    <row r="930">
      <c r="A930" s="341"/>
      <c r="B930" s="168"/>
      <c r="C930" s="341"/>
      <c r="D930" s="168"/>
      <c r="E930" s="341"/>
      <c r="F930" s="168"/>
      <c r="G930" s="341"/>
      <c r="H930" s="168"/>
      <c r="I930" s="369"/>
      <c r="J930" s="188"/>
      <c r="K930" s="369"/>
      <c r="L930" s="188"/>
      <c r="M930" s="341"/>
      <c r="N930" s="168"/>
      <c r="O930" s="341"/>
      <c r="P930" s="168"/>
      <c r="Q930" s="370"/>
      <c r="R930" s="370"/>
      <c r="S930" s="17"/>
      <c r="T930" s="17"/>
      <c r="U930" s="17"/>
      <c r="V930" s="17"/>
    </row>
    <row r="931">
      <c r="A931" s="341"/>
      <c r="B931" s="168"/>
      <c r="C931" s="341"/>
      <c r="D931" s="168"/>
      <c r="E931" s="341"/>
      <c r="F931" s="168"/>
      <c r="G931" s="341"/>
      <c r="H931" s="168"/>
      <c r="I931" s="369"/>
      <c r="J931" s="188"/>
      <c r="K931" s="369"/>
      <c r="L931" s="188"/>
      <c r="M931" s="341"/>
      <c r="N931" s="168"/>
      <c r="O931" s="341"/>
      <c r="P931" s="168"/>
      <c r="Q931" s="370"/>
      <c r="R931" s="370"/>
      <c r="S931" s="17"/>
      <c r="T931" s="17"/>
      <c r="U931" s="17"/>
      <c r="V931" s="17"/>
    </row>
    <row r="932">
      <c r="A932" s="341"/>
      <c r="B932" s="168"/>
      <c r="C932" s="341"/>
      <c r="D932" s="168"/>
      <c r="E932" s="341"/>
      <c r="F932" s="168"/>
      <c r="G932" s="341"/>
      <c r="H932" s="168"/>
      <c r="I932" s="369"/>
      <c r="J932" s="188"/>
      <c r="K932" s="369"/>
      <c r="L932" s="188"/>
      <c r="M932" s="341"/>
      <c r="N932" s="168"/>
      <c r="O932" s="341"/>
      <c r="P932" s="168"/>
      <c r="Q932" s="370"/>
      <c r="R932" s="370"/>
      <c r="S932" s="17"/>
      <c r="T932" s="17"/>
      <c r="U932" s="17"/>
      <c r="V932" s="17"/>
    </row>
    <row r="933">
      <c r="A933" s="341"/>
      <c r="B933" s="168"/>
      <c r="C933" s="341"/>
      <c r="D933" s="168"/>
      <c r="E933" s="341"/>
      <c r="F933" s="168"/>
      <c r="G933" s="341"/>
      <c r="H933" s="168"/>
      <c r="I933" s="369"/>
      <c r="J933" s="188"/>
      <c r="K933" s="369"/>
      <c r="L933" s="188"/>
      <c r="M933" s="341"/>
      <c r="N933" s="168"/>
      <c r="O933" s="341"/>
      <c r="P933" s="168"/>
      <c r="Q933" s="370"/>
      <c r="R933" s="370"/>
      <c r="S933" s="17"/>
      <c r="T933" s="17"/>
      <c r="U933" s="17"/>
      <c r="V933" s="17"/>
    </row>
    <row r="934">
      <c r="A934" s="341"/>
      <c r="B934" s="168"/>
      <c r="C934" s="341"/>
      <c r="D934" s="168"/>
      <c r="E934" s="341"/>
      <c r="F934" s="168"/>
      <c r="G934" s="341"/>
      <c r="H934" s="168"/>
      <c r="I934" s="369"/>
      <c r="J934" s="188"/>
      <c r="K934" s="369"/>
      <c r="L934" s="188"/>
      <c r="M934" s="341"/>
      <c r="N934" s="168"/>
      <c r="O934" s="341"/>
      <c r="P934" s="168"/>
      <c r="Q934" s="370"/>
      <c r="R934" s="370"/>
      <c r="S934" s="17"/>
      <c r="T934" s="17"/>
      <c r="U934" s="17"/>
      <c r="V934" s="17"/>
    </row>
    <row r="935">
      <c r="A935" s="341"/>
      <c r="B935" s="168"/>
      <c r="C935" s="341"/>
      <c r="D935" s="168"/>
      <c r="E935" s="341"/>
      <c r="F935" s="168"/>
      <c r="G935" s="341"/>
      <c r="H935" s="168"/>
      <c r="I935" s="369"/>
      <c r="J935" s="188"/>
      <c r="K935" s="369"/>
      <c r="L935" s="188"/>
      <c r="M935" s="341"/>
      <c r="N935" s="168"/>
      <c r="O935" s="341"/>
      <c r="P935" s="168"/>
      <c r="Q935" s="370"/>
      <c r="R935" s="370"/>
      <c r="S935" s="17"/>
      <c r="T935" s="17"/>
      <c r="U935" s="17"/>
      <c r="V935" s="17"/>
    </row>
    <row r="936">
      <c r="A936" s="341"/>
      <c r="B936" s="168"/>
      <c r="C936" s="341"/>
      <c r="D936" s="168"/>
      <c r="E936" s="341"/>
      <c r="F936" s="168"/>
      <c r="G936" s="341"/>
      <c r="H936" s="168"/>
      <c r="I936" s="369"/>
      <c r="J936" s="188"/>
      <c r="K936" s="369"/>
      <c r="L936" s="188"/>
      <c r="M936" s="341"/>
      <c r="N936" s="168"/>
      <c r="O936" s="341"/>
      <c r="P936" s="168"/>
      <c r="Q936" s="370"/>
      <c r="R936" s="370"/>
      <c r="S936" s="17"/>
      <c r="T936" s="17"/>
      <c r="U936" s="17"/>
      <c r="V936" s="17"/>
    </row>
    <row r="937">
      <c r="A937" s="341"/>
      <c r="B937" s="168"/>
      <c r="C937" s="341"/>
      <c r="D937" s="168"/>
      <c r="E937" s="341"/>
      <c r="F937" s="168"/>
      <c r="G937" s="341"/>
      <c r="H937" s="168"/>
      <c r="I937" s="369"/>
      <c r="J937" s="188"/>
      <c r="K937" s="369"/>
      <c r="L937" s="188"/>
      <c r="M937" s="341"/>
      <c r="N937" s="168"/>
      <c r="O937" s="341"/>
      <c r="P937" s="168"/>
      <c r="Q937" s="370"/>
      <c r="R937" s="370"/>
      <c r="S937" s="17"/>
      <c r="T937" s="17"/>
      <c r="U937" s="17"/>
      <c r="V937" s="17"/>
    </row>
    <row r="938">
      <c r="A938" s="341"/>
      <c r="B938" s="168"/>
      <c r="C938" s="341"/>
      <c r="D938" s="168"/>
      <c r="E938" s="341"/>
      <c r="F938" s="168"/>
      <c r="G938" s="341"/>
      <c r="H938" s="168"/>
      <c r="I938" s="369"/>
      <c r="J938" s="188"/>
      <c r="K938" s="369"/>
      <c r="L938" s="188"/>
      <c r="M938" s="341"/>
      <c r="N938" s="168"/>
      <c r="O938" s="341"/>
      <c r="P938" s="168"/>
      <c r="Q938" s="370"/>
      <c r="R938" s="370"/>
      <c r="S938" s="17"/>
      <c r="T938" s="17"/>
      <c r="U938" s="17"/>
      <c r="V938" s="17"/>
    </row>
    <row r="939">
      <c r="A939" s="341"/>
      <c r="B939" s="168"/>
      <c r="C939" s="341"/>
      <c r="D939" s="168"/>
      <c r="E939" s="341"/>
      <c r="F939" s="168"/>
      <c r="G939" s="341"/>
      <c r="H939" s="168"/>
      <c r="I939" s="369"/>
      <c r="J939" s="188"/>
      <c r="K939" s="369"/>
      <c r="L939" s="188"/>
      <c r="M939" s="341"/>
      <c r="N939" s="168"/>
      <c r="O939" s="341"/>
      <c r="P939" s="168"/>
      <c r="Q939" s="370"/>
      <c r="R939" s="370"/>
      <c r="S939" s="17"/>
      <c r="T939" s="17"/>
      <c r="U939" s="17"/>
      <c r="V939" s="17"/>
    </row>
    <row r="940">
      <c r="A940" s="341"/>
      <c r="B940" s="168"/>
      <c r="C940" s="341"/>
      <c r="D940" s="168"/>
      <c r="E940" s="341"/>
      <c r="F940" s="168"/>
      <c r="G940" s="341"/>
      <c r="H940" s="168"/>
      <c r="I940" s="369"/>
      <c r="J940" s="188"/>
      <c r="K940" s="369"/>
      <c r="L940" s="188"/>
      <c r="M940" s="341"/>
      <c r="N940" s="168"/>
      <c r="O940" s="341"/>
      <c r="P940" s="168"/>
      <c r="Q940" s="370"/>
      <c r="R940" s="370"/>
      <c r="S940" s="17"/>
      <c r="T940" s="17"/>
      <c r="U940" s="17"/>
      <c r="V940" s="17"/>
    </row>
    <row r="941">
      <c r="A941" s="341"/>
      <c r="B941" s="168"/>
      <c r="C941" s="341"/>
      <c r="D941" s="168"/>
      <c r="E941" s="341"/>
      <c r="F941" s="168"/>
      <c r="G941" s="341"/>
      <c r="H941" s="168"/>
      <c r="I941" s="369"/>
      <c r="J941" s="188"/>
      <c r="K941" s="369"/>
      <c r="L941" s="188"/>
      <c r="M941" s="341"/>
      <c r="N941" s="168"/>
      <c r="O941" s="341"/>
      <c r="P941" s="168"/>
      <c r="Q941" s="370"/>
      <c r="R941" s="370"/>
      <c r="S941" s="17"/>
      <c r="T941" s="17"/>
      <c r="U941" s="17"/>
      <c r="V941" s="17"/>
    </row>
    <row r="942">
      <c r="A942" s="341"/>
      <c r="B942" s="168"/>
      <c r="C942" s="341"/>
      <c r="D942" s="168"/>
      <c r="E942" s="341"/>
      <c r="F942" s="168"/>
      <c r="G942" s="341"/>
      <c r="H942" s="168"/>
      <c r="I942" s="369"/>
      <c r="J942" s="188"/>
      <c r="K942" s="369"/>
      <c r="L942" s="188"/>
      <c r="M942" s="341"/>
      <c r="N942" s="168"/>
      <c r="O942" s="341"/>
      <c r="P942" s="168"/>
      <c r="Q942" s="370"/>
      <c r="R942" s="370"/>
      <c r="S942" s="17"/>
      <c r="T942" s="17"/>
      <c r="U942" s="17"/>
      <c r="V942" s="17"/>
    </row>
    <row r="943">
      <c r="A943" s="341"/>
      <c r="B943" s="168"/>
      <c r="C943" s="341"/>
      <c r="D943" s="168"/>
      <c r="E943" s="341"/>
      <c r="F943" s="168"/>
      <c r="G943" s="341"/>
      <c r="H943" s="168"/>
      <c r="I943" s="369"/>
      <c r="J943" s="188"/>
      <c r="K943" s="369"/>
      <c r="L943" s="188"/>
      <c r="M943" s="341"/>
      <c r="N943" s="168"/>
      <c r="O943" s="341"/>
      <c r="P943" s="168"/>
      <c r="Q943" s="370"/>
      <c r="R943" s="370"/>
      <c r="S943" s="17"/>
      <c r="T943" s="17"/>
      <c r="U943" s="17"/>
      <c r="V943" s="17"/>
    </row>
    <row r="944">
      <c r="A944" s="341"/>
      <c r="B944" s="168"/>
      <c r="C944" s="341"/>
      <c r="D944" s="168"/>
      <c r="E944" s="341"/>
      <c r="F944" s="168"/>
      <c r="G944" s="341"/>
      <c r="H944" s="168"/>
      <c r="I944" s="369"/>
      <c r="J944" s="188"/>
      <c r="K944" s="369"/>
      <c r="L944" s="188"/>
      <c r="M944" s="341"/>
      <c r="N944" s="168"/>
      <c r="O944" s="341"/>
      <c r="P944" s="168"/>
      <c r="Q944" s="370"/>
      <c r="R944" s="370"/>
      <c r="S944" s="17"/>
      <c r="T944" s="17"/>
      <c r="U944" s="17"/>
      <c r="V944" s="17"/>
    </row>
    <row r="945">
      <c r="A945" s="341"/>
      <c r="B945" s="168"/>
      <c r="C945" s="341"/>
      <c r="D945" s="168"/>
      <c r="E945" s="341"/>
      <c r="F945" s="168"/>
      <c r="G945" s="341"/>
      <c r="H945" s="168"/>
      <c r="I945" s="369"/>
      <c r="J945" s="188"/>
      <c r="K945" s="369"/>
      <c r="L945" s="188"/>
      <c r="M945" s="341"/>
      <c r="N945" s="168"/>
      <c r="O945" s="341"/>
      <c r="P945" s="168"/>
      <c r="Q945" s="370"/>
      <c r="R945" s="370"/>
      <c r="S945" s="17"/>
      <c r="T945" s="17"/>
      <c r="U945" s="17"/>
      <c r="V945" s="17"/>
    </row>
    <row r="946">
      <c r="A946" s="341"/>
      <c r="B946" s="168"/>
      <c r="C946" s="341"/>
      <c r="D946" s="168"/>
      <c r="E946" s="341"/>
      <c r="F946" s="168"/>
      <c r="G946" s="341"/>
      <c r="H946" s="168"/>
      <c r="I946" s="369"/>
      <c r="J946" s="188"/>
      <c r="K946" s="369"/>
      <c r="L946" s="188"/>
      <c r="M946" s="341"/>
      <c r="N946" s="168"/>
      <c r="O946" s="341"/>
      <c r="P946" s="168"/>
      <c r="Q946" s="370"/>
      <c r="R946" s="370"/>
      <c r="S946" s="17"/>
      <c r="T946" s="17"/>
      <c r="U946" s="17"/>
      <c r="V946" s="17"/>
    </row>
    <row r="947">
      <c r="A947" s="341"/>
      <c r="B947" s="168"/>
      <c r="C947" s="341"/>
      <c r="D947" s="168"/>
      <c r="E947" s="341"/>
      <c r="F947" s="168"/>
      <c r="G947" s="341"/>
      <c r="H947" s="168"/>
      <c r="I947" s="369"/>
      <c r="J947" s="188"/>
      <c r="K947" s="369"/>
      <c r="L947" s="188"/>
      <c r="M947" s="341"/>
      <c r="N947" s="168"/>
      <c r="O947" s="341"/>
      <c r="P947" s="168"/>
      <c r="Q947" s="370"/>
      <c r="R947" s="370"/>
      <c r="S947" s="17"/>
      <c r="T947" s="17"/>
      <c r="U947" s="17"/>
      <c r="V947" s="17"/>
    </row>
    <row r="948">
      <c r="A948" s="341"/>
      <c r="B948" s="168"/>
      <c r="C948" s="341"/>
      <c r="D948" s="168"/>
      <c r="E948" s="341"/>
      <c r="F948" s="168"/>
      <c r="G948" s="341"/>
      <c r="H948" s="168"/>
      <c r="I948" s="369"/>
      <c r="J948" s="188"/>
      <c r="K948" s="369"/>
      <c r="L948" s="188"/>
      <c r="M948" s="341"/>
      <c r="N948" s="168"/>
      <c r="O948" s="341"/>
      <c r="P948" s="168"/>
      <c r="Q948" s="370"/>
      <c r="R948" s="370"/>
      <c r="S948" s="17"/>
      <c r="T948" s="17"/>
      <c r="U948" s="17"/>
      <c r="V948" s="17"/>
    </row>
    <row r="949">
      <c r="A949" s="341"/>
      <c r="B949" s="168"/>
      <c r="C949" s="341"/>
      <c r="D949" s="168"/>
      <c r="E949" s="341"/>
      <c r="F949" s="168"/>
      <c r="G949" s="341"/>
      <c r="H949" s="168"/>
      <c r="I949" s="369"/>
      <c r="J949" s="188"/>
      <c r="K949" s="369"/>
      <c r="L949" s="188"/>
      <c r="M949" s="341"/>
      <c r="N949" s="168"/>
      <c r="O949" s="341"/>
      <c r="P949" s="168"/>
      <c r="Q949" s="370"/>
      <c r="R949" s="370"/>
      <c r="S949" s="17"/>
      <c r="T949" s="17"/>
      <c r="U949" s="17"/>
      <c r="V949" s="17"/>
    </row>
    <row r="950">
      <c r="A950" s="341"/>
      <c r="B950" s="168"/>
      <c r="C950" s="341"/>
      <c r="D950" s="168"/>
      <c r="E950" s="341"/>
      <c r="F950" s="168"/>
      <c r="G950" s="341"/>
      <c r="H950" s="168"/>
      <c r="I950" s="369"/>
      <c r="J950" s="188"/>
      <c r="K950" s="369"/>
      <c r="L950" s="188"/>
      <c r="M950" s="341"/>
      <c r="N950" s="168"/>
      <c r="O950" s="341"/>
      <c r="P950" s="168"/>
      <c r="Q950" s="370"/>
      <c r="R950" s="370"/>
      <c r="S950" s="17"/>
      <c r="T950" s="17"/>
      <c r="U950" s="17"/>
      <c r="V950" s="17"/>
    </row>
    <row r="951">
      <c r="A951" s="341"/>
      <c r="B951" s="168"/>
      <c r="C951" s="341"/>
      <c r="D951" s="168"/>
      <c r="E951" s="341"/>
      <c r="F951" s="168"/>
      <c r="G951" s="341"/>
      <c r="H951" s="168"/>
      <c r="I951" s="369"/>
      <c r="J951" s="188"/>
      <c r="K951" s="369"/>
      <c r="L951" s="188"/>
      <c r="M951" s="341"/>
      <c r="N951" s="168"/>
      <c r="O951" s="341"/>
      <c r="P951" s="168"/>
      <c r="Q951" s="370"/>
      <c r="R951" s="370"/>
      <c r="S951" s="17"/>
      <c r="T951" s="17"/>
      <c r="U951" s="17"/>
      <c r="V951" s="17"/>
    </row>
    <row r="952">
      <c r="A952" s="341"/>
      <c r="B952" s="168"/>
      <c r="C952" s="341"/>
      <c r="D952" s="168"/>
      <c r="E952" s="341"/>
      <c r="F952" s="168"/>
      <c r="G952" s="341"/>
      <c r="H952" s="168"/>
      <c r="I952" s="369"/>
      <c r="J952" s="188"/>
      <c r="K952" s="369"/>
      <c r="L952" s="188"/>
      <c r="M952" s="341"/>
      <c r="N952" s="168"/>
      <c r="O952" s="341"/>
      <c r="P952" s="168"/>
      <c r="Q952" s="370"/>
      <c r="R952" s="370"/>
      <c r="S952" s="17"/>
      <c r="T952" s="17"/>
      <c r="U952" s="17"/>
      <c r="V952" s="17"/>
    </row>
    <row r="953">
      <c r="A953" s="341"/>
      <c r="B953" s="168"/>
      <c r="C953" s="341"/>
      <c r="D953" s="168"/>
      <c r="E953" s="341"/>
      <c r="F953" s="168"/>
      <c r="G953" s="341"/>
      <c r="H953" s="168"/>
      <c r="I953" s="369"/>
      <c r="J953" s="188"/>
      <c r="K953" s="369"/>
      <c r="L953" s="188"/>
      <c r="M953" s="341"/>
      <c r="N953" s="168"/>
      <c r="O953" s="341"/>
      <c r="P953" s="168"/>
      <c r="Q953" s="370"/>
      <c r="R953" s="370"/>
      <c r="S953" s="17"/>
      <c r="T953" s="17"/>
      <c r="U953" s="17"/>
      <c r="V953" s="17"/>
    </row>
    <row r="954">
      <c r="A954" s="341"/>
      <c r="B954" s="168"/>
      <c r="C954" s="341"/>
      <c r="D954" s="168"/>
      <c r="E954" s="341"/>
      <c r="F954" s="168"/>
      <c r="G954" s="341"/>
      <c r="H954" s="168"/>
      <c r="I954" s="369"/>
      <c r="J954" s="188"/>
      <c r="K954" s="369"/>
      <c r="L954" s="188"/>
      <c r="M954" s="341"/>
      <c r="N954" s="168"/>
      <c r="O954" s="341"/>
      <c r="P954" s="168"/>
      <c r="Q954" s="370"/>
      <c r="R954" s="370"/>
      <c r="S954" s="17"/>
      <c r="T954" s="17"/>
      <c r="U954" s="17"/>
      <c r="V954" s="17"/>
    </row>
    <row r="955">
      <c r="A955" s="341"/>
      <c r="B955" s="168"/>
      <c r="C955" s="341"/>
      <c r="D955" s="168"/>
      <c r="E955" s="341"/>
      <c r="F955" s="168"/>
      <c r="G955" s="341"/>
      <c r="H955" s="168"/>
      <c r="I955" s="369"/>
      <c r="J955" s="188"/>
      <c r="K955" s="369"/>
      <c r="L955" s="188"/>
      <c r="M955" s="341"/>
      <c r="N955" s="168"/>
      <c r="O955" s="341"/>
      <c r="P955" s="168"/>
      <c r="Q955" s="370"/>
      <c r="R955" s="370"/>
      <c r="S955" s="17"/>
      <c r="T955" s="17"/>
      <c r="U955" s="17"/>
      <c r="V955" s="17"/>
    </row>
    <row r="956">
      <c r="A956" s="341"/>
      <c r="B956" s="168"/>
      <c r="C956" s="341"/>
      <c r="D956" s="168"/>
      <c r="E956" s="341"/>
      <c r="F956" s="168"/>
      <c r="G956" s="341"/>
      <c r="H956" s="168"/>
      <c r="I956" s="369"/>
      <c r="J956" s="188"/>
      <c r="K956" s="369"/>
      <c r="L956" s="188"/>
      <c r="M956" s="341"/>
      <c r="N956" s="168"/>
      <c r="O956" s="341"/>
      <c r="P956" s="168"/>
      <c r="Q956" s="370"/>
      <c r="R956" s="370"/>
      <c r="S956" s="17"/>
      <c r="T956" s="17"/>
      <c r="U956" s="17"/>
      <c r="V956" s="17"/>
    </row>
    <row r="957">
      <c r="A957" s="341"/>
      <c r="B957" s="168"/>
      <c r="C957" s="341"/>
      <c r="D957" s="168"/>
      <c r="E957" s="341"/>
      <c r="F957" s="168"/>
      <c r="G957" s="341"/>
      <c r="H957" s="168"/>
      <c r="I957" s="369"/>
      <c r="J957" s="188"/>
      <c r="K957" s="369"/>
      <c r="L957" s="188"/>
      <c r="M957" s="341"/>
      <c r="N957" s="168"/>
      <c r="O957" s="341"/>
      <c r="P957" s="168"/>
      <c r="Q957" s="370"/>
      <c r="R957" s="370"/>
      <c r="S957" s="17"/>
      <c r="T957" s="17"/>
      <c r="U957" s="17"/>
      <c r="V957" s="17"/>
    </row>
    <row r="958">
      <c r="A958" s="341"/>
      <c r="B958" s="168"/>
      <c r="C958" s="341"/>
      <c r="D958" s="168"/>
      <c r="E958" s="341"/>
      <c r="F958" s="168"/>
      <c r="G958" s="341"/>
      <c r="H958" s="168"/>
      <c r="I958" s="369"/>
      <c r="J958" s="188"/>
      <c r="K958" s="369"/>
      <c r="L958" s="188"/>
      <c r="M958" s="341"/>
      <c r="N958" s="168"/>
      <c r="O958" s="341"/>
      <c r="P958" s="168"/>
      <c r="Q958" s="370"/>
      <c r="R958" s="370"/>
      <c r="S958" s="17"/>
      <c r="T958" s="17"/>
      <c r="U958" s="17"/>
      <c r="V958" s="17"/>
    </row>
    <row r="959">
      <c r="A959" s="341"/>
      <c r="B959" s="168"/>
      <c r="C959" s="341"/>
      <c r="D959" s="168"/>
      <c r="E959" s="341"/>
      <c r="F959" s="168"/>
      <c r="G959" s="341"/>
      <c r="H959" s="168"/>
      <c r="I959" s="369"/>
      <c r="J959" s="188"/>
      <c r="K959" s="369"/>
      <c r="L959" s="188"/>
      <c r="M959" s="341"/>
      <c r="N959" s="168"/>
      <c r="O959" s="341"/>
      <c r="P959" s="168"/>
      <c r="Q959" s="370"/>
      <c r="R959" s="370"/>
      <c r="S959" s="17"/>
      <c r="T959" s="17"/>
      <c r="U959" s="17"/>
      <c r="V959" s="17"/>
    </row>
    <row r="960">
      <c r="A960" s="341"/>
      <c r="B960" s="168"/>
      <c r="C960" s="341"/>
      <c r="D960" s="168"/>
      <c r="E960" s="341"/>
      <c r="F960" s="168"/>
      <c r="G960" s="341"/>
      <c r="H960" s="168"/>
      <c r="I960" s="369"/>
      <c r="J960" s="188"/>
      <c r="K960" s="369"/>
      <c r="L960" s="188"/>
      <c r="M960" s="341"/>
      <c r="N960" s="168"/>
      <c r="O960" s="341"/>
      <c r="P960" s="168"/>
      <c r="Q960" s="370"/>
      <c r="R960" s="370"/>
      <c r="S960" s="17"/>
      <c r="T960" s="17"/>
      <c r="U960" s="17"/>
      <c r="V960" s="17"/>
    </row>
    <row r="961">
      <c r="A961" s="341"/>
      <c r="B961" s="168"/>
      <c r="C961" s="341"/>
      <c r="D961" s="168"/>
      <c r="E961" s="341"/>
      <c r="F961" s="168"/>
      <c r="G961" s="341"/>
      <c r="H961" s="168"/>
      <c r="I961" s="369"/>
      <c r="J961" s="188"/>
      <c r="K961" s="369"/>
      <c r="L961" s="188"/>
      <c r="M961" s="341"/>
      <c r="N961" s="168"/>
      <c r="O961" s="341"/>
      <c r="P961" s="168"/>
      <c r="Q961" s="370"/>
      <c r="R961" s="370"/>
      <c r="S961" s="17"/>
      <c r="T961" s="17"/>
      <c r="U961" s="17"/>
      <c r="V961" s="17"/>
    </row>
    <row r="962">
      <c r="A962" s="341"/>
      <c r="B962" s="168"/>
      <c r="C962" s="341"/>
      <c r="D962" s="168"/>
      <c r="E962" s="341"/>
      <c r="F962" s="168"/>
      <c r="G962" s="341"/>
      <c r="H962" s="168"/>
      <c r="I962" s="369"/>
      <c r="J962" s="188"/>
      <c r="K962" s="369"/>
      <c r="L962" s="188"/>
      <c r="M962" s="341"/>
      <c r="N962" s="168"/>
      <c r="O962" s="341"/>
      <c r="P962" s="168"/>
      <c r="Q962" s="370"/>
      <c r="R962" s="370"/>
      <c r="S962" s="17"/>
      <c r="T962" s="17"/>
      <c r="U962" s="17"/>
      <c r="V962" s="17"/>
    </row>
    <row r="963">
      <c r="A963" s="341"/>
      <c r="B963" s="168"/>
      <c r="C963" s="341"/>
      <c r="D963" s="168"/>
      <c r="E963" s="341"/>
      <c r="F963" s="168"/>
      <c r="G963" s="341"/>
      <c r="H963" s="168"/>
      <c r="I963" s="369"/>
      <c r="J963" s="188"/>
      <c r="K963" s="369"/>
      <c r="L963" s="188"/>
      <c r="M963" s="341"/>
      <c r="N963" s="168"/>
      <c r="O963" s="341"/>
      <c r="P963" s="168"/>
      <c r="Q963" s="370"/>
      <c r="R963" s="370"/>
      <c r="S963" s="17"/>
      <c r="T963" s="17"/>
      <c r="U963" s="17"/>
      <c r="V963" s="17"/>
    </row>
    <row r="964">
      <c r="A964" s="341"/>
      <c r="B964" s="168"/>
      <c r="C964" s="341"/>
      <c r="D964" s="168"/>
      <c r="E964" s="341"/>
      <c r="F964" s="168"/>
      <c r="G964" s="341"/>
      <c r="H964" s="168"/>
      <c r="I964" s="369"/>
      <c r="J964" s="188"/>
      <c r="K964" s="369"/>
      <c r="L964" s="188"/>
      <c r="M964" s="341"/>
      <c r="N964" s="168"/>
      <c r="O964" s="341"/>
      <c r="P964" s="168"/>
      <c r="Q964" s="370"/>
      <c r="R964" s="370"/>
      <c r="S964" s="17"/>
      <c r="T964" s="17"/>
      <c r="U964" s="17"/>
      <c r="V964" s="17"/>
    </row>
    <row r="965">
      <c r="A965" s="341"/>
      <c r="B965" s="168"/>
      <c r="C965" s="341"/>
      <c r="D965" s="168"/>
      <c r="E965" s="341"/>
      <c r="F965" s="168"/>
      <c r="G965" s="341"/>
      <c r="H965" s="168"/>
      <c r="I965" s="369"/>
      <c r="J965" s="188"/>
      <c r="K965" s="369"/>
      <c r="L965" s="188"/>
      <c r="M965" s="341"/>
      <c r="N965" s="168"/>
      <c r="O965" s="341"/>
      <c r="P965" s="168"/>
      <c r="Q965" s="370"/>
      <c r="R965" s="370"/>
      <c r="S965" s="17"/>
      <c r="T965" s="17"/>
      <c r="U965" s="17"/>
      <c r="V965" s="17"/>
    </row>
    <row r="966">
      <c r="A966" s="341"/>
      <c r="B966" s="168"/>
      <c r="C966" s="341"/>
      <c r="D966" s="168"/>
      <c r="E966" s="341"/>
      <c r="F966" s="168"/>
      <c r="G966" s="341"/>
      <c r="H966" s="168"/>
      <c r="I966" s="369"/>
      <c r="J966" s="188"/>
      <c r="K966" s="369"/>
      <c r="L966" s="188"/>
      <c r="M966" s="341"/>
      <c r="N966" s="168"/>
      <c r="O966" s="341"/>
      <c r="P966" s="168"/>
      <c r="Q966" s="370"/>
      <c r="R966" s="370"/>
      <c r="S966" s="17"/>
      <c r="T966" s="17"/>
      <c r="U966" s="17"/>
      <c r="V966" s="17"/>
    </row>
    <row r="967">
      <c r="A967" s="341"/>
      <c r="B967" s="168"/>
      <c r="C967" s="341"/>
      <c r="D967" s="168"/>
      <c r="E967" s="341"/>
      <c r="F967" s="168"/>
      <c r="G967" s="341"/>
      <c r="H967" s="168"/>
      <c r="I967" s="369"/>
      <c r="J967" s="188"/>
      <c r="K967" s="369"/>
      <c r="L967" s="188"/>
      <c r="M967" s="341"/>
      <c r="N967" s="168"/>
      <c r="O967" s="341"/>
      <c r="P967" s="168"/>
      <c r="Q967" s="370"/>
      <c r="R967" s="370"/>
      <c r="S967" s="17"/>
      <c r="T967" s="17"/>
      <c r="U967" s="17"/>
      <c r="V967" s="17"/>
    </row>
    <row r="968">
      <c r="A968" s="341"/>
      <c r="B968" s="168"/>
      <c r="C968" s="341"/>
      <c r="D968" s="168"/>
      <c r="E968" s="341"/>
      <c r="F968" s="168"/>
      <c r="G968" s="341"/>
      <c r="H968" s="168"/>
      <c r="I968" s="369"/>
      <c r="J968" s="188"/>
      <c r="K968" s="369"/>
      <c r="L968" s="188"/>
      <c r="M968" s="341"/>
      <c r="N968" s="168"/>
      <c r="O968" s="341"/>
      <c r="P968" s="168"/>
      <c r="Q968" s="370"/>
      <c r="R968" s="370"/>
      <c r="S968" s="17"/>
      <c r="T968" s="17"/>
      <c r="U968" s="17"/>
      <c r="V968" s="17"/>
    </row>
    <row r="969">
      <c r="A969" s="341"/>
      <c r="B969" s="168"/>
      <c r="C969" s="341"/>
      <c r="D969" s="168"/>
      <c r="E969" s="341"/>
      <c r="F969" s="168"/>
      <c r="G969" s="341"/>
      <c r="H969" s="168"/>
      <c r="I969" s="369"/>
      <c r="J969" s="188"/>
      <c r="K969" s="369"/>
      <c r="L969" s="188"/>
      <c r="M969" s="341"/>
      <c r="N969" s="168"/>
      <c r="O969" s="341"/>
      <c r="P969" s="168"/>
      <c r="Q969" s="370"/>
      <c r="R969" s="370"/>
      <c r="S969" s="17"/>
      <c r="T969" s="17"/>
      <c r="U969" s="17"/>
      <c r="V969" s="17"/>
    </row>
    <row r="970">
      <c r="A970" s="341"/>
      <c r="B970" s="168"/>
      <c r="C970" s="341"/>
      <c r="D970" s="168"/>
      <c r="E970" s="341"/>
      <c r="F970" s="168"/>
      <c r="G970" s="341"/>
      <c r="H970" s="168"/>
      <c r="I970" s="369"/>
      <c r="J970" s="188"/>
      <c r="K970" s="369"/>
      <c r="L970" s="188"/>
      <c r="M970" s="341"/>
      <c r="N970" s="168"/>
      <c r="O970" s="341"/>
      <c r="P970" s="168"/>
      <c r="Q970" s="370"/>
      <c r="R970" s="370"/>
      <c r="S970" s="17"/>
      <c r="T970" s="17"/>
      <c r="U970" s="17"/>
      <c r="V970" s="17"/>
    </row>
    <row r="971">
      <c r="A971" s="341"/>
      <c r="B971" s="168"/>
      <c r="C971" s="341"/>
      <c r="D971" s="168"/>
      <c r="E971" s="341"/>
      <c r="F971" s="168"/>
      <c r="G971" s="341"/>
      <c r="H971" s="168"/>
      <c r="I971" s="369"/>
      <c r="J971" s="188"/>
      <c r="K971" s="369"/>
      <c r="L971" s="188"/>
      <c r="M971" s="341"/>
      <c r="N971" s="168"/>
      <c r="O971" s="341"/>
      <c r="P971" s="168"/>
      <c r="Q971" s="370"/>
      <c r="R971" s="370"/>
      <c r="S971" s="17"/>
      <c r="T971" s="17"/>
      <c r="U971" s="17"/>
      <c r="V971" s="17"/>
    </row>
    <row r="972">
      <c r="A972" s="341"/>
      <c r="B972" s="168"/>
      <c r="C972" s="341"/>
      <c r="D972" s="168"/>
      <c r="E972" s="341"/>
      <c r="F972" s="168"/>
      <c r="G972" s="341"/>
      <c r="H972" s="168"/>
      <c r="I972" s="369"/>
      <c r="J972" s="188"/>
      <c r="K972" s="369"/>
      <c r="L972" s="188"/>
      <c r="M972" s="341"/>
      <c r="N972" s="168"/>
      <c r="O972" s="341"/>
      <c r="P972" s="168"/>
      <c r="Q972" s="370"/>
      <c r="R972" s="370"/>
      <c r="S972" s="17"/>
      <c r="T972" s="17"/>
      <c r="U972" s="17"/>
      <c r="V972" s="17"/>
    </row>
    <row r="973">
      <c r="A973" s="341"/>
      <c r="B973" s="168"/>
      <c r="C973" s="341"/>
      <c r="D973" s="168"/>
      <c r="E973" s="341"/>
      <c r="F973" s="168"/>
      <c r="G973" s="341"/>
      <c r="H973" s="168"/>
      <c r="I973" s="369"/>
      <c r="J973" s="188"/>
      <c r="K973" s="369"/>
      <c r="L973" s="188"/>
      <c r="M973" s="341"/>
      <c r="N973" s="168"/>
      <c r="O973" s="341"/>
      <c r="P973" s="168"/>
      <c r="Q973" s="370"/>
      <c r="R973" s="370"/>
      <c r="S973" s="17"/>
      <c r="T973" s="17"/>
      <c r="U973" s="17"/>
      <c r="V973" s="17"/>
    </row>
    <row r="974">
      <c r="A974" s="341"/>
      <c r="B974" s="168"/>
      <c r="C974" s="341"/>
      <c r="D974" s="168"/>
      <c r="E974" s="341"/>
      <c r="F974" s="168"/>
      <c r="G974" s="341"/>
      <c r="H974" s="168"/>
      <c r="I974" s="369"/>
      <c r="J974" s="188"/>
      <c r="K974" s="369"/>
      <c r="L974" s="188"/>
      <c r="M974" s="341"/>
      <c r="N974" s="168"/>
      <c r="O974" s="341"/>
      <c r="P974" s="168"/>
      <c r="Q974" s="370"/>
      <c r="R974" s="370"/>
      <c r="S974" s="17"/>
      <c r="T974" s="17"/>
      <c r="U974" s="17"/>
      <c r="V974" s="17"/>
    </row>
    <row r="975">
      <c r="A975" s="341"/>
      <c r="B975" s="168"/>
      <c r="C975" s="341"/>
      <c r="D975" s="168"/>
      <c r="E975" s="341"/>
      <c r="F975" s="168"/>
      <c r="G975" s="341"/>
      <c r="H975" s="168"/>
      <c r="I975" s="369"/>
      <c r="J975" s="188"/>
      <c r="K975" s="369"/>
      <c r="L975" s="188"/>
      <c r="M975" s="341"/>
      <c r="N975" s="168"/>
      <c r="O975" s="341"/>
      <c r="P975" s="168"/>
      <c r="Q975" s="370"/>
      <c r="R975" s="370"/>
      <c r="S975" s="17"/>
      <c r="T975" s="17"/>
      <c r="U975" s="17"/>
      <c r="V975" s="17"/>
    </row>
    <row r="976">
      <c r="A976" s="341"/>
      <c r="B976" s="168"/>
      <c r="C976" s="341"/>
      <c r="D976" s="168"/>
      <c r="E976" s="341"/>
      <c r="F976" s="168"/>
      <c r="G976" s="341"/>
      <c r="H976" s="168"/>
      <c r="I976" s="369"/>
      <c r="J976" s="188"/>
      <c r="K976" s="369"/>
      <c r="L976" s="188"/>
      <c r="M976" s="341"/>
      <c r="N976" s="168"/>
      <c r="O976" s="341"/>
      <c r="P976" s="168"/>
      <c r="Q976" s="370"/>
      <c r="R976" s="370"/>
      <c r="S976" s="17"/>
      <c r="T976" s="17"/>
      <c r="U976" s="17"/>
      <c r="V976" s="17"/>
    </row>
    <row r="977">
      <c r="A977" s="341"/>
      <c r="B977" s="168"/>
      <c r="C977" s="341"/>
      <c r="D977" s="168"/>
      <c r="E977" s="341"/>
      <c r="F977" s="168"/>
      <c r="G977" s="341"/>
      <c r="H977" s="168"/>
      <c r="I977" s="369"/>
      <c r="J977" s="188"/>
      <c r="K977" s="369"/>
      <c r="L977" s="188"/>
      <c r="M977" s="341"/>
      <c r="N977" s="168"/>
      <c r="O977" s="341"/>
      <c r="P977" s="168"/>
      <c r="Q977" s="370"/>
      <c r="R977" s="370"/>
      <c r="S977" s="17"/>
      <c r="T977" s="17"/>
      <c r="U977" s="17"/>
      <c r="V977" s="17"/>
    </row>
    <row r="978">
      <c r="A978" s="341"/>
      <c r="B978" s="168"/>
      <c r="C978" s="341"/>
      <c r="D978" s="168"/>
      <c r="E978" s="341"/>
      <c r="F978" s="168"/>
      <c r="G978" s="341"/>
      <c r="H978" s="168"/>
      <c r="I978" s="369"/>
      <c r="J978" s="188"/>
      <c r="K978" s="369"/>
      <c r="L978" s="188"/>
      <c r="M978" s="341"/>
      <c r="N978" s="168"/>
      <c r="O978" s="341"/>
      <c r="P978" s="168"/>
      <c r="Q978" s="370"/>
      <c r="R978" s="370"/>
      <c r="S978" s="17"/>
      <c r="T978" s="17"/>
      <c r="U978" s="17"/>
      <c r="V978" s="17"/>
    </row>
    <row r="979">
      <c r="A979" s="341"/>
      <c r="B979" s="168"/>
      <c r="C979" s="341"/>
      <c r="D979" s="168"/>
      <c r="E979" s="341"/>
      <c r="F979" s="168"/>
      <c r="G979" s="341"/>
      <c r="H979" s="168"/>
      <c r="I979" s="369"/>
      <c r="J979" s="188"/>
      <c r="K979" s="369"/>
      <c r="L979" s="188"/>
      <c r="M979" s="341"/>
      <c r="N979" s="168"/>
      <c r="O979" s="341"/>
      <c r="P979" s="168"/>
      <c r="Q979" s="370"/>
      <c r="R979" s="370"/>
      <c r="S979" s="17"/>
      <c r="T979" s="17"/>
      <c r="U979" s="17"/>
      <c r="V979" s="17"/>
    </row>
    <row r="980">
      <c r="A980" s="341"/>
      <c r="B980" s="168"/>
      <c r="C980" s="341"/>
      <c r="D980" s="168"/>
      <c r="E980" s="341"/>
      <c r="F980" s="168"/>
      <c r="G980" s="341"/>
      <c r="H980" s="168"/>
      <c r="I980" s="369"/>
      <c r="J980" s="188"/>
      <c r="K980" s="369"/>
      <c r="L980" s="188"/>
      <c r="M980" s="341"/>
      <c r="N980" s="168"/>
      <c r="O980" s="341"/>
      <c r="P980" s="168"/>
      <c r="Q980" s="370"/>
      <c r="R980" s="370"/>
      <c r="S980" s="17"/>
      <c r="T980" s="17"/>
      <c r="U980" s="17"/>
      <c r="V980" s="17"/>
    </row>
    <row r="981">
      <c r="A981" s="341"/>
      <c r="B981" s="168"/>
      <c r="C981" s="341"/>
      <c r="D981" s="168"/>
      <c r="E981" s="341"/>
      <c r="F981" s="168"/>
      <c r="G981" s="341"/>
      <c r="H981" s="168"/>
      <c r="I981" s="369"/>
      <c r="J981" s="188"/>
      <c r="K981" s="369"/>
      <c r="L981" s="188"/>
      <c r="M981" s="341"/>
      <c r="N981" s="168"/>
      <c r="O981" s="341"/>
      <c r="P981" s="168"/>
      <c r="Q981" s="370"/>
      <c r="R981" s="370"/>
      <c r="S981" s="17"/>
      <c r="T981" s="17"/>
      <c r="U981" s="17"/>
      <c r="V981" s="17"/>
    </row>
    <row r="982">
      <c r="A982" s="341"/>
      <c r="B982" s="168"/>
      <c r="C982" s="341"/>
      <c r="D982" s="168"/>
      <c r="E982" s="341"/>
      <c r="F982" s="168"/>
      <c r="G982" s="341"/>
      <c r="H982" s="168"/>
      <c r="I982" s="369"/>
      <c r="J982" s="188"/>
      <c r="K982" s="369"/>
      <c r="L982" s="188"/>
      <c r="M982" s="341"/>
      <c r="N982" s="168"/>
      <c r="O982" s="341"/>
      <c r="P982" s="168"/>
      <c r="Q982" s="370"/>
      <c r="R982" s="370"/>
      <c r="S982" s="17"/>
      <c r="T982" s="17"/>
      <c r="U982" s="17"/>
      <c r="V982" s="17"/>
    </row>
    <row r="983">
      <c r="A983" s="341"/>
      <c r="B983" s="168"/>
      <c r="C983" s="341"/>
      <c r="D983" s="168"/>
      <c r="E983" s="341"/>
      <c r="F983" s="168"/>
      <c r="G983" s="341"/>
      <c r="H983" s="168"/>
      <c r="I983" s="369"/>
      <c r="J983" s="188"/>
      <c r="K983" s="369"/>
      <c r="L983" s="188"/>
      <c r="M983" s="341"/>
      <c r="N983" s="168"/>
      <c r="O983" s="341"/>
      <c r="P983" s="168"/>
      <c r="Q983" s="370"/>
      <c r="R983" s="370"/>
      <c r="S983" s="17"/>
      <c r="T983" s="17"/>
      <c r="U983" s="17"/>
      <c r="V983" s="17"/>
    </row>
    <row r="984">
      <c r="A984" s="341"/>
      <c r="B984" s="168"/>
      <c r="C984" s="341"/>
      <c r="D984" s="168"/>
      <c r="E984" s="341"/>
      <c r="F984" s="168"/>
      <c r="G984" s="341"/>
      <c r="H984" s="168"/>
      <c r="I984" s="369"/>
      <c r="J984" s="188"/>
      <c r="K984" s="369"/>
      <c r="L984" s="188"/>
      <c r="M984" s="341"/>
      <c r="N984" s="168"/>
      <c r="O984" s="341"/>
      <c r="P984" s="168"/>
      <c r="Q984" s="370"/>
      <c r="R984" s="370"/>
      <c r="S984" s="17"/>
      <c r="T984" s="17"/>
      <c r="U984" s="17"/>
      <c r="V984" s="17"/>
    </row>
    <row r="985">
      <c r="A985" s="341"/>
      <c r="B985" s="168"/>
      <c r="C985" s="341"/>
      <c r="D985" s="168"/>
      <c r="E985" s="341"/>
      <c r="F985" s="168"/>
      <c r="G985" s="341"/>
      <c r="H985" s="168"/>
      <c r="I985" s="369"/>
      <c r="J985" s="188"/>
      <c r="K985" s="369"/>
      <c r="L985" s="188"/>
      <c r="M985" s="341"/>
      <c r="N985" s="168"/>
      <c r="O985" s="341"/>
      <c r="P985" s="168"/>
      <c r="Q985" s="370"/>
      <c r="R985" s="370"/>
      <c r="S985" s="17"/>
      <c r="T985" s="17"/>
      <c r="U985" s="17"/>
      <c r="V985" s="17"/>
    </row>
    <row r="986">
      <c r="A986" s="341"/>
      <c r="B986" s="168"/>
      <c r="C986" s="341"/>
      <c r="D986" s="168"/>
      <c r="E986" s="341"/>
      <c r="F986" s="168"/>
      <c r="G986" s="341"/>
      <c r="H986" s="168"/>
      <c r="I986" s="369"/>
      <c r="J986" s="188"/>
      <c r="K986" s="369"/>
      <c r="L986" s="188"/>
      <c r="M986" s="341"/>
      <c r="N986" s="168"/>
      <c r="O986" s="341"/>
      <c r="P986" s="168"/>
      <c r="Q986" s="370"/>
      <c r="R986" s="370"/>
      <c r="S986" s="17"/>
      <c r="T986" s="17"/>
      <c r="U986" s="17"/>
      <c r="V986" s="17"/>
    </row>
    <row r="987">
      <c r="A987" s="341"/>
      <c r="B987" s="168"/>
      <c r="C987" s="341"/>
      <c r="D987" s="168"/>
      <c r="E987" s="341"/>
      <c r="F987" s="168"/>
      <c r="G987" s="341"/>
      <c r="H987" s="168"/>
      <c r="I987" s="369"/>
      <c r="J987" s="188"/>
      <c r="K987" s="369"/>
      <c r="L987" s="188"/>
      <c r="M987" s="341"/>
      <c r="N987" s="168"/>
      <c r="O987" s="341"/>
      <c r="P987" s="168"/>
      <c r="Q987" s="370"/>
      <c r="R987" s="370"/>
      <c r="S987" s="17"/>
      <c r="T987" s="17"/>
      <c r="U987" s="17"/>
      <c r="V987" s="17"/>
    </row>
    <row r="988">
      <c r="A988" s="341"/>
      <c r="B988" s="168"/>
      <c r="C988" s="341"/>
      <c r="D988" s="168"/>
      <c r="E988" s="341"/>
      <c r="F988" s="168"/>
      <c r="G988" s="341"/>
      <c r="H988" s="168"/>
      <c r="I988" s="369"/>
      <c r="J988" s="188"/>
      <c r="K988" s="369"/>
      <c r="L988" s="188"/>
      <c r="M988" s="341"/>
      <c r="N988" s="168"/>
      <c r="O988" s="341"/>
      <c r="P988" s="168"/>
      <c r="Q988" s="370"/>
      <c r="R988" s="370"/>
      <c r="S988" s="17"/>
      <c r="T988" s="17"/>
      <c r="U988" s="17"/>
      <c r="V988" s="17"/>
    </row>
    <row r="989">
      <c r="A989" s="341"/>
      <c r="B989" s="168"/>
      <c r="C989" s="341"/>
      <c r="D989" s="168"/>
      <c r="E989" s="341"/>
      <c r="F989" s="168"/>
      <c r="G989" s="341"/>
      <c r="H989" s="168"/>
      <c r="I989" s="369"/>
      <c r="J989" s="188"/>
      <c r="K989" s="369"/>
      <c r="L989" s="188"/>
      <c r="M989" s="341"/>
      <c r="N989" s="168"/>
      <c r="O989" s="341"/>
      <c r="P989" s="168"/>
      <c r="Q989" s="370"/>
      <c r="R989" s="370"/>
      <c r="S989" s="17"/>
      <c r="T989" s="17"/>
      <c r="U989" s="17"/>
      <c r="V989" s="17"/>
    </row>
    <row r="990">
      <c r="A990" s="341"/>
      <c r="B990" s="168"/>
      <c r="C990" s="341"/>
      <c r="D990" s="168"/>
      <c r="E990" s="341"/>
      <c r="F990" s="168"/>
      <c r="G990" s="341"/>
      <c r="H990" s="168"/>
      <c r="I990" s="369"/>
      <c r="J990" s="188"/>
      <c r="K990" s="369"/>
      <c r="L990" s="188"/>
      <c r="M990" s="341"/>
      <c r="N990" s="168"/>
      <c r="O990" s="341"/>
      <c r="P990" s="168"/>
      <c r="Q990" s="370"/>
      <c r="R990" s="370"/>
      <c r="S990" s="17"/>
      <c r="T990" s="17"/>
      <c r="U990" s="17"/>
      <c r="V990" s="17"/>
    </row>
    <row r="991">
      <c r="A991" s="341"/>
      <c r="B991" s="168"/>
      <c r="C991" s="341"/>
      <c r="D991" s="168"/>
      <c r="E991" s="341"/>
      <c r="F991" s="168"/>
      <c r="G991" s="341"/>
      <c r="H991" s="168"/>
      <c r="I991" s="369"/>
      <c r="J991" s="188"/>
      <c r="K991" s="369"/>
      <c r="L991" s="188"/>
      <c r="M991" s="341"/>
      <c r="N991" s="168"/>
      <c r="O991" s="341"/>
      <c r="P991" s="168"/>
      <c r="Q991" s="370"/>
      <c r="R991" s="370"/>
      <c r="S991" s="17"/>
      <c r="T991" s="17"/>
      <c r="U991" s="17"/>
      <c r="V991" s="17"/>
    </row>
    <row r="992">
      <c r="A992" s="341"/>
      <c r="B992" s="168"/>
      <c r="C992" s="341"/>
      <c r="D992" s="168"/>
      <c r="E992" s="341"/>
      <c r="F992" s="168"/>
      <c r="G992" s="341"/>
      <c r="H992" s="168"/>
      <c r="I992" s="369"/>
      <c r="J992" s="188"/>
      <c r="K992" s="369"/>
      <c r="L992" s="188"/>
      <c r="M992" s="341"/>
      <c r="N992" s="168"/>
      <c r="O992" s="341"/>
      <c r="P992" s="168"/>
      <c r="Q992" s="370"/>
      <c r="R992" s="370"/>
      <c r="S992" s="17"/>
      <c r="T992" s="17"/>
      <c r="U992" s="17"/>
      <c r="V992" s="17"/>
    </row>
    <row r="993">
      <c r="A993" s="341"/>
      <c r="B993" s="168"/>
      <c r="C993" s="341"/>
      <c r="D993" s="168"/>
      <c r="E993" s="341"/>
      <c r="F993" s="168"/>
      <c r="G993" s="341"/>
      <c r="H993" s="168"/>
      <c r="I993" s="369"/>
      <c r="J993" s="188"/>
      <c r="K993" s="369"/>
      <c r="L993" s="188"/>
      <c r="M993" s="341"/>
      <c r="N993" s="168"/>
      <c r="O993" s="341"/>
      <c r="P993" s="168"/>
      <c r="Q993" s="370"/>
      <c r="R993" s="370"/>
      <c r="S993" s="17"/>
      <c r="T993" s="17"/>
      <c r="U993" s="17"/>
      <c r="V993" s="17"/>
    </row>
    <row r="994">
      <c r="A994" s="341"/>
      <c r="B994" s="168"/>
      <c r="C994" s="341"/>
      <c r="D994" s="168"/>
      <c r="E994" s="341"/>
      <c r="F994" s="168"/>
      <c r="G994" s="341"/>
      <c r="H994" s="168"/>
      <c r="I994" s="369"/>
      <c r="J994" s="188"/>
      <c r="K994" s="369"/>
      <c r="L994" s="188"/>
      <c r="M994" s="341"/>
      <c r="N994" s="168"/>
      <c r="O994" s="341"/>
      <c r="P994" s="168"/>
      <c r="Q994" s="370"/>
      <c r="R994" s="370"/>
      <c r="S994" s="17"/>
      <c r="T994" s="17"/>
      <c r="U994" s="17"/>
      <c r="V994" s="17"/>
    </row>
    <row r="995">
      <c r="A995" s="341"/>
      <c r="B995" s="168"/>
      <c r="C995" s="341"/>
      <c r="D995" s="168"/>
      <c r="E995" s="341"/>
      <c r="F995" s="168"/>
      <c r="G995" s="341"/>
      <c r="H995" s="168"/>
      <c r="I995" s="369"/>
      <c r="J995" s="188"/>
      <c r="K995" s="369"/>
      <c r="L995" s="188"/>
      <c r="M995" s="341"/>
      <c r="N995" s="168"/>
      <c r="O995" s="341"/>
      <c r="P995" s="168"/>
      <c r="Q995" s="370"/>
      <c r="R995" s="370"/>
      <c r="S995" s="17"/>
      <c r="T995" s="17"/>
      <c r="U995" s="17"/>
      <c r="V995" s="17"/>
    </row>
    <row r="996">
      <c r="A996" s="341"/>
      <c r="B996" s="168"/>
      <c r="C996" s="341"/>
      <c r="D996" s="168"/>
      <c r="E996" s="341"/>
      <c r="F996" s="168"/>
      <c r="G996" s="341"/>
      <c r="H996" s="168"/>
      <c r="I996" s="369"/>
      <c r="J996" s="188"/>
      <c r="K996" s="369"/>
      <c r="L996" s="188"/>
      <c r="M996" s="341"/>
      <c r="N996" s="168"/>
      <c r="O996" s="341"/>
      <c r="P996" s="168"/>
      <c r="Q996" s="370"/>
      <c r="R996" s="370"/>
      <c r="S996" s="17"/>
      <c r="T996" s="17"/>
      <c r="U996" s="17"/>
      <c r="V996" s="17"/>
    </row>
    <row r="997">
      <c r="A997" s="341"/>
      <c r="B997" s="168"/>
      <c r="C997" s="341"/>
      <c r="D997" s="168"/>
      <c r="E997" s="341"/>
      <c r="F997" s="168"/>
      <c r="G997" s="341"/>
      <c r="H997" s="168"/>
      <c r="I997" s="369"/>
      <c r="J997" s="188"/>
      <c r="K997" s="369"/>
      <c r="L997" s="188"/>
      <c r="M997" s="341"/>
      <c r="N997" s="168"/>
      <c r="O997" s="341"/>
      <c r="P997" s="168"/>
      <c r="Q997" s="370"/>
      <c r="R997" s="370"/>
      <c r="S997" s="17"/>
      <c r="T997" s="17"/>
      <c r="U997" s="17"/>
      <c r="V997" s="17"/>
    </row>
    <row r="998">
      <c r="A998" s="341"/>
      <c r="B998" s="168"/>
      <c r="C998" s="341"/>
      <c r="D998" s="168"/>
      <c r="E998" s="341"/>
      <c r="F998" s="168"/>
      <c r="G998" s="341"/>
      <c r="H998" s="168"/>
      <c r="I998" s="369"/>
      <c r="J998" s="188"/>
      <c r="K998" s="369"/>
      <c r="L998" s="188"/>
      <c r="M998" s="341"/>
      <c r="N998" s="168"/>
      <c r="O998" s="341"/>
      <c r="P998" s="168"/>
      <c r="Q998" s="370"/>
      <c r="R998" s="370"/>
      <c r="S998" s="17"/>
      <c r="T998" s="17"/>
      <c r="U998" s="17"/>
      <c r="V998" s="17"/>
    </row>
    <row r="999">
      <c r="A999" s="341"/>
      <c r="B999" s="168"/>
      <c r="C999" s="341"/>
      <c r="D999" s="168"/>
      <c r="E999" s="341"/>
      <c r="F999" s="168"/>
      <c r="G999" s="341"/>
      <c r="H999" s="168"/>
      <c r="I999" s="369"/>
      <c r="J999" s="188"/>
      <c r="K999" s="369"/>
      <c r="L999" s="188"/>
      <c r="M999" s="341"/>
      <c r="N999" s="168"/>
      <c r="O999" s="341"/>
      <c r="P999" s="168"/>
      <c r="Q999" s="370"/>
      <c r="R999" s="370"/>
      <c r="S999" s="17"/>
      <c r="T999" s="17"/>
      <c r="U999" s="17"/>
      <c r="V999" s="17"/>
    </row>
    <row r="1000">
      <c r="A1000" s="341"/>
      <c r="B1000" s="168"/>
      <c r="C1000" s="341"/>
      <c r="D1000" s="168"/>
      <c r="E1000" s="341"/>
      <c r="F1000" s="168"/>
      <c r="G1000" s="341"/>
      <c r="H1000" s="168"/>
      <c r="I1000" s="369"/>
      <c r="J1000" s="188"/>
      <c r="K1000" s="369"/>
      <c r="L1000" s="188"/>
      <c r="M1000" s="341"/>
      <c r="N1000" s="168"/>
      <c r="O1000" s="341"/>
      <c r="P1000" s="168"/>
      <c r="Q1000" s="370"/>
      <c r="R1000" s="370"/>
      <c r="S1000" s="17"/>
      <c r="T1000" s="17"/>
      <c r="U1000" s="17"/>
      <c r="V1000" s="17"/>
    </row>
    <row r="1001">
      <c r="A1001" s="341"/>
      <c r="B1001" s="168"/>
      <c r="C1001" s="341"/>
      <c r="D1001" s="168"/>
      <c r="E1001" s="341"/>
      <c r="F1001" s="168"/>
      <c r="G1001" s="341"/>
      <c r="H1001" s="168"/>
      <c r="I1001" s="369"/>
      <c r="J1001" s="188"/>
      <c r="K1001" s="369"/>
      <c r="L1001" s="188"/>
      <c r="M1001" s="341"/>
      <c r="N1001" s="168"/>
      <c r="O1001" s="341"/>
      <c r="P1001" s="168"/>
      <c r="Q1001" s="341"/>
      <c r="R1001" s="168"/>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371" t="s">
        <v>5960</v>
      </c>
      <c r="B1" s="372" t="s">
        <v>237</v>
      </c>
      <c r="C1" s="373" t="s">
        <v>5961</v>
      </c>
      <c r="F1" s="371" t="s">
        <v>5962</v>
      </c>
      <c r="G1" s="372" t="s">
        <v>237</v>
      </c>
      <c r="H1" s="374" t="s">
        <v>5963</v>
      </c>
      <c r="K1" s="371" t="s">
        <v>5964</v>
      </c>
      <c r="L1" s="372" t="s">
        <v>237</v>
      </c>
      <c r="M1" s="374" t="s">
        <v>5965</v>
      </c>
      <c r="P1" s="371" t="str">
        <f>IFERROR(__xludf.DUMMYFUNCTION("GOOGLETRANSLATE(A1,""zh-tw"",""zh"")"),"吃饱效果(夜袭时间延长)")</f>
        <v>吃饱效果(夜袭时间延长)</v>
      </c>
      <c r="Q1" s="372" t="str">
        <f>IFERROR(__xludf.DUMMYFUNCTION("GOOGLETRANSLATE(B1,""zh-tw"",""zh"")"),"A")</f>
        <v>A</v>
      </c>
      <c r="R1" s="181"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371" t="str">
        <f>IFERROR(__xludf.DUMMYFUNCTION("GOOGLETRANSLATE(A1,""zh-tw"",""es-MX"")"),"Efecto de plenitud (duración prolongada de la incursión nocturna)")</f>
        <v>Efecto de plenitud (duración prolongada de la incursión nocturna)</v>
      </c>
      <c r="V1" s="372" t="s">
        <v>237</v>
      </c>
      <c r="W1" s="375" t="str">
        <f>IFERROR(__xludf.DUMMYFUNCTION("GOOGLETRANSLATE(C1,""zh-tw"",""es-MX"")"),"Ejemplos de ingredientes: Los ingredientes solo tienen una ponderación y un cierto grado de probabilidad y frecuencia, por lo que el éxito no está garantizado siempre.
Por ejemplo, el ingrediente zanahoria puede tener simultáneamente las etiquetas Zanaho"&amp;"ria, Verdura y Rojo.
Además, con el mismo conjunto de ingredientes se pueden obtener platos diferentes.
A cada plato se le pueden añadir chiles, lo que aumenta la probabilidad de que sea más picante. Asimismo, cada chile adicional incrementa la probabil"&amp;"idad de que el plato sea picante.")</f>
        <v>Ejemplos de ingredientes: Los ingredientes solo tienen una ponderación y un cierto grado de probabilidad y frecuencia, por lo que el éxito no está garantizado siempre.
Por ejemplo, el ingrediente zanahoria puede tener simultáneamente las etiquetas Zanahoria, Verdura y Rojo.
Además, con el mismo conjunto de ingredientes se pueden obtener platos diferentes.
A cada plato se le pueden añadir chiles, lo que aumenta la probabilidad de que sea más picante. Asimismo, cada chile adicional incrementa la probabilidad de que el plato sea picante.</v>
      </c>
      <c r="Z1" s="371" t="str">
        <f>IFERROR(__xludf.DUMMYFUNCTION("GOOGLETRANSLATE(A1,""zh-tw"",""KO"")"),"충만 효과(야간 공격 지속 시간 연장)")</f>
        <v>충만 효과(야간 공격 지속 시간 연장)</v>
      </c>
      <c r="AA1" s="372" t="s">
        <v>237</v>
      </c>
      <c r="AB1" s="375" t="str">
        <f>IFERROR(__xludf.DUMMYFUNCTION("GOOGLETRANSLATE(C1,""zh-tw"",""ko"")"),"재료 예시: 재료는 가중치만 적용되고 일정 확률과 공통성을 가지므로 항상 성공이 보장되는 것은 아닙니다.
예를 들어, 재료 '당근'에는 '당근', '야채', '빨간색' 태그가 동시에 붙습니다.
더 나아가, 같은 재료 세트로 다양한 요리가 만들어질 수 있습니다.
각 요리에 고추를 추가할 수 있으므로 더 매운맛이 날 가능성이 있습니다. 또한, 고추를 추가할 때마다 매운맛이 날 확률이 높아집니다.")</f>
        <v>재료 예시: 재료는 가중치만 적용되고 일정 확률과 공통성을 가지므로 항상 성공이 보장되는 것은 아닙니다.
예를 들어, 재료 '당근'에는 '당근', '야채', '빨간색' 태그가 동시에 붙습니다.
더 나아가, 같은 재료 세트로 다양한 요리가 만들어질 수 있습니다.
각 요리에 고추를 추가할 수 있으므로 더 매운맛이 날 가능성이 있습니다. 또한, 고추를 추가할 때마다 매운맛이 날 확률이 높아집니다.</v>
      </c>
      <c r="AE1" s="371"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72" t="s">
        <v>237</v>
      </c>
      <c r="AG1" s="375" t="str">
        <f>IFERROR(__xludf.DUMMYFUNCTION("GOOGLETRANSLATE(C1,""zh-tw"",""ru"")"),"Примеры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"&amp;"же набора ингредиентов могут получаться разные блюда.
В каждое блюдо можно добавить перец чили, что даёт шанс получить более острый эффект. Кроме того, каждый дополнительный перец чили увеличивает вероятность получения более острого блюда.")</f>
        <v>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же набора ингредиентов могут получаться разные блюда.
В каждое блюдо можно добавить перец чили, что даёт шанс получить более острый эффект. Кроме того, каждый дополнительный перец чили увеличивает вероятность получения более острого блюда.</v>
      </c>
      <c r="AJ1" s="376" t="s">
        <v>5966</v>
      </c>
      <c r="AK1" s="372" t="s">
        <v>237</v>
      </c>
      <c r="AL1" s="373" t="s">
        <v>5967</v>
      </c>
      <c r="AO1" s="377" t="s">
        <v>5968</v>
      </c>
      <c r="AP1" s="378" t="s">
        <v>237</v>
      </c>
      <c r="AQ1" s="188" t="s">
        <v>5969</v>
      </c>
    </row>
    <row r="2" ht="75.0" customHeight="1">
      <c r="A2" s="371" t="s">
        <v>5970</v>
      </c>
      <c r="B2" s="372" t="s">
        <v>784</v>
      </c>
      <c r="F2" s="371" t="s">
        <v>5971</v>
      </c>
      <c r="G2" s="372" t="s">
        <v>784</v>
      </c>
      <c r="K2" s="371" t="s">
        <v>5972</v>
      </c>
      <c r="L2" s="372" t="s">
        <v>784</v>
      </c>
      <c r="P2" s="371" t="str">
        <f>IFERROR(__xludf.DUMMYFUNCTION("GOOGLETRANSLATE(A2,""zh-tw"",""zh"")"),"妹妹辣到哭了(机率触发)")</f>
        <v>妹妹辣到哭了(机率触发)</v>
      </c>
      <c r="Q2" s="372" t="str">
        <f>IFERROR(__xludf.DUMMYFUNCTION("GOOGLETRANSLATE(B2,""zh-tw"",""zh"")"),"B")</f>
        <v>B</v>
      </c>
      <c r="U2" s="371" t="str">
        <f>IFERROR(__xludf.DUMMYFUNCTION("GOOGLETRANSLATE(A2,""zh-tw"",""es-MX"")"),"Mi hermana lloró porque la comida estaba muy picante (desencadenante fortuito).")</f>
        <v>Mi hermana lloró porque la comida estaba muy picante (desencadenante fortuito).</v>
      </c>
      <c r="V2" s="372" t="s">
        <v>784</v>
      </c>
      <c r="Z2" s="371" t="str">
        <f>IFERROR(__xludf.DUMMYFUNCTION("GOOGLETRANSLATE(A2,""zh-tw"",""KO"")"),"언니는 음식이 너무 매워서 울었어요(우연에 의한 트리거).")</f>
        <v>언니는 음식이 너무 매워서 울었어요(우연에 의한 트리거).</v>
      </c>
      <c r="AA2" s="372" t="s">
        <v>784</v>
      </c>
      <c r="AE2" s="371" t="str">
        <f>IFERROR(__xludf.DUMMYFUNCTION("GOOGLETRANSLATE(A2,""zh-tw"",""ru"")"),"Моя сестра плакала, потому что еда была очень острой (случайный триггер).")</f>
        <v>Моя сестра плакала, потому что еда была очень острой (случайный триггер).</v>
      </c>
      <c r="AF2" s="372" t="s">
        <v>784</v>
      </c>
      <c r="AJ2" s="376" t="s">
        <v>5973</v>
      </c>
      <c r="AK2" s="372" t="s">
        <v>784</v>
      </c>
      <c r="AO2" s="186" t="s">
        <v>5974</v>
      </c>
      <c r="AP2" s="379" t="s">
        <v>784</v>
      </c>
    </row>
    <row r="3">
      <c r="A3" s="380" t="s">
        <v>5975</v>
      </c>
      <c r="B3" s="381" t="s">
        <v>5521</v>
      </c>
      <c r="F3" s="380" t="str">
        <f>IFERROR(__xludf.DUMMYFUNCTION("GOOGLETRANSLATE(A3,""zh-tw"",""ja"")"),"料理名")</f>
        <v>料理名</v>
      </c>
      <c r="G3" s="381" t="str">
        <f>IFERROR(__xludf.DUMMYFUNCTION("GOOGLETRANSLATE(B3,""zh-tw"",""ja"")"),"効果")</f>
        <v>効果</v>
      </c>
      <c r="K3" s="380" t="s">
        <v>5976</v>
      </c>
      <c r="L3" s="381" t="s">
        <v>5977</v>
      </c>
      <c r="P3" s="67" t="str">
        <f>IFERROR(__xludf.DUMMYFUNCTION("GOOGLETRANSLATE(A3,""zh-tw"",""zh"")"),"料理名")</f>
        <v>料理名</v>
      </c>
      <c r="Q3" s="66" t="str">
        <f>IFERROR(__xludf.DUMMYFUNCTION("GOOGLETRANSLATE(B3,""zh-tw"",""zh"")"),"效果")</f>
        <v>效果</v>
      </c>
      <c r="U3" s="380" t="str">
        <f>IFERROR(__xludf.DUMMYFUNCTION("GOOGLETRANSLATE(A3,""zh-tw"",""es-MX"")"),"Nombre de los platos")</f>
        <v>Nombre de los platos</v>
      </c>
      <c r="V3" s="381" t="str">
        <f>IFERROR(__xludf.DUMMYFUNCTION("GOOGLETRANSLATE(B3,""zh-tw"",""es-MX"")"),"Efecto")</f>
        <v>Efecto</v>
      </c>
      <c r="Z3" s="380" t="str">
        <f>IFERROR(__xludf.DUMMYFUNCTION("GOOGLETRANSLATE(A3,""zh-tw"",""KO"")"),"요리 이름")</f>
        <v>요리 이름</v>
      </c>
      <c r="AA3" s="382" t="str">
        <f>IFERROR(__xludf.DUMMYFUNCTION("GOOGLETRANSLATE(B3,""zh-tw"",""KO"")"),"효과")</f>
        <v>효과</v>
      </c>
      <c r="AE3" s="380" t="str">
        <f>IFERROR(__xludf.DUMMYFUNCTION("GOOGLETRANSLATE(A3,""zh-tw"",""ru"")"),"Название блюда")</f>
        <v>Название блюда</v>
      </c>
      <c r="AF3" s="381" t="str">
        <f>IFERROR(__xludf.DUMMYFUNCTION("GOOGLETRANSLATE(B3,""zh-tw"",""ru"")"),"Эффект")</f>
        <v>Эффект</v>
      </c>
      <c r="AJ3" s="383" t="s">
        <v>5978</v>
      </c>
      <c r="AK3" s="382" t="s">
        <v>5979</v>
      </c>
      <c r="AO3" s="384" t="s">
        <v>5980</v>
      </c>
      <c r="AP3" s="385" t="s">
        <v>4380</v>
      </c>
    </row>
    <row r="4">
      <c r="A4" s="386" t="s">
        <v>5981</v>
      </c>
      <c r="B4" s="387"/>
      <c r="C4" s="169" t="s">
        <v>5982</v>
      </c>
      <c r="D4" s="181"/>
      <c r="E4" s="181"/>
      <c r="F4" s="386" t="s">
        <v>5983</v>
      </c>
      <c r="G4" s="387"/>
      <c r="H4" s="169" t="s">
        <v>5984</v>
      </c>
      <c r="I4" s="181"/>
      <c r="J4" s="181"/>
      <c r="K4" s="103" t="s">
        <v>5985</v>
      </c>
      <c r="L4" s="387"/>
      <c r="M4" s="167" t="s">
        <v>5986</v>
      </c>
      <c r="N4" s="168"/>
      <c r="O4" s="168"/>
      <c r="P4" s="388" t="str">
        <f>IFERROR(__xludf.DUMMYFUNCTION("GOOGLETRANSLATE(A4,""zh-tw"",""zh"")"),"史莱姆果冻")</f>
        <v>史莱姆果冻</v>
      </c>
      <c r="Q4" s="66"/>
      <c r="R4" s="69" t="str">
        <f>IFERROR(__xludf.DUMMYFUNCTION("GOOGLETRANSLATE(C4,""zh-tw"",""zh"")"),"史莱姆黏液")</f>
        <v>史莱姆黏液</v>
      </c>
      <c r="S4" s="69"/>
      <c r="T4" s="69"/>
      <c r="U4" s="386" t="str">
        <f>IFERROR(__xludf.DUMMYFUNCTION("GOOGLETRANSLATE(A4,""zh-tw"",""es-MX"")"),"Gelatina de baba")</f>
        <v>Gelatina de baba</v>
      </c>
      <c r="V4" s="381"/>
      <c r="W4" s="169" t="str">
        <f>IFERROR(__xludf.DUMMYFUNCTION("GOOGLETRANSLATE(C4,""zh-tw"",""es-MX"")"),"limo")</f>
        <v>limo</v>
      </c>
      <c r="X4" s="169"/>
      <c r="Y4" s="169"/>
      <c r="Z4" s="389" t="str">
        <f>IFERROR(__xludf.DUMMYFUNCTION("GOOGLETRANSLATE(A4,""zh-tw"",""KO"")"),"슬라임 젤리")</f>
        <v>슬라임 젤리</v>
      </c>
      <c r="AA4" s="382"/>
      <c r="AB4" s="167" t="s">
        <v>5987</v>
      </c>
      <c r="AC4" s="181"/>
      <c r="AD4" s="181"/>
      <c r="AE4" s="386" t="str">
        <f>IFERROR(__xludf.DUMMYFUNCTION("GOOGLETRANSLATE(A4,""zh-tw"",""ru"")"),"Слизистое желе")</f>
        <v>Слизистое желе</v>
      </c>
      <c r="AF4" s="381"/>
      <c r="AG4" s="169" t="str">
        <f>IFERROR(__xludf.DUMMYFUNCTION("GOOGLETRANSLATE(C4,""zh-tw"",""ru"")"),"слизь")</f>
        <v>слизь</v>
      </c>
      <c r="AH4" s="169"/>
      <c r="AI4" s="169"/>
      <c r="AJ4" s="390" t="s">
        <v>5988</v>
      </c>
      <c r="AK4" s="382"/>
      <c r="AL4" s="167" t="s">
        <v>5989</v>
      </c>
      <c r="AM4" s="168"/>
      <c r="AN4" s="168"/>
      <c r="AO4" s="185" t="s">
        <v>5990</v>
      </c>
      <c r="AP4" s="195"/>
      <c r="AQ4" s="187" t="s">
        <v>5991</v>
      </c>
      <c r="AR4" s="188"/>
      <c r="AS4" s="188"/>
    </row>
    <row r="5">
      <c r="A5" s="386" t="s">
        <v>5992</v>
      </c>
      <c r="B5" s="387"/>
      <c r="C5" s="169" t="s">
        <v>5993</v>
      </c>
      <c r="D5" s="169" t="s">
        <v>5994</v>
      </c>
      <c r="E5" s="181"/>
      <c r="F5" s="386" t="s">
        <v>5995</v>
      </c>
      <c r="G5" s="387"/>
      <c r="H5" s="169" t="s">
        <v>5996</v>
      </c>
      <c r="I5" s="169" t="s">
        <v>5997</v>
      </c>
      <c r="J5" s="181"/>
      <c r="K5" s="99" t="s">
        <v>5998</v>
      </c>
      <c r="L5" s="387"/>
      <c r="M5" s="167" t="s">
        <v>5999</v>
      </c>
      <c r="N5" s="167" t="s">
        <v>6000</v>
      </c>
      <c r="O5" s="168"/>
      <c r="P5" s="388"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86" t="str">
        <f>IFERROR(__xludf.DUMMYFUNCTION("GOOGLETRANSLATE(A5,""zh-tw"",""es-MX"")"),"Arroz al curry")</f>
        <v>Arroz al curry</v>
      </c>
      <c r="V5" s="381"/>
      <c r="W5" s="169" t="str">
        <f>IFERROR(__xludf.DUMMYFUNCTION("GOOGLETRANSLATE(C5,""zh-tw"",""es-MX"")"),"arroz blanco")</f>
        <v>arroz blanco</v>
      </c>
      <c r="X5" s="169" t="str">
        <f>IFERROR(__xludf.DUMMYFUNCTION("GOOGLETRANSLATE(D5,""zh-tw"",""es-MX"")"),"cubos de curry")</f>
        <v>cubos de curry</v>
      </c>
      <c r="Y5" s="169"/>
      <c r="Z5" s="389" t="str">
        <f>IFERROR(__xludf.DUMMYFUNCTION("GOOGLETRANSLATE(A5,""zh-tw"",""KO"")"),"카레라이스")</f>
        <v>카레라이스</v>
      </c>
      <c r="AA5" s="382"/>
      <c r="AB5" s="168" t="str">
        <f>IFERROR(__xludf.DUMMYFUNCTION("GOOGLETRANSLATE(C5,""zh-tw"",""KO"")"),"흰쌀")</f>
        <v>흰쌀</v>
      </c>
      <c r="AC5" s="167" t="s">
        <v>6001</v>
      </c>
      <c r="AD5" s="168"/>
      <c r="AE5" s="386" t="str">
        <f>IFERROR(__xludf.DUMMYFUNCTION("GOOGLETRANSLATE(A5,""zh-tw"",""ru"")"),"Карри с рисом")</f>
        <v>Карри с рисом</v>
      </c>
      <c r="AF5" s="381"/>
      <c r="AG5" s="169" t="str">
        <f>IFERROR(__xludf.DUMMYFUNCTION("GOOGLETRANSLATE(C5,""zh-tw"",""ru"")"),"Белый рис")</f>
        <v>Белый рис</v>
      </c>
      <c r="AH5" s="169" t="str">
        <f>IFERROR(__xludf.DUMMYFUNCTION("GOOGLETRANSLATE(D5,""zh-tw"",""ru"")"),"кубики карри")</f>
        <v>кубики карри</v>
      </c>
      <c r="AI5" s="169"/>
      <c r="AJ5" s="390" t="s">
        <v>6002</v>
      </c>
      <c r="AK5" s="382"/>
      <c r="AL5" s="167" t="s">
        <v>6003</v>
      </c>
      <c r="AM5" s="167" t="s">
        <v>6004</v>
      </c>
      <c r="AN5" s="168"/>
      <c r="AO5" s="185" t="s">
        <v>6005</v>
      </c>
      <c r="AP5" s="195"/>
      <c r="AQ5" s="187" t="s">
        <v>6006</v>
      </c>
      <c r="AR5" s="187" t="s">
        <v>6007</v>
      </c>
      <c r="AS5" s="188"/>
    </row>
    <row r="6">
      <c r="A6" s="386" t="s">
        <v>6008</v>
      </c>
      <c r="B6" s="387"/>
      <c r="C6" s="169" t="s">
        <v>6009</v>
      </c>
      <c r="D6" s="169" t="s">
        <v>6010</v>
      </c>
      <c r="E6" s="181"/>
      <c r="F6" s="386" t="s">
        <v>6011</v>
      </c>
      <c r="G6" s="387"/>
      <c r="H6" s="169" t="s">
        <v>6012</v>
      </c>
      <c r="I6" s="169" t="s">
        <v>6013</v>
      </c>
      <c r="J6" s="181"/>
      <c r="K6" s="103" t="s">
        <v>6014</v>
      </c>
      <c r="L6" s="387"/>
      <c r="M6" s="167" t="s">
        <v>6015</v>
      </c>
      <c r="N6" s="167" t="s">
        <v>6016</v>
      </c>
      <c r="O6" s="168"/>
      <c r="P6" s="388"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86" t="str">
        <f>IFERROR(__xludf.DUMMYFUNCTION("GOOGLETRANSLATE(A6,""zh-tw"",""es-MX"")"),"Tarta de manzana")</f>
        <v>Tarta de manzana</v>
      </c>
      <c r="V6" s="381"/>
      <c r="W6" s="169" t="str">
        <f>IFERROR(__xludf.DUMMYFUNCTION("GOOGLETRANSLATE(C6,""zh-tw"",""es-MX"")"),"manzana")</f>
        <v>manzana</v>
      </c>
      <c r="X6" s="169" t="str">
        <f>IFERROR(__xludf.DUMMYFUNCTION("GOOGLETRANSLATE(D6,""zh-tw"",""es-MX"")"),"harina de trigo")</f>
        <v>harina de trigo</v>
      </c>
      <c r="Y6" s="169"/>
      <c r="Z6" s="389" t="str">
        <f>IFERROR(__xludf.DUMMYFUNCTION("GOOGLETRANSLATE(A6,""zh-tw"",""KO"")"),"애플파이")</f>
        <v>애플파이</v>
      </c>
      <c r="AA6" s="382"/>
      <c r="AB6" s="168" t="str">
        <f>IFERROR(__xludf.DUMMYFUNCTION("GOOGLETRANSLATE(C6,""zh-tw"",""KO"")"),"사과")</f>
        <v>사과</v>
      </c>
      <c r="AC6" s="168" t="str">
        <f>IFERROR(__xludf.DUMMYFUNCTION("GOOGLETRANSLATE(D6,""zh-tw"",""KO"")"),"밀가루")</f>
        <v>밀가루</v>
      </c>
      <c r="AD6" s="168"/>
      <c r="AE6" s="386" t="str">
        <f>IFERROR(__xludf.DUMMYFUNCTION("GOOGLETRANSLATE(A6,""zh-tw"",""ru"")"),"Яблочный пирог")</f>
        <v>Яблочный пирог</v>
      </c>
      <c r="AF6" s="381"/>
      <c r="AG6" s="169" t="str">
        <f>IFERROR(__xludf.DUMMYFUNCTION("GOOGLETRANSLATE(C6,""zh-tw"",""ru"")"),"яблоко")</f>
        <v>яблоко</v>
      </c>
      <c r="AH6" s="169" t="str">
        <f>IFERROR(__xludf.DUMMYFUNCTION("GOOGLETRANSLATE(D6,""zh-tw"",""ru"")"),"пшеничная мука")</f>
        <v>пшеничная мука</v>
      </c>
      <c r="AI6" s="169"/>
      <c r="AJ6" s="390" t="s">
        <v>6017</v>
      </c>
      <c r="AK6" s="382"/>
      <c r="AL6" s="167" t="s">
        <v>6018</v>
      </c>
      <c r="AM6" s="167" t="s">
        <v>6019</v>
      </c>
      <c r="AN6" s="168"/>
      <c r="AO6" s="185" t="s">
        <v>6020</v>
      </c>
      <c r="AP6" s="195"/>
      <c r="AQ6" s="187" t="s">
        <v>6021</v>
      </c>
      <c r="AR6" s="187" t="s">
        <v>6022</v>
      </c>
      <c r="AS6" s="188"/>
    </row>
    <row r="7">
      <c r="A7" s="386" t="s">
        <v>6023</v>
      </c>
      <c r="B7" s="387"/>
      <c r="C7" s="169" t="s">
        <v>6009</v>
      </c>
      <c r="D7" s="181"/>
      <c r="E7" s="181"/>
      <c r="F7" s="386" t="s">
        <v>6024</v>
      </c>
      <c r="G7" s="387"/>
      <c r="H7" s="169" t="s">
        <v>6012</v>
      </c>
      <c r="I7" s="181"/>
      <c r="J7" s="181"/>
      <c r="K7" s="103" t="s">
        <v>6025</v>
      </c>
      <c r="L7" s="387"/>
      <c r="M7" s="167" t="s">
        <v>6015</v>
      </c>
      <c r="N7" s="168"/>
      <c r="O7" s="168"/>
      <c r="P7" s="388" t="str">
        <f>IFERROR(__xludf.DUMMYFUNCTION("GOOGLETRANSLATE(A7,""zh-tw"",""zh"")"),"烤苹果")</f>
        <v>烤苹果</v>
      </c>
      <c r="Q7" s="66"/>
      <c r="R7" s="69" t="str">
        <f>IFERROR(__xludf.DUMMYFUNCTION("GOOGLETRANSLATE(C7,""zh-tw"",""zh"")"),"苹果")</f>
        <v>苹果</v>
      </c>
      <c r="S7" s="69"/>
      <c r="T7" s="69"/>
      <c r="U7" s="386" t="str">
        <f>IFERROR(__xludf.DUMMYFUNCTION("GOOGLETRANSLATE(A7,""zh-tw"",""es-MX"")"),"manzanas asadas")</f>
        <v>manzanas asadas</v>
      </c>
      <c r="V7" s="381"/>
      <c r="W7" s="169" t="str">
        <f>IFERROR(__xludf.DUMMYFUNCTION("GOOGLETRANSLATE(C7,""zh-tw"",""es-MX"")"),"manzana")</f>
        <v>manzana</v>
      </c>
      <c r="X7" s="169"/>
      <c r="Y7" s="169"/>
      <c r="Z7" s="389" t="str">
        <f>IFERROR(__xludf.DUMMYFUNCTION("GOOGLETRANSLATE(A7,""zh-tw"",""KO"")"),"구운 사과")</f>
        <v>구운 사과</v>
      </c>
      <c r="AA7" s="382"/>
      <c r="AB7" s="168" t="str">
        <f>IFERROR(__xludf.DUMMYFUNCTION("GOOGLETRANSLATE(C7,""zh-tw"",""KO"")"),"사과")</f>
        <v>사과</v>
      </c>
      <c r="AC7" s="168"/>
      <c r="AD7" s="168"/>
      <c r="AE7" s="386" t="str">
        <f>IFERROR(__xludf.DUMMYFUNCTION("GOOGLETRANSLATE(A7,""zh-tw"",""ru"")"),"печеные яблоки")</f>
        <v>печеные яблоки</v>
      </c>
      <c r="AF7" s="381"/>
      <c r="AG7" s="169" t="str">
        <f>IFERROR(__xludf.DUMMYFUNCTION("GOOGLETRANSLATE(C7,""zh-tw"",""ru"")"),"яблоко")</f>
        <v>яблоко</v>
      </c>
      <c r="AH7" s="169"/>
      <c r="AI7" s="169"/>
      <c r="AJ7" s="390" t="s">
        <v>6026</v>
      </c>
      <c r="AK7" s="382"/>
      <c r="AL7" s="167" t="s">
        <v>6018</v>
      </c>
      <c r="AM7" s="168"/>
      <c r="AN7" s="168"/>
      <c r="AO7" s="185" t="s">
        <v>6027</v>
      </c>
      <c r="AP7" s="195"/>
      <c r="AQ7" s="187" t="s">
        <v>6021</v>
      </c>
      <c r="AR7" s="188"/>
      <c r="AS7" s="188"/>
    </row>
    <row r="8">
      <c r="A8" s="386" t="s">
        <v>6028</v>
      </c>
      <c r="B8" s="387"/>
      <c r="C8" s="169" t="s">
        <v>6029</v>
      </c>
      <c r="F8" s="386" t="s">
        <v>6030</v>
      </c>
      <c r="G8" s="387"/>
      <c r="H8" s="169" t="s">
        <v>594</v>
      </c>
      <c r="I8" s="181"/>
      <c r="J8" s="181"/>
      <c r="K8" s="103" t="s">
        <v>6031</v>
      </c>
      <c r="L8" s="387"/>
      <c r="M8" s="167" t="s">
        <v>6032</v>
      </c>
      <c r="N8" s="168"/>
      <c r="O8" s="168"/>
      <c r="P8" s="388" t="str">
        <f>IFERROR(__xludf.DUMMYFUNCTION("GOOGLETRANSLATE(A8,""zh-tw"",""zh"")"),"炒贝类")</f>
        <v>炒贝类</v>
      </c>
      <c r="Q8" s="66"/>
      <c r="R8" s="69" t="str">
        <f>IFERROR(__xludf.DUMMYFUNCTION("GOOGLETRANSLATE(C8,""zh-tw"",""zh"")"),"未实装(之后河边炸鱼可以炸出贝壳)")</f>
        <v>未实装(之后河边炸鱼可以炸出贝壳)</v>
      </c>
      <c r="U8" s="386" t="str">
        <f>IFERROR(__xludf.DUMMYFUNCTION("GOOGLETRANSLATE(A8,""zh-tw"",""es-MX"")"),"mariscos salteados")</f>
        <v>mariscos salteados</v>
      </c>
      <c r="V8" s="381"/>
      <c r="W8" s="169" t="str">
        <f>IFERROR(__xludf.DUMMYFUNCTION("GOOGLETRANSLATE(C8,""zh-tw"",""es-MX"")"),"Aún no implementado (más adelante, podrás pescar peces en el río y obtener conchas marinas).")</f>
        <v>Aún no implementado (más adelante, podrás pescar peces en el río y obtener conchas marinas).</v>
      </c>
      <c r="Z8" s="390" t="s">
        <v>6033</v>
      </c>
      <c r="AA8" s="382"/>
      <c r="AB8" s="167" t="s">
        <v>603</v>
      </c>
      <c r="AE8" s="386" t="str">
        <f>IFERROR(__xludf.DUMMYFUNCTION("GOOGLETRANSLATE(A8,""zh-tw"",""ru"")"),"Жареные моллюски")</f>
        <v>Жареные моллюски</v>
      </c>
      <c r="AF8" s="381"/>
      <c r="AG8" s="169" t="str">
        <f>IFERROR(__xludf.DUMMYFUNCTION("GOOGLETRANSLATE(C8,""zh-tw"",""ru"")"),"Пока не реализовано (позже вы сможете взрывать рыбу в реке и получать ракушки).")</f>
        <v>Пока не реализовано (позже вы сможете взрывать рыбу в реке и получать ракушки).</v>
      </c>
      <c r="AJ8" s="390" t="s">
        <v>6034</v>
      </c>
      <c r="AK8" s="382"/>
      <c r="AL8" s="167" t="s">
        <v>6035</v>
      </c>
      <c r="AO8" s="185" t="s">
        <v>6036</v>
      </c>
      <c r="AP8" s="195"/>
      <c r="AQ8" s="187" t="s">
        <v>6037</v>
      </c>
      <c r="AR8" s="188"/>
      <c r="AS8" s="188"/>
    </row>
    <row r="9">
      <c r="A9" s="386" t="s">
        <v>6038</v>
      </c>
      <c r="B9" s="387"/>
      <c r="C9" s="169" t="s">
        <v>6039</v>
      </c>
      <c r="D9" s="181"/>
      <c r="E9" s="181"/>
      <c r="F9" s="386" t="s">
        <v>6040</v>
      </c>
      <c r="G9" s="387"/>
      <c r="H9" s="169" t="s">
        <v>6039</v>
      </c>
      <c r="I9" s="181"/>
      <c r="J9" s="181"/>
      <c r="K9" s="103" t="s">
        <v>6041</v>
      </c>
      <c r="L9" s="387"/>
      <c r="M9" s="167" t="s">
        <v>6042</v>
      </c>
      <c r="N9" s="168"/>
      <c r="O9" s="168"/>
      <c r="P9" s="388" t="str">
        <f>IFERROR(__xludf.DUMMYFUNCTION("GOOGLETRANSLATE(A9,""zh-tw"",""zh"")"),"煎鱼")</f>
        <v>煎鱼</v>
      </c>
      <c r="Q9" s="66"/>
      <c r="R9" s="69" t="str">
        <f>IFERROR(__xludf.DUMMYFUNCTION("GOOGLETRANSLATE(C9,""zh-tw"",""zh"")"),"鱼类")</f>
        <v>鱼类</v>
      </c>
      <c r="S9" s="69"/>
      <c r="T9" s="69"/>
      <c r="U9" s="386" t="str">
        <f>IFERROR(__xludf.DUMMYFUNCTION("GOOGLETRANSLATE(A9,""zh-tw"",""es-MX"")"),"pescado frito")</f>
        <v>pescado frito</v>
      </c>
      <c r="V9" s="381"/>
      <c r="W9" s="169" t="str">
        <f>IFERROR(__xludf.DUMMYFUNCTION("GOOGLETRANSLATE(C9,""zh-tw"",""es-MX"")"),"pez")</f>
        <v>pez</v>
      </c>
      <c r="X9" s="169"/>
      <c r="Y9" s="169"/>
      <c r="Z9" s="390" t="s">
        <v>6043</v>
      </c>
      <c r="AA9" s="382"/>
      <c r="AB9" s="168" t="str">
        <f>IFERROR(__xludf.DUMMYFUNCTION("GOOGLETRANSLATE(C9,""zh-tw"",""KO"")"),"물고기")</f>
        <v>물고기</v>
      </c>
      <c r="AC9" s="168"/>
      <c r="AD9" s="168"/>
      <c r="AE9" s="386" t="str">
        <f>IFERROR(__xludf.DUMMYFUNCTION("GOOGLETRANSLATE(A9,""zh-tw"",""ru"")"),"Жареная рыба")</f>
        <v>Жареная рыба</v>
      </c>
      <c r="AF9" s="381"/>
      <c r="AG9" s="169" t="str">
        <f>IFERROR(__xludf.DUMMYFUNCTION("GOOGLETRANSLATE(C9,""zh-tw"",""ru"")"),"рыба")</f>
        <v>рыба</v>
      </c>
      <c r="AH9" s="169"/>
      <c r="AI9" s="169"/>
      <c r="AJ9" s="390" t="s">
        <v>6044</v>
      </c>
      <c r="AK9" s="382"/>
      <c r="AL9" s="167" t="s">
        <v>6045</v>
      </c>
      <c r="AM9" s="168"/>
      <c r="AN9" s="168"/>
      <c r="AO9" s="185" t="s">
        <v>6046</v>
      </c>
      <c r="AP9" s="195"/>
      <c r="AQ9" s="187" t="s">
        <v>6047</v>
      </c>
      <c r="AR9" s="188"/>
      <c r="AS9" s="188"/>
    </row>
    <row r="10">
      <c r="A10" s="386" t="s">
        <v>6048</v>
      </c>
      <c r="B10" s="387"/>
      <c r="C10" s="169" t="s">
        <v>4020</v>
      </c>
      <c r="D10" s="169" t="s">
        <v>4020</v>
      </c>
      <c r="E10" s="169" t="s">
        <v>4020</v>
      </c>
      <c r="F10" s="386" t="s">
        <v>6049</v>
      </c>
      <c r="G10" s="387"/>
      <c r="H10" s="169" t="s">
        <v>6050</v>
      </c>
      <c r="I10" s="169" t="s">
        <v>6050</v>
      </c>
      <c r="J10" s="169" t="s">
        <v>6050</v>
      </c>
      <c r="K10" s="103" t="s">
        <v>6051</v>
      </c>
      <c r="L10" s="387"/>
      <c r="M10" s="167" t="s">
        <v>4025</v>
      </c>
      <c r="N10" s="167" t="s">
        <v>4025</v>
      </c>
      <c r="O10" s="167" t="s">
        <v>4025</v>
      </c>
      <c r="P10" s="388"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86" t="str">
        <f>IFERROR(__xludf.DUMMYFUNCTION("GOOGLETRANSLATE(A10,""zh-tw"",""es-MX"")"),"Champiñones salteados")</f>
        <v>Champiñones salteados</v>
      </c>
      <c r="V10" s="381"/>
      <c r="W10" s="169" t="str">
        <f>IFERROR(__xludf.DUMMYFUNCTION("GOOGLETRANSLATE(C10,""zh-tw"",""es-MX"")"),"champiñón")</f>
        <v>champiñón</v>
      </c>
      <c r="X10" s="169" t="str">
        <f>IFERROR(__xludf.DUMMYFUNCTION("GOOGLETRANSLATE(D10,""zh-tw"",""es-MX"")"),"champiñón")</f>
        <v>champiñón</v>
      </c>
      <c r="Y10" s="169" t="str">
        <f>IFERROR(__xludf.DUMMYFUNCTION("GOOGLETRANSLATE(E10,""zh-tw"",""es-MX"")"),"champiñón")</f>
        <v>champiñón</v>
      </c>
      <c r="Z10" s="390" t="s">
        <v>6052</v>
      </c>
      <c r="AA10" s="382"/>
      <c r="AB10" s="168" t="str">
        <f>IFERROR(__xludf.DUMMYFUNCTION("GOOGLETRANSLATE(C10,""zh-tw"",""KO"")"),"버섯")</f>
        <v>버섯</v>
      </c>
      <c r="AC10" s="168" t="str">
        <f>IFERROR(__xludf.DUMMYFUNCTION("GOOGLETRANSLATE(D10,""zh-tw"",""KO"")"),"버섯")</f>
        <v>버섯</v>
      </c>
      <c r="AD10" s="168" t="str">
        <f>IFERROR(__xludf.DUMMYFUNCTION("GOOGLETRANSLATE(E10,""zh-tw"",""KO"")"),"버섯")</f>
        <v>버섯</v>
      </c>
      <c r="AE10" s="386" t="str">
        <f>IFERROR(__xludf.DUMMYFUNCTION("GOOGLETRANSLATE(A10,""zh-tw"",""ru"")"),"Жареные грибы")</f>
        <v>Жареные грибы</v>
      </c>
      <c r="AF10" s="381"/>
      <c r="AG10" s="169" t="str">
        <f>IFERROR(__xludf.DUMMYFUNCTION("GOOGLETRANSLATE(C10,""zh-tw"",""ru"")"),"гриб")</f>
        <v>гриб</v>
      </c>
      <c r="AH10" s="169" t="str">
        <f>IFERROR(__xludf.DUMMYFUNCTION("GOOGLETRANSLATE(D10,""zh-tw"",""ru"")"),"гриб")</f>
        <v>гриб</v>
      </c>
      <c r="AI10" s="169" t="str">
        <f>IFERROR(__xludf.DUMMYFUNCTION("GOOGLETRANSLATE(E10,""zh-tw"",""ru"")"),"гриб")</f>
        <v>гриб</v>
      </c>
      <c r="AJ10" s="390" t="s">
        <v>6053</v>
      </c>
      <c r="AK10" s="382"/>
      <c r="AL10" s="167" t="s">
        <v>6054</v>
      </c>
      <c r="AM10" s="167" t="s">
        <v>6054</v>
      </c>
      <c r="AN10" s="167" t="s">
        <v>6054</v>
      </c>
      <c r="AO10" s="185" t="s">
        <v>6055</v>
      </c>
      <c r="AP10" s="195"/>
      <c r="AQ10" s="187" t="s">
        <v>4033</v>
      </c>
      <c r="AR10" s="187" t="s">
        <v>4033</v>
      </c>
      <c r="AS10" s="187" t="s">
        <v>4033</v>
      </c>
    </row>
    <row r="11">
      <c r="A11" s="391" t="s">
        <v>6056</v>
      </c>
      <c r="B11" s="387"/>
      <c r="C11" s="169" t="s">
        <v>6057</v>
      </c>
      <c r="D11" s="169" t="s">
        <v>4197</v>
      </c>
      <c r="E11" s="181"/>
      <c r="F11" s="386" t="s">
        <v>6058</v>
      </c>
      <c r="G11" s="387"/>
      <c r="H11" s="169" t="s">
        <v>6059</v>
      </c>
      <c r="I11" s="169" t="s">
        <v>6060</v>
      </c>
      <c r="J11" s="181"/>
      <c r="K11" s="103" t="s">
        <v>6061</v>
      </c>
      <c r="L11" s="387"/>
      <c r="M11" s="167" t="s">
        <v>6062</v>
      </c>
      <c r="N11" s="167" t="s">
        <v>4199</v>
      </c>
      <c r="O11" s="168"/>
      <c r="P11" s="388"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86" t="str">
        <f>IFERROR(__xludf.DUMMYFUNCTION("GOOGLETRANSLATE(A11,""zh-tw"",""es-MX"")"),"Brochetas a la parrilla")</f>
        <v>Brochetas a la parrilla</v>
      </c>
      <c r="V11" s="381"/>
      <c r="W11" s="169" t="str">
        <f>IFERROR(__xludf.DUMMYFUNCTION("GOOGLETRANSLATE(C11,""zh-tw"",""es-MX"")"),"Grandes trozos de carne")</f>
        <v>Grandes trozos de carne</v>
      </c>
      <c r="X11" s="169" t="str">
        <f>IFERROR(__xludf.DUMMYFUNCTION("GOOGLETRANSLATE(D11,""zh-tw"",""es-MX"")"),"Papa")</f>
        <v>Papa</v>
      </c>
      <c r="Y11" s="169"/>
      <c r="Z11" s="390" t="s">
        <v>6063</v>
      </c>
      <c r="AA11" s="382"/>
      <c r="AB11" s="167" t="s">
        <v>6064</v>
      </c>
      <c r="AC11" s="168" t="str">
        <f>IFERROR(__xludf.DUMMYFUNCTION("GOOGLETRANSLATE(D11,""zh-tw"",""KO"")"),"감자")</f>
        <v>감자</v>
      </c>
      <c r="AD11" s="168"/>
      <c r="AE11" s="386" t="str">
        <f>IFERROR(__xludf.DUMMYFUNCTION("GOOGLETRANSLATE(A11,""zh-tw"",""ru"")"),"Жареные на гриле шашлычки")</f>
        <v>Жареные на гриле шашлычки</v>
      </c>
      <c r="AF11" s="381"/>
      <c r="AG11" s="169" t="str">
        <f>IFERROR(__xludf.DUMMYFUNCTION("GOOGLETRANSLATE(C11,""zh-tw"",""ru"")"),"Большие куски мяса")</f>
        <v>Большие куски мяса</v>
      </c>
      <c r="AH11" s="169" t="str">
        <f>IFERROR(__xludf.DUMMYFUNCTION("GOOGLETRANSLATE(D11,""zh-tw"",""ru"")"),"Картофель")</f>
        <v>Картофель</v>
      </c>
      <c r="AI11" s="169"/>
      <c r="AJ11" s="390" t="s">
        <v>6065</v>
      </c>
      <c r="AK11" s="382"/>
      <c r="AL11" s="167" t="s">
        <v>6066</v>
      </c>
      <c r="AM11" s="167" t="s">
        <v>4202</v>
      </c>
      <c r="AN11" s="168"/>
      <c r="AO11" s="160" t="s">
        <v>6061</v>
      </c>
      <c r="AP11" s="195"/>
      <c r="AQ11" s="187" t="s">
        <v>6067</v>
      </c>
      <c r="AR11" s="187" t="s">
        <v>4204</v>
      </c>
      <c r="AS11" s="188"/>
    </row>
    <row r="12">
      <c r="A12" s="386" t="s">
        <v>6068</v>
      </c>
      <c r="B12" s="387"/>
      <c r="C12" s="169" t="s">
        <v>5993</v>
      </c>
      <c r="D12" s="181"/>
      <c r="E12" s="181"/>
      <c r="F12" s="386" t="s">
        <v>6069</v>
      </c>
      <c r="G12" s="387"/>
      <c r="H12" s="169" t="s">
        <v>5996</v>
      </c>
      <c r="I12" s="181"/>
      <c r="J12" s="181"/>
      <c r="K12" s="103" t="s">
        <v>6070</v>
      </c>
      <c r="L12" s="387"/>
      <c r="M12" s="167" t="s">
        <v>5999</v>
      </c>
      <c r="N12" s="168"/>
      <c r="O12" s="168"/>
      <c r="P12" s="388" t="str">
        <f>IFERROR(__xludf.DUMMYFUNCTION("GOOGLETRANSLATE(A12,""zh-tw"",""zh"")"),"饭团")</f>
        <v>饭团</v>
      </c>
      <c r="Q12" s="66"/>
      <c r="R12" s="69" t="str">
        <f>IFERROR(__xludf.DUMMYFUNCTION("GOOGLETRANSLATE(C12,""zh-tw"",""zh"")"),"白米饭")</f>
        <v>白米饭</v>
      </c>
      <c r="S12" s="69"/>
      <c r="T12" s="69"/>
      <c r="U12" s="386" t="str">
        <f>IFERROR(__xludf.DUMMYFUNCTION("GOOGLETRANSLATE(A12,""zh-tw"",""es-MX"")"),"bola de arroz")</f>
        <v>bola de arroz</v>
      </c>
      <c r="V12" s="381"/>
      <c r="W12" s="169" t="str">
        <f>IFERROR(__xludf.DUMMYFUNCTION("GOOGLETRANSLATE(C12,""zh-tw"",""es-MX"")"),"arroz blanco")</f>
        <v>arroz blanco</v>
      </c>
      <c r="X12" s="169"/>
      <c r="Y12" s="169"/>
      <c r="Z12" s="389" t="str">
        <f>IFERROR(__xludf.DUMMYFUNCTION("GOOGLETRANSLATE(A12,""zh-tw"",""KO"")"),"주먹밥")</f>
        <v>주먹밥</v>
      </c>
      <c r="AA12" s="382"/>
      <c r="AB12" s="168" t="str">
        <f>IFERROR(__xludf.DUMMYFUNCTION("GOOGLETRANSLATE(C12,""zh-tw"",""KO"")"),"흰쌀")</f>
        <v>흰쌀</v>
      </c>
      <c r="AC12" s="168"/>
      <c r="AD12" s="168"/>
      <c r="AE12" s="386" t="str">
        <f>IFERROR(__xludf.DUMMYFUNCTION("GOOGLETRANSLATE(A12,""zh-tw"",""ru"")"),"Рисовый шарик")</f>
        <v>Рисовый шарик</v>
      </c>
      <c r="AF12" s="381"/>
      <c r="AG12" s="169" t="str">
        <f>IFERROR(__xludf.DUMMYFUNCTION("GOOGLETRANSLATE(C12,""zh-tw"",""ru"")"),"Белый рис")</f>
        <v>Белый рис</v>
      </c>
      <c r="AH12" s="169"/>
      <c r="AI12" s="169"/>
      <c r="AJ12" s="390" t="s">
        <v>6071</v>
      </c>
      <c r="AK12" s="382"/>
      <c r="AL12" s="167" t="s">
        <v>6003</v>
      </c>
      <c r="AM12" s="168"/>
      <c r="AN12" s="168"/>
      <c r="AO12" s="185" t="s">
        <v>6072</v>
      </c>
      <c r="AP12" s="195"/>
      <c r="AQ12" s="187" t="s">
        <v>6006</v>
      </c>
      <c r="AR12" s="188"/>
      <c r="AS12" s="188"/>
    </row>
    <row r="13">
      <c r="A13" s="386" t="s">
        <v>6073</v>
      </c>
      <c r="B13" s="387"/>
      <c r="C13" s="169" t="s">
        <v>5993</v>
      </c>
      <c r="D13" s="169" t="s">
        <v>5994</v>
      </c>
      <c r="E13" s="169" t="s">
        <v>6057</v>
      </c>
      <c r="F13" s="386" t="s">
        <v>6074</v>
      </c>
      <c r="G13" s="387"/>
      <c r="H13" s="169" t="s">
        <v>5996</v>
      </c>
      <c r="I13" s="169" t="s">
        <v>5997</v>
      </c>
      <c r="J13" s="169" t="s">
        <v>6059</v>
      </c>
      <c r="K13" s="99" t="s">
        <v>6075</v>
      </c>
      <c r="L13" s="387"/>
      <c r="M13" s="167" t="s">
        <v>5999</v>
      </c>
      <c r="N13" s="167" t="s">
        <v>6000</v>
      </c>
      <c r="O13" s="167" t="s">
        <v>6062</v>
      </c>
      <c r="P13" s="388"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86" t="str">
        <f>IFERROR(__xludf.DUMMYFUNCTION("GOOGLETRANSLATE(A13,""zh-tw"",""es-MX"")"),"Arroz al curry con chuleta de cerdo")</f>
        <v>Arroz al curry con chuleta de cerdo</v>
      </c>
      <c r="V13" s="381"/>
      <c r="W13" s="169" t="str">
        <f>IFERROR(__xludf.DUMMYFUNCTION("GOOGLETRANSLATE(C13,""zh-tw"",""es-MX"")"),"arroz blanco")</f>
        <v>arroz blanco</v>
      </c>
      <c r="X13" s="169" t="str">
        <f>IFERROR(__xludf.DUMMYFUNCTION("GOOGLETRANSLATE(D13,""zh-tw"",""es-MX"")"),"cubos de curry")</f>
        <v>cubos de curry</v>
      </c>
      <c r="Y13" s="169" t="str">
        <f>IFERROR(__xludf.DUMMYFUNCTION("GOOGLETRANSLATE(E13,""zh-tw"",""es-MX"")"),"Grandes trozos de carne")</f>
        <v>Grandes trozos de carne</v>
      </c>
      <c r="Z13" s="390" t="s">
        <v>6076</v>
      </c>
      <c r="AA13" s="382"/>
      <c r="AB13" s="168" t="str">
        <f>IFERROR(__xludf.DUMMYFUNCTION("GOOGLETRANSLATE(C13,""zh-tw"",""KO"")"),"흰쌀")</f>
        <v>흰쌀</v>
      </c>
      <c r="AC13" s="167" t="s">
        <v>6001</v>
      </c>
      <c r="AD13" s="167" t="s">
        <v>6064</v>
      </c>
      <c r="AE13" s="386" t="str">
        <f>IFERROR(__xludf.DUMMYFUNCTION("GOOGLETRANSLATE(A13,""zh-tw"",""ru"")"),"Свиная котлета с карри и рисом")</f>
        <v>Свиная котлета с карри и рисом</v>
      </c>
      <c r="AF13" s="381"/>
      <c r="AG13" s="169" t="str">
        <f>IFERROR(__xludf.DUMMYFUNCTION("GOOGLETRANSLATE(C13,""zh-tw"",""ru"")"),"Белый рис")</f>
        <v>Белый рис</v>
      </c>
      <c r="AH13" s="169" t="str">
        <f>IFERROR(__xludf.DUMMYFUNCTION("GOOGLETRANSLATE(D13,""zh-tw"",""ru"")"),"кубики карри")</f>
        <v>кубики карри</v>
      </c>
      <c r="AI13" s="169" t="str">
        <f>IFERROR(__xludf.DUMMYFUNCTION("GOOGLETRANSLATE(E13,""zh-tw"",""ru"")"),"Большие куски мяса")</f>
        <v>Большие куски мяса</v>
      </c>
      <c r="AJ13" s="390" t="s">
        <v>6077</v>
      </c>
      <c r="AK13" s="382"/>
      <c r="AL13" s="167" t="s">
        <v>6003</v>
      </c>
      <c r="AM13" s="167" t="s">
        <v>6004</v>
      </c>
      <c r="AN13" s="167" t="s">
        <v>6066</v>
      </c>
      <c r="AO13" s="185" t="s">
        <v>6078</v>
      </c>
      <c r="AP13" s="195"/>
      <c r="AQ13" s="187" t="s">
        <v>6006</v>
      </c>
      <c r="AR13" s="187" t="s">
        <v>6007</v>
      </c>
      <c r="AS13" s="187" t="s">
        <v>6067</v>
      </c>
    </row>
    <row r="14">
      <c r="A14" s="386" t="s">
        <v>6079</v>
      </c>
      <c r="B14" s="372" t="s">
        <v>237</v>
      </c>
      <c r="C14" s="169" t="s">
        <v>6080</v>
      </c>
      <c r="D14" s="181"/>
      <c r="E14" s="181"/>
      <c r="F14" s="386" t="s">
        <v>6081</v>
      </c>
      <c r="G14" s="372" t="s">
        <v>237</v>
      </c>
      <c r="H14" s="169" t="s">
        <v>6082</v>
      </c>
      <c r="I14" s="181"/>
      <c r="J14" s="181"/>
      <c r="K14" s="103" t="s">
        <v>6083</v>
      </c>
      <c r="L14" s="372" t="s">
        <v>237</v>
      </c>
      <c r="M14" s="167" t="s">
        <v>4225</v>
      </c>
      <c r="N14" s="168"/>
      <c r="O14" s="168"/>
      <c r="P14" s="388"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86" t="str">
        <f>IFERROR(__xludf.DUMMYFUNCTION("GOOGLETRANSLATE(A14,""zh-tw"",""es-MX"")"),"caldo")</f>
        <v>caldo</v>
      </c>
      <c r="V14" s="381" t="str">
        <f>IFERROR(__xludf.DUMMYFUNCTION("GOOGLETRANSLATE(B14,""zh-tw"",""es-MX"")"),"A")</f>
        <v>A</v>
      </c>
      <c r="W14" s="169" t="str">
        <f>IFERROR(__xludf.DUMMYFUNCTION("GOOGLETRANSLATE(C14,""zh-tw"",""es-MX"")"),"Pequeños trozos de carne animal")</f>
        <v>Pequeños trozos de carne animal</v>
      </c>
      <c r="X14" s="169"/>
      <c r="Y14" s="169"/>
      <c r="Z14" s="390" t="s">
        <v>6084</v>
      </c>
      <c r="AA14" s="382" t="s">
        <v>237</v>
      </c>
      <c r="AB14" s="167" t="s">
        <v>4227</v>
      </c>
      <c r="AC14" s="168"/>
      <c r="AD14" s="168"/>
      <c r="AE14" s="386" t="str">
        <f>IFERROR(__xludf.DUMMYFUNCTION("GOOGLETRANSLATE(A14,""zh-tw"",""ru"")"),"бульон")</f>
        <v>бульон</v>
      </c>
      <c r="AF14" s="381" t="str">
        <f>IFERROR(__xludf.DUMMYFUNCTION("GOOGLETRANSLATE(L14,""zh-tw"",""es-MX"")"),"A")</f>
        <v>A</v>
      </c>
      <c r="AG14" s="169" t="str">
        <f>IFERROR(__xludf.DUMMYFUNCTION("GOOGLETRANSLATE(C14,""zh-tw"",""ru"")"),"Небольшие кусочки мяса животных")</f>
        <v>Небольшие кусочки мяса животных</v>
      </c>
      <c r="AH14" s="169"/>
      <c r="AI14" s="169"/>
      <c r="AJ14" s="390" t="s">
        <v>6085</v>
      </c>
      <c r="AK14" s="382" t="s">
        <v>237</v>
      </c>
      <c r="AL14" s="167" t="s">
        <v>6086</v>
      </c>
      <c r="AM14" s="168"/>
      <c r="AN14" s="168"/>
      <c r="AO14" s="185" t="s">
        <v>6087</v>
      </c>
      <c r="AP14" s="392" t="s">
        <v>237</v>
      </c>
      <c r="AQ14" s="187" t="s">
        <v>4231</v>
      </c>
      <c r="AR14" s="188"/>
      <c r="AS14" s="188"/>
    </row>
    <row r="15">
      <c r="A15" s="386" t="s">
        <v>6088</v>
      </c>
      <c r="B15" s="372" t="s">
        <v>237</v>
      </c>
      <c r="C15" s="169" t="s">
        <v>6057</v>
      </c>
      <c r="D15" s="181"/>
      <c r="E15" s="181"/>
      <c r="F15" s="386" t="s">
        <v>6089</v>
      </c>
      <c r="G15" s="372" t="s">
        <v>237</v>
      </c>
      <c r="H15" s="169" t="s">
        <v>6059</v>
      </c>
      <c r="I15" s="181"/>
      <c r="J15" s="181"/>
      <c r="K15" s="103" t="s">
        <v>6090</v>
      </c>
      <c r="L15" s="372" t="s">
        <v>237</v>
      </c>
      <c r="M15" s="167" t="s">
        <v>6062</v>
      </c>
      <c r="N15" s="168"/>
      <c r="O15" s="168"/>
      <c r="P15" s="388"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86" t="str">
        <f>IFERROR(__xludf.DUMMYFUNCTION("GOOGLETRANSLATE(A15,""zh-tw"",""es-MX"")"),"trozos de carne asada")</f>
        <v>trozos de carne asada</v>
      </c>
      <c r="V15" s="381" t="str">
        <f>IFERROR(__xludf.DUMMYFUNCTION("GOOGLETRANSLATE(B15,""zh-tw"",""es-MX"")"),"A")</f>
        <v>A</v>
      </c>
      <c r="W15" s="169" t="str">
        <f>IFERROR(__xludf.DUMMYFUNCTION("GOOGLETRANSLATE(C15,""zh-tw"",""es-MX"")"),"Grandes trozos de carne")</f>
        <v>Grandes trozos de carne</v>
      </c>
      <c r="X15" s="169"/>
      <c r="Y15" s="169"/>
      <c r="Z15" s="389" t="str">
        <f>IFERROR(__xludf.DUMMYFUNCTION("GOOGLETRANSLATE(A15,""zh-tw"",""KO"")"),"구운 고기 덩어리")</f>
        <v>구운 고기 덩어리</v>
      </c>
      <c r="AA15" s="382" t="s">
        <v>237</v>
      </c>
      <c r="AB15" s="167" t="s">
        <v>6064</v>
      </c>
      <c r="AC15" s="168"/>
      <c r="AD15" s="168"/>
      <c r="AE15" s="386" t="str">
        <f>IFERROR(__xludf.DUMMYFUNCTION("GOOGLETRANSLATE(A15,""zh-tw"",""ru"")"),"Жареные кусочки мяса")</f>
        <v>Жареные кусочки мяса</v>
      </c>
      <c r="AF15" s="381" t="str">
        <f>IFERROR(__xludf.DUMMYFUNCTION("GOOGLETRANSLATE(L15,""zh-tw"",""es-MX"")"),"A")</f>
        <v>A</v>
      </c>
      <c r="AG15" s="169" t="str">
        <f>IFERROR(__xludf.DUMMYFUNCTION("GOOGLETRANSLATE(C15,""zh-tw"",""ru"")"),"Большие куски мяса")</f>
        <v>Большие куски мяса</v>
      </c>
      <c r="AH15" s="169"/>
      <c r="AI15" s="169"/>
      <c r="AJ15" s="390" t="s">
        <v>6091</v>
      </c>
      <c r="AK15" s="382" t="s">
        <v>237</v>
      </c>
      <c r="AL15" s="167" t="s">
        <v>6066</v>
      </c>
      <c r="AM15" s="168"/>
      <c r="AN15" s="168"/>
      <c r="AO15" s="185" t="s">
        <v>6092</v>
      </c>
      <c r="AP15" s="392" t="s">
        <v>237</v>
      </c>
      <c r="AQ15" s="187" t="s">
        <v>6067</v>
      </c>
      <c r="AR15" s="188"/>
      <c r="AS15" s="188"/>
    </row>
    <row r="16">
      <c r="A16" s="386" t="s">
        <v>6093</v>
      </c>
      <c r="B16" s="372" t="s">
        <v>237</v>
      </c>
      <c r="C16" s="169" t="s">
        <v>6057</v>
      </c>
      <c r="D16" s="169" t="s">
        <v>6057</v>
      </c>
      <c r="E16" s="181"/>
      <c r="F16" s="386" t="s">
        <v>6094</v>
      </c>
      <c r="G16" s="372" t="s">
        <v>237</v>
      </c>
      <c r="H16" s="169" t="s">
        <v>6059</v>
      </c>
      <c r="I16" s="169" t="s">
        <v>6059</v>
      </c>
      <c r="J16" s="181"/>
      <c r="K16" s="103" t="s">
        <v>6095</v>
      </c>
      <c r="L16" s="372" t="s">
        <v>237</v>
      </c>
      <c r="M16" s="167" t="s">
        <v>6062</v>
      </c>
      <c r="N16" s="167" t="s">
        <v>6062</v>
      </c>
      <c r="O16" s="168"/>
      <c r="P16" s="388"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86" t="str">
        <f>IFERROR(__xludf.DUMMYFUNCTION("GOOGLETRANSLATE(A16,""zh-tw"",""es-MX"")"),"bife")</f>
        <v>bife</v>
      </c>
      <c r="V16" s="381" t="str">
        <f>IFERROR(__xludf.DUMMYFUNCTION("GOOGLETRANSLATE(B16,""zh-tw"",""es-MX"")"),"A")</f>
        <v>A</v>
      </c>
      <c r="W16" s="169" t="str">
        <f>IFERROR(__xludf.DUMMYFUNCTION("GOOGLETRANSLATE(C16,""zh-tw"",""es-MX"")"),"Grandes trozos de carne")</f>
        <v>Grandes trozos de carne</v>
      </c>
      <c r="X16" s="169" t="str">
        <f>IFERROR(__xludf.DUMMYFUNCTION("GOOGLETRANSLATE(D16,""zh-tw"",""es-MX"")"),"Grandes trozos de carne")</f>
        <v>Grandes trozos de carne</v>
      </c>
      <c r="Y16" s="169"/>
      <c r="Z16" s="390" t="s">
        <v>6096</v>
      </c>
      <c r="AA16" s="382" t="s">
        <v>237</v>
      </c>
      <c r="AB16" s="167" t="s">
        <v>6064</v>
      </c>
      <c r="AC16" s="167" t="s">
        <v>6064</v>
      </c>
      <c r="AD16" s="168"/>
      <c r="AE16" s="386" t="str">
        <f>IFERROR(__xludf.DUMMYFUNCTION("GOOGLETRANSLATE(A16,""zh-tw"",""ru"")"),"стейк")</f>
        <v>стейк</v>
      </c>
      <c r="AF16" s="381" t="str">
        <f>IFERROR(__xludf.DUMMYFUNCTION("GOOGLETRANSLATE(L16,""zh-tw"",""es-MX"")"),"A")</f>
        <v>A</v>
      </c>
      <c r="AG16" s="169" t="str">
        <f>IFERROR(__xludf.DUMMYFUNCTION("GOOGLETRANSLATE(C16,""zh-tw"",""ru"")"),"Большие куски мяса")</f>
        <v>Большие куски мяса</v>
      </c>
      <c r="AH16" s="169" t="str">
        <f>IFERROR(__xludf.DUMMYFUNCTION("GOOGLETRANSLATE(D16,""zh-tw"",""ru"")"),"Большие куски мяса")</f>
        <v>Большие куски мяса</v>
      </c>
      <c r="AI16" s="169"/>
      <c r="AJ16" s="390" t="s">
        <v>6097</v>
      </c>
      <c r="AK16" s="382" t="s">
        <v>237</v>
      </c>
      <c r="AL16" s="167" t="s">
        <v>6066</v>
      </c>
      <c r="AM16" s="167" t="s">
        <v>6066</v>
      </c>
      <c r="AN16" s="168"/>
      <c r="AO16" s="185" t="s">
        <v>6098</v>
      </c>
      <c r="AP16" s="392" t="s">
        <v>237</v>
      </c>
      <c r="AQ16" s="187" t="s">
        <v>6067</v>
      </c>
      <c r="AR16" s="187" t="s">
        <v>6067</v>
      </c>
      <c r="AS16" s="188"/>
    </row>
    <row r="17">
      <c r="A17" s="391" t="s">
        <v>6099</v>
      </c>
      <c r="B17" s="372" t="s">
        <v>237</v>
      </c>
      <c r="C17" s="169" t="s">
        <v>6057</v>
      </c>
      <c r="D17" s="169" t="s">
        <v>6057</v>
      </c>
      <c r="E17" s="169" t="s">
        <v>6057</v>
      </c>
      <c r="F17" s="386" t="s">
        <v>6100</v>
      </c>
      <c r="G17" s="372" t="s">
        <v>237</v>
      </c>
      <c r="H17" s="169" t="s">
        <v>6059</v>
      </c>
      <c r="I17" s="169" t="s">
        <v>6059</v>
      </c>
      <c r="J17" s="169" t="s">
        <v>6059</v>
      </c>
      <c r="K17" s="103" t="s">
        <v>6101</v>
      </c>
      <c r="L17" s="372" t="s">
        <v>237</v>
      </c>
      <c r="M17" s="167" t="s">
        <v>6062</v>
      </c>
      <c r="N17" s="167" t="s">
        <v>6062</v>
      </c>
      <c r="O17" s="167" t="s">
        <v>6062</v>
      </c>
      <c r="P17" s="388"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86" t="str">
        <f>IFERROR(__xludf.DUMMYFUNCTION("GOOGLETRANSLATE(A17,""zh-tw"",""es-MX"")"),"Carne de res estofada")</f>
        <v>Carne de res estofada</v>
      </c>
      <c r="V17" s="381" t="str">
        <f>IFERROR(__xludf.DUMMYFUNCTION("GOOGLETRANSLATE(B17,""zh-tw"",""es-MX"")"),"A")</f>
        <v>A</v>
      </c>
      <c r="W17" s="169" t="str">
        <f>IFERROR(__xludf.DUMMYFUNCTION("GOOGLETRANSLATE(C17,""zh-tw"",""es-MX"")"),"Grandes trozos de carne")</f>
        <v>Grandes trozos de carne</v>
      </c>
      <c r="X17" s="169" t="str">
        <f>IFERROR(__xludf.DUMMYFUNCTION("GOOGLETRANSLATE(D17,""zh-tw"",""es-MX"")"),"Grandes trozos de carne")</f>
        <v>Grandes trozos de carne</v>
      </c>
      <c r="Y17" s="169" t="str">
        <f>IFERROR(__xludf.DUMMYFUNCTION("GOOGLETRANSLATE(E17,""zh-tw"",""es-MX"")"),"Grandes trozos de carne")</f>
        <v>Grandes trozos de carne</v>
      </c>
      <c r="Z17" s="390" t="s">
        <v>6102</v>
      </c>
      <c r="AA17" s="382" t="s">
        <v>237</v>
      </c>
      <c r="AB17" s="167" t="s">
        <v>6064</v>
      </c>
      <c r="AC17" s="323" t="s">
        <v>6064</v>
      </c>
      <c r="AD17" s="323" t="s">
        <v>6064</v>
      </c>
      <c r="AE17" s="386" t="str">
        <f>IFERROR(__xludf.DUMMYFUNCTION("GOOGLETRANSLATE(A17,""zh-tw"",""ru"")"),"Тушеная говядина")</f>
        <v>Тушеная говядина</v>
      </c>
      <c r="AF17" s="381" t="str">
        <f>IFERROR(__xludf.DUMMYFUNCTION("GOOGLETRANSLATE(L17,""zh-tw"",""es-MX"")"),"A")</f>
        <v>A</v>
      </c>
      <c r="AG17" s="169" t="str">
        <f>IFERROR(__xludf.DUMMYFUNCTION("GOOGLETRANSLATE(C17,""zh-tw"",""ru"")"),"Большие куски мяса")</f>
        <v>Большие куски мяса</v>
      </c>
      <c r="AH17" s="169" t="str">
        <f>IFERROR(__xludf.DUMMYFUNCTION("GOOGLETRANSLATE(D17,""zh-tw"",""ru"")"),"Большие куски мяса")</f>
        <v>Большие куски мяса</v>
      </c>
      <c r="AI17" s="169" t="str">
        <f>IFERROR(__xludf.DUMMYFUNCTION("GOOGLETRANSLATE(E17,""zh-tw"",""ru"")"),"Большие куски мяса")</f>
        <v>Большие куски мяса</v>
      </c>
      <c r="AJ17" s="390" t="s">
        <v>6103</v>
      </c>
      <c r="AK17" s="382" t="s">
        <v>237</v>
      </c>
      <c r="AL17" s="167" t="s">
        <v>6066</v>
      </c>
      <c r="AM17" s="167" t="s">
        <v>6066</v>
      </c>
      <c r="AN17" s="167" t="s">
        <v>6066</v>
      </c>
      <c r="AO17" s="160" t="s">
        <v>6104</v>
      </c>
      <c r="AP17" s="392" t="s">
        <v>237</v>
      </c>
      <c r="AQ17" s="187" t="s">
        <v>6067</v>
      </c>
      <c r="AR17" s="187" t="s">
        <v>6067</v>
      </c>
      <c r="AS17" s="187" t="s">
        <v>6067</v>
      </c>
    </row>
    <row r="18">
      <c r="A18" s="386" t="s">
        <v>6105</v>
      </c>
      <c r="B18" s="372" t="s">
        <v>237</v>
      </c>
      <c r="C18" s="169" t="s">
        <v>5993</v>
      </c>
      <c r="D18" s="169" t="s">
        <v>6057</v>
      </c>
      <c r="E18" s="181"/>
      <c r="F18" s="386" t="s">
        <v>6106</v>
      </c>
      <c r="G18" s="372" t="s">
        <v>237</v>
      </c>
      <c r="H18" s="169" t="s">
        <v>5996</v>
      </c>
      <c r="I18" s="169" t="s">
        <v>6059</v>
      </c>
      <c r="J18" s="181"/>
      <c r="K18" s="103" t="s">
        <v>6107</v>
      </c>
      <c r="L18" s="372" t="s">
        <v>237</v>
      </c>
      <c r="M18" s="167" t="s">
        <v>6108</v>
      </c>
      <c r="N18" s="167" t="s">
        <v>6062</v>
      </c>
      <c r="O18" s="168"/>
      <c r="P18" s="388"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86" t="str">
        <f>IFERROR(__xludf.DUMMYFUNCTION("GOOGLETRANSLATE(A18,""zh-tw"",""es-MX"")"),"Bola de arroz con carne")</f>
        <v>Bola de arroz con carne</v>
      </c>
      <c r="V18" s="381" t="str">
        <f>IFERROR(__xludf.DUMMYFUNCTION("GOOGLETRANSLATE(B18,""zh-tw"",""es-MX"")"),"A")</f>
        <v>A</v>
      </c>
      <c r="W18" s="169" t="str">
        <f>IFERROR(__xludf.DUMMYFUNCTION("GOOGLETRANSLATE(C18,""zh-tw"",""es-MX"")"),"arroz blanco")</f>
        <v>arroz blanco</v>
      </c>
      <c r="X18" s="169" t="str">
        <f>IFERROR(__xludf.DUMMYFUNCTION("GOOGLETRANSLATE(D18,""zh-tw"",""es-MX"")"),"Grandes trozos de carne")</f>
        <v>Grandes trozos de carne</v>
      </c>
      <c r="Y18" s="169"/>
      <c r="Z18" s="390" t="s">
        <v>6109</v>
      </c>
      <c r="AA18" s="382" t="s">
        <v>237</v>
      </c>
      <c r="AB18" s="168" t="str">
        <f>IFERROR(__xludf.DUMMYFUNCTION("GOOGLETRANSLATE(C18,""zh-tw"",""KO"")"),"흰쌀")</f>
        <v>흰쌀</v>
      </c>
      <c r="AC18" s="167" t="s">
        <v>6064</v>
      </c>
      <c r="AD18" s="168"/>
      <c r="AE18" s="386" t="str">
        <f>IFERROR(__xludf.DUMMYFUNCTION("GOOGLETRANSLATE(A18,""zh-tw"",""ru"")"),"Рисовые шарики с говядиной")</f>
        <v>Рисовые шарики с говядиной</v>
      </c>
      <c r="AF18" s="381" t="str">
        <f>IFERROR(__xludf.DUMMYFUNCTION("GOOGLETRANSLATE(L18,""zh-tw"",""es-MX"")"),"A")</f>
        <v>A</v>
      </c>
      <c r="AG18" s="169" t="str">
        <f>IFERROR(__xludf.DUMMYFUNCTION("GOOGLETRANSLATE(C18,""zh-tw"",""ru"")"),"Белый рис")</f>
        <v>Белый рис</v>
      </c>
      <c r="AH18" s="169" t="str">
        <f>IFERROR(__xludf.DUMMYFUNCTION("GOOGLETRANSLATE(D18,""zh-tw"",""ru"")"),"Большие куски мяса")</f>
        <v>Большие куски мяса</v>
      </c>
      <c r="AI18" s="169"/>
      <c r="AJ18" s="390" t="s">
        <v>6110</v>
      </c>
      <c r="AK18" s="382" t="s">
        <v>237</v>
      </c>
      <c r="AL18" s="167" t="s">
        <v>6003</v>
      </c>
      <c r="AM18" s="167" t="s">
        <v>6066</v>
      </c>
      <c r="AN18" s="168"/>
      <c r="AO18" s="185" t="s">
        <v>6111</v>
      </c>
      <c r="AP18" s="392" t="s">
        <v>237</v>
      </c>
      <c r="AQ18" s="187" t="s">
        <v>6006</v>
      </c>
      <c r="AR18" s="187" t="s">
        <v>6067</v>
      </c>
      <c r="AS18" s="188"/>
    </row>
    <row r="19">
      <c r="A19" s="386" t="s">
        <v>6112</v>
      </c>
      <c r="B19" s="387"/>
      <c r="C19" s="169" t="s">
        <v>6113</v>
      </c>
      <c r="D19" s="181"/>
      <c r="E19" s="181"/>
      <c r="F19" s="386" t="s">
        <v>6114</v>
      </c>
      <c r="G19" s="387"/>
      <c r="H19" s="169" t="s">
        <v>6115</v>
      </c>
      <c r="I19" s="181"/>
      <c r="J19" s="181"/>
      <c r="K19" s="99" t="s">
        <v>6116</v>
      </c>
      <c r="L19" s="387"/>
      <c r="M19" s="167" t="s">
        <v>6117</v>
      </c>
      <c r="N19" s="168"/>
      <c r="O19" s="168"/>
      <c r="P19" s="388" t="str">
        <f>IFERROR(__xludf.DUMMYFUNCTION("GOOGLETRANSLATE(A19,""zh-tw"",""zh"")"),"奇怪的史莱姆果冻(蓝色)")</f>
        <v>奇怪的史莱姆果冻(蓝色)</v>
      </c>
      <c r="Q19" s="66"/>
      <c r="R19" s="69" t="str">
        <f>IFERROR(__xludf.DUMMYFUNCTION("GOOGLETRANSLATE(C19,""zh-tw"",""zh"")"),"水怪黏液")</f>
        <v>水怪黏液</v>
      </c>
      <c r="S19" s="69"/>
      <c r="T19" s="69"/>
      <c r="U19" s="386" t="str">
        <f>IFERROR(__xludf.DUMMYFUNCTION("GOOGLETRANSLATE(A19,""zh-tw"",""es-MX"")"),"Gelatina viscosa extraña (azul)")</f>
        <v>Gelatina viscosa extraña (azul)</v>
      </c>
      <c r="V19" s="381"/>
      <c r="W19" s="169" t="str">
        <f>IFERROR(__xludf.DUMMYFUNCTION("GOOGLETRANSLATE(C19,""zh-tw"",""es-MX"")"),"Monstruo de agua viscoso")</f>
        <v>Monstruo de agua viscoso</v>
      </c>
      <c r="X19" s="169"/>
      <c r="Y19" s="169"/>
      <c r="Z19" s="389" t="str">
        <f>IFERROR(__xludf.DUMMYFUNCTION("GOOGLETRANSLATE(A19,""zh-tw"",""KO"")"),"이상한 슬라임 젤리(파란색)")</f>
        <v>이상한 슬라임 젤리(파란색)</v>
      </c>
      <c r="AA19" s="382"/>
      <c r="AB19" s="167" t="s">
        <v>6118</v>
      </c>
      <c r="AC19" s="168"/>
      <c r="AD19" s="168"/>
      <c r="AE19" s="386" t="str">
        <f>IFERROR(__xludf.DUMMYFUNCTION("GOOGLETRANSLATE(A19,""zh-tw"",""ru"")"),"Странное желеобразное лизун (синее)")</f>
        <v>Странное желеобразное лизун (синее)</v>
      </c>
      <c r="AF19" s="381"/>
      <c r="AG19" s="169" t="str">
        <f>IFERROR(__xludf.DUMMYFUNCTION("GOOGLETRANSLATE(C19,""zh-tw"",""ru"")"),"Водяной монстр-слизь")</f>
        <v>Водяной монстр-слизь</v>
      </c>
      <c r="AH19" s="169"/>
      <c r="AI19" s="169"/>
      <c r="AJ19" s="390" t="s">
        <v>6119</v>
      </c>
      <c r="AK19" s="382"/>
      <c r="AL19" s="167" t="s">
        <v>6120</v>
      </c>
      <c r="AM19" s="168"/>
      <c r="AN19" s="168"/>
      <c r="AO19" s="185" t="s">
        <v>6121</v>
      </c>
      <c r="AP19" s="195"/>
      <c r="AQ19" s="187" t="s">
        <v>6122</v>
      </c>
      <c r="AR19" s="188"/>
      <c r="AS19" s="188"/>
    </row>
    <row r="20">
      <c r="A20" s="386" t="s">
        <v>6123</v>
      </c>
      <c r="B20" s="387"/>
      <c r="C20" s="169" t="s">
        <v>5982</v>
      </c>
      <c r="D20" s="169" t="s">
        <v>3862</v>
      </c>
      <c r="E20" s="181"/>
      <c r="F20" s="386" t="s">
        <v>6124</v>
      </c>
      <c r="G20" s="387"/>
      <c r="H20" s="169" t="s">
        <v>5984</v>
      </c>
      <c r="I20" s="169" t="s">
        <v>6125</v>
      </c>
      <c r="J20" s="181"/>
      <c r="K20" s="103" t="s">
        <v>6126</v>
      </c>
      <c r="L20" s="387"/>
      <c r="M20" s="167" t="s">
        <v>5986</v>
      </c>
      <c r="N20" s="167" t="s">
        <v>3864</v>
      </c>
      <c r="O20" s="168"/>
      <c r="P20" s="388"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86" t="str">
        <f>IFERROR(__xludf.DUMMYFUNCTION("GOOGLETRANSLATE(A20,""zh-tw"",""es-MX"")"),"Gelatina de baba extraña (rosa)")</f>
        <v>Gelatina de baba extraña (rosa)</v>
      </c>
      <c r="V20" s="381"/>
      <c r="W20" s="169" t="str">
        <f>IFERROR(__xludf.DUMMYFUNCTION("GOOGLETRANSLATE(C20,""zh-tw"",""es-MX"")"),"limo")</f>
        <v>limo</v>
      </c>
      <c r="X20" s="169" t="str">
        <f>IFERROR(__xludf.DUMMYFUNCTION("GOOGLETRANSLATE(D20,""zh-tw"",""es-MX"")"),"Hada de la manzana")</f>
        <v>Hada de la manzana</v>
      </c>
      <c r="Y20" s="169"/>
      <c r="Z20" s="390" t="s">
        <v>6127</v>
      </c>
      <c r="AA20" s="382"/>
      <c r="AB20" s="167" t="s">
        <v>5987</v>
      </c>
      <c r="AC20" s="167" t="s">
        <v>3866</v>
      </c>
      <c r="AD20" s="168"/>
      <c r="AE20" s="386" t="str">
        <f>IFERROR(__xludf.DUMMYFUNCTION("GOOGLETRANSLATE(A20,""zh-tw"",""ru"")"),"Странное желеобразное лизун (розовое)")</f>
        <v>Странное желеобразное лизун (розовое)</v>
      </c>
      <c r="AF20" s="381"/>
      <c r="AG20" s="169" t="str">
        <f>IFERROR(__xludf.DUMMYFUNCTION("GOOGLETRANSLATE(C20,""zh-tw"",""ru"")"),"слизь")</f>
        <v>слизь</v>
      </c>
      <c r="AH20" s="169" t="str">
        <f>IFERROR(__xludf.DUMMYFUNCTION("GOOGLETRANSLATE(D20,""zh-tw"",""ru"")"),"Яблочная Фея")</f>
        <v>Яблочная Фея</v>
      </c>
      <c r="AI20" s="169"/>
      <c r="AJ20" s="390" t="s">
        <v>6128</v>
      </c>
      <c r="AK20" s="382"/>
      <c r="AL20" s="167" t="s">
        <v>5989</v>
      </c>
      <c r="AM20" s="167" t="s">
        <v>3868</v>
      </c>
      <c r="AN20" s="168"/>
      <c r="AO20" s="185" t="s">
        <v>6129</v>
      </c>
      <c r="AP20" s="195"/>
      <c r="AQ20" s="187" t="s">
        <v>5991</v>
      </c>
      <c r="AR20" s="187" t="s">
        <v>6130</v>
      </c>
      <c r="AS20" s="188"/>
    </row>
    <row r="21">
      <c r="A21" s="386" t="s">
        <v>6131</v>
      </c>
      <c r="B21" s="387"/>
      <c r="C21" s="169" t="s">
        <v>5982</v>
      </c>
      <c r="D21" s="169" t="s">
        <v>6132</v>
      </c>
      <c r="E21" s="181"/>
      <c r="F21" s="386" t="s">
        <v>6133</v>
      </c>
      <c r="G21" s="387"/>
      <c r="H21" s="169" t="s">
        <v>5984</v>
      </c>
      <c r="I21" s="169" t="s">
        <v>6134</v>
      </c>
      <c r="J21" s="181"/>
      <c r="K21" s="103" t="s">
        <v>6135</v>
      </c>
      <c r="L21" s="387"/>
      <c r="M21" s="167" t="s">
        <v>5986</v>
      </c>
      <c r="N21" s="167" t="s">
        <v>6136</v>
      </c>
      <c r="O21" s="168"/>
      <c r="P21" s="388"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86" t="str">
        <f>IFERROR(__xludf.DUMMYFUNCTION("GOOGLETRANSLATE(A21,""zh-tw"",""es-MX"")"),"Gelatina de baba extraña (negra)")</f>
        <v>Gelatina de baba extraña (negra)</v>
      </c>
      <c r="V21" s="381"/>
      <c r="W21" s="169" t="str">
        <f>IFERROR(__xludf.DUMMYFUNCTION("GOOGLETRANSLATE(C21,""zh-tw"",""es-MX"")"),"limo")</f>
        <v>limo</v>
      </c>
      <c r="X21" s="169" t="str">
        <f>IFERROR(__xludf.DUMMYFUNCTION("GOOGLETRANSLATE(D21,""zh-tw"",""es-MX"")"),"Basura")</f>
        <v>Basura</v>
      </c>
      <c r="Y21" s="169"/>
      <c r="Z21" s="389" t="str">
        <f>IFERROR(__xludf.DUMMYFUNCTION("GOOGLETRANSLATE(A21,""zh-tw"",""KO"")"),"이상한 슬라임 젤리(검정색)")</f>
        <v>이상한 슬라임 젤리(검정색)</v>
      </c>
      <c r="AA21" s="382"/>
      <c r="AB21" s="167" t="s">
        <v>5987</v>
      </c>
      <c r="AC21" s="168" t="str">
        <f>IFERROR(__xludf.DUMMYFUNCTION("GOOGLETRANSLATE(D21,""zh-tw"",""KO"")"),"쓰레기")</f>
        <v>쓰레기</v>
      </c>
      <c r="AD21" s="168"/>
      <c r="AE21" s="386" t="str">
        <f>IFERROR(__xludf.DUMMYFUNCTION("GOOGLETRANSLATE(A21,""zh-tw"",""ru"")"),"Странное желеобразное лизун (черное)")</f>
        <v>Странное желеобразное лизун (черное)</v>
      </c>
      <c r="AF21" s="381"/>
      <c r="AG21" s="169" t="str">
        <f>IFERROR(__xludf.DUMMYFUNCTION("GOOGLETRANSLATE(C21,""zh-tw"",""ru"")"),"слизь")</f>
        <v>слизь</v>
      </c>
      <c r="AH21" s="169" t="str">
        <f>IFERROR(__xludf.DUMMYFUNCTION("GOOGLETRANSLATE(D21,""zh-tw"",""ru"")"),"Мусор")</f>
        <v>Мусор</v>
      </c>
      <c r="AI21" s="169"/>
      <c r="AJ21" s="390" t="s">
        <v>6137</v>
      </c>
      <c r="AK21" s="382"/>
      <c r="AL21" s="167" t="s">
        <v>5989</v>
      </c>
      <c r="AM21" s="167" t="s">
        <v>6138</v>
      </c>
      <c r="AN21" s="168"/>
      <c r="AO21" s="185" t="s">
        <v>6139</v>
      </c>
      <c r="AP21" s="195"/>
      <c r="AQ21" s="187" t="s">
        <v>5991</v>
      </c>
      <c r="AR21" s="187" t="s">
        <v>6140</v>
      </c>
      <c r="AS21" s="188"/>
    </row>
    <row r="22">
      <c r="A22" s="386" t="s">
        <v>6141</v>
      </c>
      <c r="B22" s="387"/>
      <c r="C22" s="169" t="s">
        <v>6113</v>
      </c>
      <c r="D22" s="169" t="s">
        <v>544</v>
      </c>
      <c r="E22" s="181"/>
      <c r="F22" s="386" t="s">
        <v>6142</v>
      </c>
      <c r="G22" s="387"/>
      <c r="H22" s="169" t="s">
        <v>5984</v>
      </c>
      <c r="I22" s="169" t="s">
        <v>547</v>
      </c>
      <c r="J22" s="181"/>
      <c r="K22" s="103" t="s">
        <v>6143</v>
      </c>
      <c r="L22" s="387"/>
      <c r="M22" s="167" t="s">
        <v>5986</v>
      </c>
      <c r="N22" s="167" t="s">
        <v>6144</v>
      </c>
      <c r="O22" s="168"/>
      <c r="P22" s="388"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86" t="str">
        <f>IFERROR(__xludf.DUMMYFUNCTION("GOOGLETRANSLATE(A22,""zh-tw"",""es-MX"")"),"Extraña gelatina viscosa (colorida)")</f>
        <v>Extraña gelatina viscosa (colorida)</v>
      </c>
      <c r="V22" s="381"/>
      <c r="W22" s="169" t="str">
        <f>IFERROR(__xludf.DUMMYFUNCTION("GOOGLETRANSLATE(C22,""zh-tw"",""es-MX"")"),"Monstruo de agua viscoso")</f>
        <v>Monstruo de agua viscoso</v>
      </c>
      <c r="X22" s="169" t="str">
        <f>IFERROR(__xludf.DUMMYFUNCTION("GOOGLETRANSLATE(D22,""zh-tw"",""es-MX"")"),"ahoge")</f>
        <v>ahoge</v>
      </c>
      <c r="Y22" s="169"/>
      <c r="Z22" s="389" t="str">
        <f>IFERROR(__xludf.DUMMYFUNCTION("GOOGLETRANSLATE(A22,""zh-tw"",""KO"")"),"이상한 슬라임 젤리 (컬러풀)")</f>
        <v>이상한 슬라임 젤리 (컬러풀)</v>
      </c>
      <c r="AA22" s="382"/>
      <c r="AB22" s="167" t="s">
        <v>6118</v>
      </c>
      <c r="AC22" s="167" t="s">
        <v>556</v>
      </c>
      <c r="AD22" s="168"/>
      <c r="AE22" s="386" t="str">
        <f>IFERROR(__xludf.DUMMYFUNCTION("GOOGLETRANSLATE(A22,""zh-tw"",""ru"")"),"Странная слизь-желе (цветная)")</f>
        <v>Странная слизь-желе (цветная)</v>
      </c>
      <c r="AF22" s="381"/>
      <c r="AG22" s="169" t="str">
        <f>IFERROR(__xludf.DUMMYFUNCTION("GOOGLETRANSLATE(C22,""zh-tw"",""ru"")"),"Водяной монстр-слизь")</f>
        <v>Водяной монстр-слизь</v>
      </c>
      <c r="AH22" s="169" t="str">
        <f>IFERROR(__xludf.DUMMYFUNCTION("GOOGLETRANSLATE(D22,""zh-tw"",""ru"")"),"ахоге")</f>
        <v>ахоге</v>
      </c>
      <c r="AI22" s="169"/>
      <c r="AJ22" s="390" t="s">
        <v>6145</v>
      </c>
      <c r="AK22" s="382"/>
      <c r="AL22" s="167" t="s">
        <v>6120</v>
      </c>
      <c r="AM22" s="167" t="s">
        <v>6146</v>
      </c>
      <c r="AN22" s="168"/>
      <c r="AO22" s="185" t="s">
        <v>6147</v>
      </c>
      <c r="AP22" s="195"/>
      <c r="AQ22" s="187" t="s">
        <v>5991</v>
      </c>
      <c r="AR22" s="187" t="s">
        <v>6148</v>
      </c>
      <c r="AS22" s="188"/>
    </row>
    <row r="23">
      <c r="A23" s="386" t="s">
        <v>6149</v>
      </c>
      <c r="B23" s="387"/>
      <c r="C23" s="169" t="s">
        <v>6150</v>
      </c>
      <c r="D23" s="181"/>
      <c r="E23" s="181"/>
      <c r="F23" s="386" t="s">
        <v>6151</v>
      </c>
      <c r="G23" s="387"/>
      <c r="H23" s="169" t="s">
        <v>6152</v>
      </c>
      <c r="I23" s="181"/>
      <c r="J23" s="181"/>
      <c r="K23" s="99" t="s">
        <v>6153</v>
      </c>
      <c r="L23" s="387"/>
      <c r="M23" s="167" t="s">
        <v>6154</v>
      </c>
      <c r="N23" s="168"/>
      <c r="O23" s="168"/>
      <c r="P23" s="388" t="str">
        <f>IFERROR(__xludf.DUMMYFUNCTION("GOOGLETRANSLATE(A23,""zh-tw"",""zh"")"),"烤香蕉")</f>
        <v>烤香蕉</v>
      </c>
      <c r="Q23" s="66"/>
      <c r="R23" s="69" t="str">
        <f>IFERROR(__xludf.DUMMYFUNCTION("GOOGLETRANSLATE(C23,""zh-tw"",""zh"")"),"香蕉")</f>
        <v>香蕉</v>
      </c>
      <c r="S23" s="69"/>
      <c r="T23" s="69"/>
      <c r="U23" s="386" t="str">
        <f>IFERROR(__xludf.DUMMYFUNCTION("GOOGLETRANSLATE(A23,""zh-tw"",""es-MX"")"),"plátanos horneados")</f>
        <v>plátanos horneados</v>
      </c>
      <c r="V23" s="381"/>
      <c r="W23" s="169" t="str">
        <f>IFERROR(__xludf.DUMMYFUNCTION("GOOGLETRANSLATE(C23,""zh-tw"",""es-MX"")"),"banana")</f>
        <v>banana</v>
      </c>
      <c r="X23" s="169"/>
      <c r="Y23" s="169"/>
      <c r="Z23" s="389" t="str">
        <f>IFERROR(__xludf.DUMMYFUNCTION("GOOGLETRANSLATE(A23,""zh-tw"",""KO"")"),"구운 바나나")</f>
        <v>구운 바나나</v>
      </c>
      <c r="AA23" s="382"/>
      <c r="AB23" s="168" t="str">
        <f>IFERROR(__xludf.DUMMYFUNCTION("GOOGLETRANSLATE(C23,""zh-tw"",""KO"")"),"바나나")</f>
        <v>바나나</v>
      </c>
      <c r="AC23" s="168"/>
      <c r="AD23" s="168"/>
      <c r="AE23" s="386" t="str">
        <f>IFERROR(__xludf.DUMMYFUNCTION("GOOGLETRANSLATE(A23,""zh-tw"",""ru"")"),"Печеные бананы")</f>
        <v>Печеные бананы</v>
      </c>
      <c r="AF23" s="381"/>
      <c r="AG23" s="169" t="str">
        <f>IFERROR(__xludf.DUMMYFUNCTION("GOOGLETRANSLATE(C23,""zh-tw"",""ru"")"),"банан")</f>
        <v>банан</v>
      </c>
      <c r="AH23" s="169"/>
      <c r="AI23" s="169"/>
      <c r="AJ23" s="390" t="s">
        <v>6155</v>
      </c>
      <c r="AK23" s="382"/>
      <c r="AL23" s="167" t="s">
        <v>6156</v>
      </c>
      <c r="AM23" s="168"/>
      <c r="AN23" s="168"/>
      <c r="AO23" s="185" t="s">
        <v>6157</v>
      </c>
      <c r="AP23" s="195"/>
      <c r="AQ23" s="187" t="s">
        <v>6158</v>
      </c>
      <c r="AR23" s="188"/>
      <c r="AS23" s="188"/>
    </row>
    <row r="24">
      <c r="A24" s="386" t="s">
        <v>6159</v>
      </c>
      <c r="B24" s="387"/>
      <c r="C24" s="169" t="s">
        <v>6080</v>
      </c>
      <c r="D24" s="169" t="s">
        <v>4197</v>
      </c>
      <c r="E24" s="169" t="s">
        <v>6160</v>
      </c>
      <c r="F24" s="386" t="s">
        <v>6161</v>
      </c>
      <c r="G24" s="387"/>
      <c r="H24" s="169" t="s">
        <v>6082</v>
      </c>
      <c r="I24" s="169" t="s">
        <v>6162</v>
      </c>
      <c r="J24" s="169" t="s">
        <v>6163</v>
      </c>
      <c r="K24" s="103" t="s">
        <v>6164</v>
      </c>
      <c r="L24" s="387"/>
      <c r="M24" s="167" t="s">
        <v>4225</v>
      </c>
      <c r="N24" s="167" t="s">
        <v>4199</v>
      </c>
      <c r="O24" s="167" t="s">
        <v>6165</v>
      </c>
      <c r="P24" s="388"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86" t="str">
        <f>IFERROR(__xludf.DUMMYFUNCTION("GOOGLETRANSLATE(A24,""zh-tw"",""es-MX"")"),"Sopa de remolacha")</f>
        <v>Sopa de remolacha</v>
      </c>
      <c r="V24" s="381"/>
      <c r="W24" s="169" t="str">
        <f>IFERROR(__xludf.DUMMYFUNCTION("GOOGLETRANSLATE(C24,""zh-tw"",""es-MX"")"),"Pequeños trozos de carne animal")</f>
        <v>Pequeños trozos de carne animal</v>
      </c>
      <c r="X24" s="169" t="str">
        <f>IFERROR(__xludf.DUMMYFUNCTION("GOOGLETRANSLATE(D24,""zh-tw"",""es-MX"")"),"Papa")</f>
        <v>Papa</v>
      </c>
      <c r="Y24" s="169" t="str">
        <f>IFERROR(__xludf.DUMMYFUNCTION("GOOGLETRANSLATE(E24,""zh-tw"",""es-MX"")"),"zanahoria")</f>
        <v>zanahoria</v>
      </c>
      <c r="Z24" s="389" t="str">
        <f>IFERROR(__xludf.DUMMYFUNCTION("GOOGLETRANSLATE(A24,""zh-tw"",""KO"")"),"보르시치")</f>
        <v>보르시치</v>
      </c>
      <c r="AA24" s="382"/>
      <c r="AB24" s="167" t="s">
        <v>4227</v>
      </c>
      <c r="AC24" s="168" t="str">
        <f>IFERROR(__xludf.DUMMYFUNCTION("GOOGLETRANSLATE(D24,""zh-tw"",""KO"")"),"감자")</f>
        <v>감자</v>
      </c>
      <c r="AD24" s="168" t="str">
        <f>IFERROR(__xludf.DUMMYFUNCTION("GOOGLETRANSLATE(E24,""zh-tw"",""KO"")"),"당근")</f>
        <v>당근</v>
      </c>
      <c r="AE24" s="386" t="str">
        <f>IFERROR(__xludf.DUMMYFUNCTION("GOOGLETRANSLATE(A24,""zh-tw"",""ru"")"),"Борщ")</f>
        <v>Борщ</v>
      </c>
      <c r="AF24" s="381"/>
      <c r="AG24" s="169" t="str">
        <f>IFERROR(__xludf.DUMMYFUNCTION("GOOGLETRANSLATE(C24,""zh-tw"",""ru"")"),"Небольшие кусочки мяса животных")</f>
        <v>Небольшие кусочки мяса животных</v>
      </c>
      <c r="AH24" s="169" t="str">
        <f>IFERROR(__xludf.DUMMYFUNCTION("GOOGLETRANSLATE(D24,""zh-tw"",""ru"")"),"Картофель")</f>
        <v>Картофель</v>
      </c>
      <c r="AI24" s="169" t="str">
        <f>IFERROR(__xludf.DUMMYFUNCTION("GOOGLETRANSLATE(E24,""zh-tw"",""ru"")"),"морковь")</f>
        <v>морковь</v>
      </c>
      <c r="AJ24" s="390" t="s">
        <v>6166</v>
      </c>
      <c r="AK24" s="382"/>
      <c r="AL24" s="167" t="s">
        <v>6086</v>
      </c>
      <c r="AM24" s="167" t="s">
        <v>4202</v>
      </c>
      <c r="AN24" s="167" t="s">
        <v>4202</v>
      </c>
      <c r="AO24" s="185" t="s">
        <v>6167</v>
      </c>
      <c r="AP24" s="195"/>
      <c r="AQ24" s="187" t="s">
        <v>4231</v>
      </c>
      <c r="AR24" s="187" t="s">
        <v>4204</v>
      </c>
      <c r="AS24" s="187" t="s">
        <v>6168</v>
      </c>
    </row>
    <row r="25">
      <c r="A25" s="386" t="s">
        <v>6169</v>
      </c>
      <c r="B25" s="387"/>
      <c r="C25" s="169" t="s">
        <v>6170</v>
      </c>
      <c r="D25" s="181"/>
      <c r="E25" s="181"/>
      <c r="F25" s="386" t="s">
        <v>6171</v>
      </c>
      <c r="G25" s="387"/>
      <c r="H25" s="169" t="s">
        <v>6172</v>
      </c>
      <c r="I25" s="181"/>
      <c r="J25" s="181"/>
      <c r="K25" s="103" t="s">
        <v>6173</v>
      </c>
      <c r="L25" s="387"/>
      <c r="M25" s="167" t="s">
        <v>6174</v>
      </c>
      <c r="N25" s="168"/>
      <c r="O25" s="168"/>
      <c r="P25" s="388" t="str">
        <f>IFERROR(__xludf.DUMMYFUNCTION("GOOGLETRANSLATE(A25,""zh-tw"",""zh"")"),"烤章鱼脚")</f>
        <v>烤章鱼脚</v>
      </c>
      <c r="Q25" s="66"/>
      <c r="R25" s="69" t="str">
        <f>IFERROR(__xludf.DUMMYFUNCTION("GOOGLETRANSLATE(C25,""zh-tw"",""zh"")"),"章鱼脚")</f>
        <v>章鱼脚</v>
      </c>
      <c r="S25" s="69"/>
      <c r="T25" s="69"/>
      <c r="U25" s="386" t="str">
        <f>IFERROR(__xludf.DUMMYFUNCTION("GOOGLETRANSLATE(A25,""zh-tw"",""es-MX"")"),"Patas de pulpo a la plancha")</f>
        <v>Patas de pulpo a la plancha</v>
      </c>
      <c r="V25" s="381"/>
      <c r="W25" s="169" t="str">
        <f>IFERROR(__xludf.DUMMYFUNCTION("GOOGLETRANSLATE(C25,""zh-tw"",""es-MX"")"),"Patas de pulpo")</f>
        <v>Patas de pulpo</v>
      </c>
      <c r="X25" s="169"/>
      <c r="Y25" s="169"/>
      <c r="Z25" s="390" t="s">
        <v>6175</v>
      </c>
      <c r="AA25" s="382"/>
      <c r="AB25" s="167" t="s">
        <v>6176</v>
      </c>
      <c r="AC25" s="168"/>
      <c r="AD25" s="168"/>
      <c r="AE25" s="386" t="str">
        <f>IFERROR(__xludf.DUMMYFUNCTION("GOOGLETRANSLATE(A25,""zh-tw"",""ru"")"),"Жареные ножки осьминога")</f>
        <v>Жареные ножки осьминога</v>
      </c>
      <c r="AF25" s="381"/>
      <c r="AG25" s="169" t="str">
        <f>IFERROR(__xludf.DUMMYFUNCTION("GOOGLETRANSLATE(C25,""zh-tw"",""ru"")"),"Ноги осьминога")</f>
        <v>Ноги осьминога</v>
      </c>
      <c r="AH25" s="169"/>
      <c r="AI25" s="169"/>
      <c r="AJ25" s="390" t="s">
        <v>6177</v>
      </c>
      <c r="AK25" s="382"/>
      <c r="AL25" s="167" t="s">
        <v>6178</v>
      </c>
      <c r="AM25" s="168"/>
      <c r="AN25" s="168"/>
      <c r="AO25" s="185" t="s">
        <v>6179</v>
      </c>
      <c r="AP25" s="195"/>
      <c r="AQ25" s="187" t="s">
        <v>6180</v>
      </c>
      <c r="AR25" s="188"/>
      <c r="AS25" s="188"/>
    </row>
    <row r="26">
      <c r="A26" s="391" t="s">
        <v>6181</v>
      </c>
      <c r="B26" s="387"/>
      <c r="C26" s="169" t="s">
        <v>6182</v>
      </c>
      <c r="D26" s="169" t="s">
        <v>6182</v>
      </c>
      <c r="E26" s="169" t="s">
        <v>6182</v>
      </c>
      <c r="F26" s="386" t="s">
        <v>6183</v>
      </c>
      <c r="G26" s="387"/>
      <c r="H26" s="169" t="s">
        <v>6163</v>
      </c>
      <c r="I26" s="169" t="s">
        <v>6163</v>
      </c>
      <c r="J26" s="169" t="s">
        <v>6163</v>
      </c>
      <c r="K26" s="99" t="s">
        <v>6184</v>
      </c>
      <c r="L26" s="387"/>
      <c r="M26" s="167" t="s">
        <v>6165</v>
      </c>
      <c r="N26" s="167" t="s">
        <v>6165</v>
      </c>
      <c r="O26" s="167" t="s">
        <v>6165</v>
      </c>
      <c r="P26" s="388"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86" t="str">
        <f>IFERROR(__xludf.DUMMYFUNCTION("GOOGLETRANSLATE(A26,""zh-tw"",""es-MX"")"),"Ensalada de verduras")</f>
        <v>Ensalada de verduras</v>
      </c>
      <c r="V26" s="381"/>
      <c r="W26" s="169" t="str">
        <f>IFERROR(__xludf.DUMMYFUNCTION("GOOGLETRANSLATE(C26,""zh-tw"",""es-MX"")"),"verdura")</f>
        <v>verdura</v>
      </c>
      <c r="X26" s="169" t="str">
        <f>IFERROR(__xludf.DUMMYFUNCTION("GOOGLETRANSLATE(D26,""zh-tw"",""es-MX"")"),"verdura")</f>
        <v>verdura</v>
      </c>
      <c r="Y26" s="169" t="str">
        <f>IFERROR(__xludf.DUMMYFUNCTION("GOOGLETRANSLATE(E26,""zh-tw"",""es-MX"")"),"verdura")</f>
        <v>verdura</v>
      </c>
      <c r="Z26" s="390" t="s">
        <v>6185</v>
      </c>
      <c r="AA26" s="382"/>
      <c r="AB26" s="393" t="s">
        <v>6186</v>
      </c>
      <c r="AC26" s="393" t="s">
        <v>6186</v>
      </c>
      <c r="AD26" s="167" t="s">
        <v>6186</v>
      </c>
      <c r="AE26" s="386" t="str">
        <f>IFERROR(__xludf.DUMMYFUNCTION("GOOGLETRANSLATE(A26,""zh-tw"",""ru"")"),"Овощной салат")</f>
        <v>Овощной салат</v>
      </c>
      <c r="AF26" s="381"/>
      <c r="AG26" s="169" t="str">
        <f>IFERROR(__xludf.DUMMYFUNCTION("GOOGLETRANSLATE(C26,""zh-tw"",""ru"")"),"овощ")</f>
        <v>овощ</v>
      </c>
      <c r="AH26" s="169" t="str">
        <f>IFERROR(__xludf.DUMMYFUNCTION("GOOGLETRANSLATE(D26,""zh-tw"",""ru"")"),"овощ")</f>
        <v>овощ</v>
      </c>
      <c r="AI26" s="169" t="str">
        <f>IFERROR(__xludf.DUMMYFUNCTION("GOOGLETRANSLATE(E26,""zh-tw"",""ru"")"),"овощ")</f>
        <v>овощ</v>
      </c>
      <c r="AJ26" s="390" t="s">
        <v>6187</v>
      </c>
      <c r="AK26" s="382"/>
      <c r="AL26" s="167" t="s">
        <v>6188</v>
      </c>
      <c r="AM26" s="167" t="s">
        <v>6188</v>
      </c>
      <c r="AN26" s="167" t="s">
        <v>6188</v>
      </c>
      <c r="AO26" s="160" t="s">
        <v>6189</v>
      </c>
      <c r="AP26" s="195"/>
      <c r="AQ26" s="187" t="s">
        <v>6168</v>
      </c>
      <c r="AR26" s="187" t="s">
        <v>6168</v>
      </c>
      <c r="AS26" s="187" t="s">
        <v>6168</v>
      </c>
    </row>
    <row r="27">
      <c r="A27" s="386" t="s">
        <v>6190</v>
      </c>
      <c r="B27" s="387"/>
      <c r="C27" s="169" t="s">
        <v>4197</v>
      </c>
      <c r="D27" s="181"/>
      <c r="E27" s="181"/>
      <c r="F27" s="386" t="s">
        <v>6191</v>
      </c>
      <c r="G27" s="387"/>
      <c r="H27" s="169" t="s">
        <v>6162</v>
      </c>
      <c r="I27" s="181"/>
      <c r="J27" s="181"/>
      <c r="K27" s="103" t="s">
        <v>6192</v>
      </c>
      <c r="L27" s="387"/>
      <c r="M27" s="167" t="s">
        <v>4199</v>
      </c>
      <c r="N27" s="168"/>
      <c r="O27" s="168"/>
      <c r="P27" s="388" t="str">
        <f>IFERROR(__xludf.DUMMYFUNCTION("GOOGLETRANSLATE(A27,""zh-tw"",""zh"")"),"土豆泥")</f>
        <v>土豆泥</v>
      </c>
      <c r="Q27" s="66"/>
      <c r="R27" s="69" t="str">
        <f>IFERROR(__xludf.DUMMYFUNCTION("GOOGLETRANSLATE(C27,""zh-tw"",""zh"")"),"土豆")</f>
        <v>土豆</v>
      </c>
      <c r="S27" s="69"/>
      <c r="T27" s="69"/>
      <c r="U27" s="386" t="str">
        <f>IFERROR(__xludf.DUMMYFUNCTION("GOOGLETRANSLATE(A27,""zh-tw"",""es-MX"")"),"Puré de papas")</f>
        <v>Puré de papas</v>
      </c>
      <c r="V27" s="381"/>
      <c r="W27" s="169" t="str">
        <f>IFERROR(__xludf.DUMMYFUNCTION("GOOGLETRANSLATE(C27,""zh-tw"",""es-MX"")"),"Papa")</f>
        <v>Papa</v>
      </c>
      <c r="X27" s="169"/>
      <c r="Y27" s="169"/>
      <c r="Z27" s="390" t="s">
        <v>6193</v>
      </c>
      <c r="AA27" s="382"/>
      <c r="AB27" s="168" t="str">
        <f>IFERROR(__xludf.DUMMYFUNCTION("GOOGLETRANSLATE(C27,""zh-tw"",""KO"")"),"감자")</f>
        <v>감자</v>
      </c>
      <c r="AC27" s="168"/>
      <c r="AD27" s="168"/>
      <c r="AE27" s="386" t="str">
        <f>IFERROR(__xludf.DUMMYFUNCTION("GOOGLETRANSLATE(A27,""zh-tw"",""ru"")"),"Картофельное пюре")</f>
        <v>Картофельное пюре</v>
      </c>
      <c r="AF27" s="381"/>
      <c r="AG27" s="169" t="str">
        <f>IFERROR(__xludf.DUMMYFUNCTION("GOOGLETRANSLATE(C27,""zh-tw"",""ru"")"),"Картофель")</f>
        <v>Картофель</v>
      </c>
      <c r="AH27" s="169"/>
      <c r="AI27" s="169"/>
      <c r="AJ27" s="390" t="s">
        <v>6194</v>
      </c>
      <c r="AK27" s="382"/>
      <c r="AL27" s="167" t="s">
        <v>4202</v>
      </c>
      <c r="AM27" s="168"/>
      <c r="AN27" s="168"/>
      <c r="AO27" s="185" t="s">
        <v>6195</v>
      </c>
      <c r="AP27" s="195"/>
      <c r="AQ27" s="187" t="s">
        <v>4204</v>
      </c>
      <c r="AR27" s="188"/>
      <c r="AS27" s="188"/>
    </row>
    <row r="28">
      <c r="A28" s="386" t="s">
        <v>6196</v>
      </c>
      <c r="B28" s="387"/>
      <c r="C28" s="169" t="s">
        <v>6160</v>
      </c>
      <c r="D28" s="169" t="s">
        <v>6197</v>
      </c>
      <c r="E28" s="181"/>
      <c r="F28" s="386" t="s">
        <v>6198</v>
      </c>
      <c r="G28" s="387"/>
      <c r="H28" s="169" t="s">
        <v>6163</v>
      </c>
      <c r="I28" s="169" t="s">
        <v>6199</v>
      </c>
      <c r="J28" s="181"/>
      <c r="K28" s="103" t="s">
        <v>6200</v>
      </c>
      <c r="L28" s="387"/>
      <c r="M28" s="167" t="s">
        <v>6165</v>
      </c>
      <c r="N28" s="167" t="s">
        <v>4025</v>
      </c>
      <c r="O28" s="168"/>
      <c r="P28" s="388"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86" t="str">
        <f>IFERROR(__xludf.DUMMYFUNCTION("GOOGLETRANSLATE(A28,""zh-tw"",""es-MX"")"),"Sopa de rábano y champiñones")</f>
        <v>Sopa de rábano y champiñones</v>
      </c>
      <c r="V28" s="381"/>
      <c r="W28" s="169" t="str">
        <f>IFERROR(__xludf.DUMMYFUNCTION("GOOGLETRANSLATE(C28,""zh-tw"",""es-MX"")"),"zanahoria")</f>
        <v>zanahoria</v>
      </c>
      <c r="X28" s="169" t="str">
        <f>IFERROR(__xludf.DUMMYFUNCTION("GOOGLETRANSLATE(D28,""zh-tw"",""es-MX"")"),"Hongos")</f>
        <v>Hongos</v>
      </c>
      <c r="Y28" s="169"/>
      <c r="Z28" s="390" t="s">
        <v>6201</v>
      </c>
      <c r="AA28" s="382"/>
      <c r="AB28" s="168" t="str">
        <f>IFERROR(__xludf.DUMMYFUNCTION("GOOGLETRANSLATE(C28,""zh-tw"",""KO"")"),"당근")</f>
        <v>당근</v>
      </c>
      <c r="AC28" s="168" t="str">
        <f>IFERROR(__xludf.DUMMYFUNCTION("GOOGLETRANSLATE(D28,""zh-tw"",""KO"")"),"버섯")</f>
        <v>버섯</v>
      </c>
      <c r="AD28" s="168"/>
      <c r="AE28" s="386" t="str">
        <f>IFERROR(__xludf.DUMMYFUNCTION("GOOGLETRANSLATE(A28,""zh-tw"",""ru"")"),"Суп из редиса и грибов")</f>
        <v>Суп из редиса и грибов</v>
      </c>
      <c r="AF28" s="381"/>
      <c r="AG28" s="169" t="str">
        <f>IFERROR(__xludf.DUMMYFUNCTION("GOOGLETRANSLATE(C28,""zh-tw"",""ru"")"),"морковь")</f>
        <v>морковь</v>
      </c>
      <c r="AH28" s="169" t="str">
        <f>IFERROR(__xludf.DUMMYFUNCTION("GOOGLETRANSLATE(D28,""zh-tw"",""ru"")"),"Грибы")</f>
        <v>Грибы</v>
      </c>
      <c r="AI28" s="169"/>
      <c r="AJ28" s="390" t="s">
        <v>6202</v>
      </c>
      <c r="AK28" s="382"/>
      <c r="AL28" s="167" t="s">
        <v>6203</v>
      </c>
      <c r="AM28" s="168" t="str">
        <f>IFERROR(__xludf.DUMMYFUNCTION("GOOGLETRANSLATE(D28,""zh-tw"",""de"")"),"Pilze")</f>
        <v>Pilze</v>
      </c>
      <c r="AN28" s="168"/>
      <c r="AO28" s="185" t="s">
        <v>6204</v>
      </c>
      <c r="AP28" s="195"/>
      <c r="AQ28" s="187" t="s">
        <v>6168</v>
      </c>
      <c r="AR28" s="187" t="s">
        <v>4033</v>
      </c>
      <c r="AS28" s="188"/>
    </row>
    <row r="29">
      <c r="A29" s="386" t="s">
        <v>6205</v>
      </c>
      <c r="B29" s="387"/>
      <c r="C29" s="169" t="s">
        <v>6206</v>
      </c>
      <c r="D29" s="181"/>
      <c r="E29" s="181"/>
      <c r="F29" s="386" t="s">
        <v>6207</v>
      </c>
      <c r="G29" s="387"/>
      <c r="H29" s="169" t="s">
        <v>6208</v>
      </c>
      <c r="I29" s="181"/>
      <c r="J29" s="181"/>
      <c r="K29" s="103" t="s">
        <v>6209</v>
      </c>
      <c r="L29" s="387"/>
      <c r="M29" s="167" t="s">
        <v>6210</v>
      </c>
      <c r="N29" s="168"/>
      <c r="O29" s="168"/>
      <c r="P29" s="388" t="str">
        <f>IFERROR(__xludf.DUMMYFUNCTION("GOOGLETRANSLATE(A29,""zh-tw"",""zh"")"),"意面")</f>
        <v>意面</v>
      </c>
      <c r="Q29" s="66"/>
      <c r="R29" s="69" t="str">
        <f>IFERROR(__xludf.DUMMYFUNCTION("GOOGLETRANSLATE(C29,""zh-tw"",""zh"")"),"意大利面")</f>
        <v>意大利面</v>
      </c>
      <c r="S29" s="69"/>
      <c r="T29" s="69"/>
      <c r="U29" s="386" t="str">
        <f>IFERROR(__xludf.DUMMYFUNCTION("GOOGLETRANSLATE(A29,""zh-tw"",""es-MX"")"),"pastas")</f>
        <v>pastas</v>
      </c>
      <c r="V29" s="381"/>
      <c r="W29" s="169" t="str">
        <f>IFERROR(__xludf.DUMMYFUNCTION("GOOGLETRANSLATE(C29,""zh-tw"",""es-MX"")"),"espaguetis")</f>
        <v>espaguetis</v>
      </c>
      <c r="X29" s="169"/>
      <c r="Y29" s="169"/>
      <c r="Z29" s="389" t="str">
        <f>IFERROR(__xludf.DUMMYFUNCTION("GOOGLETRANSLATE(A29,""zh-tw"",""KO"")"),"파스타")</f>
        <v>파스타</v>
      </c>
      <c r="AA29" s="382"/>
      <c r="AB29" s="168" t="str">
        <f>IFERROR(__xludf.DUMMYFUNCTION("GOOGLETRANSLATE(C29,""zh-tw"",""KO"")"),"스파게티")</f>
        <v>스파게티</v>
      </c>
      <c r="AC29" s="168"/>
      <c r="AD29" s="168"/>
      <c r="AE29" s="386" t="str">
        <f>IFERROR(__xludf.DUMMYFUNCTION("GOOGLETRANSLATE(A29,""zh-tw"",""ru"")"),"макароны")</f>
        <v>макароны</v>
      </c>
      <c r="AF29" s="381"/>
      <c r="AG29" s="169" t="str">
        <f>IFERROR(__xludf.DUMMYFUNCTION("GOOGLETRANSLATE(C29,""zh-tw"",""ru"")"),"спагетти")</f>
        <v>спагетти</v>
      </c>
      <c r="AH29" s="169"/>
      <c r="AI29" s="169"/>
      <c r="AJ29" s="390" t="s">
        <v>6211</v>
      </c>
      <c r="AK29" s="382"/>
      <c r="AL29" s="167" t="s">
        <v>6210</v>
      </c>
      <c r="AM29" s="168"/>
      <c r="AN29" s="168"/>
      <c r="AO29" s="185" t="s">
        <v>6209</v>
      </c>
      <c r="AP29" s="195"/>
      <c r="AQ29" s="187" t="s">
        <v>6212</v>
      </c>
      <c r="AR29" s="188"/>
      <c r="AS29" s="188"/>
    </row>
    <row r="30">
      <c r="A30" s="386" t="s">
        <v>6213</v>
      </c>
      <c r="B30" s="387"/>
      <c r="C30" s="169" t="s">
        <v>6206</v>
      </c>
      <c r="D30" s="169" t="s">
        <v>6214</v>
      </c>
      <c r="E30" s="181"/>
      <c r="F30" s="386" t="s">
        <v>6215</v>
      </c>
      <c r="G30" s="387"/>
      <c r="H30" s="169" t="s">
        <v>6208</v>
      </c>
      <c r="I30" s="169" t="s">
        <v>6216</v>
      </c>
      <c r="J30" s="181"/>
      <c r="K30" s="103" t="s">
        <v>6217</v>
      </c>
      <c r="L30" s="387"/>
      <c r="M30" s="167" t="s">
        <v>6210</v>
      </c>
      <c r="N30" s="167" t="s">
        <v>6218</v>
      </c>
      <c r="O30" s="168"/>
      <c r="P30" s="388"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86" t="str">
        <f>IFERROR(__xludf.DUMMYFUNCTION("GOOGLETRANSLATE(A30,""zh-tw"",""es-MX"")"),"Pasta con tomate")</f>
        <v>Pasta con tomate</v>
      </c>
      <c r="V30" s="381"/>
      <c r="W30" s="169" t="str">
        <f>IFERROR(__xludf.DUMMYFUNCTION("GOOGLETRANSLATE(C30,""zh-tw"",""es-MX"")"),"espaguetis")</f>
        <v>espaguetis</v>
      </c>
      <c r="X30" s="169" t="str">
        <f>IFERROR(__xludf.DUMMYFUNCTION("GOOGLETRANSLATE(D30,""zh-tw"",""es-MX"")"),"salsa de tomate")</f>
        <v>salsa de tomate</v>
      </c>
      <c r="Y30" s="169"/>
      <c r="Z30" s="389" t="str">
        <f>IFERROR(__xludf.DUMMYFUNCTION("GOOGLETRANSLATE(A30,""zh-tw"",""KO"")"),"토마토 파스타")</f>
        <v>토마토 파스타</v>
      </c>
      <c r="AA30" s="382"/>
      <c r="AB30" s="168" t="str">
        <f>IFERROR(__xludf.DUMMYFUNCTION("GOOGLETRANSLATE(C30,""zh-tw"",""KO"")"),"스파게티")</f>
        <v>스파게티</v>
      </c>
      <c r="AC30" s="168" t="str">
        <f>IFERROR(__xludf.DUMMYFUNCTION("GOOGLETRANSLATE(D30,""zh-tw"",""KO"")"),"토마토 소스")</f>
        <v>토마토 소스</v>
      </c>
      <c r="AD30" s="168"/>
      <c r="AE30" s="386" t="str">
        <f>IFERROR(__xludf.DUMMYFUNCTION("GOOGLETRANSLATE(A30,""zh-tw"",""ru"")"),"Томатная паста")</f>
        <v>Томатная паста</v>
      </c>
      <c r="AF30" s="381"/>
      <c r="AG30" s="169" t="str">
        <f>IFERROR(__xludf.DUMMYFUNCTION("GOOGLETRANSLATE(C30,""zh-tw"",""ru"")"),"спагетти")</f>
        <v>спагетти</v>
      </c>
      <c r="AH30" s="169" t="str">
        <f>IFERROR(__xludf.DUMMYFUNCTION("GOOGLETRANSLATE(D30,""zh-tw"",""ru"")"),"Томатный соус")</f>
        <v>Томатный соус</v>
      </c>
      <c r="AI30" s="169"/>
      <c r="AJ30" s="390" t="s">
        <v>6219</v>
      </c>
      <c r="AK30" s="382"/>
      <c r="AL30" s="167" t="s">
        <v>6210</v>
      </c>
      <c r="AM30" s="167" t="s">
        <v>6220</v>
      </c>
      <c r="AN30" s="168"/>
      <c r="AO30" s="185" t="s">
        <v>6221</v>
      </c>
      <c r="AP30" s="195"/>
      <c r="AQ30" s="187" t="s">
        <v>6212</v>
      </c>
      <c r="AR30" s="187" t="s">
        <v>6222</v>
      </c>
      <c r="AS30" s="188"/>
    </row>
    <row r="31">
      <c r="A31" s="386" t="s">
        <v>6223</v>
      </c>
      <c r="B31" s="387"/>
      <c r="C31" s="169" t="s">
        <v>6206</v>
      </c>
      <c r="D31" s="169" t="s">
        <v>6224</v>
      </c>
      <c r="E31" s="181"/>
      <c r="F31" s="386" t="s">
        <v>6225</v>
      </c>
      <c r="G31" s="387"/>
      <c r="H31" s="169" t="s">
        <v>6208</v>
      </c>
      <c r="I31" s="169" t="s">
        <v>6226</v>
      </c>
      <c r="J31" s="181"/>
      <c r="K31" s="103" t="s">
        <v>6227</v>
      </c>
      <c r="L31" s="387"/>
      <c r="M31" s="167" t="s">
        <v>6210</v>
      </c>
      <c r="N31" s="167" t="s">
        <v>6228</v>
      </c>
      <c r="O31" s="168"/>
      <c r="P31" s="388"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86" t="str">
        <f>IFERROR(__xludf.DUMMYFUNCTION("GOOGLETRANSLATE(A31,""zh-tw"",""es-MX"")"),"Pasta con mariscos")</f>
        <v>Pasta con mariscos</v>
      </c>
      <c r="V31" s="381"/>
      <c r="W31" s="169" t="str">
        <f>IFERROR(__xludf.DUMMYFUNCTION("GOOGLETRANSLATE(C31,""zh-tw"",""es-MX"")"),"espaguetis")</f>
        <v>espaguetis</v>
      </c>
      <c r="X31" s="169" t="str">
        <f>IFERROR(__xludf.DUMMYFUNCTION("GOOGLETRANSLATE(D31,""zh-tw"",""es-MX"")"),"Camarones dulces")</f>
        <v>Camarones dulces</v>
      </c>
      <c r="Y31" s="169"/>
      <c r="Z31" s="389" t="str">
        <f>IFERROR(__xludf.DUMMYFUNCTION("GOOGLETRANSLATE(A31,""zh-tw"",""KO"")"),"해산물 파스타")</f>
        <v>해산물 파스타</v>
      </c>
      <c r="AA31" s="382"/>
      <c r="AB31" s="168" t="str">
        <f>IFERROR(__xludf.DUMMYFUNCTION("GOOGLETRANSLATE(C31,""zh-tw"",""KO"")"),"스파게티")</f>
        <v>스파게티</v>
      </c>
      <c r="AC31" s="167" t="s">
        <v>6229</v>
      </c>
      <c r="AD31" s="168"/>
      <c r="AE31" s="386" t="str">
        <f>IFERROR(__xludf.DUMMYFUNCTION("GOOGLETRANSLATE(A31,""zh-tw"",""ru"")"),"Паста с морепродуктами")</f>
        <v>Паста с морепродуктами</v>
      </c>
      <c r="AF31" s="381"/>
      <c r="AG31" s="169" t="str">
        <f>IFERROR(__xludf.DUMMYFUNCTION("GOOGLETRANSLATE(C31,""zh-tw"",""ru"")"),"спагетти")</f>
        <v>спагетти</v>
      </c>
      <c r="AH31" s="169" t="str">
        <f>IFERROR(__xludf.DUMMYFUNCTION("GOOGLETRANSLATE(D31,""zh-tw"",""ru"")"),"Сладкие креветки")</f>
        <v>Сладкие креветки</v>
      </c>
      <c r="AI31" s="169"/>
      <c r="AJ31" s="390" t="s">
        <v>6230</v>
      </c>
      <c r="AK31" s="382"/>
      <c r="AL31" s="167" t="s">
        <v>6210</v>
      </c>
      <c r="AM31" s="167" t="s">
        <v>6231</v>
      </c>
      <c r="AN31" s="168"/>
      <c r="AO31" s="185" t="s">
        <v>6232</v>
      </c>
      <c r="AP31" s="195"/>
      <c r="AQ31" s="187" t="s">
        <v>6212</v>
      </c>
      <c r="AR31" s="187" t="s">
        <v>6233</v>
      </c>
      <c r="AS31" s="188"/>
    </row>
    <row r="32">
      <c r="A32" s="386" t="s">
        <v>6234</v>
      </c>
      <c r="B32" s="387"/>
      <c r="C32" s="169" t="s">
        <v>5993</v>
      </c>
      <c r="D32" s="169" t="s">
        <v>5994</v>
      </c>
      <c r="E32" s="169" t="s">
        <v>4007</v>
      </c>
      <c r="F32" s="386" t="s">
        <v>6235</v>
      </c>
      <c r="G32" s="387"/>
      <c r="H32" s="169" t="s">
        <v>5996</v>
      </c>
      <c r="I32" s="169" t="s">
        <v>5997</v>
      </c>
      <c r="J32" s="169" t="s">
        <v>6236</v>
      </c>
      <c r="K32" s="99" t="s">
        <v>6237</v>
      </c>
      <c r="L32" s="387"/>
      <c r="M32" s="167" t="s">
        <v>5999</v>
      </c>
      <c r="N32" s="167" t="s">
        <v>6000</v>
      </c>
      <c r="O32" s="167" t="s">
        <v>4010</v>
      </c>
      <c r="P32" s="388"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86" t="str">
        <f>IFERROR(__xludf.DUMMYFUNCTION("GOOGLETRANSLATE(A32,""zh-tw"",""es-MX"")"),"arroz con curry de huevo")</f>
        <v>arroz con curry de huevo</v>
      </c>
      <c r="V32" s="381"/>
      <c r="W32" s="169" t="str">
        <f>IFERROR(__xludf.DUMMYFUNCTION("GOOGLETRANSLATE(C32,""zh-tw"",""es-MX"")"),"arroz blanco")</f>
        <v>arroz blanco</v>
      </c>
      <c r="X32" s="169" t="str">
        <f>IFERROR(__xludf.DUMMYFUNCTION("GOOGLETRANSLATE(D32,""zh-tw"",""es-MX"")"),"cubos de curry")</f>
        <v>cubos de curry</v>
      </c>
      <c r="Y32" s="169" t="str">
        <f>IFERROR(__xludf.DUMMYFUNCTION("GOOGLETRANSLATE(E32,""zh-tw"",""es-MX"")"),"Un huevo muy grande")</f>
        <v>Un huevo muy grande</v>
      </c>
      <c r="Z32" s="389" t="str">
        <f>IFERROR(__xludf.DUMMYFUNCTION("GOOGLETRANSLATE(A32,""zh-tw"",""KO"")"),"계란 카레 라이스")</f>
        <v>계란 카레 라이스</v>
      </c>
      <c r="AA32" s="382"/>
      <c r="AB32" s="168" t="str">
        <f>IFERROR(__xludf.DUMMYFUNCTION("GOOGLETRANSLATE(C32,""zh-tw"",""KO"")"),"흰쌀")</f>
        <v>흰쌀</v>
      </c>
      <c r="AC32" s="167" t="s">
        <v>6001</v>
      </c>
      <c r="AD32" s="167" t="s">
        <v>4012</v>
      </c>
      <c r="AE32" s="386" t="str">
        <f>IFERROR(__xludf.DUMMYFUNCTION("GOOGLETRANSLATE(A32,""zh-tw"",""ru"")"),"Яичный карри с рисом")</f>
        <v>Яичный карри с рисом</v>
      </c>
      <c r="AF32" s="381"/>
      <c r="AG32" s="169" t="str">
        <f>IFERROR(__xludf.DUMMYFUNCTION("GOOGLETRANSLATE(C32,""zh-tw"",""ru"")"),"Белый рис")</f>
        <v>Белый рис</v>
      </c>
      <c r="AH32" s="169" t="str">
        <f>IFERROR(__xludf.DUMMYFUNCTION("GOOGLETRANSLATE(D32,""zh-tw"",""ru"")"),"кубики карри")</f>
        <v>кубики карри</v>
      </c>
      <c r="AI32" s="169" t="str">
        <f>IFERROR(__xludf.DUMMYFUNCTION("GOOGLETRANSLATE(E32,""zh-tw"",""ru"")"),"Очень большое яйцо")</f>
        <v>Очень большое яйцо</v>
      </c>
      <c r="AJ32" s="390" t="s">
        <v>6238</v>
      </c>
      <c r="AK32" s="382"/>
      <c r="AL32" s="167" t="s">
        <v>6003</v>
      </c>
      <c r="AM32" s="167" t="s">
        <v>6004</v>
      </c>
      <c r="AN32" s="167" t="s">
        <v>6239</v>
      </c>
      <c r="AO32" s="185" t="s">
        <v>6240</v>
      </c>
      <c r="AP32" s="195"/>
      <c r="AQ32" s="187" t="s">
        <v>6006</v>
      </c>
      <c r="AR32" s="187" t="s">
        <v>6007</v>
      </c>
      <c r="AS32" s="187" t="s">
        <v>4017</v>
      </c>
    </row>
    <row r="33">
      <c r="A33" s="386" t="s">
        <v>6241</v>
      </c>
      <c r="B33" s="387"/>
      <c r="C33" s="169" t="s">
        <v>5993</v>
      </c>
      <c r="D33" s="169" t="s">
        <v>4007</v>
      </c>
      <c r="E33" s="181"/>
      <c r="F33" s="386" t="s">
        <v>6242</v>
      </c>
      <c r="G33" s="387"/>
      <c r="H33" s="169" t="s">
        <v>5996</v>
      </c>
      <c r="I33" s="169" t="s">
        <v>6236</v>
      </c>
      <c r="J33" s="181"/>
      <c r="K33" s="103" t="s">
        <v>6243</v>
      </c>
      <c r="L33" s="387"/>
      <c r="M33" s="167" t="s">
        <v>5999</v>
      </c>
      <c r="N33" s="167" t="s">
        <v>6244</v>
      </c>
      <c r="O33" s="168"/>
      <c r="P33" s="388"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86" t="str">
        <f>IFERROR(__xludf.DUMMYFUNCTION("GOOGLETRANSLATE(A33,""zh-tw"",""es-MX"")"),"Arroz para tortilla")</f>
        <v>Arroz para tortilla</v>
      </c>
      <c r="V33" s="381"/>
      <c r="W33" s="169" t="str">
        <f>IFERROR(__xludf.DUMMYFUNCTION("GOOGLETRANSLATE(C33,""zh-tw"",""es-MX"")"),"arroz blanco")</f>
        <v>arroz blanco</v>
      </c>
      <c r="X33" s="169" t="str">
        <f>IFERROR(__xludf.DUMMYFUNCTION("GOOGLETRANSLATE(D33,""zh-tw"",""es-MX"")"),"Un huevo muy grande")</f>
        <v>Un huevo muy grande</v>
      </c>
      <c r="Y33" s="169"/>
      <c r="Z33" s="390" t="s">
        <v>6245</v>
      </c>
      <c r="AA33" s="382"/>
      <c r="AB33" s="168" t="str">
        <f>IFERROR(__xludf.DUMMYFUNCTION("GOOGLETRANSLATE(C33,""zh-tw"",""KO"")"),"흰쌀")</f>
        <v>흰쌀</v>
      </c>
      <c r="AC33" s="323" t="s">
        <v>4012</v>
      </c>
      <c r="AD33" s="168"/>
      <c r="AE33" s="386" t="str">
        <f>IFERROR(__xludf.DUMMYFUNCTION("GOOGLETRANSLATE(A33,""zh-tw"",""ru"")"),"Омлет с рисом")</f>
        <v>Омлет с рисом</v>
      </c>
      <c r="AF33" s="381"/>
      <c r="AG33" s="169" t="str">
        <f>IFERROR(__xludf.DUMMYFUNCTION("GOOGLETRANSLATE(C33,""zh-tw"",""ru"")"),"Белый рис")</f>
        <v>Белый рис</v>
      </c>
      <c r="AH33" s="169" t="str">
        <f>IFERROR(__xludf.DUMMYFUNCTION("GOOGLETRANSLATE(D33,""zh-tw"",""ru"")"),"Очень большое яйцо")</f>
        <v>Очень большое яйцо</v>
      </c>
      <c r="AI33" s="169"/>
      <c r="AJ33" s="390" t="s">
        <v>6246</v>
      </c>
      <c r="AK33" s="382"/>
      <c r="AL33" s="167" t="s">
        <v>6003</v>
      </c>
      <c r="AM33" s="167" t="s">
        <v>6239</v>
      </c>
      <c r="AN33" s="168"/>
      <c r="AO33" s="185" t="s">
        <v>6243</v>
      </c>
      <c r="AP33" s="195"/>
      <c r="AQ33" s="187" t="s">
        <v>6006</v>
      </c>
      <c r="AR33" s="187" t="s">
        <v>4017</v>
      </c>
      <c r="AS33" s="188"/>
    </row>
    <row r="34">
      <c r="A34" s="386" t="s">
        <v>6247</v>
      </c>
      <c r="B34" s="387"/>
      <c r="C34" s="169" t="s">
        <v>5993</v>
      </c>
      <c r="D34" s="169" t="s">
        <v>4007</v>
      </c>
      <c r="E34" s="169" t="s">
        <v>4206</v>
      </c>
      <c r="F34" s="386" t="s">
        <v>6248</v>
      </c>
      <c r="G34" s="387"/>
      <c r="H34" s="169" t="s">
        <v>5996</v>
      </c>
      <c r="I34" s="169" t="s">
        <v>6236</v>
      </c>
      <c r="J34" s="169" t="s">
        <v>6249</v>
      </c>
      <c r="K34" s="103" t="s">
        <v>6250</v>
      </c>
      <c r="L34" s="387"/>
      <c r="M34" s="167" t="s">
        <v>5999</v>
      </c>
      <c r="N34" s="167" t="s">
        <v>6244</v>
      </c>
      <c r="O34" s="167" t="s">
        <v>4208</v>
      </c>
      <c r="P34" s="388"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86" t="str">
        <f>IFERROR(__xludf.DUMMYFUNCTION("GOOGLETRANSLATE(A34,""zh-tw"",""es-MX"")"),"Arroz con tortilla de tomate")</f>
        <v>Arroz con tortilla de tomate</v>
      </c>
      <c r="V34" s="381"/>
      <c r="W34" s="169" t="str">
        <f>IFERROR(__xludf.DUMMYFUNCTION("GOOGLETRANSLATE(C34,""zh-tw"",""es-MX"")"),"arroz blanco")</f>
        <v>arroz blanco</v>
      </c>
      <c r="X34" s="169" t="str">
        <f>IFERROR(__xludf.DUMMYFUNCTION("GOOGLETRANSLATE(D34,""zh-tw"",""es-MX"")"),"Un huevo muy grande")</f>
        <v>Un huevo muy grande</v>
      </c>
      <c r="Y34" s="169" t="str">
        <f>IFERROR(__xludf.DUMMYFUNCTION("GOOGLETRANSLATE(E34,""zh-tw"",""es-MX"")"),"tomate")</f>
        <v>tomate</v>
      </c>
      <c r="Z34" s="390" t="s">
        <v>6251</v>
      </c>
      <c r="AA34" s="382"/>
      <c r="AB34" s="168" t="str">
        <f>IFERROR(__xludf.DUMMYFUNCTION("GOOGLETRANSLATE(C34,""zh-tw"",""KO"")"),"흰쌀")</f>
        <v>흰쌀</v>
      </c>
      <c r="AC34" s="323" t="s">
        <v>4012</v>
      </c>
      <c r="AD34" s="168" t="str">
        <f>IFERROR(__xludf.DUMMYFUNCTION("GOOGLETRANSLATE(E34,""zh-tw"",""KO"")"),"토마토")</f>
        <v>토마토</v>
      </c>
      <c r="AE34" s="386" t="str">
        <f>IFERROR(__xludf.DUMMYFUNCTION("GOOGLETRANSLATE(A34,""zh-tw"",""ru"")"),"Омлет с томатным рисом")</f>
        <v>Омлет с томатным рисом</v>
      </c>
      <c r="AF34" s="381"/>
      <c r="AG34" s="169" t="str">
        <f>IFERROR(__xludf.DUMMYFUNCTION("GOOGLETRANSLATE(C34,""zh-tw"",""ru"")"),"Белый рис")</f>
        <v>Белый рис</v>
      </c>
      <c r="AH34" s="169" t="str">
        <f>IFERROR(__xludf.DUMMYFUNCTION("GOOGLETRANSLATE(D34,""zh-tw"",""ru"")"),"Очень большое яйцо")</f>
        <v>Очень большое яйцо</v>
      </c>
      <c r="AI34" s="169" t="str">
        <f>IFERROR(__xludf.DUMMYFUNCTION("GOOGLETRANSLATE(E34,""zh-tw"",""ru"")"),"помидор")</f>
        <v>помидор</v>
      </c>
      <c r="AJ34" s="390" t="s">
        <v>6252</v>
      </c>
      <c r="AK34" s="382"/>
      <c r="AL34" s="167" t="s">
        <v>6003</v>
      </c>
      <c r="AM34" s="167" t="s">
        <v>6239</v>
      </c>
      <c r="AN34" s="167" t="s">
        <v>6253</v>
      </c>
      <c r="AO34" s="185" t="s">
        <v>6254</v>
      </c>
      <c r="AP34" s="195"/>
      <c r="AQ34" s="187" t="s">
        <v>6006</v>
      </c>
      <c r="AR34" s="187" t="s">
        <v>4017</v>
      </c>
      <c r="AS34" s="187" t="s">
        <v>4212</v>
      </c>
    </row>
    <row r="35">
      <c r="A35" s="386" t="s">
        <v>6255</v>
      </c>
      <c r="B35" s="387"/>
      <c r="C35" s="169" t="s">
        <v>5993</v>
      </c>
      <c r="D35" s="169" t="s">
        <v>6256</v>
      </c>
      <c r="E35" s="181"/>
      <c r="F35" s="386" t="s">
        <v>6257</v>
      </c>
      <c r="G35" s="387"/>
      <c r="H35" s="169" t="s">
        <v>5996</v>
      </c>
      <c r="I35" s="169" t="s">
        <v>6258</v>
      </c>
      <c r="J35" s="181"/>
      <c r="K35" s="103" t="s">
        <v>6259</v>
      </c>
      <c r="L35" s="387"/>
      <c r="M35" s="167" t="s">
        <v>5999</v>
      </c>
      <c r="N35" s="167" t="s">
        <v>6228</v>
      </c>
      <c r="O35" s="168"/>
      <c r="P35" s="388"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86" t="str">
        <f>IFERROR(__xludf.DUMMYFUNCTION("GOOGLETRANSLATE(A35,""zh-tw"",""es-MX"")"),"Risotto de mariscos")</f>
        <v>Risotto de mariscos</v>
      </c>
      <c r="V35" s="381"/>
      <c r="W35" s="169" t="str">
        <f>IFERROR(__xludf.DUMMYFUNCTION("GOOGLETRANSLATE(C35,""zh-tw"",""es-MX"")"),"arroz blanco")</f>
        <v>arroz blanco</v>
      </c>
      <c r="X35" s="169" t="str">
        <f>IFERROR(__xludf.DUMMYFUNCTION("GOOGLETRANSLATE(D35,""zh-tw"",""es-MX"")"),"Langosta")</f>
        <v>Langosta</v>
      </c>
      <c r="Y35" s="169"/>
      <c r="Z35" s="389" t="str">
        <f>IFERROR(__xludf.DUMMYFUNCTION("GOOGLETRANSLATE(A35,""zh-tw"",""KO"")"),"해산물 리조또")</f>
        <v>해산물 리조또</v>
      </c>
      <c r="AA35" s="382"/>
      <c r="AB35" s="168" t="str">
        <f>IFERROR(__xludf.DUMMYFUNCTION("GOOGLETRANSLATE(C35,""zh-tw"",""KO"")"),"흰쌀")</f>
        <v>흰쌀</v>
      </c>
      <c r="AC35" s="167" t="s">
        <v>6260</v>
      </c>
      <c r="AD35" s="168"/>
      <c r="AE35" s="386" t="str">
        <f>IFERROR(__xludf.DUMMYFUNCTION("GOOGLETRANSLATE(A35,""zh-tw"",""ru"")"),"Ризотто с морепродуктами")</f>
        <v>Ризотто с морепродуктами</v>
      </c>
      <c r="AF35" s="381"/>
      <c r="AG35" s="169" t="str">
        <f>IFERROR(__xludf.DUMMYFUNCTION("GOOGLETRANSLATE(C35,""zh-tw"",""ru"")"),"Белый рис")</f>
        <v>Белый рис</v>
      </c>
      <c r="AH35" s="169" t="str">
        <f>IFERROR(__xludf.DUMMYFUNCTION("GOOGLETRANSLATE(D35,""zh-tw"",""ru"")"),"Омар")</f>
        <v>Омар</v>
      </c>
      <c r="AI35" s="169"/>
      <c r="AJ35" s="390" t="s">
        <v>6261</v>
      </c>
      <c r="AK35" s="382"/>
      <c r="AL35" s="167" t="s">
        <v>6003</v>
      </c>
      <c r="AM35" s="167" t="s">
        <v>6262</v>
      </c>
      <c r="AN35" s="168"/>
      <c r="AO35" s="185" t="s">
        <v>6263</v>
      </c>
      <c r="AP35" s="195"/>
      <c r="AQ35" s="187" t="s">
        <v>6006</v>
      </c>
      <c r="AR35" s="187" t="s">
        <v>6233</v>
      </c>
      <c r="AS35" s="188"/>
    </row>
    <row r="36">
      <c r="A36" s="386" t="s">
        <v>6264</v>
      </c>
      <c r="B36" s="387"/>
      <c r="C36" s="169" t="s">
        <v>6265</v>
      </c>
      <c r="D36" s="181"/>
      <c r="E36" s="181"/>
      <c r="F36" s="386" t="s">
        <v>6266</v>
      </c>
      <c r="G36" s="387"/>
      <c r="H36" s="169" t="s">
        <v>6267</v>
      </c>
      <c r="I36" s="181"/>
      <c r="J36" s="181"/>
      <c r="K36" s="99" t="s">
        <v>6268</v>
      </c>
      <c r="L36" s="387"/>
      <c r="M36" s="167" t="s">
        <v>6269</v>
      </c>
      <c r="N36" s="168"/>
      <c r="O36" s="168"/>
      <c r="P36" s="388" t="str">
        <f>IFERROR(__xludf.DUMMYFUNCTION("GOOGLETRANSLATE(A36,""zh-tw"",""zh"")"),"菠萝饮")</f>
        <v>菠萝饮</v>
      </c>
      <c r="Q36" s="66"/>
      <c r="R36" s="69" t="str">
        <f>IFERROR(__xludf.DUMMYFUNCTION("GOOGLETRANSLATE(C36,""zh-tw"",""zh"")"),"菠萝")</f>
        <v>菠萝</v>
      </c>
      <c r="S36" s="69"/>
      <c r="T36" s="69"/>
      <c r="U36" s="386" t="str">
        <f>IFERROR(__xludf.DUMMYFUNCTION("GOOGLETRANSLATE(A36,""zh-tw"",""es-MX"")"),"Bebida de piña")</f>
        <v>Bebida de piña</v>
      </c>
      <c r="V36" s="381"/>
      <c r="W36" s="169" t="str">
        <f>IFERROR(__xludf.DUMMYFUNCTION("GOOGLETRANSLATE(C36,""zh-tw"",""es-MX"")"),"Piña")</f>
        <v>Piña</v>
      </c>
      <c r="X36" s="169"/>
      <c r="Y36" s="169"/>
      <c r="Z36" s="390" t="s">
        <v>6270</v>
      </c>
      <c r="AA36" s="382"/>
      <c r="AB36" s="168" t="str">
        <f>IFERROR(__xludf.DUMMYFUNCTION("GOOGLETRANSLATE(C36,""zh-tw"",""KO"")"),"파인애플")</f>
        <v>파인애플</v>
      </c>
      <c r="AC36" s="168"/>
      <c r="AD36" s="168"/>
      <c r="AE36" s="386" t="str">
        <f>IFERROR(__xludf.DUMMYFUNCTION("GOOGLETRANSLATE(A36,""zh-tw"",""ru"")"),"Ананасовый напиток")</f>
        <v>Ананасовый напиток</v>
      </c>
      <c r="AF36" s="381"/>
      <c r="AG36" s="169" t="str">
        <f>IFERROR(__xludf.DUMMYFUNCTION("GOOGLETRANSLATE(C36,""zh-tw"",""ru"")"),"Ананас")</f>
        <v>Ананас</v>
      </c>
      <c r="AH36" s="169"/>
      <c r="AI36" s="169"/>
      <c r="AJ36" s="390" t="s">
        <v>6271</v>
      </c>
      <c r="AK36" s="382"/>
      <c r="AL36" s="167" t="s">
        <v>6272</v>
      </c>
      <c r="AM36" s="168"/>
      <c r="AN36" s="168"/>
      <c r="AO36" s="185" t="s">
        <v>6273</v>
      </c>
      <c r="AP36" s="195"/>
      <c r="AQ36" s="187" t="s">
        <v>6274</v>
      </c>
      <c r="AR36" s="188"/>
      <c r="AS36" s="188"/>
    </row>
    <row r="37">
      <c r="A37" s="391" t="s">
        <v>6275</v>
      </c>
      <c r="B37" s="387"/>
      <c r="C37" s="169" t="s">
        <v>6182</v>
      </c>
      <c r="D37" s="169" t="s">
        <v>6182</v>
      </c>
      <c r="E37" s="181"/>
      <c r="F37" s="386" t="s">
        <v>6276</v>
      </c>
      <c r="G37" s="387"/>
      <c r="H37" s="169" t="s">
        <v>6277</v>
      </c>
      <c r="I37" s="169" t="s">
        <v>6277</v>
      </c>
      <c r="J37" s="181"/>
      <c r="K37" s="103" t="s">
        <v>6278</v>
      </c>
      <c r="L37" s="387"/>
      <c r="M37" s="167" t="s">
        <v>6279</v>
      </c>
      <c r="N37" s="167" t="s">
        <v>6279</v>
      </c>
      <c r="O37" s="168"/>
      <c r="P37" s="388"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86" t="str">
        <f>IFERROR(__xludf.DUMMYFUNCTION("GOOGLETRANSLATE(A37,""zh-tw"",""es-MX"")"),"Salteado de Okinawa")</f>
        <v>Salteado de Okinawa</v>
      </c>
      <c r="V37" s="381"/>
      <c r="W37" s="169" t="str">
        <f>IFERROR(__xludf.DUMMYFUNCTION("GOOGLETRANSLATE(C37,""zh-tw"",""es-MX"")"),"verdura")</f>
        <v>verdura</v>
      </c>
      <c r="X37" s="169" t="str">
        <f>IFERROR(__xludf.DUMMYFUNCTION("GOOGLETRANSLATE(D37,""zh-tw"",""es-MX"")"),"verdura")</f>
        <v>verdura</v>
      </c>
      <c r="Y37" s="169"/>
      <c r="Z37" s="390" t="s">
        <v>6280</v>
      </c>
      <c r="AA37" s="382"/>
      <c r="AB37" s="168" t="str">
        <f>IFERROR(__xludf.DUMMYFUNCTION("GOOGLETRANSLATE(C37,""zh-tw"",""KO"")"),"채소")</f>
        <v>채소</v>
      </c>
      <c r="AC37" s="168" t="str">
        <f>IFERROR(__xludf.DUMMYFUNCTION("GOOGLETRANSLATE(D37,""zh-tw"",""KO"")"),"채소")</f>
        <v>채소</v>
      </c>
      <c r="AD37" s="168"/>
      <c r="AE37" s="386" t="str">
        <f>IFERROR(__xludf.DUMMYFUNCTION("GOOGLETRANSLATE(A37,""zh-tw"",""ru"")"),"Окинавское жаркое")</f>
        <v>Окинавское жаркое</v>
      </c>
      <c r="AF37" s="381"/>
      <c r="AG37" s="169" t="str">
        <f>IFERROR(__xludf.DUMMYFUNCTION("GOOGLETRANSLATE(C37,""zh-tw"",""ru"")"),"овощ")</f>
        <v>овощ</v>
      </c>
      <c r="AH37" s="169" t="str">
        <f>IFERROR(__xludf.DUMMYFUNCTION("GOOGLETRANSLATE(D37,""zh-tw"",""ru"")"),"овощ")</f>
        <v>овощ</v>
      </c>
      <c r="AI37" s="169"/>
      <c r="AJ37" s="390" t="s">
        <v>6281</v>
      </c>
      <c r="AK37" s="382"/>
      <c r="AL37" s="167" t="s">
        <v>6188</v>
      </c>
      <c r="AM37" s="167" t="s">
        <v>6188</v>
      </c>
      <c r="AN37" s="168"/>
      <c r="AO37" s="160" t="s">
        <v>6282</v>
      </c>
      <c r="AP37" s="195"/>
      <c r="AQ37" s="187" t="s">
        <v>6283</v>
      </c>
      <c r="AR37" s="187" t="s">
        <v>6283</v>
      </c>
      <c r="AS37" s="188"/>
    </row>
    <row r="38">
      <c r="A38" s="386" t="s">
        <v>6284</v>
      </c>
      <c r="B38" s="372" t="s">
        <v>237</v>
      </c>
      <c r="C38" s="169" t="s">
        <v>6285</v>
      </c>
      <c r="D38" s="169" t="s">
        <v>6285</v>
      </c>
      <c r="E38" s="169" t="s">
        <v>6010</v>
      </c>
      <c r="F38" s="386" t="s">
        <v>6286</v>
      </c>
      <c r="G38" s="372" t="s">
        <v>237</v>
      </c>
      <c r="H38" s="169" t="s">
        <v>6287</v>
      </c>
      <c r="I38" s="169" t="s">
        <v>6287</v>
      </c>
      <c r="J38" s="169" t="s">
        <v>6013</v>
      </c>
      <c r="K38" s="99" t="s">
        <v>6288</v>
      </c>
      <c r="L38" s="372" t="s">
        <v>237</v>
      </c>
      <c r="M38" s="167" t="s">
        <v>6289</v>
      </c>
      <c r="N38" s="167" t="s">
        <v>6289</v>
      </c>
      <c r="O38" s="167" t="s">
        <v>6016</v>
      </c>
      <c r="P38" s="388"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86" t="str">
        <f>IFERROR(__xludf.DUMMYFUNCTION("GOOGLETRANSLATE(A38,""zh-tw"",""es-MX"")"),"Cubo de pollo frito")</f>
        <v>Cubo de pollo frito</v>
      </c>
      <c r="V38" s="381" t="str">
        <f>IFERROR(__xludf.DUMMYFUNCTION("GOOGLETRANSLATE(B38,""zh-tw"",""es-MX"")"),"A")</f>
        <v>A</v>
      </c>
      <c r="W38" s="169" t="str">
        <f>IFERROR(__xludf.DUMMYFUNCTION("GOOGLETRANSLATE(C38,""zh-tw"",""es-MX"")"),"carne de muslo de pollo")</f>
        <v>carne de muslo de pollo</v>
      </c>
      <c r="X38" s="169" t="str">
        <f>IFERROR(__xludf.DUMMYFUNCTION("GOOGLETRANSLATE(D38,""zh-tw"",""es-MX"")"),"carne de muslo de pollo")</f>
        <v>carne de muslo de pollo</v>
      </c>
      <c r="Y38" s="169" t="str">
        <f>IFERROR(__xludf.DUMMYFUNCTION("GOOGLETRANSLATE(E38,""zh-tw"",""es-MX"")"),"harina de trigo")</f>
        <v>harina de trigo</v>
      </c>
      <c r="Z38" s="390" t="s">
        <v>6290</v>
      </c>
      <c r="AA38" s="394" t="s">
        <v>237</v>
      </c>
      <c r="AB38" s="167" t="s">
        <v>6291</v>
      </c>
      <c r="AC38" s="167" t="s">
        <v>6291</v>
      </c>
      <c r="AD38" s="168" t="str">
        <f>IFERROR(__xludf.DUMMYFUNCTION("GOOGLETRANSLATE(E38,""zh-tw"",""KO"")"),"밀가루")</f>
        <v>밀가루</v>
      </c>
      <c r="AE38" s="386" t="str">
        <f>IFERROR(__xludf.DUMMYFUNCTION("GOOGLETRANSLATE(A38,""zh-tw"",""ru"")"),"Ведро жареной курицы")</f>
        <v>Ведро жареной курицы</v>
      </c>
      <c r="AF38" s="381" t="str">
        <f>IFERROR(__xludf.DUMMYFUNCTION("GOOGLETRANSLATE(L38,""zh-tw"",""es-MX"")"),"A")</f>
        <v>A</v>
      </c>
      <c r="AG38" s="169" t="str">
        <f>IFERROR(__xludf.DUMMYFUNCTION("GOOGLETRANSLATE(C38,""zh-tw"",""ru"")"),"Мясо куриного бедра")</f>
        <v>Мясо куриного бедра</v>
      </c>
      <c r="AH38" s="169" t="str">
        <f>IFERROR(__xludf.DUMMYFUNCTION("GOOGLETRANSLATE(D38,""zh-tw"",""ru"")"),"Мясо куриного бедра")</f>
        <v>Мясо куриного бедра</v>
      </c>
      <c r="AI38" s="169" t="str">
        <f>IFERROR(__xludf.DUMMYFUNCTION("GOOGLETRANSLATE(E38,""zh-tw"",""ru"")"),"пшеничная мука")</f>
        <v>пшеничная мука</v>
      </c>
      <c r="AJ38" s="390" t="s">
        <v>6292</v>
      </c>
      <c r="AK38" s="382" t="s">
        <v>237</v>
      </c>
      <c r="AL38" s="167" t="s">
        <v>6293</v>
      </c>
      <c r="AM38" s="167" t="s">
        <v>6293</v>
      </c>
      <c r="AN38" s="167" t="s">
        <v>6019</v>
      </c>
      <c r="AO38" s="185" t="s">
        <v>6294</v>
      </c>
      <c r="AP38" s="392" t="s">
        <v>237</v>
      </c>
      <c r="AQ38" s="187" t="s">
        <v>6295</v>
      </c>
      <c r="AR38" s="187" t="s">
        <v>6295</v>
      </c>
      <c r="AS38" s="187" t="s">
        <v>6022</v>
      </c>
    </row>
    <row r="39">
      <c r="A39" s="391" t="s">
        <v>6296</v>
      </c>
      <c r="B39" s="372" t="s">
        <v>237</v>
      </c>
      <c r="C39" s="169" t="s">
        <v>6285</v>
      </c>
      <c r="D39" s="181"/>
      <c r="E39" s="181"/>
      <c r="F39" s="386" t="s">
        <v>6297</v>
      </c>
      <c r="G39" s="372" t="s">
        <v>237</v>
      </c>
      <c r="H39" s="169" t="s">
        <v>6287</v>
      </c>
      <c r="I39" s="181"/>
      <c r="J39" s="181"/>
      <c r="K39" s="103" t="s">
        <v>6298</v>
      </c>
      <c r="L39" s="372" t="s">
        <v>237</v>
      </c>
      <c r="M39" s="167" t="s">
        <v>6289</v>
      </c>
      <c r="N39" s="168"/>
      <c r="O39" s="168"/>
      <c r="P39" s="388"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86" t="str">
        <f>IFERROR(__xludf.DUMMYFUNCTION("GOOGLETRANSLATE(A39,""zh-tw"",""es-MX"")"),"Piernas de pollo fritas")</f>
        <v>Piernas de pollo fritas</v>
      </c>
      <c r="V39" s="381" t="str">
        <f>IFERROR(__xludf.DUMMYFUNCTION("GOOGLETRANSLATE(B39,""zh-tw"",""es-MX"")"),"A")</f>
        <v>A</v>
      </c>
      <c r="W39" s="169" t="str">
        <f>IFERROR(__xludf.DUMMYFUNCTION("GOOGLETRANSLATE(C39,""zh-tw"",""es-MX"")"),"carne de muslo de pollo")</f>
        <v>carne de muslo de pollo</v>
      </c>
      <c r="X39" s="169"/>
      <c r="Y39" s="169"/>
      <c r="Z39" s="389" t="str">
        <f>IFERROR(__xludf.DUMMYFUNCTION("GOOGLETRANSLATE(A39,""zh-tw"",""KO"")"),"튀긴 닭다리")</f>
        <v>튀긴 닭다리</v>
      </c>
      <c r="AA39" s="394" t="s">
        <v>237</v>
      </c>
      <c r="AB39" s="167" t="s">
        <v>6291</v>
      </c>
      <c r="AC39" s="168"/>
      <c r="AD39" s="168"/>
      <c r="AE39" s="386" t="str">
        <f>IFERROR(__xludf.DUMMYFUNCTION("GOOGLETRANSLATE(A39,""zh-tw"",""ru"")"),"Жареные куриные ножки")</f>
        <v>Жареные куриные ножки</v>
      </c>
      <c r="AF39" s="381" t="str">
        <f>IFERROR(__xludf.DUMMYFUNCTION("GOOGLETRANSLATE(L39,""zh-tw"",""es-MX"")"),"A")</f>
        <v>A</v>
      </c>
      <c r="AG39" s="169" t="str">
        <f>IFERROR(__xludf.DUMMYFUNCTION("GOOGLETRANSLATE(C39,""zh-tw"",""ru"")"),"Мясо куриного бедра")</f>
        <v>Мясо куриного бедра</v>
      </c>
      <c r="AH39" s="169"/>
      <c r="AI39" s="169"/>
      <c r="AJ39" s="390" t="s">
        <v>6299</v>
      </c>
      <c r="AK39" s="382" t="s">
        <v>237</v>
      </c>
      <c r="AL39" s="167" t="s">
        <v>6293</v>
      </c>
      <c r="AM39" s="168"/>
      <c r="AN39" s="168"/>
      <c r="AO39" s="160" t="s">
        <v>6300</v>
      </c>
      <c r="AP39" s="392" t="s">
        <v>237</v>
      </c>
      <c r="AQ39" s="187" t="s">
        <v>6295</v>
      </c>
      <c r="AR39" s="188"/>
      <c r="AS39" s="188"/>
    </row>
    <row r="40">
      <c r="A40" s="386" t="s">
        <v>6301</v>
      </c>
      <c r="B40" s="372" t="s">
        <v>237</v>
      </c>
      <c r="C40" s="169" t="s">
        <v>5993</v>
      </c>
      <c r="D40" s="169" t="s">
        <v>6285</v>
      </c>
      <c r="E40" s="181"/>
      <c r="F40" s="386" t="s">
        <v>6302</v>
      </c>
      <c r="G40" s="372" t="s">
        <v>237</v>
      </c>
      <c r="H40" s="169" t="s">
        <v>5996</v>
      </c>
      <c r="I40" s="169" t="s">
        <v>6287</v>
      </c>
      <c r="J40" s="181"/>
      <c r="K40" s="103" t="s">
        <v>6303</v>
      </c>
      <c r="L40" s="372" t="s">
        <v>237</v>
      </c>
      <c r="M40" s="167" t="s">
        <v>6108</v>
      </c>
      <c r="N40" s="167" t="s">
        <v>6289</v>
      </c>
      <c r="O40" s="168"/>
      <c r="P40" s="388"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86" t="str">
        <f>IFERROR(__xludf.DUMMYFUNCTION("GOOGLETRANSLATE(A40,""zh-tw"",""es-MX"")"),"bola de arroz tempura")</f>
        <v>bola de arroz tempura</v>
      </c>
      <c r="V40" s="381" t="str">
        <f>IFERROR(__xludf.DUMMYFUNCTION("GOOGLETRANSLATE(B40,""zh-tw"",""es-MX"")"),"A")</f>
        <v>A</v>
      </c>
      <c r="W40" s="169" t="str">
        <f>IFERROR(__xludf.DUMMYFUNCTION("GOOGLETRANSLATE(C40,""zh-tw"",""es-MX"")"),"arroz blanco")</f>
        <v>arroz blanco</v>
      </c>
      <c r="X40" s="169" t="str">
        <f>IFERROR(__xludf.DUMMYFUNCTION("GOOGLETRANSLATE(D40,""zh-tw"",""es-MX"")"),"carne de muslo de pollo")</f>
        <v>carne de muslo de pollo</v>
      </c>
      <c r="Y40" s="169"/>
      <c r="Z40" s="390" t="s">
        <v>6304</v>
      </c>
      <c r="AA40" s="394" t="s">
        <v>237</v>
      </c>
      <c r="AB40" s="168" t="str">
        <f>IFERROR(__xludf.DUMMYFUNCTION("GOOGLETRANSLATE(C40,""zh-tw"",""KO"")"),"흰쌀")</f>
        <v>흰쌀</v>
      </c>
      <c r="AC40" s="167" t="s">
        <v>6291</v>
      </c>
      <c r="AD40" s="168"/>
      <c r="AE40" s="386" t="str">
        <f>IFERROR(__xludf.DUMMYFUNCTION("GOOGLETRANSLATE(A40,""zh-tw"",""ru"")"),"Рисовые шарики темпура")</f>
        <v>Рисовые шарики темпура</v>
      </c>
      <c r="AF40" s="381" t="str">
        <f>IFERROR(__xludf.DUMMYFUNCTION("GOOGLETRANSLATE(L40,""zh-tw"",""es-MX"")"),"A")</f>
        <v>A</v>
      </c>
      <c r="AG40" s="169" t="str">
        <f>IFERROR(__xludf.DUMMYFUNCTION("GOOGLETRANSLATE(C40,""zh-tw"",""ru"")"),"Белый рис")</f>
        <v>Белый рис</v>
      </c>
      <c r="AH40" s="169" t="str">
        <f>IFERROR(__xludf.DUMMYFUNCTION("GOOGLETRANSLATE(D40,""zh-tw"",""ru"")"),"Мясо куриного бедра")</f>
        <v>Мясо куриного бедра</v>
      </c>
      <c r="AI40" s="169"/>
      <c r="AJ40" s="390" t="s">
        <v>6305</v>
      </c>
      <c r="AK40" s="382" t="s">
        <v>237</v>
      </c>
      <c r="AL40" s="167" t="s">
        <v>6003</v>
      </c>
      <c r="AM40" s="167" t="s">
        <v>6293</v>
      </c>
      <c r="AN40" s="168"/>
      <c r="AO40" s="185" t="s">
        <v>6303</v>
      </c>
      <c r="AP40" s="392" t="s">
        <v>237</v>
      </c>
      <c r="AQ40" s="187" t="s">
        <v>6006</v>
      </c>
      <c r="AR40" s="187" t="s">
        <v>6295</v>
      </c>
      <c r="AS40" s="188"/>
    </row>
    <row r="41">
      <c r="A41" s="386" t="s">
        <v>6306</v>
      </c>
      <c r="B41" s="387"/>
      <c r="C41" s="169" t="s">
        <v>6307</v>
      </c>
      <c r="D41" s="169" t="s">
        <v>6307</v>
      </c>
      <c r="E41" s="169" t="s">
        <v>6307</v>
      </c>
      <c r="F41" s="386" t="s">
        <v>6308</v>
      </c>
      <c r="G41" s="387"/>
      <c r="H41" s="169" t="s">
        <v>6258</v>
      </c>
      <c r="I41" s="169" t="s">
        <v>6258</v>
      </c>
      <c r="J41" s="169" t="s">
        <v>6258</v>
      </c>
      <c r="K41" s="103" t="s">
        <v>6309</v>
      </c>
      <c r="L41" s="387"/>
      <c r="M41" s="167" t="s">
        <v>6310</v>
      </c>
      <c r="N41" s="167" t="s">
        <v>6310</v>
      </c>
      <c r="O41" s="167" t="s">
        <v>6310</v>
      </c>
      <c r="P41" s="388"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86" t="str">
        <f>IFERROR(__xludf.DUMMYFUNCTION("GOOGLETRANSLATE(A41,""zh-tw"",""es-MX"")"),"Langosta al horno")</f>
        <v>Langosta al horno</v>
      </c>
      <c r="V41" s="381"/>
      <c r="W41" s="169" t="str">
        <f>IFERROR(__xludf.DUMMYFUNCTION("GOOGLETRANSLATE(C41,""zh-tw"",""es-MX"")"),"langosta")</f>
        <v>langosta</v>
      </c>
      <c r="X41" s="169" t="str">
        <f>IFERROR(__xludf.DUMMYFUNCTION("GOOGLETRANSLATE(D41,""zh-tw"",""es-MX"")"),"langosta")</f>
        <v>langosta</v>
      </c>
      <c r="Y41" s="169" t="str">
        <f>IFERROR(__xludf.DUMMYFUNCTION("GOOGLETRANSLATE(E41,""zh-tw"",""es-MX"")"),"langosta")</f>
        <v>langosta</v>
      </c>
      <c r="Z41" s="390" t="s">
        <v>6311</v>
      </c>
      <c r="AA41" s="382"/>
      <c r="AB41" s="167" t="s">
        <v>6260</v>
      </c>
      <c r="AC41" s="167" t="s">
        <v>6260</v>
      </c>
      <c r="AD41" s="167" t="s">
        <v>6260</v>
      </c>
      <c r="AE41" s="386" t="str">
        <f>IFERROR(__xludf.DUMMYFUNCTION("GOOGLETRANSLATE(A41,""zh-tw"",""ru"")"),"Запеченный лобстер")</f>
        <v>Запеченный лобстер</v>
      </c>
      <c r="AF41" s="381"/>
      <c r="AG41" s="169" t="str">
        <f>IFERROR(__xludf.DUMMYFUNCTION("GOOGLETRANSLATE(C41,""zh-tw"",""ru"")"),"Омар")</f>
        <v>Омар</v>
      </c>
      <c r="AH41" s="169" t="str">
        <f>IFERROR(__xludf.DUMMYFUNCTION("GOOGLETRANSLATE(D41,""zh-tw"",""ru"")"),"Омар")</f>
        <v>Омар</v>
      </c>
      <c r="AI41" s="169" t="str">
        <f>IFERROR(__xludf.DUMMYFUNCTION("GOOGLETRANSLATE(E41,""zh-tw"",""ru"")"),"Омар")</f>
        <v>Омар</v>
      </c>
      <c r="AJ41" s="390" t="s">
        <v>6312</v>
      </c>
      <c r="AK41" s="382"/>
      <c r="AL41" s="167" t="s">
        <v>6262</v>
      </c>
      <c r="AM41" s="167" t="s">
        <v>6262</v>
      </c>
      <c r="AN41" s="167" t="s">
        <v>6262</v>
      </c>
      <c r="AO41" s="185" t="s">
        <v>6313</v>
      </c>
      <c r="AP41" s="195"/>
      <c r="AQ41" s="187" t="s">
        <v>6314</v>
      </c>
      <c r="AR41" s="187" t="s">
        <v>6314</v>
      </c>
      <c r="AS41" s="187" t="s">
        <v>6314</v>
      </c>
    </row>
    <row r="42">
      <c r="A42" s="386" t="s">
        <v>6315</v>
      </c>
      <c r="B42" s="387"/>
      <c r="C42" s="169" t="s">
        <v>6316</v>
      </c>
      <c r="D42" s="169" t="s">
        <v>6316</v>
      </c>
      <c r="E42" s="169" t="s">
        <v>6316</v>
      </c>
      <c r="F42" s="386" t="s">
        <v>6317</v>
      </c>
      <c r="G42" s="387"/>
      <c r="H42" s="169" t="s">
        <v>6318</v>
      </c>
      <c r="I42" s="169" t="s">
        <v>6318</v>
      </c>
      <c r="J42" s="169" t="s">
        <v>6318</v>
      </c>
      <c r="K42" s="103" t="s">
        <v>6319</v>
      </c>
      <c r="L42" s="387"/>
      <c r="M42" s="167" t="s">
        <v>6320</v>
      </c>
      <c r="N42" s="167" t="s">
        <v>6320</v>
      </c>
      <c r="O42" s="167" t="s">
        <v>6320</v>
      </c>
      <c r="P42" s="388"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86" t="str">
        <f>IFERROR(__xludf.DUMMYFUNCTION("GOOGLETRANSLATE(A42,""zh-tw"",""es-MX"")"),"cangrejo hervido")</f>
        <v>cangrejo hervido</v>
      </c>
      <c r="V42" s="381"/>
      <c r="W42" s="169" t="str">
        <f>IFERROR(__xludf.DUMMYFUNCTION("GOOGLETRANSLATE(C42,""zh-tw"",""es-MX"")"),"cangrejo peludo")</f>
        <v>cangrejo peludo</v>
      </c>
      <c r="X42" s="169" t="str">
        <f>IFERROR(__xludf.DUMMYFUNCTION("GOOGLETRANSLATE(D42,""zh-tw"",""es-MX"")"),"cangrejo peludo")</f>
        <v>cangrejo peludo</v>
      </c>
      <c r="Y42" s="169" t="str">
        <f>IFERROR(__xludf.DUMMYFUNCTION("GOOGLETRANSLATE(E42,""zh-tw"",""es-MX"")"),"cangrejo peludo")</f>
        <v>cangrejo peludo</v>
      </c>
      <c r="Z42" s="390" t="s">
        <v>6321</v>
      </c>
      <c r="AA42" s="382"/>
      <c r="AB42" s="168" t="str">
        <f>IFERROR(__xludf.DUMMYFUNCTION("GOOGLETRANSLATE(C42,""zh-tw"",""KO"")"),"털게")</f>
        <v>털게</v>
      </c>
      <c r="AC42" s="168" t="str">
        <f>IFERROR(__xludf.DUMMYFUNCTION("GOOGLETRANSLATE(D42,""zh-tw"",""KO"")"),"털게")</f>
        <v>털게</v>
      </c>
      <c r="AD42" s="168" t="str">
        <f>IFERROR(__xludf.DUMMYFUNCTION("GOOGLETRANSLATE(E42,""zh-tw"",""KO"")"),"털게")</f>
        <v>털게</v>
      </c>
      <c r="AE42" s="386" t="str">
        <f>IFERROR(__xludf.DUMMYFUNCTION("GOOGLETRANSLATE(A42,""zh-tw"",""ru"")"),"Вареный краб")</f>
        <v>Вареный краб</v>
      </c>
      <c r="AF42" s="381"/>
      <c r="AG42" s="169" t="str">
        <f>IFERROR(__xludf.DUMMYFUNCTION("GOOGLETRANSLATE(C42,""zh-tw"",""ru"")"),"волосатый краб")</f>
        <v>волосатый краб</v>
      </c>
      <c r="AH42" s="169" t="str">
        <f>IFERROR(__xludf.DUMMYFUNCTION("GOOGLETRANSLATE(D42,""zh-tw"",""ru"")"),"волосатый краб")</f>
        <v>волосатый краб</v>
      </c>
      <c r="AI42" s="169" t="str">
        <f>IFERROR(__xludf.DUMMYFUNCTION("GOOGLETRANSLATE(E42,""zh-tw"",""ru"")"),"волосатый краб")</f>
        <v>волосатый краб</v>
      </c>
      <c r="AJ42" s="390" t="s">
        <v>6322</v>
      </c>
      <c r="AK42" s="382"/>
      <c r="AL42" s="167" t="s">
        <v>6323</v>
      </c>
      <c r="AM42" s="167" t="s">
        <v>6323</v>
      </c>
      <c r="AN42" s="167" t="s">
        <v>6323</v>
      </c>
      <c r="AO42" s="185" t="s">
        <v>6324</v>
      </c>
      <c r="AP42" s="195"/>
      <c r="AQ42" s="187" t="s">
        <v>6325</v>
      </c>
      <c r="AR42" s="187" t="s">
        <v>6325</v>
      </c>
      <c r="AS42" s="187" t="s">
        <v>6325</v>
      </c>
    </row>
    <row r="43">
      <c r="A43" s="391" t="s">
        <v>6326</v>
      </c>
      <c r="B43" s="387"/>
      <c r="C43" s="169" t="s">
        <v>6327</v>
      </c>
      <c r="D43" s="181"/>
      <c r="E43" s="181"/>
      <c r="F43" s="386" t="s">
        <v>6328</v>
      </c>
      <c r="G43" s="387"/>
      <c r="H43" s="169" t="s">
        <v>6329</v>
      </c>
      <c r="I43" s="181"/>
      <c r="J43" s="181"/>
      <c r="K43" s="103" t="s">
        <v>6330</v>
      </c>
      <c r="L43" s="387"/>
      <c r="M43" s="167" t="s">
        <v>6331</v>
      </c>
      <c r="N43" s="168"/>
      <c r="O43" s="168"/>
      <c r="P43" s="388" t="str">
        <f>IFERROR(__xludf.DUMMYFUNCTION("GOOGLETRANSLATE(A43,""zh-tw"",""zh"")"),"金枪鱼头")</f>
        <v>金枪鱼头</v>
      </c>
      <c r="Q43" s="66"/>
      <c r="R43" s="69" t="str">
        <f>IFERROR(__xludf.DUMMYFUNCTION("GOOGLETRANSLATE(C43,""zh-tw"",""zh"")"),"金枪鱼")</f>
        <v>金枪鱼</v>
      </c>
      <c r="S43" s="69"/>
      <c r="T43" s="69"/>
      <c r="U43" s="386" t="str">
        <f>IFERROR(__xludf.DUMMYFUNCTION("GOOGLETRANSLATE(A43,""zh-tw"",""es-MX"")"),"Cabeza de atún")</f>
        <v>Cabeza de atún</v>
      </c>
      <c r="V43" s="381"/>
      <c r="W43" s="169" t="str">
        <f>IFERROR(__xludf.DUMMYFUNCTION("GOOGLETRANSLATE(C43,""zh-tw"",""es-MX"")"),"atún")</f>
        <v>atún</v>
      </c>
      <c r="X43" s="169"/>
      <c r="Y43" s="169"/>
      <c r="Z43" s="389" t="str">
        <f>IFERROR(__xludf.DUMMYFUNCTION("GOOGLETRANSLATE(A43,""zh-tw"",""KO"")"),"참치 머리")</f>
        <v>참치 머리</v>
      </c>
      <c r="AA43" s="382"/>
      <c r="AB43" s="168" t="str">
        <f>IFERROR(__xludf.DUMMYFUNCTION("GOOGLETRANSLATE(C43,""zh-tw"",""KO"")"),"참치")</f>
        <v>참치</v>
      </c>
      <c r="AC43" s="168"/>
      <c r="AD43" s="168"/>
      <c r="AE43" s="386" t="str">
        <f>IFERROR(__xludf.DUMMYFUNCTION("GOOGLETRANSLATE(A43,""zh-tw"",""ru"")"),"Голова тунца")</f>
        <v>Голова тунца</v>
      </c>
      <c r="AF43" s="381"/>
      <c r="AG43" s="169" t="str">
        <f>IFERROR(__xludf.DUMMYFUNCTION("GOOGLETRANSLATE(C43,""zh-tw"",""ru"")"),"тунец")</f>
        <v>тунец</v>
      </c>
      <c r="AH43" s="169"/>
      <c r="AI43" s="169"/>
      <c r="AJ43" s="390" t="s">
        <v>6332</v>
      </c>
      <c r="AK43" s="382"/>
      <c r="AL43" s="167" t="s">
        <v>6333</v>
      </c>
      <c r="AM43" s="168"/>
      <c r="AN43" s="168"/>
      <c r="AO43" s="160" t="s">
        <v>6334</v>
      </c>
      <c r="AP43" s="195"/>
      <c r="AQ43" s="187" t="s">
        <v>6335</v>
      </c>
      <c r="AR43" s="187" t="s">
        <v>6022</v>
      </c>
      <c r="AS43" s="188"/>
    </row>
    <row r="44">
      <c r="A44" s="386" t="s">
        <v>6336</v>
      </c>
      <c r="B44" s="387"/>
      <c r="C44" s="169" t="s">
        <v>6170</v>
      </c>
      <c r="D44" s="169" t="s">
        <v>6010</v>
      </c>
      <c r="E44" s="181"/>
      <c r="F44" s="386" t="s">
        <v>6337</v>
      </c>
      <c r="G44" s="387"/>
      <c r="H44" s="169" t="s">
        <v>6172</v>
      </c>
      <c r="I44" s="169" t="s">
        <v>6013</v>
      </c>
      <c r="J44" s="181"/>
      <c r="K44" s="103" t="s">
        <v>6338</v>
      </c>
      <c r="L44" s="387"/>
      <c r="M44" s="167" t="s">
        <v>6174</v>
      </c>
      <c r="N44" s="167" t="s">
        <v>6016</v>
      </c>
      <c r="O44" s="168"/>
      <c r="P44" s="388"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86" t="str">
        <f>IFERROR(__xludf.DUMMYFUNCTION("GOOGLETRANSLATE(A44,""zh-tw"",""es-MX"")"),"bolas de pulpo")</f>
        <v>bolas de pulpo</v>
      </c>
      <c r="V44" s="381"/>
      <c r="W44" s="169" t="str">
        <f>IFERROR(__xludf.DUMMYFUNCTION("GOOGLETRANSLATE(C44,""zh-tw"",""es-MX"")"),"Patas de pulpo")</f>
        <v>Patas de pulpo</v>
      </c>
      <c r="X44" s="169" t="str">
        <f>IFERROR(__xludf.DUMMYFUNCTION("GOOGLETRANSLATE(D44,""zh-tw"",""es-MX"")"),"harina de trigo")</f>
        <v>harina de trigo</v>
      </c>
      <c r="Y44" s="169"/>
      <c r="Z44" s="390" t="s">
        <v>6339</v>
      </c>
      <c r="AA44" s="382"/>
      <c r="AB44" s="167" t="s">
        <v>6176</v>
      </c>
      <c r="AC44" s="168" t="str">
        <f>IFERROR(__xludf.DUMMYFUNCTION("GOOGLETRANSLATE(D44,""zh-tw"",""KO"")"),"밀가루")</f>
        <v>밀가루</v>
      </c>
      <c r="AD44" s="168"/>
      <c r="AE44" s="386" t="str">
        <f>IFERROR(__xludf.DUMMYFUNCTION("GOOGLETRANSLATE(A44,""zh-tw"",""ru"")"),"шарики из осьминога")</f>
        <v>шарики из осьминога</v>
      </c>
      <c r="AF44" s="381"/>
      <c r="AG44" s="169" t="str">
        <f>IFERROR(__xludf.DUMMYFUNCTION("GOOGLETRANSLATE(C44,""zh-tw"",""ru"")"),"Ноги осьминога")</f>
        <v>Ноги осьминога</v>
      </c>
      <c r="AH44" s="169" t="str">
        <f>IFERROR(__xludf.DUMMYFUNCTION("GOOGLETRANSLATE(D44,""zh-tw"",""ru"")"),"пшеничная мука")</f>
        <v>пшеничная мука</v>
      </c>
      <c r="AI44" s="169"/>
      <c r="AJ44" s="390" t="s">
        <v>6340</v>
      </c>
      <c r="AK44" s="382"/>
      <c r="AL44" s="167" t="s">
        <v>6178</v>
      </c>
      <c r="AM44" s="167" t="s">
        <v>6019</v>
      </c>
      <c r="AN44" s="168"/>
      <c r="AO44" s="185" t="s">
        <v>6338</v>
      </c>
      <c r="AP44" s="195"/>
      <c r="AQ44" s="187" t="s">
        <v>6180</v>
      </c>
      <c r="AR44" s="188"/>
      <c r="AS44" s="188"/>
    </row>
    <row r="45">
      <c r="A45" s="386" t="s">
        <v>6341</v>
      </c>
      <c r="B45" s="387"/>
      <c r="C45" s="169" t="s">
        <v>6057</v>
      </c>
      <c r="D45" s="181"/>
      <c r="E45" s="181"/>
      <c r="F45" s="386" t="s">
        <v>6089</v>
      </c>
      <c r="G45" s="387"/>
      <c r="H45" s="169" t="s">
        <v>6059</v>
      </c>
      <c r="I45" s="181"/>
      <c r="J45" s="181"/>
      <c r="K45" s="103" t="s">
        <v>6342</v>
      </c>
      <c r="L45" s="387"/>
      <c r="M45" s="167" t="s">
        <v>6062</v>
      </c>
      <c r="N45" s="168"/>
      <c r="O45" s="168"/>
      <c r="P45" s="388" t="str">
        <f>IFERROR(__xludf.DUMMYFUNCTION("GOOGLETRANSLATE(A45,""zh-tw"",""zh"")"),"汉堡肉")</f>
        <v>汉堡肉</v>
      </c>
      <c r="Q45" s="66"/>
      <c r="R45" s="69" t="str">
        <f>IFERROR(__xludf.DUMMYFUNCTION("GOOGLETRANSLATE(C45,""zh-tw"",""zh"")"),"大块兽肉")</f>
        <v>大块兽肉</v>
      </c>
      <c r="S45" s="69"/>
      <c r="T45" s="69"/>
      <c r="U45" s="386" t="str">
        <f>IFERROR(__xludf.DUMMYFUNCTION("GOOGLETRANSLATE(A45,""zh-tw"",""es-MX"")"),"hamburguesas")</f>
        <v>hamburguesas</v>
      </c>
      <c r="V45" s="381"/>
      <c r="W45" s="169" t="str">
        <f>IFERROR(__xludf.DUMMYFUNCTION("GOOGLETRANSLATE(C45,""zh-tw"",""es-MX"")"),"Grandes trozos de carne")</f>
        <v>Grandes trozos de carne</v>
      </c>
      <c r="X45" s="169"/>
      <c r="Y45" s="169"/>
      <c r="Z45" s="390" t="s">
        <v>6343</v>
      </c>
      <c r="AA45" s="382"/>
      <c r="AB45" s="167" t="s">
        <v>6064</v>
      </c>
      <c r="AC45" s="168"/>
      <c r="AD45" s="168"/>
      <c r="AE45" s="386" t="str">
        <f>IFERROR(__xludf.DUMMYFUNCTION("GOOGLETRANSLATE(A45,""zh-tw"",""ru"")"),"Котлеты для гамбургеров")</f>
        <v>Котлеты для гамбургеров</v>
      </c>
      <c r="AF45" s="381"/>
      <c r="AG45" s="169" t="str">
        <f>IFERROR(__xludf.DUMMYFUNCTION("GOOGLETRANSLATE(C45,""zh-tw"",""ru"")"),"Большие куски мяса")</f>
        <v>Большие куски мяса</v>
      </c>
      <c r="AH45" s="169"/>
      <c r="AI45" s="169"/>
      <c r="AJ45" s="390" t="s">
        <v>6344</v>
      </c>
      <c r="AK45" s="382"/>
      <c r="AL45" s="167" t="s">
        <v>6066</v>
      </c>
      <c r="AM45" s="168"/>
      <c r="AN45" s="168"/>
      <c r="AO45" s="185" t="s">
        <v>6345</v>
      </c>
      <c r="AP45" s="195"/>
      <c r="AQ45" s="187" t="s">
        <v>6067</v>
      </c>
      <c r="AR45" s="188"/>
      <c r="AS45" s="188"/>
    </row>
    <row r="46">
      <c r="A46" s="386" t="s">
        <v>6346</v>
      </c>
      <c r="B46" s="372" t="s">
        <v>784</v>
      </c>
      <c r="C46" s="169" t="s">
        <v>4197</v>
      </c>
      <c r="D46" s="169" t="s">
        <v>4214</v>
      </c>
      <c r="E46" s="181"/>
      <c r="F46" s="386" t="s">
        <v>6347</v>
      </c>
      <c r="G46" s="372" t="s">
        <v>784</v>
      </c>
      <c r="H46" s="169" t="s">
        <v>6162</v>
      </c>
      <c r="I46" s="169" t="s">
        <v>6348</v>
      </c>
      <c r="J46" s="181"/>
      <c r="K46" s="103" t="s">
        <v>6349</v>
      </c>
      <c r="L46" s="372" t="s">
        <v>784</v>
      </c>
      <c r="M46" s="167" t="s">
        <v>4199</v>
      </c>
      <c r="N46" s="167" t="s">
        <v>4216</v>
      </c>
      <c r="O46" s="168"/>
      <c r="P46" s="388"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86" t="str">
        <f>IFERROR(__xludf.DUMMYFUNCTION("GOOGLETRANSLATE(A46,""zh-tw"",""es-MX"")"),"Puré de papas picante")</f>
        <v>Puré de papas picante</v>
      </c>
      <c r="V46" s="381" t="str">
        <f>IFERROR(__xludf.DUMMYFUNCTION("GOOGLETRANSLATE(B46,""zh-tw"",""es-MX"")"),"B")</f>
        <v>B</v>
      </c>
      <c r="W46" s="169" t="str">
        <f>IFERROR(__xludf.DUMMYFUNCTION("GOOGLETRANSLATE(C46,""zh-tw"",""es-MX"")"),"Papa")</f>
        <v>Papa</v>
      </c>
      <c r="X46" s="169" t="str">
        <f>IFERROR(__xludf.DUMMYFUNCTION("GOOGLETRANSLATE(D46,""zh-tw"",""es-MX"")"),"chile")</f>
        <v>chile</v>
      </c>
      <c r="Y46" s="169"/>
      <c r="Z46" s="390" t="s">
        <v>6350</v>
      </c>
      <c r="AA46" s="394" t="s">
        <v>784</v>
      </c>
      <c r="AB46" s="168" t="str">
        <f>IFERROR(__xludf.DUMMYFUNCTION("GOOGLETRANSLATE(C46,""zh-tw"",""KO"")"),"감자")</f>
        <v>감자</v>
      </c>
      <c r="AC46" s="323" t="s">
        <v>6351</v>
      </c>
      <c r="AD46" s="168"/>
      <c r="AE46" s="386" t="str">
        <f>IFERROR(__xludf.DUMMYFUNCTION("GOOGLETRANSLATE(A46,""zh-tw"",""ru"")"),"Острое картофельное пюре")</f>
        <v>Острое картофельное пюре</v>
      </c>
      <c r="AF46" s="381" t="str">
        <f>IFERROR(__xludf.DUMMYFUNCTION("GOOGLETRANSLATE(L46,""zh-tw"",""es-MX"")"),"B")</f>
        <v>B</v>
      </c>
      <c r="AG46" s="169" t="str">
        <f>IFERROR(__xludf.DUMMYFUNCTION("GOOGLETRANSLATE(C46,""zh-tw"",""ru"")"),"Картофель")</f>
        <v>Картофель</v>
      </c>
      <c r="AH46" s="169" t="str">
        <f>IFERROR(__xludf.DUMMYFUNCTION("GOOGLETRANSLATE(D46,""zh-tw"",""ru"")"),"чили")</f>
        <v>чили</v>
      </c>
      <c r="AI46" s="169"/>
      <c r="AJ46" s="390" t="s">
        <v>6352</v>
      </c>
      <c r="AK46" s="382" t="s">
        <v>784</v>
      </c>
      <c r="AL46" s="167" t="s">
        <v>4202</v>
      </c>
      <c r="AM46" s="167" t="s">
        <v>6353</v>
      </c>
      <c r="AN46" s="168"/>
      <c r="AO46" s="185" t="s">
        <v>6354</v>
      </c>
      <c r="AP46" s="392" t="s">
        <v>784</v>
      </c>
      <c r="AQ46" s="187" t="s">
        <v>4204</v>
      </c>
      <c r="AR46" s="187" t="s">
        <v>4220</v>
      </c>
      <c r="AS46" s="188"/>
    </row>
    <row r="47">
      <c r="A47" s="386" t="s">
        <v>6355</v>
      </c>
      <c r="B47" s="372" t="s">
        <v>784</v>
      </c>
      <c r="C47" s="169" t="s">
        <v>4214</v>
      </c>
      <c r="D47" s="181"/>
      <c r="E47" s="181"/>
      <c r="F47" s="386" t="s">
        <v>6356</v>
      </c>
      <c r="G47" s="372" t="s">
        <v>784</v>
      </c>
      <c r="H47" s="169" t="s">
        <v>6348</v>
      </c>
      <c r="I47" s="181"/>
      <c r="J47" s="181"/>
      <c r="K47" s="103" t="s">
        <v>6357</v>
      </c>
      <c r="L47" s="372" t="s">
        <v>784</v>
      </c>
      <c r="M47" s="167" t="s">
        <v>4216</v>
      </c>
      <c r="N47" s="168"/>
      <c r="O47" s="168"/>
      <c r="P47" s="388" t="str">
        <f>IFERROR(__xludf.DUMMYFUNCTION("GOOGLETRANSLATE(A47,""zh-tw"",""zh"")"),"辣椒水")</f>
        <v>辣椒水</v>
      </c>
      <c r="Q47" s="66" t="str">
        <f>IFERROR(__xludf.DUMMYFUNCTION("GOOGLETRANSLATE(B47,""zh-tw"",""zh"")"),"B")</f>
        <v>B</v>
      </c>
      <c r="R47" s="69" t="str">
        <f>IFERROR(__xludf.DUMMYFUNCTION("GOOGLETRANSLATE(C47,""zh-tw"",""zh"")"),"辣椒")</f>
        <v>辣椒</v>
      </c>
      <c r="S47" s="69"/>
      <c r="T47" s="69"/>
      <c r="U47" s="386" t="str">
        <f>IFERROR(__xludf.DUMMYFUNCTION("GOOGLETRANSLATE(A47,""zh-tw"",""es-MX"")"),"aerosol de pimienta")</f>
        <v>aerosol de pimienta</v>
      </c>
      <c r="V47" s="381" t="str">
        <f>IFERROR(__xludf.DUMMYFUNCTION("GOOGLETRANSLATE(B47,""zh-tw"",""es-MX"")"),"B")</f>
        <v>B</v>
      </c>
      <c r="W47" s="169" t="str">
        <f>IFERROR(__xludf.DUMMYFUNCTION("GOOGLETRANSLATE(C47,""zh-tw"",""es-MX"")"),"chile")</f>
        <v>chile</v>
      </c>
      <c r="X47" s="169"/>
      <c r="Y47" s="169"/>
      <c r="Z47" s="390" t="s">
        <v>6358</v>
      </c>
      <c r="AA47" s="394" t="s">
        <v>784</v>
      </c>
      <c r="AB47" s="323" t="s">
        <v>6351</v>
      </c>
      <c r="AC47" s="168"/>
      <c r="AD47" s="168"/>
      <c r="AE47" s="386" t="str">
        <f>IFERROR(__xludf.DUMMYFUNCTION("GOOGLETRANSLATE(A47,""zh-tw"",""ru"")"),"перцовый баллончик")</f>
        <v>перцовый баллончик</v>
      </c>
      <c r="AF47" s="381" t="str">
        <f>IFERROR(__xludf.DUMMYFUNCTION("GOOGLETRANSLATE(L47,""zh-tw"",""es-MX"")"),"B")</f>
        <v>B</v>
      </c>
      <c r="AG47" s="169" t="str">
        <f>IFERROR(__xludf.DUMMYFUNCTION("GOOGLETRANSLATE(C47,""zh-tw"",""ru"")"),"чили")</f>
        <v>чили</v>
      </c>
      <c r="AH47" s="169"/>
      <c r="AI47" s="169"/>
      <c r="AJ47" s="390" t="s">
        <v>6359</v>
      </c>
      <c r="AK47" s="382" t="s">
        <v>784</v>
      </c>
      <c r="AL47" s="167" t="s">
        <v>6353</v>
      </c>
      <c r="AM47" s="168"/>
      <c r="AN47" s="168"/>
      <c r="AO47" s="185" t="s">
        <v>6360</v>
      </c>
      <c r="AP47" s="392" t="s">
        <v>784</v>
      </c>
      <c r="AQ47" s="187" t="s">
        <v>4220</v>
      </c>
      <c r="AR47" s="188"/>
      <c r="AS47" s="188"/>
    </row>
    <row r="48">
      <c r="A48" s="386" t="s">
        <v>6361</v>
      </c>
      <c r="B48" s="387"/>
      <c r="C48" s="169" t="s">
        <v>5982</v>
      </c>
      <c r="D48" s="169" t="s">
        <v>6113</v>
      </c>
      <c r="E48" s="181"/>
      <c r="F48" s="386" t="s">
        <v>6362</v>
      </c>
      <c r="G48" s="387"/>
      <c r="H48" s="169" t="s">
        <v>5984</v>
      </c>
      <c r="I48" s="169" t="s">
        <v>6115</v>
      </c>
      <c r="J48" s="181"/>
      <c r="K48" s="103" t="s">
        <v>6363</v>
      </c>
      <c r="L48" s="387"/>
      <c r="M48" s="167" t="s">
        <v>5986</v>
      </c>
      <c r="N48" s="167" t="s">
        <v>6117</v>
      </c>
      <c r="O48" s="168"/>
      <c r="P48" s="388"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86" t="str">
        <f>IFERROR(__xludf.DUMMYFUNCTION("GOOGLETRANSLATE(A48,""zh-tw"",""es-MX"")"),"Gomita de monstruo de agua")</f>
        <v>Gomita de monstruo de agua</v>
      </c>
      <c r="V48" s="381"/>
      <c r="W48" s="169" t="str">
        <f>IFERROR(__xludf.DUMMYFUNCTION("GOOGLETRANSLATE(C48,""zh-tw"",""es-MX"")"),"limo")</f>
        <v>limo</v>
      </c>
      <c r="X48" s="169" t="str">
        <f>IFERROR(__xludf.DUMMYFUNCTION("GOOGLETRANSLATE(D48,""zh-tw"",""es-MX"")"),"Monstruo de agua viscoso")</f>
        <v>Monstruo de agua viscoso</v>
      </c>
      <c r="Y48" s="169"/>
      <c r="Z48" s="390" t="s">
        <v>6364</v>
      </c>
      <c r="AA48" s="382"/>
      <c r="AB48" s="323" t="s">
        <v>5987</v>
      </c>
      <c r="AC48" s="167" t="s">
        <v>6118</v>
      </c>
      <c r="AD48" s="168"/>
      <c r="AE48" s="386" t="str">
        <f>IFERROR(__xludf.DUMMYFUNCTION("GOOGLETRANSLATE(A48,""zh-tw"",""ru"")"),"Водный монстр жевательная резинка")</f>
        <v>Водный монстр жевательная резинка</v>
      </c>
      <c r="AF48" s="381"/>
      <c r="AG48" s="169" t="str">
        <f>IFERROR(__xludf.DUMMYFUNCTION("GOOGLETRANSLATE(C48,""zh-tw"",""ru"")"),"слизь")</f>
        <v>слизь</v>
      </c>
      <c r="AH48" s="169" t="str">
        <f>IFERROR(__xludf.DUMMYFUNCTION("GOOGLETRANSLATE(D48,""zh-tw"",""ru"")"),"Водяной монстр-слизь")</f>
        <v>Водяной монстр-слизь</v>
      </c>
      <c r="AI48" s="169"/>
      <c r="AJ48" s="390" t="s">
        <v>6365</v>
      </c>
      <c r="AK48" s="382"/>
      <c r="AL48" s="167" t="s">
        <v>5989</v>
      </c>
      <c r="AM48" s="167" t="s">
        <v>6120</v>
      </c>
      <c r="AN48" s="168"/>
      <c r="AO48" s="185" t="s">
        <v>6366</v>
      </c>
      <c r="AP48" s="195"/>
      <c r="AQ48" s="187" t="s">
        <v>5991</v>
      </c>
      <c r="AR48" s="187" t="s">
        <v>6122</v>
      </c>
      <c r="AS48" s="188"/>
    </row>
    <row r="49">
      <c r="A49" s="386" t="s">
        <v>6367</v>
      </c>
      <c r="B49" s="387"/>
      <c r="C49" s="169" t="s">
        <v>5982</v>
      </c>
      <c r="D49" s="169" t="s">
        <v>6113</v>
      </c>
      <c r="E49" s="181"/>
      <c r="F49" s="386" t="s">
        <v>6368</v>
      </c>
      <c r="G49" s="387"/>
      <c r="H49" s="169" t="s">
        <v>5984</v>
      </c>
      <c r="I49" s="169" t="s">
        <v>6115</v>
      </c>
      <c r="J49" s="181"/>
      <c r="K49" s="103" t="s">
        <v>6369</v>
      </c>
      <c r="L49" s="387"/>
      <c r="M49" s="167" t="s">
        <v>5986</v>
      </c>
      <c r="N49" s="167" t="s">
        <v>6117</v>
      </c>
      <c r="O49" s="168"/>
      <c r="P49" s="388"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86" t="str">
        <f>IFERROR(__xludf.DUMMYFUNCTION("GOOGLETRANSLATE(A49,""zh-tw"",""es-MX"")"),"Hielo raspado Monstruo de Agua")</f>
        <v>Hielo raspado Monstruo de Agua</v>
      </c>
      <c r="V49" s="381"/>
      <c r="W49" s="169" t="str">
        <f>IFERROR(__xludf.DUMMYFUNCTION("GOOGLETRANSLATE(C49,""zh-tw"",""es-MX"")"),"limo")</f>
        <v>limo</v>
      </c>
      <c r="X49" s="169" t="str">
        <f>IFERROR(__xludf.DUMMYFUNCTION("GOOGLETRANSLATE(D49,""zh-tw"",""es-MX"")"),"Monstruo de agua viscoso")</f>
        <v>Monstruo de agua viscoso</v>
      </c>
      <c r="Y49" s="169"/>
      <c r="Z49" s="390" t="s">
        <v>6370</v>
      </c>
      <c r="AA49" s="382"/>
      <c r="AB49" s="323" t="s">
        <v>5987</v>
      </c>
      <c r="AC49" s="323" t="s">
        <v>6118</v>
      </c>
      <c r="AD49" s="168"/>
      <c r="AE49" s="386" t="str">
        <f>IFERROR(__xludf.DUMMYFUNCTION("GOOGLETRANSLATE(A49,""zh-tw"",""ru"")"),"Водяной монстр, строганный лед")</f>
        <v>Водяной монстр, строганный лед</v>
      </c>
      <c r="AF49" s="381"/>
      <c r="AG49" s="169" t="str">
        <f>IFERROR(__xludf.DUMMYFUNCTION("GOOGLETRANSLATE(C49,""zh-tw"",""ru"")"),"слизь")</f>
        <v>слизь</v>
      </c>
      <c r="AH49" s="169" t="str">
        <f>IFERROR(__xludf.DUMMYFUNCTION("GOOGLETRANSLATE(D49,""zh-tw"",""ru"")"),"Водяной монстр-слизь")</f>
        <v>Водяной монстр-слизь</v>
      </c>
      <c r="AI49" s="169"/>
      <c r="AJ49" s="390" t="s">
        <v>6371</v>
      </c>
      <c r="AK49" s="382"/>
      <c r="AL49" s="167" t="s">
        <v>5989</v>
      </c>
      <c r="AM49" s="167" t="s">
        <v>6120</v>
      </c>
      <c r="AN49" s="168"/>
      <c r="AO49" s="185" t="s">
        <v>6372</v>
      </c>
      <c r="AP49" s="195"/>
      <c r="AQ49" s="187" t="s">
        <v>5991</v>
      </c>
      <c r="AR49" s="187" t="s">
        <v>6122</v>
      </c>
      <c r="AS49" s="188"/>
    </row>
    <row r="50">
      <c r="A50" s="386" t="s">
        <v>6373</v>
      </c>
      <c r="B50" s="177" t="s">
        <v>6374</v>
      </c>
      <c r="C50" s="169" t="s">
        <v>5982</v>
      </c>
      <c r="D50" s="169" t="s">
        <v>6113</v>
      </c>
      <c r="E50" s="169" t="s">
        <v>6375</v>
      </c>
      <c r="F50" s="386" t="s">
        <v>6376</v>
      </c>
      <c r="G50" s="177" t="s">
        <v>6377</v>
      </c>
      <c r="H50" s="169" t="s">
        <v>5984</v>
      </c>
      <c r="I50" s="169" t="s">
        <v>6115</v>
      </c>
      <c r="J50" s="169" t="s">
        <v>6378</v>
      </c>
      <c r="K50" s="103" t="s">
        <v>6379</v>
      </c>
      <c r="L50" s="177" t="s">
        <v>6380</v>
      </c>
      <c r="M50" s="167" t="s">
        <v>5986</v>
      </c>
      <c r="N50" s="167" t="s">
        <v>6117</v>
      </c>
      <c r="O50" s="167" t="s">
        <v>6381</v>
      </c>
      <c r="P50" s="388"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86" t="str">
        <f>IFERROR(__xludf.DUMMYFUNCTION("GOOGLETRANSLATE(A50,""zh-tw"",""es-MX"")"),"Gomitas Monstruo de Agua (Rojas)")</f>
        <v>Gomitas Monstruo de Agua (Rojas)</v>
      </c>
      <c r="V50" s="381" t="str">
        <f>IFERROR(__xludf.DUMMYFUNCTION("GOOGLETRANSLATE(B50,""zh-tw"",""es-MX"")"),"(B)
Chile")</f>
        <v>(B)
Chile</v>
      </c>
      <c r="W50" s="169" t="str">
        <f>IFERROR(__xludf.DUMMYFUNCTION("GOOGLETRANSLATE(C50,""zh-tw"",""es-MX"")"),"limo")</f>
        <v>limo</v>
      </c>
      <c r="X50" s="169" t="str">
        <f>IFERROR(__xludf.DUMMYFUNCTION("GOOGLETRANSLATE(D50,""zh-tw"",""es-MX"")"),"Monstruo de agua viscoso")</f>
        <v>Monstruo de agua viscoso</v>
      </c>
      <c r="Y50" s="169" t="str">
        <f>IFERROR(__xludf.DUMMYFUNCTION("GOOGLETRANSLATE(E50,""zh-tw"",""es-MX"")"),"Tomates/Pimientos")</f>
        <v>Tomates/Pimientos</v>
      </c>
      <c r="Z50" s="390" t="s">
        <v>6382</v>
      </c>
      <c r="AA50" s="394" t="s">
        <v>6383</v>
      </c>
      <c r="AB50" s="167" t="s">
        <v>5987</v>
      </c>
      <c r="AC50" s="323" t="s">
        <v>6118</v>
      </c>
      <c r="AD50" s="168" t="str">
        <f>IFERROR(__xludf.DUMMYFUNCTION("GOOGLETRANSLATE(E50,""zh-tw"",""KO"")"),"토마토/고추")</f>
        <v>토마토/고추</v>
      </c>
      <c r="AE50" s="386" t="str">
        <f>IFERROR(__xludf.DUMMYFUNCTION("GOOGLETRANSLATE(A50,""zh-tw"",""ru"")"),"Жевательные конфеты Water Monster (красные)")</f>
        <v>Жевательные конфеты Water Monster (красные)</v>
      </c>
      <c r="AF50" s="381" t="str">
        <f>IFERROR(__xludf.DUMMYFUNCTION("GOOGLETRANSLATE(L50,""zh-tw"",""es-MX"")"),"B (Con chile)")</f>
        <v>B (Con chile)</v>
      </c>
      <c r="AG50" s="169" t="str">
        <f>IFERROR(__xludf.DUMMYFUNCTION("GOOGLETRANSLATE(C50,""zh-tw"",""ru"")"),"слизь")</f>
        <v>слизь</v>
      </c>
      <c r="AH50" s="169" t="str">
        <f>IFERROR(__xludf.DUMMYFUNCTION("GOOGLETRANSLATE(D50,""zh-tw"",""ru"")"),"Водяной монстр-слизь")</f>
        <v>Водяной монстр-слизь</v>
      </c>
      <c r="AI50" s="169" t="str">
        <f>IFERROR(__xludf.DUMMYFUNCTION("GOOGLETRANSLATE(E50,""zh-tw"",""ru"")"),"Помидоры/Перцы")</f>
        <v>Помидоры/Перцы</v>
      </c>
      <c r="AJ50" s="390" t="s">
        <v>6384</v>
      </c>
      <c r="AK50" s="382" t="s">
        <v>784</v>
      </c>
      <c r="AL50" s="167" t="s">
        <v>5989</v>
      </c>
      <c r="AM50" s="167" t="s">
        <v>6120</v>
      </c>
      <c r="AN50" s="168" t="str">
        <f>IFERROR(__xludf.DUMMYFUNCTION("GOOGLETRANSLATE(E50,""zh-tw"",""de"")"),"Tomaten/Paprika")</f>
        <v>Tomaten/Paprika</v>
      </c>
      <c r="AO50" s="185" t="s">
        <v>6385</v>
      </c>
      <c r="AP50" s="73" t="s">
        <v>6386</v>
      </c>
      <c r="AQ50" s="187" t="s">
        <v>5991</v>
      </c>
      <c r="AR50" s="187" t="s">
        <v>6122</v>
      </c>
      <c r="AS50" s="187" t="s">
        <v>6387</v>
      </c>
    </row>
    <row r="51">
      <c r="A51" s="386" t="s">
        <v>6388</v>
      </c>
      <c r="B51" s="387"/>
      <c r="C51" s="169" t="s">
        <v>6010</v>
      </c>
      <c r="D51" s="181"/>
      <c r="E51" s="181"/>
      <c r="F51" s="386" t="s">
        <v>6389</v>
      </c>
      <c r="G51" s="387"/>
      <c r="H51" s="169" t="s">
        <v>6013</v>
      </c>
      <c r="I51" s="181"/>
      <c r="J51" s="181"/>
      <c r="K51" s="103" t="s">
        <v>6390</v>
      </c>
      <c r="L51" s="387"/>
      <c r="M51" s="167" t="s">
        <v>6016</v>
      </c>
      <c r="N51" s="168"/>
      <c r="O51" s="168"/>
      <c r="P51" s="388" t="str">
        <f>IFERROR(__xludf.DUMMYFUNCTION("GOOGLETRANSLATE(A51,""zh-tw"",""zh"")"),"煎薄饼")</f>
        <v>煎薄饼</v>
      </c>
      <c r="Q51" s="66"/>
      <c r="R51" s="69" t="str">
        <f>IFERROR(__xludf.DUMMYFUNCTION("GOOGLETRANSLATE(C51,""zh-tw"",""zh"")"),"小麦粉")</f>
        <v>小麦粉</v>
      </c>
      <c r="S51" s="69"/>
      <c r="T51" s="69"/>
      <c r="U51" s="386" t="str">
        <f>IFERROR(__xludf.DUMMYFUNCTION("GOOGLETRANSLATE(A51,""zh-tw"",""es-MX"")"),"Panqueques")</f>
        <v>Panqueques</v>
      </c>
      <c r="V51" s="381"/>
      <c r="W51" s="169" t="str">
        <f>IFERROR(__xludf.DUMMYFUNCTION("GOOGLETRANSLATE(C51,""zh-tw"",""es-MX"")"),"harina de trigo")</f>
        <v>harina de trigo</v>
      </c>
      <c r="X51" s="169"/>
      <c r="Y51" s="169"/>
      <c r="Z51" s="389" t="str">
        <f>IFERROR(__xludf.DUMMYFUNCTION("GOOGLETRANSLATE(A51,""zh-tw"",""KO"")"),"팬케이크")</f>
        <v>팬케이크</v>
      </c>
      <c r="AA51" s="382"/>
      <c r="AB51" s="168" t="str">
        <f>IFERROR(__xludf.DUMMYFUNCTION("GOOGLETRANSLATE(C51,""zh-tw"",""KO"")"),"밀가루")</f>
        <v>밀가루</v>
      </c>
      <c r="AC51" s="168"/>
      <c r="AD51" s="168"/>
      <c r="AE51" s="386" t="str">
        <f>IFERROR(__xludf.DUMMYFUNCTION("GOOGLETRANSLATE(A51,""zh-tw"",""ru"")"),"Блины")</f>
        <v>Блины</v>
      </c>
      <c r="AF51" s="381"/>
      <c r="AG51" s="169" t="str">
        <f>IFERROR(__xludf.DUMMYFUNCTION("GOOGLETRANSLATE(C51,""zh-tw"",""ru"")"),"пшеничная мука")</f>
        <v>пшеничная мука</v>
      </c>
      <c r="AH51" s="169"/>
      <c r="AI51" s="169"/>
      <c r="AJ51" s="390" t="s">
        <v>6391</v>
      </c>
      <c r="AK51" s="382"/>
      <c r="AL51" s="167" t="s">
        <v>6019</v>
      </c>
      <c r="AM51" s="168"/>
      <c r="AN51" s="168"/>
      <c r="AO51" s="185" t="s">
        <v>6392</v>
      </c>
      <c r="AP51" s="195"/>
      <c r="AQ51" s="187" t="s">
        <v>6022</v>
      </c>
      <c r="AR51" s="188"/>
      <c r="AS51" s="188"/>
    </row>
    <row r="52">
      <c r="A52" s="386" t="s">
        <v>6393</v>
      </c>
      <c r="B52" s="387"/>
      <c r="C52" s="169" t="s">
        <v>4187</v>
      </c>
      <c r="D52" s="169" t="s">
        <v>6010</v>
      </c>
      <c r="E52" s="181"/>
      <c r="F52" s="386" t="s">
        <v>6394</v>
      </c>
      <c r="G52" s="387"/>
      <c r="H52" s="169" t="s">
        <v>6395</v>
      </c>
      <c r="I52" s="169" t="s">
        <v>6013</v>
      </c>
      <c r="J52" s="181"/>
      <c r="K52" s="103" t="s">
        <v>6396</v>
      </c>
      <c r="L52" s="387"/>
      <c r="M52" s="167" t="s">
        <v>4189</v>
      </c>
      <c r="N52" s="167" t="s">
        <v>6016</v>
      </c>
      <c r="O52" s="168"/>
      <c r="P52" s="388"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86" t="str">
        <f>IFERROR(__xludf.DUMMYFUNCTION("GOOGLETRANSLATE(A52,""zh-tw"",""es-MX"")"),"Tortitas de fresa")</f>
        <v>Tortitas de fresa</v>
      </c>
      <c r="V52" s="381"/>
      <c r="W52" s="169" t="str">
        <f>IFERROR(__xludf.DUMMYFUNCTION("GOOGLETRANSLATE(C52,""zh-tw"",""es-MX"")"),"fresa")</f>
        <v>fresa</v>
      </c>
      <c r="X52" s="169" t="str">
        <f>IFERROR(__xludf.DUMMYFUNCTION("GOOGLETRANSLATE(D52,""zh-tw"",""es-MX"")"),"harina de trigo")</f>
        <v>harina de trigo</v>
      </c>
      <c r="Y52" s="169"/>
      <c r="Z52" s="389" t="str">
        <f>IFERROR(__xludf.DUMMYFUNCTION("GOOGLETRANSLATE(A52,""zh-tw"",""KO"")"),"딸기 팬케이크")</f>
        <v>딸기 팬케이크</v>
      </c>
      <c r="AA52" s="382"/>
      <c r="AB52" s="168" t="str">
        <f>IFERROR(__xludf.DUMMYFUNCTION("GOOGLETRANSLATE(C52,""zh-tw"",""KO"")"),"딸기")</f>
        <v>딸기</v>
      </c>
      <c r="AC52" s="168" t="str">
        <f>IFERROR(__xludf.DUMMYFUNCTION("GOOGLETRANSLATE(D52,""zh-tw"",""KO"")"),"밀가루")</f>
        <v>밀가루</v>
      </c>
      <c r="AD52" s="168"/>
      <c r="AE52" s="386" t="str">
        <f>IFERROR(__xludf.DUMMYFUNCTION("GOOGLETRANSLATE(A52,""zh-tw"",""ru"")"),"Клубничные блинчики")</f>
        <v>Клубничные блинчики</v>
      </c>
      <c r="AF52" s="381"/>
      <c r="AG52" s="169" t="str">
        <f>IFERROR(__xludf.DUMMYFUNCTION("GOOGLETRANSLATE(C52,""zh-tw"",""ru"")"),"клубника")</f>
        <v>клубника</v>
      </c>
      <c r="AH52" s="169" t="str">
        <f>IFERROR(__xludf.DUMMYFUNCTION("GOOGLETRANSLATE(D52,""zh-tw"",""ru"")"),"пшеничная мука")</f>
        <v>пшеничная мука</v>
      </c>
      <c r="AI52" s="169"/>
      <c r="AJ52" s="390" t="s">
        <v>6397</v>
      </c>
      <c r="AK52" s="382"/>
      <c r="AL52" s="167" t="s">
        <v>6398</v>
      </c>
      <c r="AM52" s="167" t="s">
        <v>6019</v>
      </c>
      <c r="AN52" s="168"/>
      <c r="AO52" s="185" t="s">
        <v>6399</v>
      </c>
      <c r="AP52" s="195"/>
      <c r="AQ52" s="187" t="s">
        <v>4195</v>
      </c>
      <c r="AR52" s="187" t="s">
        <v>6022</v>
      </c>
      <c r="AS52" s="188"/>
    </row>
    <row r="53">
      <c r="A53" s="386" t="s">
        <v>6400</v>
      </c>
      <c r="B53" s="387"/>
      <c r="C53" s="169" t="s">
        <v>4206</v>
      </c>
      <c r="D53" s="181"/>
      <c r="E53" s="181"/>
      <c r="F53" s="386" t="s">
        <v>6401</v>
      </c>
      <c r="G53" s="387"/>
      <c r="H53" s="169" t="s">
        <v>6249</v>
      </c>
      <c r="I53" s="181"/>
      <c r="J53" s="181"/>
      <c r="K53" s="103" t="s">
        <v>6402</v>
      </c>
      <c r="L53" s="387"/>
      <c r="M53" s="167" t="s">
        <v>4208</v>
      </c>
      <c r="N53" s="168"/>
      <c r="O53" s="168"/>
      <c r="P53" s="388" t="str">
        <f>IFERROR(__xludf.DUMMYFUNCTION("GOOGLETRANSLATE(A53,""zh-tw"",""zh"")"),"番茄汤")</f>
        <v>番茄汤</v>
      </c>
      <c r="Q53" s="66"/>
      <c r="R53" s="69" t="str">
        <f>IFERROR(__xludf.DUMMYFUNCTION("GOOGLETRANSLATE(C53,""zh-tw"",""zh"")"),"番茄")</f>
        <v>番茄</v>
      </c>
      <c r="S53" s="69"/>
      <c r="T53" s="69"/>
      <c r="U53" s="386" t="str">
        <f>IFERROR(__xludf.DUMMYFUNCTION("GOOGLETRANSLATE(A53,""zh-tw"",""es-MX"")"),"Sopa de tomate")</f>
        <v>Sopa de tomate</v>
      </c>
      <c r="V53" s="381"/>
      <c r="W53" s="169" t="str">
        <f>IFERROR(__xludf.DUMMYFUNCTION("GOOGLETRANSLATE(C53,""zh-tw"",""es-MX"")"),"tomate")</f>
        <v>tomate</v>
      </c>
      <c r="X53" s="169"/>
      <c r="Y53" s="169"/>
      <c r="Z53" s="389" t="str">
        <f>IFERROR(__xludf.DUMMYFUNCTION("GOOGLETRANSLATE(A53,""zh-tw"",""KO"")"),"토마토 수프")</f>
        <v>토마토 수프</v>
      </c>
      <c r="AA53" s="382"/>
      <c r="AB53" s="168" t="str">
        <f>IFERROR(__xludf.DUMMYFUNCTION("GOOGLETRANSLATE(C53,""zh-tw"",""KO"")"),"토마토")</f>
        <v>토마토</v>
      </c>
      <c r="AC53" s="168"/>
      <c r="AD53" s="168"/>
      <c r="AE53" s="386" t="str">
        <f>IFERROR(__xludf.DUMMYFUNCTION("GOOGLETRANSLATE(A53,""zh-tw"",""ru"")"),"Томатный суп")</f>
        <v>Томатный суп</v>
      </c>
      <c r="AF53" s="381"/>
      <c r="AG53" s="169" t="str">
        <f>IFERROR(__xludf.DUMMYFUNCTION("GOOGLETRANSLATE(C53,""zh-tw"",""ru"")"),"помидор")</f>
        <v>помидор</v>
      </c>
      <c r="AH53" s="169"/>
      <c r="AI53" s="169"/>
      <c r="AJ53" s="390" t="s">
        <v>6403</v>
      </c>
      <c r="AK53" s="382"/>
      <c r="AL53" s="167" t="s">
        <v>6253</v>
      </c>
      <c r="AM53" s="168"/>
      <c r="AN53" s="168"/>
      <c r="AO53" s="185" t="s">
        <v>6404</v>
      </c>
      <c r="AP53" s="195"/>
      <c r="AQ53" s="187" t="s">
        <v>4204</v>
      </c>
      <c r="AR53" s="188"/>
      <c r="AS53" s="188"/>
    </row>
    <row r="54">
      <c r="A54" s="386" t="s">
        <v>4187</v>
      </c>
      <c r="B54" s="387"/>
      <c r="C54" s="169" t="s">
        <v>4187</v>
      </c>
      <c r="D54" s="181"/>
      <c r="E54" s="181"/>
      <c r="F54" s="386" t="s">
        <v>6405</v>
      </c>
      <c r="G54" s="387"/>
      <c r="H54" s="169" t="s">
        <v>6395</v>
      </c>
      <c r="I54" s="181"/>
      <c r="J54" s="181"/>
      <c r="K54" s="103" t="s">
        <v>4189</v>
      </c>
      <c r="L54" s="387"/>
      <c r="M54" s="167" t="s">
        <v>4189</v>
      </c>
      <c r="N54" s="168"/>
      <c r="O54" s="168"/>
      <c r="P54" s="388" t="str">
        <f>IFERROR(__xludf.DUMMYFUNCTION("GOOGLETRANSLATE(A54,""zh-tw"",""zh"")"),"草莓")</f>
        <v>草莓</v>
      </c>
      <c r="Q54" s="66"/>
      <c r="R54" s="69" t="str">
        <f>IFERROR(__xludf.DUMMYFUNCTION("GOOGLETRANSLATE(C54,""zh-tw"",""zh"")"),"草莓")</f>
        <v>草莓</v>
      </c>
      <c r="S54" s="69"/>
      <c r="T54" s="69"/>
      <c r="U54" s="386" t="str">
        <f>IFERROR(__xludf.DUMMYFUNCTION("GOOGLETRANSLATE(A54,""zh-tw"",""es-MX"")"),"fresa")</f>
        <v>fresa</v>
      </c>
      <c r="V54" s="381"/>
      <c r="W54" s="169" t="str">
        <f>IFERROR(__xludf.DUMMYFUNCTION("GOOGLETRANSLATE(C54,""zh-tw"",""es-MX"")"),"fresa")</f>
        <v>fresa</v>
      </c>
      <c r="X54" s="169"/>
      <c r="Y54" s="169"/>
      <c r="Z54" s="389" t="str">
        <f>IFERROR(__xludf.DUMMYFUNCTION("GOOGLETRANSLATE(A54,""zh-tw"",""KO"")"),"딸기")</f>
        <v>딸기</v>
      </c>
      <c r="AA54" s="382"/>
      <c r="AB54" s="168" t="str">
        <f>IFERROR(__xludf.DUMMYFUNCTION("GOOGLETRANSLATE(C54,""zh-tw"",""KO"")"),"딸기")</f>
        <v>딸기</v>
      </c>
      <c r="AC54" s="168"/>
      <c r="AD54" s="168"/>
      <c r="AE54" s="386" t="str">
        <f>IFERROR(__xludf.DUMMYFUNCTION("GOOGLETRANSLATE(A54,""zh-tw"",""ru"")"),"клубника")</f>
        <v>клубника</v>
      </c>
      <c r="AF54" s="381"/>
      <c r="AG54" s="169" t="str">
        <f>IFERROR(__xludf.DUMMYFUNCTION("GOOGLETRANSLATE(C54,""zh-tw"",""ru"")"),"клубника")</f>
        <v>клубника</v>
      </c>
      <c r="AH54" s="169"/>
      <c r="AI54" s="169"/>
      <c r="AJ54" s="390" t="s">
        <v>6398</v>
      </c>
      <c r="AK54" s="382"/>
      <c r="AL54" s="167" t="s">
        <v>6398</v>
      </c>
      <c r="AM54" s="168"/>
      <c r="AN54" s="168"/>
      <c r="AO54" s="185" t="s">
        <v>4195</v>
      </c>
      <c r="AP54" s="195"/>
      <c r="AQ54" s="187" t="s">
        <v>4195</v>
      </c>
      <c r="AR54" s="188"/>
      <c r="AS54" s="188"/>
    </row>
    <row r="55">
      <c r="A55" s="395"/>
      <c r="B55" s="387"/>
      <c r="C55" s="181"/>
      <c r="D55" s="181"/>
      <c r="E55" s="181"/>
      <c r="F55" s="395"/>
      <c r="G55" s="387"/>
      <c r="H55" s="181"/>
      <c r="I55" s="181"/>
      <c r="J55" s="181"/>
      <c r="K55" s="99"/>
      <c r="L55" s="155"/>
      <c r="M55" s="167"/>
      <c r="N55" s="167"/>
      <c r="O55" s="168"/>
      <c r="P55" s="88"/>
      <c r="Q55" s="155"/>
      <c r="R55" s="181"/>
      <c r="S55" s="181"/>
      <c r="T55" s="181"/>
      <c r="U55" s="395"/>
      <c r="V55" s="387"/>
      <c r="W55" s="181"/>
      <c r="X55" s="181"/>
      <c r="Y55" s="181"/>
      <c r="Z55" s="395"/>
      <c r="AA55" s="387"/>
      <c r="AB55" s="181"/>
      <c r="AC55" s="181"/>
      <c r="AD55" s="181"/>
      <c r="AE55" s="395"/>
      <c r="AF55" s="387"/>
      <c r="AG55" s="181"/>
      <c r="AH55" s="181"/>
      <c r="AI55" s="181"/>
      <c r="AJ55" s="395"/>
      <c r="AK55" s="387"/>
      <c r="AL55" s="181"/>
      <c r="AM55" s="181"/>
      <c r="AN55" s="181"/>
      <c r="AO55" s="196"/>
      <c r="AP55" s="195"/>
      <c r="AQ55" s="188"/>
      <c r="AR55" s="188"/>
      <c r="AS55" s="188"/>
    </row>
    <row r="56">
      <c r="A56" s="395"/>
      <c r="B56" s="387"/>
      <c r="C56" s="181"/>
      <c r="D56" s="181"/>
      <c r="E56" s="181"/>
      <c r="F56" s="395"/>
      <c r="G56" s="387"/>
      <c r="H56" s="181"/>
      <c r="I56" s="181"/>
      <c r="J56" s="181"/>
      <c r="K56" s="88"/>
      <c r="L56" s="387"/>
      <c r="M56" s="181"/>
      <c r="N56" s="181"/>
      <c r="O56" s="181"/>
      <c r="P56" s="88"/>
      <c r="Q56" s="155"/>
      <c r="R56" s="181"/>
      <c r="S56" s="181"/>
      <c r="T56" s="181"/>
      <c r="U56" s="395"/>
      <c r="V56" s="387"/>
      <c r="W56" s="181"/>
      <c r="X56" s="181"/>
      <c r="Y56" s="181"/>
      <c r="Z56" s="395"/>
      <c r="AA56" s="387"/>
      <c r="AB56" s="181"/>
      <c r="AC56" s="181"/>
      <c r="AD56" s="181"/>
      <c r="AE56" s="395"/>
      <c r="AF56" s="387"/>
      <c r="AG56" s="181"/>
      <c r="AH56" s="181"/>
      <c r="AI56" s="181"/>
      <c r="AJ56" s="395"/>
      <c r="AK56" s="387"/>
      <c r="AL56" s="181"/>
      <c r="AM56" s="181"/>
      <c r="AN56" s="181"/>
      <c r="AO56" s="196"/>
      <c r="AP56" s="195"/>
      <c r="AQ56" s="188"/>
      <c r="AR56" s="188"/>
      <c r="AS56" s="188"/>
    </row>
    <row r="57">
      <c r="A57" s="395"/>
      <c r="B57" s="387"/>
      <c r="C57" s="181"/>
      <c r="D57" s="181"/>
      <c r="E57" s="181"/>
      <c r="F57" s="395"/>
      <c r="G57" s="387"/>
      <c r="H57" s="181"/>
      <c r="I57" s="181"/>
      <c r="J57" s="181"/>
      <c r="K57" s="88"/>
      <c r="L57" s="387"/>
      <c r="M57" s="181"/>
      <c r="N57" s="181"/>
      <c r="O57" s="181"/>
      <c r="P57" s="88"/>
      <c r="Q57" s="155"/>
      <c r="R57" s="181"/>
      <c r="S57" s="181"/>
      <c r="T57" s="181"/>
      <c r="U57" s="395"/>
      <c r="V57" s="387"/>
      <c r="W57" s="181"/>
      <c r="X57" s="181"/>
      <c r="Y57" s="181"/>
      <c r="Z57" s="395"/>
      <c r="AA57" s="387"/>
      <c r="AB57" s="181"/>
      <c r="AC57" s="181"/>
      <c r="AD57" s="181"/>
      <c r="AE57" s="395"/>
      <c r="AF57" s="387"/>
      <c r="AG57" s="181"/>
      <c r="AH57" s="181"/>
      <c r="AI57" s="181"/>
      <c r="AJ57" s="395"/>
      <c r="AK57" s="387"/>
      <c r="AL57" s="181"/>
      <c r="AM57" s="181"/>
      <c r="AN57" s="181"/>
      <c r="AO57" s="196"/>
      <c r="AP57" s="195"/>
      <c r="AQ57" s="188"/>
      <c r="AR57" s="188"/>
      <c r="AS57" s="188"/>
    </row>
    <row r="58">
      <c r="A58" s="395"/>
      <c r="B58" s="387"/>
      <c r="C58" s="181"/>
      <c r="D58" s="181"/>
      <c r="E58" s="181"/>
      <c r="F58" s="395"/>
      <c r="G58" s="387"/>
      <c r="H58" s="181"/>
      <c r="I58" s="181"/>
      <c r="J58" s="181"/>
      <c r="K58" s="88"/>
      <c r="L58" s="387"/>
      <c r="M58" s="181"/>
      <c r="N58" s="181"/>
      <c r="O58" s="181"/>
      <c r="P58" s="88"/>
      <c r="Q58" s="155"/>
      <c r="R58" s="181"/>
      <c r="S58" s="181"/>
      <c r="T58" s="181"/>
      <c r="U58" s="395"/>
      <c r="V58" s="387"/>
      <c r="W58" s="181"/>
      <c r="X58" s="181"/>
      <c r="Y58" s="181"/>
      <c r="Z58" s="395"/>
      <c r="AA58" s="387"/>
      <c r="AB58" s="181"/>
      <c r="AC58" s="181"/>
      <c r="AD58" s="181"/>
      <c r="AE58" s="395"/>
      <c r="AF58" s="387"/>
      <c r="AG58" s="181"/>
      <c r="AH58" s="181"/>
      <c r="AI58" s="181"/>
      <c r="AJ58" s="395"/>
      <c r="AK58" s="387"/>
      <c r="AL58" s="181"/>
      <c r="AM58" s="181"/>
      <c r="AN58" s="181"/>
      <c r="AO58" s="196"/>
      <c r="AP58" s="195"/>
      <c r="AQ58" s="188"/>
      <c r="AR58" s="188"/>
      <c r="AS58" s="188"/>
    </row>
    <row r="59">
      <c r="A59" s="395"/>
      <c r="B59" s="387"/>
      <c r="C59" s="181"/>
      <c r="D59" s="181"/>
      <c r="E59" s="181"/>
      <c r="F59" s="395"/>
      <c r="G59" s="387"/>
      <c r="H59" s="181"/>
      <c r="I59" s="181"/>
      <c r="J59" s="181"/>
      <c r="K59" s="88"/>
      <c r="L59" s="387"/>
      <c r="M59" s="181"/>
      <c r="N59" s="181"/>
      <c r="O59" s="181"/>
      <c r="P59" s="88"/>
      <c r="Q59" s="155"/>
      <c r="R59" s="181"/>
      <c r="S59" s="181"/>
      <c r="T59" s="181"/>
      <c r="U59" s="395"/>
      <c r="V59" s="387"/>
      <c r="W59" s="181"/>
      <c r="X59" s="181"/>
      <c r="Y59" s="181"/>
      <c r="Z59" s="395"/>
      <c r="AA59" s="387"/>
      <c r="AB59" s="181"/>
      <c r="AC59" s="181"/>
      <c r="AD59" s="181"/>
      <c r="AE59" s="395"/>
      <c r="AF59" s="387"/>
      <c r="AG59" s="181"/>
      <c r="AH59" s="181"/>
      <c r="AI59" s="181"/>
      <c r="AJ59" s="395"/>
      <c r="AK59" s="387"/>
      <c r="AL59" s="181"/>
      <c r="AM59" s="181"/>
      <c r="AN59" s="181"/>
      <c r="AO59" s="196"/>
      <c r="AP59" s="195"/>
      <c r="AQ59" s="188"/>
      <c r="AR59" s="188"/>
      <c r="AS59" s="188"/>
    </row>
    <row r="60">
      <c r="A60" s="395"/>
      <c r="B60" s="387"/>
      <c r="C60" s="181"/>
      <c r="D60" s="181"/>
      <c r="E60" s="181"/>
      <c r="F60" s="395"/>
      <c r="G60" s="387"/>
      <c r="H60" s="181"/>
      <c r="I60" s="181"/>
      <c r="J60" s="181"/>
      <c r="K60" s="88"/>
      <c r="L60" s="387"/>
      <c r="M60" s="181"/>
      <c r="N60" s="181"/>
      <c r="O60" s="181"/>
      <c r="P60" s="88"/>
      <c r="Q60" s="155"/>
      <c r="R60" s="181"/>
      <c r="S60" s="181"/>
      <c r="T60" s="181"/>
      <c r="U60" s="395"/>
      <c r="V60" s="387"/>
      <c r="W60" s="181"/>
      <c r="X60" s="181"/>
      <c r="Y60" s="181"/>
      <c r="Z60" s="395"/>
      <c r="AA60" s="387"/>
      <c r="AB60" s="181"/>
      <c r="AC60" s="181"/>
      <c r="AD60" s="181"/>
      <c r="AE60" s="395"/>
      <c r="AF60" s="387"/>
      <c r="AG60" s="181"/>
      <c r="AH60" s="181"/>
      <c r="AI60" s="181"/>
      <c r="AJ60" s="395"/>
      <c r="AK60" s="387"/>
      <c r="AL60" s="181"/>
      <c r="AM60" s="181"/>
      <c r="AN60" s="181"/>
      <c r="AO60" s="196"/>
      <c r="AP60" s="195"/>
      <c r="AQ60" s="188"/>
      <c r="AR60" s="188"/>
      <c r="AS60" s="188"/>
    </row>
    <row r="61">
      <c r="A61" s="395"/>
      <c r="B61" s="387"/>
      <c r="C61" s="181"/>
      <c r="D61" s="181"/>
      <c r="E61" s="181"/>
      <c r="F61" s="395"/>
      <c r="G61" s="387"/>
      <c r="H61" s="181"/>
      <c r="I61" s="181"/>
      <c r="J61" s="181"/>
      <c r="K61" s="88"/>
      <c r="L61" s="387"/>
      <c r="M61" s="181"/>
      <c r="N61" s="181"/>
      <c r="O61" s="181"/>
      <c r="P61" s="88"/>
      <c r="Q61" s="155"/>
      <c r="R61" s="181"/>
      <c r="S61" s="181"/>
      <c r="T61" s="181"/>
      <c r="U61" s="395"/>
      <c r="V61" s="387"/>
      <c r="W61" s="181"/>
      <c r="X61" s="181"/>
      <c r="Y61" s="181"/>
      <c r="Z61" s="395"/>
      <c r="AA61" s="387"/>
      <c r="AB61" s="181"/>
      <c r="AC61" s="181"/>
      <c r="AD61" s="181"/>
      <c r="AE61" s="395"/>
      <c r="AF61" s="387"/>
      <c r="AG61" s="181"/>
      <c r="AH61" s="181"/>
      <c r="AI61" s="181"/>
      <c r="AJ61" s="395"/>
      <c r="AK61" s="387"/>
      <c r="AL61" s="181"/>
      <c r="AM61" s="181"/>
      <c r="AN61" s="181"/>
      <c r="AO61" s="196"/>
      <c r="AP61" s="195"/>
      <c r="AQ61" s="188"/>
      <c r="AR61" s="188"/>
      <c r="AS61" s="188"/>
    </row>
    <row r="62">
      <c r="A62" s="395"/>
      <c r="B62" s="387"/>
      <c r="C62" s="181"/>
      <c r="D62" s="181"/>
      <c r="E62" s="181"/>
      <c r="F62" s="395"/>
      <c r="G62" s="387"/>
      <c r="H62" s="181"/>
      <c r="I62" s="181"/>
      <c r="J62" s="181"/>
      <c r="K62" s="88"/>
      <c r="L62" s="387"/>
      <c r="M62" s="181"/>
      <c r="N62" s="181"/>
      <c r="O62" s="181"/>
      <c r="P62" s="88"/>
      <c r="Q62" s="155"/>
      <c r="R62" s="181"/>
      <c r="S62" s="181"/>
      <c r="T62" s="181"/>
      <c r="U62" s="395"/>
      <c r="V62" s="387"/>
      <c r="W62" s="181"/>
      <c r="X62" s="181"/>
      <c r="Y62" s="181"/>
      <c r="Z62" s="395"/>
      <c r="AA62" s="387"/>
      <c r="AB62" s="181"/>
      <c r="AC62" s="181"/>
      <c r="AD62" s="181"/>
      <c r="AE62" s="395"/>
      <c r="AF62" s="387"/>
      <c r="AG62" s="181"/>
      <c r="AH62" s="181"/>
      <c r="AI62" s="181"/>
      <c r="AJ62" s="395"/>
      <c r="AK62" s="387"/>
      <c r="AL62" s="181"/>
      <c r="AM62" s="181"/>
      <c r="AN62" s="181"/>
      <c r="AO62" s="196"/>
      <c r="AP62" s="195"/>
      <c r="AQ62" s="188"/>
      <c r="AR62" s="188"/>
      <c r="AS62" s="188"/>
    </row>
    <row r="63">
      <c r="A63" s="395"/>
      <c r="B63" s="387"/>
      <c r="C63" s="181"/>
      <c r="D63" s="181"/>
      <c r="E63" s="181"/>
      <c r="F63" s="395"/>
      <c r="G63" s="387"/>
      <c r="H63" s="181"/>
      <c r="I63" s="181"/>
      <c r="J63" s="181"/>
      <c r="K63" s="88"/>
      <c r="L63" s="387"/>
      <c r="M63" s="181"/>
      <c r="N63" s="181"/>
      <c r="O63" s="181"/>
      <c r="P63" s="88"/>
      <c r="Q63" s="155"/>
      <c r="R63" s="181"/>
      <c r="S63" s="181"/>
      <c r="T63" s="181"/>
      <c r="U63" s="395"/>
      <c r="V63" s="387"/>
      <c r="W63" s="181"/>
      <c r="X63" s="181"/>
      <c r="Y63" s="181"/>
      <c r="Z63" s="395"/>
      <c r="AA63" s="387"/>
      <c r="AB63" s="181"/>
      <c r="AC63" s="181"/>
      <c r="AD63" s="181"/>
      <c r="AE63" s="395"/>
      <c r="AF63" s="387"/>
      <c r="AG63" s="181"/>
      <c r="AH63" s="181"/>
      <c r="AI63" s="181"/>
      <c r="AJ63" s="395"/>
      <c r="AK63" s="387"/>
      <c r="AL63" s="181"/>
      <c r="AM63" s="181"/>
      <c r="AN63" s="181"/>
      <c r="AO63" s="196"/>
      <c r="AP63" s="195"/>
      <c r="AQ63" s="188"/>
      <c r="AR63" s="188"/>
      <c r="AS63" s="188"/>
    </row>
    <row r="64">
      <c r="A64" s="395"/>
      <c r="B64" s="387"/>
      <c r="C64" s="181"/>
      <c r="D64" s="181"/>
      <c r="E64" s="181"/>
      <c r="F64" s="395"/>
      <c r="G64" s="387"/>
      <c r="H64" s="181"/>
      <c r="I64" s="181"/>
      <c r="J64" s="181"/>
      <c r="K64" s="88"/>
      <c r="L64" s="387"/>
      <c r="M64" s="181"/>
      <c r="N64" s="181"/>
      <c r="O64" s="181"/>
      <c r="P64" s="88"/>
      <c r="Q64" s="155"/>
      <c r="R64" s="181"/>
      <c r="S64" s="181"/>
      <c r="T64" s="181"/>
      <c r="U64" s="395"/>
      <c r="V64" s="387"/>
      <c r="W64" s="181"/>
      <c r="X64" s="181"/>
      <c r="Y64" s="181"/>
      <c r="Z64" s="395"/>
      <c r="AA64" s="387"/>
      <c r="AB64" s="181"/>
      <c r="AC64" s="181"/>
      <c r="AD64" s="181"/>
      <c r="AE64" s="395"/>
      <c r="AF64" s="387"/>
      <c r="AG64" s="181"/>
      <c r="AH64" s="181"/>
      <c r="AI64" s="181"/>
      <c r="AJ64" s="395"/>
      <c r="AK64" s="387"/>
      <c r="AL64" s="181"/>
      <c r="AM64" s="181"/>
      <c r="AN64" s="181"/>
      <c r="AO64" s="196"/>
      <c r="AP64" s="195"/>
      <c r="AQ64" s="188"/>
      <c r="AR64" s="188"/>
      <c r="AS64" s="188"/>
    </row>
    <row r="65">
      <c r="A65" s="395"/>
      <c r="B65" s="387"/>
      <c r="C65" s="181"/>
      <c r="D65" s="181"/>
      <c r="E65" s="181"/>
      <c r="F65" s="395"/>
      <c r="G65" s="387"/>
      <c r="H65" s="181"/>
      <c r="I65" s="181"/>
      <c r="J65" s="181"/>
      <c r="K65" s="88"/>
      <c r="L65" s="387"/>
      <c r="M65" s="181"/>
      <c r="N65" s="181"/>
      <c r="O65" s="181"/>
      <c r="P65" s="88"/>
      <c r="Q65" s="155"/>
      <c r="R65" s="181"/>
      <c r="S65" s="181"/>
      <c r="T65" s="181"/>
      <c r="U65" s="395"/>
      <c r="V65" s="387"/>
      <c r="W65" s="181"/>
      <c r="X65" s="181"/>
      <c r="Y65" s="181"/>
      <c r="Z65" s="395"/>
      <c r="AA65" s="387"/>
      <c r="AB65" s="181"/>
      <c r="AC65" s="181"/>
      <c r="AD65" s="181"/>
      <c r="AE65" s="395"/>
      <c r="AF65" s="387"/>
      <c r="AG65" s="181"/>
      <c r="AH65" s="181"/>
      <c r="AI65" s="181"/>
      <c r="AJ65" s="395"/>
      <c r="AK65" s="387"/>
      <c r="AL65" s="181"/>
      <c r="AM65" s="181"/>
      <c r="AN65" s="181"/>
      <c r="AO65" s="196"/>
      <c r="AP65" s="195"/>
      <c r="AQ65" s="188"/>
      <c r="AR65" s="188"/>
      <c r="AS65" s="188"/>
    </row>
    <row r="66">
      <c r="A66" s="395"/>
      <c r="B66" s="387"/>
      <c r="C66" s="181"/>
      <c r="D66" s="181"/>
      <c r="E66" s="181"/>
      <c r="F66" s="395"/>
      <c r="G66" s="387"/>
      <c r="H66" s="181"/>
      <c r="I66" s="181"/>
      <c r="J66" s="181"/>
      <c r="K66" s="88"/>
      <c r="L66" s="387"/>
      <c r="M66" s="181"/>
      <c r="N66" s="181"/>
      <c r="O66" s="181"/>
      <c r="P66" s="88"/>
      <c r="Q66" s="155"/>
      <c r="R66" s="181"/>
      <c r="S66" s="181"/>
      <c r="T66" s="181"/>
      <c r="U66" s="395"/>
      <c r="V66" s="387"/>
      <c r="W66" s="181"/>
      <c r="X66" s="181"/>
      <c r="Y66" s="181"/>
      <c r="Z66" s="395"/>
      <c r="AA66" s="387"/>
      <c r="AB66" s="181"/>
      <c r="AC66" s="181"/>
      <c r="AD66" s="181"/>
      <c r="AE66" s="395"/>
      <c r="AF66" s="387"/>
      <c r="AG66" s="181"/>
      <c r="AH66" s="181"/>
      <c r="AI66" s="181"/>
      <c r="AJ66" s="395"/>
      <c r="AK66" s="387"/>
      <c r="AL66" s="181"/>
      <c r="AM66" s="181"/>
      <c r="AN66" s="181"/>
      <c r="AO66" s="196"/>
      <c r="AP66" s="195"/>
      <c r="AQ66" s="188"/>
      <c r="AR66" s="188"/>
      <c r="AS66" s="188"/>
    </row>
    <row r="67">
      <c r="A67" s="395"/>
      <c r="B67" s="387"/>
      <c r="C67" s="181"/>
      <c r="D67" s="181"/>
      <c r="E67" s="181"/>
      <c r="F67" s="395"/>
      <c r="G67" s="387"/>
      <c r="H67" s="181"/>
      <c r="I67" s="181"/>
      <c r="J67" s="181"/>
      <c r="K67" s="88"/>
      <c r="L67" s="387"/>
      <c r="M67" s="181"/>
      <c r="N67" s="181"/>
      <c r="O67" s="181"/>
      <c r="P67" s="88"/>
      <c r="Q67" s="155"/>
      <c r="R67" s="181"/>
      <c r="S67" s="181"/>
      <c r="T67" s="181"/>
      <c r="U67" s="395"/>
      <c r="V67" s="387"/>
      <c r="W67" s="181"/>
      <c r="X67" s="181"/>
      <c r="Y67" s="181"/>
      <c r="Z67" s="395"/>
      <c r="AA67" s="387"/>
      <c r="AB67" s="181"/>
      <c r="AC67" s="181"/>
      <c r="AD67" s="181"/>
      <c r="AE67" s="395"/>
      <c r="AF67" s="387"/>
      <c r="AG67" s="181"/>
      <c r="AH67" s="181"/>
      <c r="AI67" s="181"/>
      <c r="AJ67" s="395"/>
      <c r="AK67" s="387"/>
      <c r="AL67" s="181"/>
      <c r="AM67" s="181"/>
      <c r="AN67" s="181"/>
      <c r="AO67" s="196"/>
      <c r="AP67" s="195"/>
      <c r="AQ67" s="188"/>
      <c r="AR67" s="188"/>
      <c r="AS67" s="188"/>
    </row>
    <row r="68">
      <c r="A68" s="395"/>
      <c r="B68" s="387"/>
      <c r="C68" s="181"/>
      <c r="D68" s="181"/>
      <c r="E68" s="181"/>
      <c r="F68" s="395"/>
      <c r="G68" s="387"/>
      <c r="H68" s="181"/>
      <c r="I68" s="181"/>
      <c r="J68" s="181"/>
      <c r="K68" s="88"/>
      <c r="L68" s="387"/>
      <c r="M68" s="181"/>
      <c r="N68" s="181"/>
      <c r="O68" s="181"/>
      <c r="P68" s="88"/>
      <c r="Q68" s="155"/>
      <c r="R68" s="181"/>
      <c r="S68" s="181"/>
      <c r="T68" s="181"/>
      <c r="U68" s="395"/>
      <c r="V68" s="387"/>
      <c r="W68" s="181"/>
      <c r="X68" s="181"/>
      <c r="Y68" s="181"/>
      <c r="Z68" s="395"/>
      <c r="AA68" s="387"/>
      <c r="AB68" s="181"/>
      <c r="AC68" s="181"/>
      <c r="AD68" s="181"/>
      <c r="AE68" s="395"/>
      <c r="AF68" s="387"/>
      <c r="AG68" s="181"/>
      <c r="AH68" s="181"/>
      <c r="AI68" s="181"/>
      <c r="AJ68" s="395"/>
      <c r="AK68" s="387"/>
      <c r="AL68" s="181"/>
      <c r="AM68" s="181"/>
      <c r="AN68" s="181"/>
      <c r="AO68" s="196"/>
      <c r="AP68" s="195"/>
      <c r="AQ68" s="188"/>
      <c r="AR68" s="188"/>
      <c r="AS68" s="188"/>
    </row>
    <row r="69">
      <c r="A69" s="395"/>
      <c r="B69" s="387"/>
      <c r="C69" s="181"/>
      <c r="D69" s="181"/>
      <c r="E69" s="181"/>
      <c r="F69" s="395"/>
      <c r="G69" s="387"/>
      <c r="H69" s="181"/>
      <c r="I69" s="181"/>
      <c r="J69" s="181"/>
      <c r="K69" s="88"/>
      <c r="L69" s="387"/>
      <c r="M69" s="181"/>
      <c r="N69" s="181"/>
      <c r="O69" s="181"/>
      <c r="P69" s="88"/>
      <c r="Q69" s="155"/>
      <c r="R69" s="181"/>
      <c r="S69" s="181"/>
      <c r="T69" s="181"/>
      <c r="U69" s="395"/>
      <c r="V69" s="387"/>
      <c r="W69" s="181"/>
      <c r="X69" s="181"/>
      <c r="Y69" s="181"/>
      <c r="Z69" s="395"/>
      <c r="AA69" s="387"/>
      <c r="AB69" s="181"/>
      <c r="AC69" s="181"/>
      <c r="AD69" s="181"/>
      <c r="AE69" s="395"/>
      <c r="AF69" s="387"/>
      <c r="AG69" s="181"/>
      <c r="AH69" s="181"/>
      <c r="AI69" s="181"/>
      <c r="AJ69" s="395"/>
      <c r="AK69" s="387"/>
      <c r="AL69" s="181"/>
      <c r="AM69" s="181"/>
      <c r="AN69" s="181"/>
      <c r="AO69" s="196"/>
      <c r="AP69" s="195"/>
      <c r="AQ69" s="188"/>
      <c r="AR69" s="188"/>
      <c r="AS69" s="188"/>
    </row>
    <row r="70">
      <c r="A70" s="395"/>
      <c r="B70" s="387"/>
      <c r="C70" s="181"/>
      <c r="D70" s="181"/>
      <c r="E70" s="181"/>
      <c r="F70" s="395"/>
      <c r="G70" s="387"/>
      <c r="H70" s="181"/>
      <c r="I70" s="181"/>
      <c r="J70" s="181"/>
      <c r="K70" s="88"/>
      <c r="L70" s="387"/>
      <c r="M70" s="181"/>
      <c r="N70" s="181"/>
      <c r="O70" s="181"/>
      <c r="P70" s="88"/>
      <c r="Q70" s="155"/>
      <c r="R70" s="181"/>
      <c r="S70" s="181"/>
      <c r="T70" s="181"/>
      <c r="U70" s="395"/>
      <c r="V70" s="387"/>
      <c r="W70" s="181"/>
      <c r="X70" s="181"/>
      <c r="Y70" s="181"/>
      <c r="Z70" s="395"/>
      <c r="AA70" s="387"/>
      <c r="AB70" s="181"/>
      <c r="AC70" s="181"/>
      <c r="AD70" s="181"/>
      <c r="AE70" s="395"/>
      <c r="AF70" s="387"/>
      <c r="AG70" s="181"/>
      <c r="AH70" s="181"/>
      <c r="AI70" s="181"/>
      <c r="AJ70" s="395"/>
      <c r="AK70" s="387"/>
      <c r="AL70" s="181"/>
      <c r="AM70" s="181"/>
      <c r="AN70" s="181"/>
      <c r="AO70" s="196"/>
      <c r="AP70" s="195"/>
      <c r="AQ70" s="188"/>
      <c r="AR70" s="188"/>
      <c r="AS70" s="188"/>
    </row>
    <row r="71">
      <c r="A71" s="395"/>
      <c r="B71" s="387"/>
      <c r="C71" s="181"/>
      <c r="D71" s="181"/>
      <c r="E71" s="181"/>
      <c r="F71" s="395"/>
      <c r="G71" s="387"/>
      <c r="H71" s="181"/>
      <c r="I71" s="181"/>
      <c r="J71" s="181"/>
      <c r="K71" s="88"/>
      <c r="L71" s="387"/>
      <c r="M71" s="181"/>
      <c r="N71" s="181"/>
      <c r="O71" s="181"/>
      <c r="P71" s="88"/>
      <c r="Q71" s="155"/>
      <c r="R71" s="181"/>
      <c r="S71" s="181"/>
      <c r="T71" s="181"/>
      <c r="U71" s="395"/>
      <c r="V71" s="387"/>
      <c r="W71" s="181"/>
      <c r="X71" s="181"/>
      <c r="Y71" s="181"/>
      <c r="Z71" s="395"/>
      <c r="AA71" s="387"/>
      <c r="AB71" s="181"/>
      <c r="AC71" s="181"/>
      <c r="AD71" s="181"/>
      <c r="AE71" s="395"/>
      <c r="AF71" s="387"/>
      <c r="AG71" s="181"/>
      <c r="AH71" s="181"/>
      <c r="AI71" s="181"/>
      <c r="AJ71" s="395"/>
      <c r="AK71" s="387"/>
      <c r="AL71" s="181"/>
      <c r="AM71" s="181"/>
      <c r="AN71" s="181"/>
      <c r="AO71" s="196"/>
      <c r="AP71" s="195"/>
      <c r="AQ71" s="188"/>
      <c r="AR71" s="188"/>
      <c r="AS71" s="188"/>
    </row>
    <row r="72">
      <c r="A72" s="395"/>
      <c r="B72" s="387"/>
      <c r="C72" s="181"/>
      <c r="D72" s="181"/>
      <c r="E72" s="181"/>
      <c r="F72" s="395"/>
      <c r="G72" s="387"/>
      <c r="H72" s="181"/>
      <c r="I72" s="181"/>
      <c r="J72" s="181"/>
      <c r="K72" s="88"/>
      <c r="L72" s="387"/>
      <c r="M72" s="181"/>
      <c r="N72" s="181"/>
      <c r="O72" s="181"/>
      <c r="P72" s="88"/>
      <c r="Q72" s="155"/>
      <c r="R72" s="181"/>
      <c r="S72" s="181"/>
      <c r="T72" s="181"/>
      <c r="U72" s="395"/>
      <c r="V72" s="387"/>
      <c r="W72" s="181"/>
      <c r="X72" s="181"/>
      <c r="Y72" s="181"/>
      <c r="Z72" s="395"/>
      <c r="AA72" s="387"/>
      <c r="AB72" s="181"/>
      <c r="AC72" s="181"/>
      <c r="AD72" s="181"/>
      <c r="AE72" s="395"/>
      <c r="AF72" s="387"/>
      <c r="AG72" s="181"/>
      <c r="AH72" s="181"/>
      <c r="AI72" s="181"/>
      <c r="AJ72" s="395"/>
      <c r="AK72" s="387"/>
      <c r="AL72" s="181"/>
      <c r="AM72" s="181"/>
      <c r="AN72" s="181"/>
      <c r="AO72" s="196"/>
      <c r="AP72" s="195"/>
      <c r="AQ72" s="188"/>
      <c r="AR72" s="188"/>
      <c r="AS72" s="188"/>
    </row>
    <row r="73">
      <c r="A73" s="395"/>
      <c r="B73" s="387"/>
      <c r="C73" s="181"/>
      <c r="D73" s="181"/>
      <c r="E73" s="181"/>
      <c r="F73" s="395"/>
      <c r="G73" s="387"/>
      <c r="H73" s="181"/>
      <c r="I73" s="181"/>
      <c r="J73" s="181"/>
      <c r="K73" s="88"/>
      <c r="L73" s="387"/>
      <c r="M73" s="181"/>
      <c r="N73" s="181"/>
      <c r="O73" s="181"/>
      <c r="P73" s="88"/>
      <c r="Q73" s="155"/>
      <c r="R73" s="181"/>
      <c r="S73" s="181"/>
      <c r="T73" s="181"/>
      <c r="U73" s="395"/>
      <c r="V73" s="387"/>
      <c r="W73" s="181"/>
      <c r="X73" s="181"/>
      <c r="Y73" s="181"/>
      <c r="Z73" s="395"/>
      <c r="AA73" s="387"/>
      <c r="AB73" s="181"/>
      <c r="AC73" s="181"/>
      <c r="AD73" s="181"/>
      <c r="AE73" s="395"/>
      <c r="AF73" s="387"/>
      <c r="AG73" s="181"/>
      <c r="AH73" s="181"/>
      <c r="AI73" s="181"/>
      <c r="AJ73" s="395"/>
      <c r="AK73" s="387"/>
      <c r="AL73" s="181"/>
      <c r="AM73" s="181"/>
      <c r="AN73" s="181"/>
      <c r="AO73" s="196"/>
      <c r="AP73" s="195"/>
      <c r="AQ73" s="188"/>
      <c r="AR73" s="188"/>
      <c r="AS73" s="188"/>
    </row>
    <row r="74">
      <c r="A74" s="395"/>
      <c r="B74" s="387"/>
      <c r="C74" s="181"/>
      <c r="D74" s="181"/>
      <c r="E74" s="181"/>
      <c r="F74" s="395"/>
      <c r="G74" s="387"/>
      <c r="H74" s="181"/>
      <c r="I74" s="181"/>
      <c r="J74" s="181"/>
      <c r="K74" s="88"/>
      <c r="L74" s="387"/>
      <c r="M74" s="181"/>
      <c r="N74" s="181"/>
      <c r="O74" s="181"/>
      <c r="P74" s="88"/>
      <c r="Q74" s="155"/>
      <c r="R74" s="181"/>
      <c r="S74" s="181"/>
      <c r="T74" s="181"/>
      <c r="U74" s="395"/>
      <c r="V74" s="387"/>
      <c r="W74" s="181"/>
      <c r="X74" s="181"/>
      <c r="Y74" s="181"/>
      <c r="Z74" s="395"/>
      <c r="AA74" s="387"/>
      <c r="AB74" s="181"/>
      <c r="AC74" s="181"/>
      <c r="AD74" s="181"/>
      <c r="AE74" s="395"/>
      <c r="AF74" s="387"/>
      <c r="AG74" s="181"/>
      <c r="AH74" s="181"/>
      <c r="AI74" s="181"/>
      <c r="AJ74" s="395"/>
      <c r="AK74" s="387"/>
      <c r="AL74" s="181"/>
      <c r="AM74" s="181"/>
      <c r="AN74" s="181"/>
      <c r="AO74" s="196"/>
      <c r="AP74" s="195"/>
      <c r="AQ74" s="188"/>
      <c r="AR74" s="188"/>
      <c r="AS74" s="188"/>
    </row>
    <row r="75">
      <c r="A75" s="395"/>
      <c r="B75" s="387"/>
      <c r="C75" s="181"/>
      <c r="D75" s="181"/>
      <c r="E75" s="181"/>
      <c r="F75" s="395"/>
      <c r="G75" s="387"/>
      <c r="H75" s="181"/>
      <c r="I75" s="181"/>
      <c r="J75" s="181"/>
      <c r="K75" s="88"/>
      <c r="L75" s="387"/>
      <c r="M75" s="181"/>
      <c r="N75" s="181"/>
      <c r="O75" s="181"/>
      <c r="P75" s="88"/>
      <c r="Q75" s="155"/>
      <c r="R75" s="181"/>
      <c r="S75" s="181"/>
      <c r="T75" s="181"/>
      <c r="U75" s="395"/>
      <c r="V75" s="387"/>
      <c r="W75" s="181"/>
      <c r="X75" s="181"/>
      <c r="Y75" s="181"/>
      <c r="Z75" s="395"/>
      <c r="AA75" s="387"/>
      <c r="AB75" s="181"/>
      <c r="AC75" s="181"/>
      <c r="AD75" s="181"/>
      <c r="AE75" s="395"/>
      <c r="AF75" s="387"/>
      <c r="AG75" s="181"/>
      <c r="AH75" s="181"/>
      <c r="AI75" s="181"/>
      <c r="AJ75" s="395"/>
      <c r="AK75" s="387"/>
      <c r="AL75" s="181"/>
      <c r="AM75" s="181"/>
      <c r="AN75" s="181"/>
      <c r="AO75" s="196"/>
      <c r="AP75" s="195"/>
      <c r="AQ75" s="188"/>
      <c r="AR75" s="188"/>
      <c r="AS75" s="188"/>
    </row>
    <row r="76">
      <c r="A76" s="395"/>
      <c r="B76" s="387"/>
      <c r="C76" s="181"/>
      <c r="D76" s="181"/>
      <c r="E76" s="181"/>
      <c r="F76" s="395"/>
      <c r="G76" s="387"/>
      <c r="H76" s="181"/>
      <c r="I76" s="181"/>
      <c r="J76" s="181"/>
      <c r="K76" s="88"/>
      <c r="L76" s="387"/>
      <c r="M76" s="181"/>
      <c r="N76" s="181"/>
      <c r="O76" s="181"/>
      <c r="P76" s="88"/>
      <c r="Q76" s="155"/>
      <c r="R76" s="181"/>
      <c r="S76" s="181"/>
      <c r="T76" s="181"/>
      <c r="U76" s="395"/>
      <c r="V76" s="387"/>
      <c r="W76" s="181"/>
      <c r="X76" s="181"/>
      <c r="Y76" s="181"/>
      <c r="Z76" s="395"/>
      <c r="AA76" s="387"/>
      <c r="AB76" s="181"/>
      <c r="AC76" s="181"/>
      <c r="AD76" s="181"/>
      <c r="AE76" s="395"/>
      <c r="AF76" s="387"/>
      <c r="AG76" s="181"/>
      <c r="AH76" s="181"/>
      <c r="AI76" s="181"/>
      <c r="AJ76" s="395"/>
      <c r="AK76" s="387"/>
      <c r="AL76" s="181"/>
      <c r="AM76" s="181"/>
      <c r="AN76" s="181"/>
      <c r="AO76" s="196"/>
      <c r="AP76" s="195"/>
      <c r="AQ76" s="188"/>
      <c r="AR76" s="188"/>
      <c r="AS76" s="188"/>
    </row>
    <row r="77">
      <c r="A77" s="395"/>
      <c r="B77" s="387"/>
      <c r="C77" s="181"/>
      <c r="D77" s="181"/>
      <c r="E77" s="181"/>
      <c r="F77" s="395"/>
      <c r="G77" s="387"/>
      <c r="H77" s="181"/>
      <c r="I77" s="181"/>
      <c r="J77" s="181"/>
      <c r="K77" s="88"/>
      <c r="L77" s="387"/>
      <c r="M77" s="181"/>
      <c r="N77" s="181"/>
      <c r="O77" s="181"/>
      <c r="P77" s="88"/>
      <c r="Q77" s="155"/>
      <c r="R77" s="181"/>
      <c r="S77" s="181"/>
      <c r="T77" s="181"/>
      <c r="U77" s="395"/>
      <c r="V77" s="387"/>
      <c r="W77" s="181"/>
      <c r="X77" s="181"/>
      <c r="Y77" s="181"/>
      <c r="Z77" s="395"/>
      <c r="AA77" s="387"/>
      <c r="AB77" s="181"/>
      <c r="AC77" s="181"/>
      <c r="AD77" s="181"/>
      <c r="AE77" s="395"/>
      <c r="AF77" s="387"/>
      <c r="AG77" s="181"/>
      <c r="AH77" s="181"/>
      <c r="AI77" s="181"/>
      <c r="AJ77" s="395"/>
      <c r="AK77" s="387"/>
      <c r="AL77" s="181"/>
      <c r="AM77" s="181"/>
      <c r="AN77" s="181"/>
      <c r="AO77" s="196"/>
      <c r="AP77" s="195"/>
      <c r="AQ77" s="188"/>
      <c r="AR77" s="188"/>
      <c r="AS77" s="188"/>
    </row>
    <row r="78">
      <c r="A78" s="395"/>
      <c r="B78" s="387"/>
      <c r="C78" s="181"/>
      <c r="D78" s="181"/>
      <c r="E78" s="181"/>
      <c r="F78" s="395"/>
      <c r="G78" s="387"/>
      <c r="H78" s="181"/>
      <c r="I78" s="181"/>
      <c r="J78" s="181"/>
      <c r="K78" s="88"/>
      <c r="L78" s="387"/>
      <c r="M78" s="181"/>
      <c r="N78" s="181"/>
      <c r="O78" s="181"/>
      <c r="P78" s="88"/>
      <c r="Q78" s="155"/>
      <c r="R78" s="181"/>
      <c r="S78" s="181"/>
      <c r="T78" s="181"/>
      <c r="U78" s="395"/>
      <c r="V78" s="387"/>
      <c r="W78" s="181"/>
      <c r="X78" s="181"/>
      <c r="Y78" s="181"/>
      <c r="Z78" s="395"/>
      <c r="AA78" s="387"/>
      <c r="AB78" s="181"/>
      <c r="AC78" s="181"/>
      <c r="AD78" s="181"/>
      <c r="AE78" s="395"/>
      <c r="AF78" s="387"/>
      <c r="AG78" s="181"/>
      <c r="AH78" s="181"/>
      <c r="AI78" s="181"/>
      <c r="AJ78" s="395"/>
      <c r="AK78" s="387"/>
      <c r="AL78" s="181"/>
      <c r="AM78" s="181"/>
      <c r="AN78" s="181"/>
      <c r="AO78" s="196"/>
      <c r="AP78" s="195"/>
      <c r="AQ78" s="188"/>
      <c r="AR78" s="188"/>
      <c r="AS78" s="188"/>
    </row>
    <row r="79">
      <c r="A79" s="395"/>
      <c r="B79" s="387"/>
      <c r="C79" s="181"/>
      <c r="D79" s="181"/>
      <c r="E79" s="181"/>
      <c r="F79" s="395"/>
      <c r="G79" s="387"/>
      <c r="H79" s="181"/>
      <c r="I79" s="181"/>
      <c r="J79" s="181"/>
      <c r="K79" s="88"/>
      <c r="L79" s="387"/>
      <c r="M79" s="181"/>
      <c r="N79" s="181"/>
      <c r="O79" s="181"/>
      <c r="P79" s="88"/>
      <c r="Q79" s="155"/>
      <c r="R79" s="181"/>
      <c r="S79" s="181"/>
      <c r="T79" s="181"/>
      <c r="U79" s="395"/>
      <c r="V79" s="387"/>
      <c r="W79" s="181"/>
      <c r="X79" s="181"/>
      <c r="Y79" s="181"/>
      <c r="Z79" s="395"/>
      <c r="AA79" s="387"/>
      <c r="AB79" s="181"/>
      <c r="AC79" s="181"/>
      <c r="AD79" s="181"/>
      <c r="AE79" s="395"/>
      <c r="AF79" s="387"/>
      <c r="AG79" s="181"/>
      <c r="AH79" s="181"/>
      <c r="AI79" s="181"/>
      <c r="AJ79" s="395"/>
      <c r="AK79" s="387"/>
      <c r="AL79" s="181"/>
      <c r="AM79" s="181"/>
      <c r="AN79" s="181"/>
      <c r="AO79" s="196"/>
      <c r="AP79" s="195"/>
      <c r="AQ79" s="188"/>
      <c r="AR79" s="188"/>
      <c r="AS79" s="188"/>
    </row>
    <row r="80">
      <c r="A80" s="395"/>
      <c r="B80" s="387"/>
      <c r="C80" s="181"/>
      <c r="D80" s="181"/>
      <c r="E80" s="181"/>
      <c r="F80" s="395"/>
      <c r="G80" s="387"/>
      <c r="H80" s="181"/>
      <c r="I80" s="181"/>
      <c r="J80" s="181"/>
      <c r="K80" s="88"/>
      <c r="L80" s="387"/>
      <c r="M80" s="181"/>
      <c r="N80" s="181"/>
      <c r="O80" s="181"/>
      <c r="P80" s="88"/>
      <c r="Q80" s="155"/>
      <c r="R80" s="181"/>
      <c r="S80" s="181"/>
      <c r="T80" s="181"/>
      <c r="U80" s="395"/>
      <c r="V80" s="387"/>
      <c r="W80" s="181"/>
      <c r="X80" s="181"/>
      <c r="Y80" s="181"/>
      <c r="Z80" s="395"/>
      <c r="AA80" s="387"/>
      <c r="AB80" s="181"/>
      <c r="AC80" s="181"/>
      <c r="AD80" s="181"/>
      <c r="AE80" s="395"/>
      <c r="AF80" s="387"/>
      <c r="AG80" s="181"/>
      <c r="AH80" s="181"/>
      <c r="AI80" s="181"/>
      <c r="AJ80" s="395"/>
      <c r="AK80" s="387"/>
      <c r="AL80" s="181"/>
      <c r="AM80" s="181"/>
      <c r="AN80" s="181"/>
      <c r="AO80" s="196"/>
      <c r="AP80" s="195"/>
      <c r="AQ80" s="188"/>
      <c r="AR80" s="188"/>
      <c r="AS80" s="188"/>
    </row>
    <row r="81">
      <c r="A81" s="395"/>
      <c r="B81" s="387"/>
      <c r="C81" s="181"/>
      <c r="D81" s="181"/>
      <c r="E81" s="181"/>
      <c r="F81" s="395"/>
      <c r="G81" s="387"/>
      <c r="H81" s="181"/>
      <c r="I81" s="181"/>
      <c r="J81" s="181"/>
      <c r="K81" s="88"/>
      <c r="L81" s="387"/>
      <c r="M81" s="181"/>
      <c r="N81" s="181"/>
      <c r="O81" s="181"/>
      <c r="P81" s="88"/>
      <c r="Q81" s="155"/>
      <c r="R81" s="181"/>
      <c r="S81" s="181"/>
      <c r="T81" s="181"/>
      <c r="U81" s="395"/>
      <c r="V81" s="387"/>
      <c r="W81" s="181"/>
      <c r="X81" s="181"/>
      <c r="Y81" s="181"/>
      <c r="Z81" s="395"/>
      <c r="AA81" s="387"/>
      <c r="AB81" s="181"/>
      <c r="AC81" s="181"/>
      <c r="AD81" s="181"/>
      <c r="AE81" s="395"/>
      <c r="AF81" s="387"/>
      <c r="AG81" s="181"/>
      <c r="AH81" s="181"/>
      <c r="AI81" s="181"/>
      <c r="AJ81" s="395"/>
      <c r="AK81" s="387"/>
      <c r="AL81" s="181"/>
      <c r="AM81" s="181"/>
      <c r="AN81" s="181"/>
      <c r="AO81" s="196"/>
      <c r="AP81" s="195"/>
      <c r="AQ81" s="188"/>
      <c r="AR81" s="188"/>
      <c r="AS81" s="188"/>
    </row>
    <row r="82">
      <c r="A82" s="395"/>
      <c r="B82" s="387"/>
      <c r="C82" s="181"/>
      <c r="D82" s="181"/>
      <c r="E82" s="181"/>
      <c r="F82" s="395"/>
      <c r="G82" s="387"/>
      <c r="H82" s="181"/>
      <c r="I82" s="181"/>
      <c r="J82" s="181"/>
      <c r="K82" s="88"/>
      <c r="L82" s="387"/>
      <c r="M82" s="181"/>
      <c r="N82" s="181"/>
      <c r="O82" s="181"/>
      <c r="P82" s="88"/>
      <c r="Q82" s="155"/>
      <c r="R82" s="181"/>
      <c r="S82" s="181"/>
      <c r="T82" s="181"/>
      <c r="U82" s="395"/>
      <c r="V82" s="387"/>
      <c r="W82" s="181"/>
      <c r="X82" s="181"/>
      <c r="Y82" s="181"/>
      <c r="Z82" s="395"/>
      <c r="AA82" s="387"/>
      <c r="AB82" s="181"/>
      <c r="AC82" s="181"/>
      <c r="AD82" s="181"/>
      <c r="AE82" s="395"/>
      <c r="AF82" s="387"/>
      <c r="AG82" s="181"/>
      <c r="AH82" s="181"/>
      <c r="AI82" s="181"/>
      <c r="AJ82" s="395"/>
      <c r="AK82" s="387"/>
      <c r="AL82" s="181"/>
      <c r="AM82" s="181"/>
      <c r="AN82" s="181"/>
      <c r="AO82" s="196"/>
      <c r="AP82" s="195"/>
      <c r="AQ82" s="188"/>
      <c r="AR82" s="188"/>
      <c r="AS82" s="188"/>
    </row>
    <row r="83">
      <c r="A83" s="395"/>
      <c r="B83" s="387"/>
      <c r="C83" s="181"/>
      <c r="D83" s="181"/>
      <c r="E83" s="181"/>
      <c r="F83" s="395"/>
      <c r="G83" s="387"/>
      <c r="H83" s="181"/>
      <c r="I83" s="181"/>
      <c r="J83" s="181"/>
      <c r="K83" s="88"/>
      <c r="L83" s="387"/>
      <c r="M83" s="181"/>
      <c r="N83" s="181"/>
      <c r="O83" s="181"/>
      <c r="P83" s="88"/>
      <c r="Q83" s="155"/>
      <c r="R83" s="181"/>
      <c r="S83" s="181"/>
      <c r="T83" s="181"/>
      <c r="U83" s="395"/>
      <c r="V83" s="387"/>
      <c r="W83" s="181"/>
      <c r="X83" s="181"/>
      <c r="Y83" s="181"/>
      <c r="Z83" s="395"/>
      <c r="AA83" s="387"/>
      <c r="AB83" s="181"/>
      <c r="AC83" s="181"/>
      <c r="AD83" s="181"/>
      <c r="AE83" s="395"/>
      <c r="AF83" s="387"/>
      <c r="AG83" s="181"/>
      <c r="AH83" s="181"/>
      <c r="AI83" s="181"/>
      <c r="AJ83" s="395"/>
      <c r="AK83" s="387"/>
      <c r="AL83" s="181"/>
      <c r="AM83" s="181"/>
      <c r="AN83" s="181"/>
      <c r="AO83" s="196"/>
      <c r="AP83" s="195"/>
      <c r="AQ83" s="188"/>
      <c r="AR83" s="188"/>
      <c r="AS83" s="188"/>
    </row>
    <row r="84">
      <c r="A84" s="395"/>
      <c r="B84" s="387"/>
      <c r="C84" s="181"/>
      <c r="D84" s="181"/>
      <c r="E84" s="181"/>
      <c r="F84" s="395"/>
      <c r="G84" s="387"/>
      <c r="H84" s="181"/>
      <c r="I84" s="181"/>
      <c r="J84" s="181"/>
      <c r="K84" s="88"/>
      <c r="L84" s="387"/>
      <c r="M84" s="181"/>
      <c r="N84" s="181"/>
      <c r="O84" s="181"/>
      <c r="P84" s="88"/>
      <c r="Q84" s="155"/>
      <c r="R84" s="181"/>
      <c r="S84" s="181"/>
      <c r="T84" s="181"/>
      <c r="U84" s="395"/>
      <c r="V84" s="387"/>
      <c r="W84" s="181"/>
      <c r="X84" s="181"/>
      <c r="Y84" s="181"/>
      <c r="Z84" s="395"/>
      <c r="AA84" s="387"/>
      <c r="AB84" s="181"/>
      <c r="AC84" s="181"/>
      <c r="AD84" s="181"/>
      <c r="AE84" s="395"/>
      <c r="AF84" s="387"/>
      <c r="AG84" s="181"/>
      <c r="AH84" s="181"/>
      <c r="AI84" s="181"/>
      <c r="AJ84" s="395"/>
      <c r="AK84" s="387"/>
      <c r="AL84" s="181"/>
      <c r="AM84" s="181"/>
      <c r="AN84" s="181"/>
      <c r="AO84" s="196"/>
      <c r="AP84" s="195"/>
      <c r="AQ84" s="188"/>
      <c r="AR84" s="188"/>
      <c r="AS84" s="188"/>
    </row>
    <row r="85">
      <c r="A85" s="395"/>
      <c r="B85" s="387"/>
      <c r="C85" s="181"/>
      <c r="D85" s="181"/>
      <c r="E85" s="181"/>
      <c r="F85" s="395"/>
      <c r="G85" s="387"/>
      <c r="H85" s="181"/>
      <c r="I85" s="181"/>
      <c r="J85" s="181"/>
      <c r="K85" s="88"/>
      <c r="L85" s="387"/>
      <c r="M85" s="181"/>
      <c r="N85" s="181"/>
      <c r="O85" s="181"/>
      <c r="P85" s="88"/>
      <c r="Q85" s="155"/>
      <c r="R85" s="181"/>
      <c r="S85" s="181"/>
      <c r="T85" s="181"/>
      <c r="U85" s="395"/>
      <c r="V85" s="387"/>
      <c r="W85" s="181"/>
      <c r="X85" s="181"/>
      <c r="Y85" s="181"/>
      <c r="Z85" s="395"/>
      <c r="AA85" s="387"/>
      <c r="AB85" s="181"/>
      <c r="AC85" s="181"/>
      <c r="AD85" s="181"/>
      <c r="AE85" s="395"/>
      <c r="AF85" s="387"/>
      <c r="AG85" s="181"/>
      <c r="AH85" s="181"/>
      <c r="AI85" s="181"/>
      <c r="AJ85" s="395"/>
      <c r="AK85" s="387"/>
      <c r="AL85" s="181"/>
      <c r="AM85" s="181"/>
      <c r="AN85" s="181"/>
      <c r="AO85" s="196"/>
      <c r="AP85" s="195"/>
      <c r="AQ85" s="188"/>
      <c r="AR85" s="188"/>
      <c r="AS85" s="188"/>
    </row>
    <row r="86">
      <c r="A86" s="395"/>
      <c r="B86" s="387"/>
      <c r="C86" s="181"/>
      <c r="D86" s="181"/>
      <c r="E86" s="181"/>
      <c r="F86" s="395"/>
      <c r="G86" s="387"/>
      <c r="H86" s="181"/>
      <c r="I86" s="181"/>
      <c r="J86" s="181"/>
      <c r="K86" s="88"/>
      <c r="L86" s="387"/>
      <c r="M86" s="181"/>
      <c r="N86" s="181"/>
      <c r="O86" s="181"/>
      <c r="P86" s="88"/>
      <c r="Q86" s="155"/>
      <c r="R86" s="181"/>
      <c r="S86" s="181"/>
      <c r="T86" s="181"/>
      <c r="U86" s="395"/>
      <c r="V86" s="387"/>
      <c r="W86" s="181"/>
      <c r="X86" s="181"/>
      <c r="Y86" s="181"/>
      <c r="Z86" s="395"/>
      <c r="AA86" s="387"/>
      <c r="AB86" s="181"/>
      <c r="AC86" s="181"/>
      <c r="AD86" s="181"/>
      <c r="AE86" s="395"/>
      <c r="AF86" s="387"/>
      <c r="AG86" s="181"/>
      <c r="AH86" s="181"/>
      <c r="AI86" s="181"/>
      <c r="AJ86" s="395"/>
      <c r="AK86" s="387"/>
      <c r="AL86" s="181"/>
      <c r="AM86" s="181"/>
      <c r="AN86" s="181"/>
      <c r="AO86" s="196"/>
      <c r="AP86" s="195"/>
      <c r="AQ86" s="188"/>
      <c r="AR86" s="188"/>
      <c r="AS86" s="188"/>
    </row>
    <row r="87">
      <c r="A87" s="395"/>
      <c r="B87" s="387"/>
      <c r="C87" s="181"/>
      <c r="D87" s="181"/>
      <c r="E87" s="181"/>
      <c r="F87" s="395"/>
      <c r="G87" s="387"/>
      <c r="H87" s="181"/>
      <c r="I87" s="181"/>
      <c r="J87" s="181"/>
      <c r="K87" s="88"/>
      <c r="L87" s="387"/>
      <c r="M87" s="181"/>
      <c r="N87" s="181"/>
      <c r="O87" s="181"/>
      <c r="P87" s="88"/>
      <c r="Q87" s="155"/>
      <c r="R87" s="181"/>
      <c r="S87" s="181"/>
      <c r="T87" s="181"/>
      <c r="U87" s="395"/>
      <c r="V87" s="387"/>
      <c r="W87" s="181"/>
      <c r="X87" s="181"/>
      <c r="Y87" s="181"/>
      <c r="Z87" s="395"/>
      <c r="AA87" s="387"/>
      <c r="AB87" s="181"/>
      <c r="AC87" s="181"/>
      <c r="AD87" s="181"/>
      <c r="AE87" s="395"/>
      <c r="AF87" s="387"/>
      <c r="AG87" s="181"/>
      <c r="AH87" s="181"/>
      <c r="AI87" s="181"/>
      <c r="AJ87" s="395"/>
      <c r="AK87" s="387"/>
      <c r="AL87" s="181"/>
      <c r="AM87" s="181"/>
      <c r="AN87" s="181"/>
      <c r="AO87" s="196"/>
      <c r="AP87" s="195"/>
      <c r="AQ87" s="188"/>
      <c r="AR87" s="188"/>
      <c r="AS87" s="188"/>
    </row>
    <row r="88">
      <c r="A88" s="395"/>
      <c r="B88" s="387"/>
      <c r="C88" s="181"/>
      <c r="D88" s="181"/>
      <c r="E88" s="181"/>
      <c r="F88" s="395"/>
      <c r="G88" s="387"/>
      <c r="H88" s="181"/>
      <c r="I88" s="181"/>
      <c r="J88" s="181"/>
      <c r="K88" s="88"/>
      <c r="L88" s="387"/>
      <c r="M88" s="181"/>
      <c r="N88" s="181"/>
      <c r="O88" s="181"/>
      <c r="P88" s="88"/>
      <c r="Q88" s="155"/>
      <c r="R88" s="181"/>
      <c r="S88" s="181"/>
      <c r="T88" s="181"/>
      <c r="U88" s="395"/>
      <c r="V88" s="387"/>
      <c r="W88" s="181"/>
      <c r="X88" s="181"/>
      <c r="Y88" s="181"/>
      <c r="Z88" s="395"/>
      <c r="AA88" s="387"/>
      <c r="AB88" s="181"/>
      <c r="AC88" s="181"/>
      <c r="AD88" s="181"/>
      <c r="AE88" s="395"/>
      <c r="AF88" s="387"/>
      <c r="AG88" s="181"/>
      <c r="AH88" s="181"/>
      <c r="AI88" s="181"/>
      <c r="AJ88" s="395"/>
      <c r="AK88" s="387"/>
      <c r="AL88" s="181"/>
      <c r="AM88" s="181"/>
      <c r="AN88" s="181"/>
      <c r="AO88" s="196"/>
      <c r="AP88" s="195"/>
      <c r="AQ88" s="188"/>
      <c r="AR88" s="188"/>
      <c r="AS88" s="188"/>
    </row>
    <row r="89">
      <c r="A89" s="395"/>
      <c r="B89" s="387"/>
      <c r="C89" s="181"/>
      <c r="D89" s="181"/>
      <c r="E89" s="181"/>
      <c r="F89" s="395"/>
      <c r="G89" s="387"/>
      <c r="H89" s="181"/>
      <c r="I89" s="181"/>
      <c r="J89" s="181"/>
      <c r="K89" s="88"/>
      <c r="L89" s="387"/>
      <c r="M89" s="181"/>
      <c r="N89" s="181"/>
      <c r="O89" s="181"/>
      <c r="P89" s="88"/>
      <c r="Q89" s="155"/>
      <c r="R89" s="181"/>
      <c r="S89" s="181"/>
      <c r="T89" s="181"/>
      <c r="U89" s="395"/>
      <c r="V89" s="387"/>
      <c r="W89" s="181"/>
      <c r="X89" s="181"/>
      <c r="Y89" s="181"/>
      <c r="Z89" s="395"/>
      <c r="AA89" s="387"/>
      <c r="AB89" s="181"/>
      <c r="AC89" s="181"/>
      <c r="AD89" s="181"/>
      <c r="AE89" s="395"/>
      <c r="AF89" s="387"/>
      <c r="AG89" s="181"/>
      <c r="AH89" s="181"/>
      <c r="AI89" s="181"/>
      <c r="AJ89" s="395"/>
      <c r="AK89" s="387"/>
      <c r="AL89" s="181"/>
      <c r="AM89" s="181"/>
      <c r="AN89" s="181"/>
      <c r="AO89" s="196"/>
      <c r="AP89" s="195"/>
      <c r="AQ89" s="188"/>
      <c r="AR89" s="188"/>
      <c r="AS89" s="188"/>
    </row>
    <row r="90">
      <c r="A90" s="395"/>
      <c r="B90" s="387"/>
      <c r="C90" s="181"/>
      <c r="D90" s="181"/>
      <c r="E90" s="181"/>
      <c r="F90" s="395"/>
      <c r="G90" s="387"/>
      <c r="H90" s="181"/>
      <c r="I90" s="181"/>
      <c r="J90" s="181"/>
      <c r="K90" s="88"/>
      <c r="L90" s="387"/>
      <c r="M90" s="181"/>
      <c r="N90" s="181"/>
      <c r="O90" s="181"/>
      <c r="P90" s="88"/>
      <c r="Q90" s="155"/>
      <c r="R90" s="181"/>
      <c r="S90" s="181"/>
      <c r="T90" s="181"/>
      <c r="U90" s="395"/>
      <c r="V90" s="387"/>
      <c r="W90" s="181"/>
      <c r="X90" s="181"/>
      <c r="Y90" s="181"/>
      <c r="Z90" s="395"/>
      <c r="AA90" s="387"/>
      <c r="AB90" s="181"/>
      <c r="AC90" s="181"/>
      <c r="AD90" s="181"/>
      <c r="AE90" s="395"/>
      <c r="AF90" s="387"/>
      <c r="AG90" s="181"/>
      <c r="AH90" s="181"/>
      <c r="AI90" s="181"/>
      <c r="AJ90" s="395"/>
      <c r="AK90" s="387"/>
      <c r="AL90" s="181"/>
      <c r="AM90" s="181"/>
      <c r="AN90" s="181"/>
      <c r="AO90" s="196"/>
      <c r="AP90" s="195"/>
      <c r="AQ90" s="188"/>
      <c r="AR90" s="188"/>
      <c r="AS90" s="188"/>
    </row>
    <row r="91">
      <c r="A91" s="395"/>
      <c r="B91" s="387"/>
      <c r="C91" s="181"/>
      <c r="D91" s="181"/>
      <c r="E91" s="181"/>
      <c r="F91" s="395"/>
      <c r="G91" s="387"/>
      <c r="H91" s="181"/>
      <c r="I91" s="181"/>
      <c r="J91" s="181"/>
      <c r="K91" s="88"/>
      <c r="L91" s="387"/>
      <c r="M91" s="181"/>
      <c r="N91" s="181"/>
      <c r="O91" s="181"/>
      <c r="P91" s="88"/>
      <c r="Q91" s="155"/>
      <c r="R91" s="181"/>
      <c r="S91" s="181"/>
      <c r="T91" s="181"/>
      <c r="U91" s="395"/>
      <c r="V91" s="387"/>
      <c r="W91" s="181"/>
      <c r="X91" s="181"/>
      <c r="Y91" s="181"/>
      <c r="Z91" s="395"/>
      <c r="AA91" s="387"/>
      <c r="AB91" s="181"/>
      <c r="AC91" s="181"/>
      <c r="AD91" s="181"/>
      <c r="AE91" s="395"/>
      <c r="AF91" s="387"/>
      <c r="AG91" s="181"/>
      <c r="AH91" s="181"/>
      <c r="AI91" s="181"/>
      <c r="AJ91" s="395"/>
      <c r="AK91" s="387"/>
      <c r="AL91" s="181"/>
      <c r="AM91" s="181"/>
      <c r="AN91" s="181"/>
      <c r="AO91" s="196"/>
      <c r="AP91" s="195"/>
      <c r="AQ91" s="188"/>
      <c r="AR91" s="188"/>
      <c r="AS91" s="188"/>
    </row>
    <row r="92">
      <c r="A92" s="395"/>
      <c r="B92" s="387"/>
      <c r="C92" s="181"/>
      <c r="D92" s="181"/>
      <c r="E92" s="181"/>
      <c r="F92" s="395"/>
      <c r="G92" s="387"/>
      <c r="H92" s="181"/>
      <c r="I92" s="181"/>
      <c r="J92" s="181"/>
      <c r="K92" s="88"/>
      <c r="L92" s="387"/>
      <c r="M92" s="181"/>
      <c r="N92" s="181"/>
      <c r="O92" s="181"/>
      <c r="P92" s="88"/>
      <c r="Q92" s="155"/>
      <c r="R92" s="181"/>
      <c r="S92" s="181"/>
      <c r="T92" s="181"/>
      <c r="U92" s="395"/>
      <c r="V92" s="387"/>
      <c r="W92" s="181"/>
      <c r="X92" s="181"/>
      <c r="Y92" s="181"/>
      <c r="Z92" s="395"/>
      <c r="AA92" s="387"/>
      <c r="AB92" s="181"/>
      <c r="AC92" s="181"/>
      <c r="AD92" s="181"/>
      <c r="AE92" s="395"/>
      <c r="AF92" s="387"/>
      <c r="AG92" s="181"/>
      <c r="AH92" s="181"/>
      <c r="AI92" s="181"/>
      <c r="AJ92" s="395"/>
      <c r="AK92" s="387"/>
      <c r="AL92" s="181"/>
      <c r="AM92" s="181"/>
      <c r="AN92" s="181"/>
      <c r="AO92" s="196"/>
      <c r="AP92" s="195"/>
      <c r="AQ92" s="188"/>
      <c r="AR92" s="188"/>
      <c r="AS92" s="188"/>
    </row>
    <row r="93">
      <c r="A93" s="395"/>
      <c r="B93" s="387"/>
      <c r="C93" s="181"/>
      <c r="D93" s="181"/>
      <c r="E93" s="181"/>
      <c r="F93" s="395"/>
      <c r="G93" s="387"/>
      <c r="H93" s="181"/>
      <c r="I93" s="181"/>
      <c r="J93" s="181"/>
      <c r="K93" s="88"/>
      <c r="L93" s="387"/>
      <c r="M93" s="181"/>
      <c r="N93" s="181"/>
      <c r="O93" s="181"/>
      <c r="P93" s="88"/>
      <c r="Q93" s="155"/>
      <c r="R93" s="181"/>
      <c r="S93" s="181"/>
      <c r="T93" s="181"/>
      <c r="U93" s="395"/>
      <c r="V93" s="387"/>
      <c r="W93" s="181"/>
      <c r="X93" s="181"/>
      <c r="Y93" s="181"/>
      <c r="Z93" s="395"/>
      <c r="AA93" s="387"/>
      <c r="AB93" s="181"/>
      <c r="AC93" s="181"/>
      <c r="AD93" s="181"/>
      <c r="AE93" s="395"/>
      <c r="AF93" s="387"/>
      <c r="AG93" s="181"/>
      <c r="AH93" s="181"/>
      <c r="AI93" s="181"/>
      <c r="AJ93" s="395"/>
      <c r="AK93" s="387"/>
      <c r="AL93" s="181"/>
      <c r="AM93" s="181"/>
      <c r="AN93" s="181"/>
      <c r="AO93" s="196"/>
      <c r="AP93" s="195"/>
      <c r="AQ93" s="188"/>
      <c r="AR93" s="188"/>
      <c r="AS93" s="188"/>
    </row>
    <row r="94">
      <c r="A94" s="395"/>
      <c r="B94" s="387"/>
      <c r="C94" s="181"/>
      <c r="D94" s="181"/>
      <c r="E94" s="181"/>
      <c r="F94" s="395"/>
      <c r="G94" s="387"/>
      <c r="H94" s="181"/>
      <c r="I94" s="181"/>
      <c r="J94" s="181"/>
      <c r="K94" s="88"/>
      <c r="L94" s="387"/>
      <c r="M94" s="181"/>
      <c r="N94" s="181"/>
      <c r="O94" s="181"/>
      <c r="P94" s="88"/>
      <c r="Q94" s="155"/>
      <c r="R94" s="181"/>
      <c r="S94" s="181"/>
      <c r="T94" s="181"/>
      <c r="U94" s="395"/>
      <c r="V94" s="387"/>
      <c r="W94" s="181"/>
      <c r="X94" s="181"/>
      <c r="Y94" s="181"/>
      <c r="Z94" s="395"/>
      <c r="AA94" s="387"/>
      <c r="AB94" s="181"/>
      <c r="AC94" s="181"/>
      <c r="AD94" s="181"/>
      <c r="AE94" s="395"/>
      <c r="AF94" s="387"/>
      <c r="AG94" s="181"/>
      <c r="AH94" s="181"/>
      <c r="AI94" s="181"/>
      <c r="AJ94" s="395"/>
      <c r="AK94" s="387"/>
      <c r="AL94" s="181"/>
      <c r="AM94" s="181"/>
      <c r="AN94" s="181"/>
      <c r="AO94" s="196"/>
      <c r="AP94" s="195"/>
      <c r="AQ94" s="188"/>
      <c r="AR94" s="188"/>
      <c r="AS94" s="188"/>
    </row>
    <row r="95">
      <c r="A95" s="395"/>
      <c r="B95" s="387"/>
      <c r="C95" s="181"/>
      <c r="D95" s="181"/>
      <c r="E95" s="181"/>
      <c r="F95" s="395"/>
      <c r="G95" s="387"/>
      <c r="H95" s="181"/>
      <c r="I95" s="181"/>
      <c r="J95" s="181"/>
      <c r="K95" s="88"/>
      <c r="L95" s="387"/>
      <c r="M95" s="181"/>
      <c r="N95" s="181"/>
      <c r="O95" s="181"/>
      <c r="P95" s="88"/>
      <c r="Q95" s="155"/>
      <c r="R95" s="181"/>
      <c r="S95" s="181"/>
      <c r="T95" s="181"/>
      <c r="U95" s="395"/>
      <c r="V95" s="387"/>
      <c r="W95" s="181"/>
      <c r="X95" s="181"/>
      <c r="Y95" s="181"/>
      <c r="Z95" s="395"/>
      <c r="AA95" s="387"/>
      <c r="AB95" s="181"/>
      <c r="AC95" s="181"/>
      <c r="AD95" s="181"/>
      <c r="AE95" s="395"/>
      <c r="AF95" s="387"/>
      <c r="AG95" s="181"/>
      <c r="AH95" s="181"/>
      <c r="AI95" s="181"/>
      <c r="AJ95" s="395"/>
      <c r="AK95" s="387"/>
      <c r="AL95" s="181"/>
      <c r="AM95" s="181"/>
      <c r="AN95" s="181"/>
      <c r="AO95" s="196"/>
      <c r="AP95" s="195"/>
      <c r="AQ95" s="188"/>
      <c r="AR95" s="188"/>
      <c r="AS95" s="188"/>
    </row>
    <row r="96">
      <c r="A96" s="395"/>
      <c r="B96" s="387"/>
      <c r="C96" s="181"/>
      <c r="D96" s="181"/>
      <c r="E96" s="181"/>
      <c r="F96" s="395"/>
      <c r="G96" s="387"/>
      <c r="H96" s="181"/>
      <c r="I96" s="181"/>
      <c r="J96" s="181"/>
      <c r="K96" s="88"/>
      <c r="L96" s="387"/>
      <c r="M96" s="181"/>
      <c r="N96" s="181"/>
      <c r="O96" s="181"/>
      <c r="P96" s="88"/>
      <c r="Q96" s="155"/>
      <c r="R96" s="181"/>
      <c r="S96" s="181"/>
      <c r="T96" s="181"/>
      <c r="U96" s="395"/>
      <c r="V96" s="387"/>
      <c r="W96" s="181"/>
      <c r="X96" s="181"/>
      <c r="Y96" s="181"/>
      <c r="Z96" s="395"/>
      <c r="AA96" s="387"/>
      <c r="AB96" s="181"/>
      <c r="AC96" s="181"/>
      <c r="AD96" s="181"/>
      <c r="AE96" s="395"/>
      <c r="AF96" s="387"/>
      <c r="AG96" s="181"/>
      <c r="AH96" s="181"/>
      <c r="AI96" s="181"/>
      <c r="AJ96" s="395"/>
      <c r="AK96" s="387"/>
      <c r="AL96" s="181"/>
      <c r="AM96" s="181"/>
      <c r="AN96" s="181"/>
      <c r="AO96" s="196"/>
      <c r="AP96" s="195"/>
      <c r="AQ96" s="188"/>
      <c r="AR96" s="188"/>
      <c r="AS96" s="188"/>
    </row>
    <row r="97">
      <c r="A97" s="395"/>
      <c r="B97" s="387"/>
      <c r="C97" s="181"/>
      <c r="D97" s="181"/>
      <c r="E97" s="181"/>
      <c r="F97" s="395"/>
      <c r="G97" s="387"/>
      <c r="H97" s="181"/>
      <c r="I97" s="181"/>
      <c r="J97" s="181"/>
      <c r="K97" s="88"/>
      <c r="L97" s="387"/>
      <c r="M97" s="181"/>
      <c r="N97" s="181"/>
      <c r="O97" s="181"/>
      <c r="P97" s="88"/>
      <c r="Q97" s="155"/>
      <c r="R97" s="181"/>
      <c r="S97" s="181"/>
      <c r="T97" s="181"/>
      <c r="U97" s="395"/>
      <c r="V97" s="387"/>
      <c r="W97" s="181"/>
      <c r="X97" s="181"/>
      <c r="Y97" s="181"/>
      <c r="Z97" s="395"/>
      <c r="AA97" s="387"/>
      <c r="AB97" s="181"/>
      <c r="AC97" s="181"/>
      <c r="AD97" s="181"/>
      <c r="AE97" s="395"/>
      <c r="AF97" s="387"/>
      <c r="AG97" s="181"/>
      <c r="AH97" s="181"/>
      <c r="AI97" s="181"/>
      <c r="AJ97" s="395"/>
      <c r="AK97" s="387"/>
      <c r="AL97" s="181"/>
      <c r="AM97" s="181"/>
      <c r="AN97" s="181"/>
      <c r="AO97" s="196"/>
      <c r="AP97" s="195"/>
      <c r="AQ97" s="188"/>
      <c r="AR97" s="188"/>
      <c r="AS97" s="188"/>
    </row>
    <row r="98">
      <c r="A98" s="395"/>
      <c r="B98" s="387"/>
      <c r="C98" s="181"/>
      <c r="D98" s="181"/>
      <c r="E98" s="181"/>
      <c r="F98" s="395"/>
      <c r="G98" s="387"/>
      <c r="H98" s="181"/>
      <c r="I98" s="181"/>
      <c r="J98" s="181"/>
      <c r="K98" s="88"/>
      <c r="L98" s="387"/>
      <c r="M98" s="181"/>
      <c r="N98" s="181"/>
      <c r="O98" s="181"/>
      <c r="P98" s="88"/>
      <c r="Q98" s="155"/>
      <c r="R98" s="181"/>
      <c r="S98" s="181"/>
      <c r="T98" s="181"/>
      <c r="U98" s="395"/>
      <c r="V98" s="387"/>
      <c r="W98" s="181"/>
      <c r="X98" s="181"/>
      <c r="Y98" s="181"/>
      <c r="Z98" s="395"/>
      <c r="AA98" s="387"/>
      <c r="AB98" s="181"/>
      <c r="AC98" s="181"/>
      <c r="AD98" s="181"/>
      <c r="AE98" s="395"/>
      <c r="AF98" s="387"/>
      <c r="AG98" s="181"/>
      <c r="AH98" s="181"/>
      <c r="AI98" s="181"/>
      <c r="AJ98" s="395"/>
      <c r="AK98" s="387"/>
      <c r="AL98" s="181"/>
      <c r="AM98" s="181"/>
      <c r="AN98" s="181"/>
      <c r="AO98" s="196"/>
      <c r="AP98" s="195"/>
      <c r="AQ98" s="188"/>
      <c r="AR98" s="188"/>
      <c r="AS98" s="188"/>
    </row>
    <row r="99">
      <c r="A99" s="395"/>
      <c r="B99" s="387"/>
      <c r="C99" s="181"/>
      <c r="D99" s="181"/>
      <c r="E99" s="181"/>
      <c r="F99" s="395"/>
      <c r="G99" s="387"/>
      <c r="H99" s="181"/>
      <c r="I99" s="181"/>
      <c r="J99" s="181"/>
      <c r="K99" s="88"/>
      <c r="L99" s="387"/>
      <c r="M99" s="181"/>
      <c r="N99" s="181"/>
      <c r="O99" s="181"/>
      <c r="P99" s="88"/>
      <c r="Q99" s="155"/>
      <c r="R99" s="181"/>
      <c r="S99" s="181"/>
      <c r="T99" s="181"/>
      <c r="U99" s="395"/>
      <c r="V99" s="387"/>
      <c r="W99" s="181"/>
      <c r="X99" s="181"/>
      <c r="Y99" s="181"/>
      <c r="Z99" s="395"/>
      <c r="AA99" s="387"/>
      <c r="AB99" s="181"/>
      <c r="AC99" s="181"/>
      <c r="AD99" s="181"/>
      <c r="AE99" s="395"/>
      <c r="AF99" s="387"/>
      <c r="AG99" s="181"/>
      <c r="AH99" s="181"/>
      <c r="AI99" s="181"/>
      <c r="AJ99" s="395"/>
      <c r="AK99" s="387"/>
      <c r="AL99" s="181"/>
      <c r="AM99" s="181"/>
      <c r="AN99" s="181"/>
      <c r="AO99" s="196"/>
      <c r="AP99" s="195"/>
      <c r="AQ99" s="188"/>
      <c r="AR99" s="188"/>
      <c r="AS99" s="188"/>
    </row>
    <row r="100">
      <c r="A100" s="395"/>
      <c r="B100" s="387"/>
      <c r="C100" s="181"/>
      <c r="D100" s="181"/>
      <c r="E100" s="181"/>
      <c r="F100" s="395"/>
      <c r="G100" s="387"/>
      <c r="H100" s="181"/>
      <c r="I100" s="181"/>
      <c r="J100" s="181"/>
      <c r="K100" s="88"/>
      <c r="L100" s="387"/>
      <c r="M100" s="181"/>
      <c r="N100" s="181"/>
      <c r="O100" s="181"/>
      <c r="P100" s="88"/>
      <c r="Q100" s="155"/>
      <c r="R100" s="181"/>
      <c r="S100" s="181"/>
      <c r="T100" s="181"/>
      <c r="U100" s="395"/>
      <c r="V100" s="387"/>
      <c r="W100" s="181"/>
      <c r="X100" s="181"/>
      <c r="Y100" s="181"/>
      <c r="Z100" s="395"/>
      <c r="AA100" s="387"/>
      <c r="AB100" s="181"/>
      <c r="AC100" s="181"/>
      <c r="AD100" s="181"/>
      <c r="AE100" s="395"/>
      <c r="AF100" s="387"/>
      <c r="AG100" s="181"/>
      <c r="AH100" s="181"/>
      <c r="AI100" s="181"/>
      <c r="AJ100" s="395"/>
      <c r="AK100" s="387"/>
      <c r="AL100" s="181"/>
      <c r="AM100" s="181"/>
      <c r="AN100" s="181"/>
      <c r="AO100" s="196"/>
      <c r="AP100" s="195"/>
      <c r="AQ100" s="188"/>
      <c r="AR100" s="188"/>
      <c r="AS100" s="188"/>
    </row>
    <row r="101">
      <c r="A101" s="395"/>
      <c r="B101" s="387"/>
      <c r="C101" s="181"/>
      <c r="D101" s="181"/>
      <c r="E101" s="181"/>
      <c r="F101" s="395"/>
      <c r="G101" s="387"/>
      <c r="H101" s="181"/>
      <c r="I101" s="181"/>
      <c r="J101" s="181"/>
      <c r="K101" s="88"/>
      <c r="L101" s="387"/>
      <c r="M101" s="181"/>
      <c r="N101" s="181"/>
      <c r="O101" s="181"/>
      <c r="P101" s="88"/>
      <c r="Q101" s="155"/>
      <c r="R101" s="181"/>
      <c r="S101" s="181"/>
      <c r="T101" s="181"/>
      <c r="U101" s="395"/>
      <c r="V101" s="387"/>
      <c r="W101" s="181"/>
      <c r="X101" s="181"/>
      <c r="Y101" s="181"/>
      <c r="Z101" s="395"/>
      <c r="AA101" s="387"/>
      <c r="AB101" s="181"/>
      <c r="AC101" s="181"/>
      <c r="AD101" s="181"/>
      <c r="AE101" s="395"/>
      <c r="AF101" s="387"/>
      <c r="AG101" s="181"/>
      <c r="AH101" s="181"/>
      <c r="AI101" s="181"/>
      <c r="AJ101" s="395"/>
      <c r="AK101" s="387"/>
      <c r="AL101" s="181"/>
      <c r="AM101" s="181"/>
      <c r="AN101" s="181"/>
      <c r="AO101" s="196"/>
      <c r="AP101" s="195"/>
      <c r="AQ101" s="188"/>
      <c r="AR101" s="188"/>
      <c r="AS101" s="188"/>
    </row>
    <row r="102">
      <c r="A102" s="395"/>
      <c r="B102" s="387"/>
      <c r="C102" s="181"/>
      <c r="D102" s="181"/>
      <c r="E102" s="181"/>
      <c r="F102" s="395"/>
      <c r="G102" s="387"/>
      <c r="H102" s="181"/>
      <c r="I102" s="181"/>
      <c r="J102" s="181"/>
      <c r="K102" s="88"/>
      <c r="L102" s="387"/>
      <c r="M102" s="181"/>
      <c r="N102" s="181"/>
      <c r="O102" s="181"/>
      <c r="P102" s="88"/>
      <c r="Q102" s="155"/>
      <c r="R102" s="181"/>
      <c r="S102" s="181"/>
      <c r="T102" s="181"/>
      <c r="U102" s="395"/>
      <c r="V102" s="387"/>
      <c r="W102" s="181"/>
      <c r="X102" s="181"/>
      <c r="Y102" s="181"/>
      <c r="Z102" s="395"/>
      <c r="AA102" s="387"/>
      <c r="AB102" s="181"/>
      <c r="AC102" s="181"/>
      <c r="AD102" s="181"/>
      <c r="AE102" s="395"/>
      <c r="AF102" s="387"/>
      <c r="AG102" s="181"/>
      <c r="AH102" s="181"/>
      <c r="AI102" s="181"/>
      <c r="AJ102" s="395"/>
      <c r="AK102" s="387"/>
      <c r="AL102" s="181"/>
      <c r="AM102" s="181"/>
      <c r="AN102" s="181"/>
      <c r="AO102" s="196"/>
      <c r="AP102" s="195"/>
      <c r="AQ102" s="188"/>
      <c r="AR102" s="188"/>
      <c r="AS102" s="188"/>
    </row>
    <row r="103">
      <c r="A103" s="395"/>
      <c r="B103" s="387"/>
      <c r="C103" s="181"/>
      <c r="D103" s="181"/>
      <c r="E103" s="181"/>
      <c r="F103" s="395"/>
      <c r="G103" s="387"/>
      <c r="H103" s="181"/>
      <c r="I103" s="181"/>
      <c r="J103" s="181"/>
      <c r="K103" s="88"/>
      <c r="L103" s="387"/>
      <c r="M103" s="181"/>
      <c r="N103" s="181"/>
      <c r="O103" s="181"/>
      <c r="P103" s="88"/>
      <c r="Q103" s="155"/>
      <c r="R103" s="181"/>
      <c r="S103" s="181"/>
      <c r="T103" s="181"/>
      <c r="U103" s="395"/>
      <c r="V103" s="387"/>
      <c r="W103" s="181"/>
      <c r="X103" s="181"/>
      <c r="Y103" s="181"/>
      <c r="Z103" s="395"/>
      <c r="AA103" s="387"/>
      <c r="AB103" s="181"/>
      <c r="AC103" s="181"/>
      <c r="AD103" s="181"/>
      <c r="AE103" s="395"/>
      <c r="AF103" s="387"/>
      <c r="AG103" s="181"/>
      <c r="AH103" s="181"/>
      <c r="AI103" s="181"/>
      <c r="AJ103" s="395"/>
      <c r="AK103" s="387"/>
      <c r="AL103" s="181"/>
      <c r="AM103" s="181"/>
      <c r="AN103" s="181"/>
      <c r="AO103" s="196"/>
      <c r="AP103" s="195"/>
      <c r="AQ103" s="188"/>
      <c r="AR103" s="188"/>
      <c r="AS103" s="188"/>
    </row>
    <row r="104">
      <c r="A104" s="395"/>
      <c r="B104" s="387"/>
      <c r="C104" s="181"/>
      <c r="D104" s="181"/>
      <c r="E104" s="181"/>
      <c r="F104" s="395"/>
      <c r="G104" s="387"/>
      <c r="H104" s="181"/>
      <c r="I104" s="181"/>
      <c r="J104" s="181"/>
      <c r="K104" s="88"/>
      <c r="L104" s="387"/>
      <c r="M104" s="181"/>
      <c r="N104" s="181"/>
      <c r="O104" s="181"/>
      <c r="P104" s="88"/>
      <c r="Q104" s="155"/>
      <c r="R104" s="181"/>
      <c r="S104" s="181"/>
      <c r="T104" s="181"/>
      <c r="U104" s="395"/>
      <c r="V104" s="387"/>
      <c r="W104" s="181"/>
      <c r="X104" s="181"/>
      <c r="Y104" s="181"/>
      <c r="Z104" s="395"/>
      <c r="AA104" s="387"/>
      <c r="AB104" s="181"/>
      <c r="AC104" s="181"/>
      <c r="AD104" s="181"/>
      <c r="AE104" s="395"/>
      <c r="AF104" s="387"/>
      <c r="AG104" s="181"/>
      <c r="AH104" s="181"/>
      <c r="AI104" s="181"/>
      <c r="AJ104" s="395"/>
      <c r="AK104" s="387"/>
      <c r="AL104" s="181"/>
      <c r="AM104" s="181"/>
      <c r="AN104" s="181"/>
      <c r="AO104" s="196"/>
      <c r="AP104" s="195"/>
      <c r="AQ104" s="188"/>
      <c r="AR104" s="188"/>
      <c r="AS104" s="188"/>
    </row>
    <row r="105">
      <c r="A105" s="395"/>
      <c r="B105" s="387"/>
      <c r="C105" s="181"/>
      <c r="D105" s="181"/>
      <c r="E105" s="181"/>
      <c r="F105" s="395"/>
      <c r="G105" s="387"/>
      <c r="H105" s="181"/>
      <c r="I105" s="181"/>
      <c r="J105" s="181"/>
      <c r="K105" s="88"/>
      <c r="L105" s="387"/>
      <c r="M105" s="181"/>
      <c r="N105" s="181"/>
      <c r="O105" s="181"/>
      <c r="P105" s="88"/>
      <c r="Q105" s="155"/>
      <c r="R105" s="181"/>
      <c r="S105" s="181"/>
      <c r="T105" s="181"/>
      <c r="U105" s="395"/>
      <c r="V105" s="387"/>
      <c r="W105" s="181"/>
      <c r="X105" s="181"/>
      <c r="Y105" s="181"/>
      <c r="Z105" s="395"/>
      <c r="AA105" s="387"/>
      <c r="AB105" s="181"/>
      <c r="AC105" s="181"/>
      <c r="AD105" s="181"/>
      <c r="AE105" s="395"/>
      <c r="AF105" s="387"/>
      <c r="AG105" s="181"/>
      <c r="AH105" s="181"/>
      <c r="AI105" s="181"/>
      <c r="AJ105" s="395"/>
      <c r="AK105" s="387"/>
      <c r="AL105" s="181"/>
      <c r="AM105" s="181"/>
      <c r="AN105" s="181"/>
      <c r="AO105" s="196"/>
      <c r="AP105" s="195"/>
      <c r="AQ105" s="188"/>
      <c r="AR105" s="188"/>
      <c r="AS105" s="188"/>
    </row>
    <row r="106">
      <c r="A106" s="395"/>
      <c r="B106" s="387"/>
      <c r="C106" s="181"/>
      <c r="D106" s="181"/>
      <c r="E106" s="181"/>
      <c r="F106" s="395"/>
      <c r="G106" s="387"/>
      <c r="H106" s="181"/>
      <c r="I106" s="181"/>
      <c r="J106" s="181"/>
      <c r="K106" s="88"/>
      <c r="L106" s="387"/>
      <c r="M106" s="181"/>
      <c r="N106" s="181"/>
      <c r="O106" s="181"/>
      <c r="P106" s="88"/>
      <c r="Q106" s="155"/>
      <c r="R106" s="181"/>
      <c r="S106" s="181"/>
      <c r="T106" s="181"/>
      <c r="U106" s="395"/>
      <c r="V106" s="387"/>
      <c r="W106" s="181"/>
      <c r="X106" s="181"/>
      <c r="Y106" s="181"/>
      <c r="Z106" s="395"/>
      <c r="AA106" s="387"/>
      <c r="AB106" s="181"/>
      <c r="AC106" s="181"/>
      <c r="AD106" s="181"/>
      <c r="AE106" s="395"/>
      <c r="AF106" s="387"/>
      <c r="AG106" s="181"/>
      <c r="AH106" s="181"/>
      <c r="AI106" s="181"/>
      <c r="AJ106" s="395"/>
      <c r="AK106" s="387"/>
      <c r="AL106" s="181"/>
      <c r="AM106" s="181"/>
      <c r="AN106" s="181"/>
      <c r="AO106" s="196"/>
      <c r="AP106" s="195"/>
      <c r="AQ106" s="188"/>
      <c r="AR106" s="188"/>
      <c r="AS106" s="188"/>
    </row>
    <row r="107">
      <c r="A107" s="395"/>
      <c r="B107" s="387"/>
      <c r="C107" s="181"/>
      <c r="D107" s="181"/>
      <c r="E107" s="181"/>
      <c r="F107" s="395"/>
      <c r="G107" s="387"/>
      <c r="H107" s="181"/>
      <c r="I107" s="181"/>
      <c r="J107" s="181"/>
      <c r="K107" s="88"/>
      <c r="L107" s="387"/>
      <c r="M107" s="181"/>
      <c r="N107" s="181"/>
      <c r="O107" s="181"/>
      <c r="P107" s="88"/>
      <c r="Q107" s="155"/>
      <c r="R107" s="181"/>
      <c r="S107" s="181"/>
      <c r="T107" s="181"/>
      <c r="U107" s="395"/>
      <c r="V107" s="387"/>
      <c r="W107" s="181"/>
      <c r="X107" s="181"/>
      <c r="Y107" s="181"/>
      <c r="Z107" s="395"/>
      <c r="AA107" s="387"/>
      <c r="AB107" s="181"/>
      <c r="AC107" s="181"/>
      <c r="AD107" s="181"/>
      <c r="AE107" s="395"/>
      <c r="AF107" s="387"/>
      <c r="AG107" s="181"/>
      <c r="AH107" s="181"/>
      <c r="AI107" s="181"/>
      <c r="AJ107" s="395"/>
      <c r="AK107" s="387"/>
      <c r="AL107" s="181"/>
      <c r="AM107" s="181"/>
      <c r="AN107" s="181"/>
      <c r="AO107" s="196"/>
      <c r="AP107" s="195"/>
      <c r="AQ107" s="188"/>
      <c r="AR107" s="188"/>
      <c r="AS107" s="188"/>
    </row>
    <row r="108">
      <c r="A108" s="395"/>
      <c r="B108" s="387"/>
      <c r="C108" s="181"/>
      <c r="D108" s="181"/>
      <c r="E108" s="181"/>
      <c r="F108" s="395"/>
      <c r="G108" s="387"/>
      <c r="H108" s="181"/>
      <c r="I108" s="181"/>
      <c r="J108" s="181"/>
      <c r="K108" s="88"/>
      <c r="L108" s="387"/>
      <c r="M108" s="181"/>
      <c r="N108" s="181"/>
      <c r="O108" s="181"/>
      <c r="P108" s="88"/>
      <c r="Q108" s="155"/>
      <c r="R108" s="181"/>
      <c r="S108" s="181"/>
      <c r="T108" s="181"/>
      <c r="U108" s="395"/>
      <c r="V108" s="387"/>
      <c r="W108" s="181"/>
      <c r="X108" s="181"/>
      <c r="Y108" s="181"/>
      <c r="Z108" s="395"/>
      <c r="AA108" s="387"/>
      <c r="AB108" s="181"/>
      <c r="AC108" s="181"/>
      <c r="AD108" s="181"/>
      <c r="AE108" s="395"/>
      <c r="AF108" s="387"/>
      <c r="AG108" s="181"/>
      <c r="AH108" s="181"/>
      <c r="AI108" s="181"/>
      <c r="AJ108" s="395"/>
      <c r="AK108" s="387"/>
      <c r="AL108" s="181"/>
      <c r="AM108" s="181"/>
      <c r="AN108" s="181"/>
      <c r="AO108" s="196"/>
      <c r="AP108" s="195"/>
      <c r="AQ108" s="188"/>
      <c r="AR108" s="188"/>
      <c r="AS108" s="188"/>
    </row>
    <row r="109">
      <c r="A109" s="395"/>
      <c r="B109" s="387"/>
      <c r="C109" s="181"/>
      <c r="D109" s="181"/>
      <c r="E109" s="181"/>
      <c r="F109" s="395"/>
      <c r="G109" s="387"/>
      <c r="H109" s="181"/>
      <c r="I109" s="181"/>
      <c r="J109" s="181"/>
      <c r="K109" s="88"/>
      <c r="L109" s="387"/>
      <c r="M109" s="181"/>
      <c r="N109" s="181"/>
      <c r="O109" s="181"/>
      <c r="P109" s="88"/>
      <c r="Q109" s="155"/>
      <c r="R109" s="181"/>
      <c r="S109" s="181"/>
      <c r="T109" s="181"/>
      <c r="U109" s="395"/>
      <c r="V109" s="387"/>
      <c r="W109" s="181"/>
      <c r="X109" s="181"/>
      <c r="Y109" s="181"/>
      <c r="Z109" s="395"/>
      <c r="AA109" s="387"/>
      <c r="AB109" s="181"/>
      <c r="AC109" s="181"/>
      <c r="AD109" s="181"/>
      <c r="AE109" s="395"/>
      <c r="AF109" s="387"/>
      <c r="AG109" s="181"/>
      <c r="AH109" s="181"/>
      <c r="AI109" s="181"/>
      <c r="AJ109" s="395"/>
      <c r="AK109" s="387"/>
      <c r="AL109" s="181"/>
      <c r="AM109" s="181"/>
      <c r="AN109" s="181"/>
      <c r="AO109" s="196"/>
      <c r="AP109" s="195"/>
      <c r="AQ109" s="188"/>
      <c r="AR109" s="188"/>
      <c r="AS109" s="188"/>
    </row>
    <row r="110">
      <c r="A110" s="395"/>
      <c r="B110" s="387"/>
      <c r="C110" s="181"/>
      <c r="D110" s="181"/>
      <c r="E110" s="181"/>
      <c r="F110" s="395"/>
      <c r="G110" s="387"/>
      <c r="H110" s="181"/>
      <c r="I110" s="181"/>
      <c r="J110" s="181"/>
      <c r="K110" s="88"/>
      <c r="L110" s="387"/>
      <c r="M110" s="181"/>
      <c r="N110" s="181"/>
      <c r="O110" s="181"/>
      <c r="P110" s="88"/>
      <c r="Q110" s="155"/>
      <c r="R110" s="181"/>
      <c r="S110" s="181"/>
      <c r="T110" s="181"/>
      <c r="U110" s="395"/>
      <c r="V110" s="387"/>
      <c r="W110" s="181"/>
      <c r="X110" s="181"/>
      <c r="Y110" s="181"/>
      <c r="Z110" s="395"/>
      <c r="AA110" s="387"/>
      <c r="AB110" s="181"/>
      <c r="AC110" s="181"/>
      <c r="AD110" s="181"/>
      <c r="AE110" s="395"/>
      <c r="AF110" s="387"/>
      <c r="AG110" s="181"/>
      <c r="AH110" s="181"/>
      <c r="AI110" s="181"/>
      <c r="AJ110" s="395"/>
      <c r="AK110" s="387"/>
      <c r="AL110" s="181"/>
      <c r="AM110" s="181"/>
      <c r="AN110" s="181"/>
      <c r="AO110" s="196"/>
      <c r="AP110" s="195"/>
      <c r="AQ110" s="188"/>
      <c r="AR110" s="188"/>
      <c r="AS110" s="188"/>
    </row>
    <row r="111">
      <c r="A111" s="395"/>
      <c r="B111" s="387"/>
      <c r="C111" s="181"/>
      <c r="D111" s="181"/>
      <c r="E111" s="181"/>
      <c r="F111" s="395"/>
      <c r="G111" s="387"/>
      <c r="H111" s="181"/>
      <c r="I111" s="181"/>
      <c r="J111" s="181"/>
      <c r="K111" s="88"/>
      <c r="L111" s="387"/>
      <c r="M111" s="181"/>
      <c r="N111" s="181"/>
      <c r="O111" s="181"/>
      <c r="P111" s="88"/>
      <c r="Q111" s="155"/>
      <c r="R111" s="181"/>
      <c r="S111" s="181"/>
      <c r="T111" s="181"/>
      <c r="U111" s="395"/>
      <c r="V111" s="387"/>
      <c r="W111" s="181"/>
      <c r="X111" s="181"/>
      <c r="Y111" s="181"/>
      <c r="Z111" s="395"/>
      <c r="AA111" s="387"/>
      <c r="AB111" s="181"/>
      <c r="AC111" s="181"/>
      <c r="AD111" s="181"/>
      <c r="AE111" s="395"/>
      <c r="AF111" s="387"/>
      <c r="AG111" s="181"/>
      <c r="AH111" s="181"/>
      <c r="AI111" s="181"/>
      <c r="AJ111" s="395"/>
      <c r="AK111" s="387"/>
      <c r="AL111" s="181"/>
      <c r="AM111" s="181"/>
      <c r="AN111" s="181"/>
      <c r="AO111" s="196"/>
      <c r="AP111" s="195"/>
      <c r="AQ111" s="188"/>
      <c r="AR111" s="188"/>
      <c r="AS111" s="188"/>
    </row>
    <row r="112">
      <c r="A112" s="395"/>
      <c r="B112" s="387"/>
      <c r="C112" s="181"/>
      <c r="D112" s="181"/>
      <c r="E112" s="181"/>
      <c r="F112" s="395"/>
      <c r="G112" s="387"/>
      <c r="H112" s="181"/>
      <c r="I112" s="181"/>
      <c r="J112" s="181"/>
      <c r="K112" s="88"/>
      <c r="L112" s="387"/>
      <c r="M112" s="181"/>
      <c r="N112" s="181"/>
      <c r="O112" s="181"/>
      <c r="P112" s="88"/>
      <c r="Q112" s="155"/>
      <c r="R112" s="181"/>
      <c r="S112" s="181"/>
      <c r="T112" s="181"/>
      <c r="U112" s="395"/>
      <c r="V112" s="387"/>
      <c r="W112" s="181"/>
      <c r="X112" s="181"/>
      <c r="Y112" s="181"/>
      <c r="Z112" s="395"/>
      <c r="AA112" s="387"/>
      <c r="AB112" s="181"/>
      <c r="AC112" s="181"/>
      <c r="AD112" s="181"/>
      <c r="AE112" s="395"/>
      <c r="AF112" s="387"/>
      <c r="AG112" s="181"/>
      <c r="AH112" s="181"/>
      <c r="AI112" s="181"/>
      <c r="AJ112" s="395"/>
      <c r="AK112" s="387"/>
      <c r="AL112" s="181"/>
      <c r="AM112" s="181"/>
      <c r="AN112" s="181"/>
      <c r="AO112" s="196"/>
      <c r="AP112" s="195"/>
      <c r="AQ112" s="188"/>
      <c r="AR112" s="188"/>
      <c r="AS112" s="188"/>
    </row>
    <row r="113">
      <c r="A113" s="395"/>
      <c r="B113" s="387"/>
      <c r="C113" s="181"/>
      <c r="D113" s="181"/>
      <c r="E113" s="181"/>
      <c r="F113" s="395"/>
      <c r="G113" s="387"/>
      <c r="H113" s="181"/>
      <c r="I113" s="181"/>
      <c r="J113" s="181"/>
      <c r="K113" s="88"/>
      <c r="L113" s="387"/>
      <c r="M113" s="181"/>
      <c r="N113" s="181"/>
      <c r="O113" s="181"/>
      <c r="P113" s="88"/>
      <c r="Q113" s="155"/>
      <c r="R113" s="181"/>
      <c r="S113" s="181"/>
      <c r="T113" s="181"/>
      <c r="U113" s="395"/>
      <c r="V113" s="387"/>
      <c r="W113" s="181"/>
      <c r="X113" s="181"/>
      <c r="Y113" s="181"/>
      <c r="Z113" s="395"/>
      <c r="AA113" s="387"/>
      <c r="AB113" s="181"/>
      <c r="AC113" s="181"/>
      <c r="AD113" s="181"/>
      <c r="AE113" s="395"/>
      <c r="AF113" s="387"/>
      <c r="AG113" s="181"/>
      <c r="AH113" s="181"/>
      <c r="AI113" s="181"/>
      <c r="AJ113" s="395"/>
      <c r="AK113" s="387"/>
      <c r="AL113" s="181"/>
      <c r="AM113" s="181"/>
      <c r="AN113" s="181"/>
      <c r="AO113" s="196"/>
      <c r="AP113" s="195"/>
      <c r="AQ113" s="188"/>
      <c r="AR113" s="188"/>
      <c r="AS113" s="188"/>
    </row>
    <row r="114">
      <c r="A114" s="395"/>
      <c r="B114" s="387"/>
      <c r="C114" s="181"/>
      <c r="D114" s="181"/>
      <c r="E114" s="181"/>
      <c r="F114" s="395"/>
      <c r="G114" s="387"/>
      <c r="H114" s="181"/>
      <c r="I114" s="181"/>
      <c r="J114" s="181"/>
      <c r="K114" s="88"/>
      <c r="L114" s="387"/>
      <c r="M114" s="181"/>
      <c r="N114" s="181"/>
      <c r="O114" s="181"/>
      <c r="P114" s="88"/>
      <c r="Q114" s="155"/>
      <c r="R114" s="181"/>
      <c r="S114" s="181"/>
      <c r="T114" s="181"/>
      <c r="U114" s="395"/>
      <c r="V114" s="387"/>
      <c r="W114" s="181"/>
      <c r="X114" s="181"/>
      <c r="Y114" s="181"/>
      <c r="Z114" s="395"/>
      <c r="AA114" s="387"/>
      <c r="AB114" s="181"/>
      <c r="AC114" s="181"/>
      <c r="AD114" s="181"/>
      <c r="AE114" s="395"/>
      <c r="AF114" s="387"/>
      <c r="AG114" s="181"/>
      <c r="AH114" s="181"/>
      <c r="AI114" s="181"/>
      <c r="AJ114" s="395"/>
      <c r="AK114" s="387"/>
      <c r="AL114" s="181"/>
      <c r="AM114" s="181"/>
      <c r="AN114" s="181"/>
      <c r="AO114" s="196"/>
      <c r="AP114" s="195"/>
      <c r="AQ114" s="188"/>
      <c r="AR114" s="188"/>
      <c r="AS114" s="188"/>
    </row>
    <row r="115">
      <c r="A115" s="395"/>
      <c r="B115" s="387"/>
      <c r="C115" s="181"/>
      <c r="D115" s="181"/>
      <c r="E115" s="181"/>
      <c r="F115" s="395"/>
      <c r="G115" s="387"/>
      <c r="H115" s="181"/>
      <c r="I115" s="181"/>
      <c r="J115" s="181"/>
      <c r="K115" s="88"/>
      <c r="L115" s="387"/>
      <c r="M115" s="181"/>
      <c r="N115" s="181"/>
      <c r="O115" s="181"/>
      <c r="P115" s="88"/>
      <c r="Q115" s="155"/>
      <c r="R115" s="181"/>
      <c r="S115" s="181"/>
      <c r="T115" s="181"/>
      <c r="U115" s="395"/>
      <c r="V115" s="387"/>
      <c r="W115" s="181"/>
      <c r="X115" s="181"/>
      <c r="Y115" s="181"/>
      <c r="Z115" s="395"/>
      <c r="AA115" s="387"/>
      <c r="AB115" s="181"/>
      <c r="AC115" s="181"/>
      <c r="AD115" s="181"/>
      <c r="AE115" s="395"/>
      <c r="AF115" s="387"/>
      <c r="AG115" s="181"/>
      <c r="AH115" s="181"/>
      <c r="AI115" s="181"/>
      <c r="AJ115" s="395"/>
      <c r="AK115" s="387"/>
      <c r="AL115" s="181"/>
      <c r="AM115" s="181"/>
      <c r="AN115" s="181"/>
      <c r="AO115" s="196"/>
      <c r="AP115" s="195"/>
      <c r="AQ115" s="188"/>
      <c r="AR115" s="188"/>
      <c r="AS115" s="188"/>
    </row>
    <row r="116">
      <c r="A116" s="395"/>
      <c r="B116" s="387"/>
      <c r="C116" s="181"/>
      <c r="D116" s="181"/>
      <c r="E116" s="181"/>
      <c r="F116" s="395"/>
      <c r="G116" s="387"/>
      <c r="H116" s="181"/>
      <c r="I116" s="181"/>
      <c r="J116" s="181"/>
      <c r="K116" s="88"/>
      <c r="L116" s="387"/>
      <c r="M116" s="181"/>
      <c r="N116" s="181"/>
      <c r="O116" s="181"/>
      <c r="P116" s="88"/>
      <c r="Q116" s="155"/>
      <c r="R116" s="181"/>
      <c r="S116" s="181"/>
      <c r="T116" s="181"/>
      <c r="U116" s="395"/>
      <c r="V116" s="387"/>
      <c r="W116" s="181"/>
      <c r="X116" s="181"/>
      <c r="Y116" s="181"/>
      <c r="Z116" s="395"/>
      <c r="AA116" s="387"/>
      <c r="AB116" s="181"/>
      <c r="AC116" s="181"/>
      <c r="AD116" s="181"/>
      <c r="AE116" s="395"/>
      <c r="AF116" s="387"/>
      <c r="AG116" s="181"/>
      <c r="AH116" s="181"/>
      <c r="AI116" s="181"/>
      <c r="AJ116" s="395"/>
      <c r="AK116" s="387"/>
      <c r="AL116" s="181"/>
      <c r="AM116" s="181"/>
      <c r="AN116" s="181"/>
      <c r="AO116" s="196"/>
      <c r="AP116" s="195"/>
      <c r="AQ116" s="188"/>
      <c r="AR116" s="188"/>
      <c r="AS116" s="188"/>
    </row>
    <row r="117">
      <c r="A117" s="395"/>
      <c r="B117" s="387"/>
      <c r="C117" s="181"/>
      <c r="D117" s="181"/>
      <c r="E117" s="181"/>
      <c r="F117" s="395"/>
      <c r="G117" s="387"/>
      <c r="H117" s="181"/>
      <c r="I117" s="181"/>
      <c r="J117" s="181"/>
      <c r="K117" s="88"/>
      <c r="L117" s="387"/>
      <c r="M117" s="181"/>
      <c r="N117" s="181"/>
      <c r="O117" s="181"/>
      <c r="P117" s="88"/>
      <c r="Q117" s="155"/>
      <c r="R117" s="181"/>
      <c r="S117" s="181"/>
      <c r="T117" s="181"/>
      <c r="U117" s="395"/>
      <c r="V117" s="387"/>
      <c r="W117" s="181"/>
      <c r="X117" s="181"/>
      <c r="Y117" s="181"/>
      <c r="Z117" s="395"/>
      <c r="AA117" s="387"/>
      <c r="AB117" s="181"/>
      <c r="AC117" s="181"/>
      <c r="AD117" s="181"/>
      <c r="AE117" s="395"/>
      <c r="AF117" s="387"/>
      <c r="AG117" s="181"/>
      <c r="AH117" s="181"/>
      <c r="AI117" s="181"/>
      <c r="AJ117" s="395"/>
      <c r="AK117" s="387"/>
      <c r="AL117" s="181"/>
      <c r="AM117" s="181"/>
      <c r="AN117" s="181"/>
      <c r="AO117" s="196"/>
      <c r="AP117" s="195"/>
      <c r="AQ117" s="188"/>
      <c r="AR117" s="188"/>
      <c r="AS117" s="188"/>
    </row>
    <row r="118">
      <c r="A118" s="395"/>
      <c r="B118" s="387"/>
      <c r="C118" s="181"/>
      <c r="D118" s="181"/>
      <c r="E118" s="181"/>
      <c r="F118" s="395"/>
      <c r="G118" s="387"/>
      <c r="H118" s="181"/>
      <c r="I118" s="181"/>
      <c r="J118" s="181"/>
      <c r="K118" s="88"/>
      <c r="L118" s="387"/>
      <c r="M118" s="181"/>
      <c r="N118" s="181"/>
      <c r="O118" s="181"/>
      <c r="P118" s="88"/>
      <c r="Q118" s="155"/>
      <c r="R118" s="181"/>
      <c r="S118" s="181"/>
      <c r="T118" s="181"/>
      <c r="U118" s="395"/>
      <c r="V118" s="387"/>
      <c r="W118" s="181"/>
      <c r="X118" s="181"/>
      <c r="Y118" s="181"/>
      <c r="Z118" s="395"/>
      <c r="AA118" s="387"/>
      <c r="AB118" s="181"/>
      <c r="AC118" s="181"/>
      <c r="AD118" s="181"/>
      <c r="AE118" s="395"/>
      <c r="AF118" s="387"/>
      <c r="AG118" s="181"/>
      <c r="AH118" s="181"/>
      <c r="AI118" s="181"/>
      <c r="AJ118" s="395"/>
      <c r="AK118" s="387"/>
      <c r="AL118" s="181"/>
      <c r="AM118" s="181"/>
      <c r="AN118" s="181"/>
      <c r="AO118" s="196"/>
      <c r="AP118" s="195"/>
      <c r="AQ118" s="188"/>
      <c r="AR118" s="188"/>
      <c r="AS118" s="188"/>
    </row>
    <row r="119">
      <c r="A119" s="395"/>
      <c r="B119" s="387"/>
      <c r="C119" s="181"/>
      <c r="D119" s="181"/>
      <c r="E119" s="181"/>
      <c r="F119" s="395"/>
      <c r="G119" s="387"/>
      <c r="H119" s="181"/>
      <c r="I119" s="181"/>
      <c r="J119" s="181"/>
      <c r="K119" s="88"/>
      <c r="L119" s="387"/>
      <c r="M119" s="181"/>
      <c r="N119" s="181"/>
      <c r="O119" s="181"/>
      <c r="P119" s="88"/>
      <c r="Q119" s="155"/>
      <c r="R119" s="181"/>
      <c r="S119" s="181"/>
      <c r="T119" s="181"/>
      <c r="U119" s="395"/>
      <c r="V119" s="387"/>
      <c r="W119" s="181"/>
      <c r="X119" s="181"/>
      <c r="Y119" s="181"/>
      <c r="Z119" s="395"/>
      <c r="AA119" s="387"/>
      <c r="AB119" s="181"/>
      <c r="AC119" s="181"/>
      <c r="AD119" s="181"/>
      <c r="AE119" s="395"/>
      <c r="AF119" s="387"/>
      <c r="AG119" s="181"/>
      <c r="AH119" s="181"/>
      <c r="AI119" s="181"/>
      <c r="AJ119" s="395"/>
      <c r="AK119" s="387"/>
      <c r="AL119" s="181"/>
      <c r="AM119" s="181"/>
      <c r="AN119" s="181"/>
      <c r="AO119" s="196"/>
      <c r="AP119" s="195"/>
      <c r="AQ119" s="188"/>
      <c r="AR119" s="188"/>
      <c r="AS119" s="188"/>
    </row>
    <row r="120">
      <c r="A120" s="395"/>
      <c r="B120" s="387"/>
      <c r="C120" s="181"/>
      <c r="D120" s="181"/>
      <c r="E120" s="181"/>
      <c r="F120" s="395"/>
      <c r="G120" s="387"/>
      <c r="H120" s="181"/>
      <c r="I120" s="181"/>
      <c r="J120" s="181"/>
      <c r="K120" s="88"/>
      <c r="L120" s="387"/>
      <c r="M120" s="181"/>
      <c r="N120" s="181"/>
      <c r="O120" s="181"/>
      <c r="P120" s="88"/>
      <c r="Q120" s="155"/>
      <c r="R120" s="181"/>
      <c r="S120" s="181"/>
      <c r="T120" s="181"/>
      <c r="U120" s="395"/>
      <c r="V120" s="387"/>
      <c r="W120" s="181"/>
      <c r="X120" s="181"/>
      <c r="Y120" s="181"/>
      <c r="Z120" s="395"/>
      <c r="AA120" s="387"/>
      <c r="AB120" s="181"/>
      <c r="AC120" s="181"/>
      <c r="AD120" s="181"/>
      <c r="AE120" s="395"/>
      <c r="AF120" s="387"/>
      <c r="AG120" s="181"/>
      <c r="AH120" s="181"/>
      <c r="AI120" s="181"/>
      <c r="AJ120" s="395"/>
      <c r="AK120" s="387"/>
      <c r="AL120" s="181"/>
      <c r="AM120" s="181"/>
      <c r="AN120" s="181"/>
      <c r="AO120" s="196"/>
      <c r="AP120" s="195"/>
      <c r="AQ120" s="188"/>
      <c r="AR120" s="188"/>
      <c r="AS120" s="188"/>
    </row>
    <row r="121">
      <c r="A121" s="395"/>
      <c r="B121" s="387"/>
      <c r="C121" s="181"/>
      <c r="D121" s="181"/>
      <c r="E121" s="181"/>
      <c r="F121" s="395"/>
      <c r="G121" s="387"/>
      <c r="H121" s="181"/>
      <c r="I121" s="181"/>
      <c r="J121" s="181"/>
      <c r="K121" s="88"/>
      <c r="L121" s="387"/>
      <c r="M121" s="181"/>
      <c r="N121" s="181"/>
      <c r="O121" s="181"/>
      <c r="P121" s="88"/>
      <c r="Q121" s="155"/>
      <c r="R121" s="181"/>
      <c r="S121" s="181"/>
      <c r="T121" s="181"/>
      <c r="U121" s="395"/>
      <c r="V121" s="387"/>
      <c r="W121" s="181"/>
      <c r="X121" s="181"/>
      <c r="Y121" s="181"/>
      <c r="Z121" s="395"/>
      <c r="AA121" s="387"/>
      <c r="AB121" s="181"/>
      <c r="AC121" s="181"/>
      <c r="AD121" s="181"/>
      <c r="AE121" s="395"/>
      <c r="AF121" s="387"/>
      <c r="AG121" s="181"/>
      <c r="AH121" s="181"/>
      <c r="AI121" s="181"/>
      <c r="AJ121" s="395"/>
      <c r="AK121" s="387"/>
      <c r="AL121" s="181"/>
      <c r="AM121" s="181"/>
      <c r="AN121" s="181"/>
      <c r="AO121" s="196"/>
      <c r="AP121" s="195"/>
      <c r="AQ121" s="188"/>
      <c r="AR121" s="188"/>
      <c r="AS121" s="188"/>
    </row>
    <row r="122">
      <c r="A122" s="395"/>
      <c r="B122" s="387"/>
      <c r="C122" s="181"/>
      <c r="D122" s="181"/>
      <c r="E122" s="181"/>
      <c r="F122" s="395"/>
      <c r="G122" s="387"/>
      <c r="H122" s="181"/>
      <c r="I122" s="181"/>
      <c r="J122" s="181"/>
      <c r="K122" s="88"/>
      <c r="L122" s="387"/>
      <c r="M122" s="181"/>
      <c r="N122" s="181"/>
      <c r="O122" s="181"/>
      <c r="P122" s="88"/>
      <c r="Q122" s="155"/>
      <c r="R122" s="181"/>
      <c r="S122" s="181"/>
      <c r="T122" s="181"/>
      <c r="U122" s="395"/>
      <c r="V122" s="387"/>
      <c r="W122" s="181"/>
      <c r="X122" s="181"/>
      <c r="Y122" s="181"/>
      <c r="Z122" s="395"/>
      <c r="AA122" s="387"/>
      <c r="AB122" s="181"/>
      <c r="AC122" s="181"/>
      <c r="AD122" s="181"/>
      <c r="AE122" s="395"/>
      <c r="AF122" s="387"/>
      <c r="AG122" s="181"/>
      <c r="AH122" s="181"/>
      <c r="AI122" s="181"/>
      <c r="AJ122" s="395"/>
      <c r="AK122" s="387"/>
      <c r="AL122" s="181"/>
      <c r="AM122" s="181"/>
      <c r="AN122" s="181"/>
      <c r="AO122" s="196"/>
      <c r="AP122" s="195"/>
      <c r="AQ122" s="188"/>
      <c r="AR122" s="188"/>
      <c r="AS122" s="188"/>
    </row>
    <row r="123">
      <c r="A123" s="395"/>
      <c r="B123" s="387"/>
      <c r="C123" s="181"/>
      <c r="D123" s="181"/>
      <c r="E123" s="181"/>
      <c r="F123" s="395"/>
      <c r="G123" s="387"/>
      <c r="H123" s="181"/>
      <c r="I123" s="181"/>
      <c r="J123" s="181"/>
      <c r="K123" s="88"/>
      <c r="L123" s="387"/>
      <c r="M123" s="181"/>
      <c r="N123" s="181"/>
      <c r="O123" s="181"/>
      <c r="P123" s="88"/>
      <c r="Q123" s="155"/>
      <c r="R123" s="181"/>
      <c r="S123" s="181"/>
      <c r="T123" s="181"/>
      <c r="U123" s="395"/>
      <c r="V123" s="387"/>
      <c r="W123" s="181"/>
      <c r="X123" s="181"/>
      <c r="Y123" s="181"/>
      <c r="Z123" s="395"/>
      <c r="AA123" s="387"/>
      <c r="AB123" s="181"/>
      <c r="AC123" s="181"/>
      <c r="AD123" s="181"/>
      <c r="AE123" s="395"/>
      <c r="AF123" s="387"/>
      <c r="AG123" s="181"/>
      <c r="AH123" s="181"/>
      <c r="AI123" s="181"/>
      <c r="AJ123" s="395"/>
      <c r="AK123" s="387"/>
      <c r="AL123" s="181"/>
      <c r="AM123" s="181"/>
      <c r="AN123" s="181"/>
      <c r="AO123" s="196"/>
      <c r="AP123" s="195"/>
      <c r="AQ123" s="188"/>
      <c r="AR123" s="188"/>
      <c r="AS123" s="188"/>
    </row>
    <row r="124">
      <c r="A124" s="395"/>
      <c r="B124" s="387"/>
      <c r="C124" s="181"/>
      <c r="D124" s="181"/>
      <c r="E124" s="181"/>
      <c r="F124" s="395"/>
      <c r="G124" s="387"/>
      <c r="H124" s="181"/>
      <c r="I124" s="181"/>
      <c r="J124" s="181"/>
      <c r="K124" s="88"/>
      <c r="L124" s="387"/>
      <c r="M124" s="181"/>
      <c r="N124" s="181"/>
      <c r="O124" s="181"/>
      <c r="P124" s="88"/>
      <c r="Q124" s="155"/>
      <c r="R124" s="181"/>
      <c r="S124" s="181"/>
      <c r="T124" s="181"/>
      <c r="U124" s="395"/>
      <c r="V124" s="387"/>
      <c r="W124" s="181"/>
      <c r="X124" s="181"/>
      <c r="Y124" s="181"/>
      <c r="Z124" s="395"/>
      <c r="AA124" s="387"/>
      <c r="AB124" s="181"/>
      <c r="AC124" s="181"/>
      <c r="AD124" s="181"/>
      <c r="AE124" s="395"/>
      <c r="AF124" s="387"/>
      <c r="AG124" s="181"/>
      <c r="AH124" s="181"/>
      <c r="AI124" s="181"/>
      <c r="AJ124" s="395"/>
      <c r="AK124" s="387"/>
      <c r="AL124" s="181"/>
      <c r="AM124" s="181"/>
      <c r="AN124" s="181"/>
      <c r="AO124" s="196"/>
      <c r="AP124" s="195"/>
      <c r="AQ124" s="188"/>
      <c r="AR124" s="188"/>
      <c r="AS124" s="188"/>
    </row>
    <row r="125">
      <c r="A125" s="395"/>
      <c r="B125" s="387"/>
      <c r="C125" s="181"/>
      <c r="D125" s="181"/>
      <c r="E125" s="181"/>
      <c r="F125" s="395"/>
      <c r="G125" s="387"/>
      <c r="H125" s="181"/>
      <c r="I125" s="181"/>
      <c r="J125" s="181"/>
      <c r="K125" s="88"/>
      <c r="L125" s="387"/>
      <c r="M125" s="181"/>
      <c r="N125" s="181"/>
      <c r="O125" s="181"/>
      <c r="P125" s="88"/>
      <c r="Q125" s="155"/>
      <c r="R125" s="181"/>
      <c r="S125" s="181"/>
      <c r="T125" s="181"/>
      <c r="U125" s="395"/>
      <c r="V125" s="387"/>
      <c r="W125" s="181"/>
      <c r="X125" s="181"/>
      <c r="Y125" s="181"/>
      <c r="Z125" s="395"/>
      <c r="AA125" s="387"/>
      <c r="AB125" s="181"/>
      <c r="AC125" s="181"/>
      <c r="AD125" s="181"/>
      <c r="AE125" s="395"/>
      <c r="AF125" s="387"/>
      <c r="AG125" s="181"/>
      <c r="AH125" s="181"/>
      <c r="AI125" s="181"/>
      <c r="AJ125" s="395"/>
      <c r="AK125" s="387"/>
      <c r="AL125" s="181"/>
      <c r="AM125" s="181"/>
      <c r="AN125" s="181"/>
      <c r="AO125" s="196"/>
      <c r="AP125" s="195"/>
      <c r="AQ125" s="188"/>
      <c r="AR125" s="188"/>
      <c r="AS125" s="188"/>
    </row>
    <row r="126">
      <c r="A126" s="395"/>
      <c r="B126" s="387"/>
      <c r="C126" s="181"/>
      <c r="D126" s="181"/>
      <c r="E126" s="181"/>
      <c r="F126" s="395"/>
      <c r="G126" s="387"/>
      <c r="H126" s="181"/>
      <c r="I126" s="181"/>
      <c r="J126" s="181"/>
      <c r="K126" s="88"/>
      <c r="L126" s="387"/>
      <c r="M126" s="181"/>
      <c r="N126" s="181"/>
      <c r="O126" s="181"/>
      <c r="P126" s="88"/>
      <c r="Q126" s="155"/>
      <c r="R126" s="181"/>
      <c r="S126" s="181"/>
      <c r="T126" s="181"/>
      <c r="U126" s="395"/>
      <c r="V126" s="387"/>
      <c r="W126" s="181"/>
      <c r="X126" s="181"/>
      <c r="Y126" s="181"/>
      <c r="Z126" s="395"/>
      <c r="AA126" s="387"/>
      <c r="AB126" s="181"/>
      <c r="AC126" s="181"/>
      <c r="AD126" s="181"/>
      <c r="AE126" s="395"/>
      <c r="AF126" s="387"/>
      <c r="AG126" s="181"/>
      <c r="AH126" s="181"/>
      <c r="AI126" s="181"/>
      <c r="AJ126" s="395"/>
      <c r="AK126" s="387"/>
      <c r="AL126" s="181"/>
      <c r="AM126" s="181"/>
      <c r="AN126" s="181"/>
      <c r="AO126" s="196"/>
      <c r="AP126" s="195"/>
      <c r="AQ126" s="188"/>
      <c r="AR126" s="188"/>
      <c r="AS126" s="188"/>
    </row>
    <row r="127">
      <c r="A127" s="395"/>
      <c r="B127" s="387"/>
      <c r="C127" s="181"/>
      <c r="D127" s="181"/>
      <c r="E127" s="181"/>
      <c r="F127" s="395"/>
      <c r="G127" s="387"/>
      <c r="H127" s="181"/>
      <c r="I127" s="181"/>
      <c r="J127" s="181"/>
      <c r="K127" s="88"/>
      <c r="L127" s="387"/>
      <c r="M127" s="181"/>
      <c r="N127" s="181"/>
      <c r="O127" s="181"/>
      <c r="P127" s="88"/>
      <c r="Q127" s="155"/>
      <c r="R127" s="181"/>
      <c r="S127" s="181"/>
      <c r="T127" s="181"/>
      <c r="U127" s="395"/>
      <c r="V127" s="387"/>
      <c r="W127" s="181"/>
      <c r="X127" s="181"/>
      <c r="Y127" s="181"/>
      <c r="Z127" s="395"/>
      <c r="AA127" s="387"/>
      <c r="AB127" s="181"/>
      <c r="AC127" s="181"/>
      <c r="AD127" s="181"/>
      <c r="AE127" s="395"/>
      <c r="AF127" s="387"/>
      <c r="AG127" s="181"/>
      <c r="AH127" s="181"/>
      <c r="AI127" s="181"/>
      <c r="AJ127" s="395"/>
      <c r="AK127" s="387"/>
      <c r="AL127" s="181"/>
      <c r="AM127" s="181"/>
      <c r="AN127" s="181"/>
      <c r="AO127" s="196"/>
      <c r="AP127" s="195"/>
      <c r="AQ127" s="188"/>
      <c r="AR127" s="188"/>
      <c r="AS127" s="188"/>
    </row>
    <row r="128">
      <c r="A128" s="395"/>
      <c r="B128" s="387"/>
      <c r="C128" s="181"/>
      <c r="D128" s="181"/>
      <c r="E128" s="181"/>
      <c r="F128" s="395"/>
      <c r="G128" s="387"/>
      <c r="H128" s="181"/>
      <c r="I128" s="181"/>
      <c r="J128" s="181"/>
      <c r="K128" s="88"/>
      <c r="L128" s="387"/>
      <c r="M128" s="181"/>
      <c r="N128" s="181"/>
      <c r="O128" s="181"/>
      <c r="P128" s="88"/>
      <c r="Q128" s="155"/>
      <c r="R128" s="181"/>
      <c r="S128" s="181"/>
      <c r="T128" s="181"/>
      <c r="U128" s="395"/>
      <c r="V128" s="387"/>
      <c r="W128" s="181"/>
      <c r="X128" s="181"/>
      <c r="Y128" s="181"/>
      <c r="Z128" s="395"/>
      <c r="AA128" s="387"/>
      <c r="AB128" s="181"/>
      <c r="AC128" s="181"/>
      <c r="AD128" s="181"/>
      <c r="AE128" s="395"/>
      <c r="AF128" s="387"/>
      <c r="AG128" s="181"/>
      <c r="AH128" s="181"/>
      <c r="AI128" s="181"/>
      <c r="AJ128" s="395"/>
      <c r="AK128" s="387"/>
      <c r="AL128" s="181"/>
      <c r="AM128" s="181"/>
      <c r="AN128" s="181"/>
      <c r="AO128" s="196"/>
      <c r="AP128" s="195"/>
      <c r="AQ128" s="188"/>
      <c r="AR128" s="188"/>
      <c r="AS128" s="188"/>
    </row>
    <row r="129">
      <c r="A129" s="395"/>
      <c r="B129" s="387"/>
      <c r="C129" s="181"/>
      <c r="D129" s="181"/>
      <c r="E129" s="181"/>
      <c r="F129" s="395"/>
      <c r="G129" s="387"/>
      <c r="H129" s="181"/>
      <c r="I129" s="181"/>
      <c r="J129" s="181"/>
      <c r="K129" s="88"/>
      <c r="L129" s="387"/>
      <c r="M129" s="181"/>
      <c r="N129" s="181"/>
      <c r="O129" s="181"/>
      <c r="P129" s="88"/>
      <c r="Q129" s="155"/>
      <c r="R129" s="181"/>
      <c r="S129" s="181"/>
      <c r="T129" s="181"/>
      <c r="U129" s="395"/>
      <c r="V129" s="387"/>
      <c r="W129" s="181"/>
      <c r="X129" s="181"/>
      <c r="Y129" s="181"/>
      <c r="Z129" s="395"/>
      <c r="AA129" s="387"/>
      <c r="AB129" s="181"/>
      <c r="AC129" s="181"/>
      <c r="AD129" s="181"/>
      <c r="AE129" s="395"/>
      <c r="AF129" s="387"/>
      <c r="AG129" s="181"/>
      <c r="AH129" s="181"/>
      <c r="AI129" s="181"/>
      <c r="AJ129" s="395"/>
      <c r="AK129" s="387"/>
      <c r="AL129" s="181"/>
      <c r="AM129" s="181"/>
      <c r="AN129" s="181"/>
      <c r="AO129" s="196"/>
      <c r="AP129" s="195"/>
      <c r="AQ129" s="188"/>
      <c r="AR129" s="188"/>
      <c r="AS129" s="188"/>
    </row>
    <row r="130">
      <c r="A130" s="395"/>
      <c r="B130" s="387"/>
      <c r="C130" s="181"/>
      <c r="D130" s="181"/>
      <c r="E130" s="181"/>
      <c r="F130" s="395"/>
      <c r="G130" s="387"/>
      <c r="H130" s="181"/>
      <c r="I130" s="181"/>
      <c r="J130" s="181"/>
      <c r="K130" s="88"/>
      <c r="L130" s="387"/>
      <c r="M130" s="181"/>
      <c r="N130" s="181"/>
      <c r="O130" s="181"/>
      <c r="P130" s="88"/>
      <c r="Q130" s="155"/>
      <c r="R130" s="181"/>
      <c r="S130" s="181"/>
      <c r="T130" s="181"/>
      <c r="U130" s="395"/>
      <c r="V130" s="387"/>
      <c r="W130" s="181"/>
      <c r="X130" s="181"/>
      <c r="Y130" s="181"/>
      <c r="Z130" s="395"/>
      <c r="AA130" s="387"/>
      <c r="AB130" s="181"/>
      <c r="AC130" s="181"/>
      <c r="AD130" s="181"/>
      <c r="AE130" s="395"/>
      <c r="AF130" s="387"/>
      <c r="AG130" s="181"/>
      <c r="AH130" s="181"/>
      <c r="AI130" s="181"/>
      <c r="AJ130" s="395"/>
      <c r="AK130" s="387"/>
      <c r="AL130" s="181"/>
      <c r="AM130" s="181"/>
      <c r="AN130" s="181"/>
      <c r="AO130" s="196"/>
      <c r="AP130" s="195"/>
      <c r="AQ130" s="188"/>
      <c r="AR130" s="188"/>
      <c r="AS130" s="188"/>
    </row>
    <row r="131">
      <c r="A131" s="395"/>
      <c r="B131" s="387"/>
      <c r="C131" s="181"/>
      <c r="D131" s="181"/>
      <c r="E131" s="181"/>
      <c r="F131" s="395"/>
      <c r="G131" s="387"/>
      <c r="H131" s="181"/>
      <c r="I131" s="181"/>
      <c r="J131" s="181"/>
      <c r="K131" s="88"/>
      <c r="L131" s="387"/>
      <c r="M131" s="181"/>
      <c r="N131" s="181"/>
      <c r="O131" s="181"/>
      <c r="P131" s="88"/>
      <c r="Q131" s="155"/>
      <c r="R131" s="181"/>
      <c r="S131" s="181"/>
      <c r="T131" s="181"/>
      <c r="U131" s="395"/>
      <c r="V131" s="387"/>
      <c r="W131" s="181"/>
      <c r="X131" s="181"/>
      <c r="Y131" s="181"/>
      <c r="Z131" s="395"/>
      <c r="AA131" s="387"/>
      <c r="AB131" s="181"/>
      <c r="AC131" s="181"/>
      <c r="AD131" s="181"/>
      <c r="AE131" s="395"/>
      <c r="AF131" s="387"/>
      <c r="AG131" s="181"/>
      <c r="AH131" s="181"/>
      <c r="AI131" s="181"/>
      <c r="AJ131" s="395"/>
      <c r="AK131" s="387"/>
      <c r="AL131" s="181"/>
      <c r="AM131" s="181"/>
      <c r="AN131" s="181"/>
      <c r="AO131" s="196"/>
      <c r="AP131" s="195"/>
      <c r="AQ131" s="188"/>
      <c r="AR131" s="188"/>
      <c r="AS131" s="188"/>
    </row>
    <row r="132">
      <c r="A132" s="395"/>
      <c r="B132" s="387"/>
      <c r="C132" s="181"/>
      <c r="D132" s="181"/>
      <c r="E132" s="181"/>
      <c r="F132" s="395"/>
      <c r="G132" s="387"/>
      <c r="H132" s="181"/>
      <c r="I132" s="181"/>
      <c r="J132" s="181"/>
      <c r="K132" s="88"/>
      <c r="L132" s="387"/>
      <c r="M132" s="181"/>
      <c r="N132" s="181"/>
      <c r="O132" s="181"/>
      <c r="P132" s="88"/>
      <c r="Q132" s="155"/>
      <c r="R132" s="181"/>
      <c r="S132" s="181"/>
      <c r="T132" s="181"/>
      <c r="U132" s="395"/>
      <c r="V132" s="387"/>
      <c r="W132" s="181"/>
      <c r="X132" s="181"/>
      <c r="Y132" s="181"/>
      <c r="Z132" s="395"/>
      <c r="AA132" s="387"/>
      <c r="AB132" s="181"/>
      <c r="AC132" s="181"/>
      <c r="AD132" s="181"/>
      <c r="AE132" s="395"/>
      <c r="AF132" s="387"/>
      <c r="AG132" s="181"/>
      <c r="AH132" s="181"/>
      <c r="AI132" s="181"/>
      <c r="AJ132" s="395"/>
      <c r="AK132" s="387"/>
      <c r="AL132" s="181"/>
      <c r="AM132" s="181"/>
      <c r="AN132" s="181"/>
      <c r="AO132" s="196"/>
      <c r="AP132" s="195"/>
      <c r="AQ132" s="188"/>
      <c r="AR132" s="188"/>
      <c r="AS132" s="188"/>
    </row>
    <row r="133">
      <c r="A133" s="395"/>
      <c r="B133" s="387"/>
      <c r="C133" s="181"/>
      <c r="D133" s="181"/>
      <c r="E133" s="181"/>
      <c r="F133" s="395"/>
      <c r="G133" s="387"/>
      <c r="H133" s="181"/>
      <c r="I133" s="181"/>
      <c r="J133" s="181"/>
      <c r="K133" s="88"/>
      <c r="L133" s="387"/>
      <c r="M133" s="181"/>
      <c r="N133" s="181"/>
      <c r="O133" s="181"/>
      <c r="P133" s="88"/>
      <c r="Q133" s="155"/>
      <c r="R133" s="181"/>
      <c r="S133" s="181"/>
      <c r="T133" s="181"/>
      <c r="U133" s="395"/>
      <c r="V133" s="387"/>
      <c r="W133" s="181"/>
      <c r="X133" s="181"/>
      <c r="Y133" s="181"/>
      <c r="Z133" s="395"/>
      <c r="AA133" s="387"/>
      <c r="AB133" s="181"/>
      <c r="AC133" s="181"/>
      <c r="AD133" s="181"/>
      <c r="AE133" s="395"/>
      <c r="AF133" s="387"/>
      <c r="AG133" s="181"/>
      <c r="AH133" s="181"/>
      <c r="AI133" s="181"/>
      <c r="AJ133" s="395"/>
      <c r="AK133" s="387"/>
      <c r="AL133" s="181"/>
      <c r="AM133" s="181"/>
      <c r="AN133" s="181"/>
      <c r="AO133" s="196"/>
      <c r="AP133" s="195"/>
      <c r="AQ133" s="188"/>
      <c r="AR133" s="188"/>
      <c r="AS133" s="188"/>
    </row>
    <row r="134">
      <c r="A134" s="395"/>
      <c r="B134" s="387"/>
      <c r="C134" s="181"/>
      <c r="D134" s="181"/>
      <c r="E134" s="181"/>
      <c r="F134" s="395"/>
      <c r="G134" s="387"/>
      <c r="H134" s="181"/>
      <c r="I134" s="181"/>
      <c r="J134" s="181"/>
      <c r="K134" s="88"/>
      <c r="L134" s="387"/>
      <c r="M134" s="181"/>
      <c r="N134" s="181"/>
      <c r="O134" s="181"/>
      <c r="P134" s="88"/>
      <c r="Q134" s="155"/>
      <c r="R134" s="181"/>
      <c r="S134" s="181"/>
      <c r="T134" s="181"/>
      <c r="U134" s="395"/>
      <c r="V134" s="387"/>
      <c r="W134" s="181"/>
      <c r="X134" s="181"/>
      <c r="Y134" s="181"/>
      <c r="Z134" s="395"/>
      <c r="AA134" s="387"/>
      <c r="AB134" s="181"/>
      <c r="AC134" s="181"/>
      <c r="AD134" s="181"/>
      <c r="AE134" s="395"/>
      <c r="AF134" s="387"/>
      <c r="AG134" s="181"/>
      <c r="AH134" s="181"/>
      <c r="AI134" s="181"/>
      <c r="AJ134" s="395"/>
      <c r="AK134" s="387"/>
      <c r="AL134" s="181"/>
      <c r="AM134" s="181"/>
      <c r="AN134" s="181"/>
      <c r="AO134" s="196"/>
      <c r="AP134" s="195"/>
      <c r="AQ134" s="188"/>
      <c r="AR134" s="188"/>
      <c r="AS134" s="188"/>
    </row>
    <row r="135">
      <c r="A135" s="395"/>
      <c r="B135" s="387"/>
      <c r="C135" s="181"/>
      <c r="D135" s="181"/>
      <c r="E135" s="181"/>
      <c r="F135" s="395"/>
      <c r="G135" s="387"/>
      <c r="H135" s="181"/>
      <c r="I135" s="181"/>
      <c r="J135" s="181"/>
      <c r="K135" s="88"/>
      <c r="L135" s="387"/>
      <c r="M135" s="181"/>
      <c r="N135" s="181"/>
      <c r="O135" s="181"/>
      <c r="P135" s="88"/>
      <c r="Q135" s="155"/>
      <c r="R135" s="181"/>
      <c r="S135" s="181"/>
      <c r="T135" s="181"/>
      <c r="U135" s="395"/>
      <c r="V135" s="387"/>
      <c r="W135" s="181"/>
      <c r="X135" s="181"/>
      <c r="Y135" s="181"/>
      <c r="Z135" s="395"/>
      <c r="AA135" s="387"/>
      <c r="AB135" s="181"/>
      <c r="AC135" s="181"/>
      <c r="AD135" s="181"/>
      <c r="AE135" s="395"/>
      <c r="AF135" s="387"/>
      <c r="AG135" s="181"/>
      <c r="AH135" s="181"/>
      <c r="AI135" s="181"/>
      <c r="AJ135" s="395"/>
      <c r="AK135" s="387"/>
      <c r="AL135" s="181"/>
      <c r="AM135" s="181"/>
      <c r="AN135" s="181"/>
      <c r="AO135" s="196"/>
      <c r="AP135" s="195"/>
      <c r="AQ135" s="188"/>
      <c r="AR135" s="188"/>
      <c r="AS135" s="188"/>
    </row>
    <row r="136">
      <c r="A136" s="395"/>
      <c r="B136" s="387"/>
      <c r="C136" s="181"/>
      <c r="D136" s="181"/>
      <c r="E136" s="181"/>
      <c r="F136" s="395"/>
      <c r="G136" s="387"/>
      <c r="H136" s="181"/>
      <c r="I136" s="181"/>
      <c r="J136" s="181"/>
      <c r="K136" s="88"/>
      <c r="L136" s="387"/>
      <c r="M136" s="181"/>
      <c r="N136" s="181"/>
      <c r="O136" s="181"/>
      <c r="P136" s="88"/>
      <c r="Q136" s="155"/>
      <c r="R136" s="181"/>
      <c r="S136" s="181"/>
      <c r="T136" s="181"/>
      <c r="U136" s="395"/>
      <c r="V136" s="387"/>
      <c r="W136" s="181"/>
      <c r="X136" s="181"/>
      <c r="Y136" s="181"/>
      <c r="Z136" s="395"/>
      <c r="AA136" s="387"/>
      <c r="AB136" s="181"/>
      <c r="AC136" s="181"/>
      <c r="AD136" s="181"/>
      <c r="AE136" s="395"/>
      <c r="AF136" s="387"/>
      <c r="AG136" s="181"/>
      <c r="AH136" s="181"/>
      <c r="AI136" s="181"/>
      <c r="AJ136" s="395"/>
      <c r="AK136" s="387"/>
      <c r="AL136" s="181"/>
      <c r="AM136" s="181"/>
      <c r="AN136" s="181"/>
      <c r="AO136" s="196"/>
      <c r="AP136" s="195"/>
      <c r="AQ136" s="188"/>
      <c r="AR136" s="188"/>
      <c r="AS136" s="188"/>
    </row>
    <row r="137">
      <c r="A137" s="395"/>
      <c r="B137" s="387"/>
      <c r="C137" s="181"/>
      <c r="D137" s="181"/>
      <c r="E137" s="181"/>
      <c r="F137" s="395"/>
      <c r="G137" s="387"/>
      <c r="H137" s="181"/>
      <c r="I137" s="181"/>
      <c r="J137" s="181"/>
      <c r="K137" s="88"/>
      <c r="L137" s="387"/>
      <c r="M137" s="181"/>
      <c r="N137" s="181"/>
      <c r="O137" s="181"/>
      <c r="P137" s="88"/>
      <c r="Q137" s="155"/>
      <c r="R137" s="181"/>
      <c r="S137" s="181"/>
      <c r="T137" s="181"/>
      <c r="U137" s="395"/>
      <c r="V137" s="387"/>
      <c r="W137" s="181"/>
      <c r="X137" s="181"/>
      <c r="Y137" s="181"/>
      <c r="Z137" s="395"/>
      <c r="AA137" s="387"/>
      <c r="AB137" s="181"/>
      <c r="AC137" s="181"/>
      <c r="AD137" s="181"/>
      <c r="AE137" s="395"/>
      <c r="AF137" s="387"/>
      <c r="AG137" s="181"/>
      <c r="AH137" s="181"/>
      <c r="AI137" s="181"/>
      <c r="AJ137" s="395"/>
      <c r="AK137" s="387"/>
      <c r="AL137" s="181"/>
      <c r="AM137" s="181"/>
      <c r="AN137" s="181"/>
      <c r="AO137" s="196"/>
      <c r="AP137" s="195"/>
      <c r="AQ137" s="188"/>
      <c r="AR137" s="188"/>
      <c r="AS137" s="188"/>
    </row>
    <row r="138">
      <c r="A138" s="395"/>
      <c r="B138" s="387"/>
      <c r="C138" s="181"/>
      <c r="D138" s="181"/>
      <c r="E138" s="181"/>
      <c r="F138" s="395"/>
      <c r="G138" s="387"/>
      <c r="H138" s="181"/>
      <c r="I138" s="181"/>
      <c r="J138" s="181"/>
      <c r="K138" s="88"/>
      <c r="L138" s="387"/>
      <c r="M138" s="181"/>
      <c r="N138" s="181"/>
      <c r="O138" s="181"/>
      <c r="P138" s="88"/>
      <c r="Q138" s="155"/>
      <c r="R138" s="181"/>
      <c r="S138" s="181"/>
      <c r="T138" s="181"/>
      <c r="U138" s="395"/>
      <c r="V138" s="387"/>
      <c r="W138" s="181"/>
      <c r="X138" s="181"/>
      <c r="Y138" s="181"/>
      <c r="Z138" s="395"/>
      <c r="AA138" s="387"/>
      <c r="AB138" s="181"/>
      <c r="AC138" s="181"/>
      <c r="AD138" s="181"/>
      <c r="AE138" s="395"/>
      <c r="AF138" s="387"/>
      <c r="AG138" s="181"/>
      <c r="AH138" s="181"/>
      <c r="AI138" s="181"/>
      <c r="AJ138" s="395"/>
      <c r="AK138" s="387"/>
      <c r="AL138" s="181"/>
      <c r="AM138" s="181"/>
      <c r="AN138" s="181"/>
      <c r="AO138" s="196"/>
      <c r="AP138" s="195"/>
      <c r="AQ138" s="188"/>
      <c r="AR138" s="188"/>
      <c r="AS138" s="188"/>
    </row>
    <row r="139">
      <c r="A139" s="395"/>
      <c r="B139" s="387"/>
      <c r="C139" s="181"/>
      <c r="D139" s="181"/>
      <c r="E139" s="181"/>
      <c r="F139" s="395"/>
      <c r="G139" s="387"/>
      <c r="H139" s="181"/>
      <c r="I139" s="181"/>
      <c r="J139" s="181"/>
      <c r="K139" s="88"/>
      <c r="L139" s="387"/>
      <c r="M139" s="181"/>
      <c r="N139" s="181"/>
      <c r="O139" s="181"/>
      <c r="P139" s="88"/>
      <c r="Q139" s="155"/>
      <c r="R139" s="181"/>
      <c r="S139" s="181"/>
      <c r="T139" s="181"/>
      <c r="U139" s="395"/>
      <c r="V139" s="387"/>
      <c r="W139" s="181"/>
      <c r="X139" s="181"/>
      <c r="Y139" s="181"/>
      <c r="Z139" s="395"/>
      <c r="AA139" s="387"/>
      <c r="AB139" s="181"/>
      <c r="AC139" s="181"/>
      <c r="AD139" s="181"/>
      <c r="AE139" s="395"/>
      <c r="AF139" s="387"/>
      <c r="AG139" s="181"/>
      <c r="AH139" s="181"/>
      <c r="AI139" s="181"/>
      <c r="AJ139" s="395"/>
      <c r="AK139" s="387"/>
      <c r="AL139" s="181"/>
      <c r="AM139" s="181"/>
      <c r="AN139" s="181"/>
      <c r="AO139" s="196"/>
      <c r="AP139" s="195"/>
      <c r="AQ139" s="188"/>
      <c r="AR139" s="188"/>
      <c r="AS139" s="188"/>
    </row>
    <row r="140">
      <c r="A140" s="395"/>
      <c r="B140" s="387"/>
      <c r="C140" s="181"/>
      <c r="D140" s="181"/>
      <c r="E140" s="181"/>
      <c r="F140" s="395"/>
      <c r="G140" s="387"/>
      <c r="H140" s="181"/>
      <c r="I140" s="181"/>
      <c r="J140" s="181"/>
      <c r="K140" s="88"/>
      <c r="L140" s="387"/>
      <c r="M140" s="181"/>
      <c r="N140" s="181"/>
      <c r="O140" s="181"/>
      <c r="P140" s="88"/>
      <c r="Q140" s="155"/>
      <c r="R140" s="181"/>
      <c r="S140" s="181"/>
      <c r="T140" s="181"/>
      <c r="U140" s="395"/>
      <c r="V140" s="387"/>
      <c r="W140" s="181"/>
      <c r="X140" s="181"/>
      <c r="Y140" s="181"/>
      <c r="Z140" s="395"/>
      <c r="AA140" s="387"/>
      <c r="AB140" s="181"/>
      <c r="AC140" s="181"/>
      <c r="AD140" s="181"/>
      <c r="AE140" s="395"/>
      <c r="AF140" s="387"/>
      <c r="AG140" s="181"/>
      <c r="AH140" s="181"/>
      <c r="AI140" s="181"/>
      <c r="AJ140" s="395"/>
      <c r="AK140" s="387"/>
      <c r="AL140" s="181"/>
      <c r="AM140" s="181"/>
      <c r="AN140" s="181"/>
      <c r="AO140" s="196"/>
      <c r="AP140" s="195"/>
      <c r="AQ140" s="188"/>
      <c r="AR140" s="188"/>
      <c r="AS140" s="188"/>
    </row>
    <row r="141">
      <c r="A141" s="395"/>
      <c r="B141" s="387"/>
      <c r="C141" s="181"/>
      <c r="D141" s="181"/>
      <c r="E141" s="181"/>
      <c r="F141" s="395"/>
      <c r="G141" s="387"/>
      <c r="H141" s="181"/>
      <c r="I141" s="181"/>
      <c r="J141" s="181"/>
      <c r="K141" s="88"/>
      <c r="L141" s="387"/>
      <c r="M141" s="181"/>
      <c r="N141" s="181"/>
      <c r="O141" s="181"/>
      <c r="P141" s="88"/>
      <c r="Q141" s="155"/>
      <c r="R141" s="181"/>
      <c r="S141" s="181"/>
      <c r="T141" s="181"/>
      <c r="U141" s="395"/>
      <c r="V141" s="387"/>
      <c r="W141" s="181"/>
      <c r="X141" s="181"/>
      <c r="Y141" s="181"/>
      <c r="Z141" s="395"/>
      <c r="AA141" s="387"/>
      <c r="AB141" s="181"/>
      <c r="AC141" s="181"/>
      <c r="AD141" s="181"/>
      <c r="AE141" s="395"/>
      <c r="AF141" s="387"/>
      <c r="AG141" s="181"/>
      <c r="AH141" s="181"/>
      <c r="AI141" s="181"/>
      <c r="AJ141" s="395"/>
      <c r="AK141" s="387"/>
      <c r="AL141" s="181"/>
      <c r="AM141" s="181"/>
      <c r="AN141" s="181"/>
      <c r="AO141" s="196"/>
      <c r="AP141" s="195"/>
      <c r="AQ141" s="188"/>
      <c r="AR141" s="188"/>
      <c r="AS141" s="188"/>
    </row>
    <row r="142">
      <c r="A142" s="395"/>
      <c r="B142" s="387"/>
      <c r="C142" s="181"/>
      <c r="D142" s="181"/>
      <c r="E142" s="181"/>
      <c r="F142" s="395"/>
      <c r="G142" s="387"/>
      <c r="H142" s="181"/>
      <c r="I142" s="181"/>
      <c r="J142" s="181"/>
      <c r="K142" s="88"/>
      <c r="L142" s="387"/>
      <c r="M142" s="181"/>
      <c r="N142" s="181"/>
      <c r="O142" s="181"/>
      <c r="P142" s="88"/>
      <c r="Q142" s="155"/>
      <c r="R142" s="181"/>
      <c r="S142" s="181"/>
      <c r="T142" s="181"/>
      <c r="U142" s="395"/>
      <c r="V142" s="387"/>
      <c r="W142" s="181"/>
      <c r="X142" s="181"/>
      <c r="Y142" s="181"/>
      <c r="Z142" s="395"/>
      <c r="AA142" s="387"/>
      <c r="AB142" s="181"/>
      <c r="AC142" s="181"/>
      <c r="AD142" s="181"/>
      <c r="AE142" s="395"/>
      <c r="AF142" s="387"/>
      <c r="AG142" s="181"/>
      <c r="AH142" s="181"/>
      <c r="AI142" s="181"/>
      <c r="AJ142" s="395"/>
      <c r="AK142" s="387"/>
      <c r="AL142" s="181"/>
      <c r="AM142" s="181"/>
      <c r="AN142" s="181"/>
      <c r="AO142" s="196"/>
      <c r="AP142" s="195"/>
      <c r="AQ142" s="188"/>
      <c r="AR142" s="188"/>
      <c r="AS142" s="188"/>
    </row>
    <row r="143">
      <c r="A143" s="395"/>
      <c r="B143" s="387"/>
      <c r="C143" s="181"/>
      <c r="D143" s="181"/>
      <c r="E143" s="181"/>
      <c r="F143" s="395"/>
      <c r="G143" s="387"/>
      <c r="H143" s="181"/>
      <c r="I143" s="181"/>
      <c r="J143" s="181"/>
      <c r="K143" s="88"/>
      <c r="L143" s="387"/>
      <c r="M143" s="181"/>
      <c r="N143" s="181"/>
      <c r="O143" s="181"/>
      <c r="P143" s="88"/>
      <c r="Q143" s="155"/>
      <c r="R143" s="181"/>
      <c r="S143" s="181"/>
      <c r="T143" s="181"/>
      <c r="U143" s="395"/>
      <c r="V143" s="387"/>
      <c r="W143" s="181"/>
      <c r="X143" s="181"/>
      <c r="Y143" s="181"/>
      <c r="Z143" s="395"/>
      <c r="AA143" s="387"/>
      <c r="AB143" s="181"/>
      <c r="AC143" s="181"/>
      <c r="AD143" s="181"/>
      <c r="AE143" s="395"/>
      <c r="AF143" s="387"/>
      <c r="AG143" s="181"/>
      <c r="AH143" s="181"/>
      <c r="AI143" s="181"/>
      <c r="AJ143" s="395"/>
      <c r="AK143" s="387"/>
      <c r="AL143" s="181"/>
      <c r="AM143" s="181"/>
      <c r="AN143" s="181"/>
      <c r="AO143" s="196"/>
      <c r="AP143" s="195"/>
      <c r="AQ143" s="188"/>
      <c r="AR143" s="188"/>
      <c r="AS143" s="188"/>
    </row>
    <row r="144">
      <c r="A144" s="395"/>
      <c r="B144" s="387"/>
      <c r="C144" s="181"/>
      <c r="D144" s="181"/>
      <c r="E144" s="181"/>
      <c r="F144" s="395"/>
      <c r="G144" s="387"/>
      <c r="H144" s="181"/>
      <c r="I144" s="181"/>
      <c r="J144" s="181"/>
      <c r="K144" s="88"/>
      <c r="L144" s="387"/>
      <c r="M144" s="181"/>
      <c r="N144" s="181"/>
      <c r="O144" s="181"/>
      <c r="P144" s="88"/>
      <c r="Q144" s="155"/>
      <c r="R144" s="181"/>
      <c r="S144" s="181"/>
      <c r="T144" s="181"/>
      <c r="U144" s="395"/>
      <c r="V144" s="387"/>
      <c r="W144" s="181"/>
      <c r="X144" s="181"/>
      <c r="Y144" s="181"/>
      <c r="Z144" s="395"/>
      <c r="AA144" s="387"/>
      <c r="AB144" s="181"/>
      <c r="AC144" s="181"/>
      <c r="AD144" s="181"/>
      <c r="AE144" s="395"/>
      <c r="AF144" s="387"/>
      <c r="AG144" s="181"/>
      <c r="AH144" s="181"/>
      <c r="AI144" s="181"/>
      <c r="AJ144" s="395"/>
      <c r="AK144" s="387"/>
      <c r="AL144" s="181"/>
      <c r="AM144" s="181"/>
      <c r="AN144" s="181"/>
      <c r="AO144" s="196"/>
      <c r="AP144" s="195"/>
      <c r="AQ144" s="188"/>
      <c r="AR144" s="188"/>
      <c r="AS144" s="188"/>
    </row>
    <row r="145">
      <c r="A145" s="395"/>
      <c r="B145" s="387"/>
      <c r="C145" s="181"/>
      <c r="D145" s="181"/>
      <c r="E145" s="181"/>
      <c r="F145" s="395"/>
      <c r="G145" s="387"/>
      <c r="H145" s="181"/>
      <c r="I145" s="181"/>
      <c r="J145" s="181"/>
      <c r="K145" s="88"/>
      <c r="L145" s="387"/>
      <c r="M145" s="181"/>
      <c r="N145" s="181"/>
      <c r="O145" s="181"/>
      <c r="P145" s="88"/>
      <c r="Q145" s="155"/>
      <c r="R145" s="181"/>
      <c r="S145" s="181"/>
      <c r="T145" s="181"/>
      <c r="U145" s="395"/>
      <c r="V145" s="387"/>
      <c r="W145" s="181"/>
      <c r="X145" s="181"/>
      <c r="Y145" s="181"/>
      <c r="Z145" s="395"/>
      <c r="AA145" s="387"/>
      <c r="AB145" s="181"/>
      <c r="AC145" s="181"/>
      <c r="AD145" s="181"/>
      <c r="AE145" s="395"/>
      <c r="AF145" s="387"/>
      <c r="AG145" s="181"/>
      <c r="AH145" s="181"/>
      <c r="AI145" s="181"/>
      <c r="AJ145" s="395"/>
      <c r="AK145" s="387"/>
      <c r="AL145" s="181"/>
      <c r="AM145" s="181"/>
      <c r="AN145" s="181"/>
      <c r="AO145" s="196"/>
      <c r="AP145" s="195"/>
      <c r="AQ145" s="188"/>
      <c r="AR145" s="188"/>
      <c r="AS145" s="188"/>
    </row>
    <row r="146">
      <c r="A146" s="395"/>
      <c r="B146" s="387"/>
      <c r="C146" s="181"/>
      <c r="D146" s="181"/>
      <c r="E146" s="181"/>
      <c r="F146" s="395"/>
      <c r="G146" s="387"/>
      <c r="H146" s="181"/>
      <c r="I146" s="181"/>
      <c r="J146" s="181"/>
      <c r="K146" s="88"/>
      <c r="L146" s="387"/>
      <c r="M146" s="181"/>
      <c r="N146" s="181"/>
      <c r="O146" s="181"/>
      <c r="P146" s="88"/>
      <c r="Q146" s="155"/>
      <c r="R146" s="181"/>
      <c r="S146" s="181"/>
      <c r="T146" s="181"/>
      <c r="U146" s="395"/>
      <c r="V146" s="387"/>
      <c r="W146" s="181"/>
      <c r="X146" s="181"/>
      <c r="Y146" s="181"/>
      <c r="Z146" s="395"/>
      <c r="AA146" s="387"/>
      <c r="AB146" s="181"/>
      <c r="AC146" s="181"/>
      <c r="AD146" s="181"/>
      <c r="AE146" s="395"/>
      <c r="AF146" s="387"/>
      <c r="AG146" s="181"/>
      <c r="AH146" s="181"/>
      <c r="AI146" s="181"/>
      <c r="AJ146" s="395"/>
      <c r="AK146" s="387"/>
      <c r="AL146" s="181"/>
      <c r="AM146" s="181"/>
      <c r="AN146" s="181"/>
      <c r="AO146" s="196"/>
      <c r="AP146" s="195"/>
      <c r="AQ146" s="188"/>
      <c r="AR146" s="188"/>
      <c r="AS146" s="188"/>
    </row>
    <row r="147">
      <c r="A147" s="395"/>
      <c r="B147" s="387"/>
      <c r="C147" s="181"/>
      <c r="D147" s="181"/>
      <c r="E147" s="181"/>
      <c r="F147" s="395"/>
      <c r="G147" s="387"/>
      <c r="H147" s="181"/>
      <c r="I147" s="181"/>
      <c r="J147" s="181"/>
      <c r="K147" s="88"/>
      <c r="L147" s="387"/>
      <c r="M147" s="181"/>
      <c r="N147" s="181"/>
      <c r="O147" s="181"/>
      <c r="P147" s="88"/>
      <c r="Q147" s="155"/>
      <c r="R147" s="181"/>
      <c r="S147" s="181"/>
      <c r="T147" s="181"/>
      <c r="U147" s="395"/>
      <c r="V147" s="387"/>
      <c r="W147" s="181"/>
      <c r="X147" s="181"/>
      <c r="Y147" s="181"/>
      <c r="Z147" s="395"/>
      <c r="AA147" s="387"/>
      <c r="AB147" s="181"/>
      <c r="AC147" s="181"/>
      <c r="AD147" s="181"/>
      <c r="AE147" s="395"/>
      <c r="AF147" s="387"/>
      <c r="AG147" s="181"/>
      <c r="AH147" s="181"/>
      <c r="AI147" s="181"/>
      <c r="AJ147" s="395"/>
      <c r="AK147" s="387"/>
      <c r="AL147" s="181"/>
      <c r="AM147" s="181"/>
      <c r="AN147" s="181"/>
      <c r="AO147" s="196"/>
      <c r="AP147" s="195"/>
      <c r="AQ147" s="188"/>
      <c r="AR147" s="188"/>
      <c r="AS147" s="188"/>
    </row>
    <row r="148">
      <c r="A148" s="395"/>
      <c r="B148" s="387"/>
      <c r="C148" s="181"/>
      <c r="D148" s="181"/>
      <c r="E148" s="181"/>
      <c r="F148" s="395"/>
      <c r="G148" s="387"/>
      <c r="H148" s="181"/>
      <c r="I148" s="181"/>
      <c r="J148" s="181"/>
      <c r="K148" s="88"/>
      <c r="L148" s="387"/>
      <c r="M148" s="181"/>
      <c r="N148" s="181"/>
      <c r="O148" s="181"/>
      <c r="P148" s="88"/>
      <c r="Q148" s="155"/>
      <c r="R148" s="181"/>
      <c r="S148" s="181"/>
      <c r="T148" s="181"/>
      <c r="U148" s="395"/>
      <c r="V148" s="387"/>
      <c r="W148" s="181"/>
      <c r="X148" s="181"/>
      <c r="Y148" s="181"/>
      <c r="Z148" s="395"/>
      <c r="AA148" s="387"/>
      <c r="AB148" s="181"/>
      <c r="AC148" s="181"/>
      <c r="AD148" s="181"/>
      <c r="AE148" s="395"/>
      <c r="AF148" s="387"/>
      <c r="AG148" s="181"/>
      <c r="AH148" s="181"/>
      <c r="AI148" s="181"/>
      <c r="AJ148" s="395"/>
      <c r="AK148" s="387"/>
      <c r="AL148" s="181"/>
      <c r="AM148" s="181"/>
      <c r="AN148" s="181"/>
      <c r="AO148" s="196"/>
      <c r="AP148" s="195"/>
      <c r="AQ148" s="188"/>
      <c r="AR148" s="188"/>
      <c r="AS148" s="188"/>
    </row>
    <row r="149">
      <c r="A149" s="395"/>
      <c r="B149" s="387"/>
      <c r="C149" s="181"/>
      <c r="D149" s="181"/>
      <c r="E149" s="181"/>
      <c r="F149" s="395"/>
      <c r="G149" s="387"/>
      <c r="H149" s="181"/>
      <c r="I149" s="181"/>
      <c r="J149" s="181"/>
      <c r="K149" s="88"/>
      <c r="L149" s="387"/>
      <c r="M149" s="181"/>
      <c r="N149" s="181"/>
      <c r="O149" s="181"/>
      <c r="P149" s="88"/>
      <c r="Q149" s="155"/>
      <c r="R149" s="181"/>
      <c r="S149" s="181"/>
      <c r="T149" s="181"/>
      <c r="U149" s="395"/>
      <c r="V149" s="387"/>
      <c r="W149" s="181"/>
      <c r="X149" s="181"/>
      <c r="Y149" s="181"/>
      <c r="Z149" s="395"/>
      <c r="AA149" s="387"/>
      <c r="AB149" s="181"/>
      <c r="AC149" s="181"/>
      <c r="AD149" s="181"/>
      <c r="AE149" s="395"/>
      <c r="AF149" s="387"/>
      <c r="AG149" s="181"/>
      <c r="AH149" s="181"/>
      <c r="AI149" s="181"/>
      <c r="AJ149" s="395"/>
      <c r="AK149" s="387"/>
      <c r="AL149" s="181"/>
      <c r="AM149" s="181"/>
      <c r="AN149" s="181"/>
      <c r="AO149" s="196"/>
      <c r="AP149" s="195"/>
      <c r="AQ149" s="188"/>
      <c r="AR149" s="188"/>
      <c r="AS149" s="188"/>
    </row>
    <row r="150">
      <c r="A150" s="395"/>
      <c r="B150" s="387"/>
      <c r="C150" s="181"/>
      <c r="D150" s="181"/>
      <c r="E150" s="181"/>
      <c r="F150" s="395"/>
      <c r="G150" s="387"/>
      <c r="H150" s="181"/>
      <c r="I150" s="181"/>
      <c r="J150" s="181"/>
      <c r="K150" s="88"/>
      <c r="L150" s="387"/>
      <c r="M150" s="181"/>
      <c r="N150" s="181"/>
      <c r="O150" s="181"/>
      <c r="P150" s="88"/>
      <c r="Q150" s="155"/>
      <c r="R150" s="181"/>
      <c r="S150" s="181"/>
      <c r="T150" s="181"/>
      <c r="U150" s="395"/>
      <c r="V150" s="387"/>
      <c r="W150" s="181"/>
      <c r="X150" s="181"/>
      <c r="Y150" s="181"/>
      <c r="Z150" s="395"/>
      <c r="AA150" s="387"/>
      <c r="AB150" s="181"/>
      <c r="AC150" s="181"/>
      <c r="AD150" s="181"/>
      <c r="AE150" s="395"/>
      <c r="AF150" s="387"/>
      <c r="AG150" s="181"/>
      <c r="AH150" s="181"/>
      <c r="AI150" s="181"/>
      <c r="AJ150" s="395"/>
      <c r="AK150" s="387"/>
      <c r="AL150" s="181"/>
      <c r="AM150" s="181"/>
      <c r="AN150" s="181"/>
      <c r="AO150" s="196"/>
      <c r="AP150" s="195"/>
      <c r="AQ150" s="188"/>
      <c r="AR150" s="188"/>
      <c r="AS150" s="188"/>
    </row>
    <row r="151">
      <c r="A151" s="395"/>
      <c r="B151" s="387"/>
      <c r="C151" s="181"/>
      <c r="D151" s="181"/>
      <c r="E151" s="181"/>
      <c r="F151" s="395"/>
      <c r="G151" s="387"/>
      <c r="H151" s="181"/>
      <c r="I151" s="181"/>
      <c r="J151" s="181"/>
      <c r="K151" s="88"/>
      <c r="L151" s="387"/>
      <c r="M151" s="181"/>
      <c r="N151" s="181"/>
      <c r="O151" s="181"/>
      <c r="P151" s="88"/>
      <c r="Q151" s="155"/>
      <c r="R151" s="181"/>
      <c r="S151" s="181"/>
      <c r="T151" s="181"/>
      <c r="U151" s="395"/>
      <c r="V151" s="387"/>
      <c r="W151" s="181"/>
      <c r="X151" s="181"/>
      <c r="Y151" s="181"/>
      <c r="Z151" s="395"/>
      <c r="AA151" s="387"/>
      <c r="AB151" s="181"/>
      <c r="AC151" s="181"/>
      <c r="AD151" s="181"/>
      <c r="AE151" s="395"/>
      <c r="AF151" s="387"/>
      <c r="AG151" s="181"/>
      <c r="AH151" s="181"/>
      <c r="AI151" s="181"/>
      <c r="AJ151" s="395"/>
      <c r="AK151" s="387"/>
      <c r="AL151" s="181"/>
      <c r="AM151" s="181"/>
      <c r="AN151" s="181"/>
      <c r="AO151" s="196"/>
      <c r="AP151" s="195"/>
      <c r="AQ151" s="188"/>
      <c r="AR151" s="188"/>
      <c r="AS151" s="188"/>
    </row>
    <row r="152">
      <c r="A152" s="395"/>
      <c r="B152" s="387"/>
      <c r="C152" s="181"/>
      <c r="D152" s="181"/>
      <c r="E152" s="181"/>
      <c r="F152" s="395"/>
      <c r="G152" s="387"/>
      <c r="H152" s="181"/>
      <c r="I152" s="181"/>
      <c r="J152" s="181"/>
      <c r="K152" s="88"/>
      <c r="L152" s="387"/>
      <c r="M152" s="181"/>
      <c r="N152" s="181"/>
      <c r="O152" s="181"/>
      <c r="P152" s="88"/>
      <c r="Q152" s="155"/>
      <c r="R152" s="181"/>
      <c r="S152" s="181"/>
      <c r="T152" s="181"/>
      <c r="U152" s="395"/>
      <c r="V152" s="387"/>
      <c r="W152" s="181"/>
      <c r="X152" s="181"/>
      <c r="Y152" s="181"/>
      <c r="Z152" s="395"/>
      <c r="AA152" s="387"/>
      <c r="AB152" s="181"/>
      <c r="AC152" s="181"/>
      <c r="AD152" s="181"/>
      <c r="AE152" s="395"/>
      <c r="AF152" s="387"/>
      <c r="AG152" s="181"/>
      <c r="AH152" s="181"/>
      <c r="AI152" s="181"/>
      <c r="AJ152" s="395"/>
      <c r="AK152" s="387"/>
      <c r="AL152" s="181"/>
      <c r="AM152" s="181"/>
      <c r="AN152" s="181"/>
      <c r="AO152" s="196"/>
      <c r="AP152" s="195"/>
      <c r="AQ152" s="188"/>
      <c r="AR152" s="188"/>
      <c r="AS152" s="188"/>
    </row>
    <row r="153">
      <c r="A153" s="395"/>
      <c r="B153" s="387"/>
      <c r="C153" s="181"/>
      <c r="D153" s="181"/>
      <c r="E153" s="181"/>
      <c r="F153" s="395"/>
      <c r="G153" s="387"/>
      <c r="H153" s="181"/>
      <c r="I153" s="181"/>
      <c r="J153" s="181"/>
      <c r="K153" s="88"/>
      <c r="L153" s="387"/>
      <c r="M153" s="181"/>
      <c r="N153" s="181"/>
      <c r="O153" s="181"/>
      <c r="P153" s="88"/>
      <c r="Q153" s="155"/>
      <c r="R153" s="181"/>
      <c r="S153" s="181"/>
      <c r="T153" s="181"/>
      <c r="U153" s="395"/>
      <c r="V153" s="387"/>
      <c r="W153" s="181"/>
      <c r="X153" s="181"/>
      <c r="Y153" s="181"/>
      <c r="Z153" s="395"/>
      <c r="AA153" s="387"/>
      <c r="AB153" s="181"/>
      <c r="AC153" s="181"/>
      <c r="AD153" s="181"/>
      <c r="AE153" s="395"/>
      <c r="AF153" s="387"/>
      <c r="AG153" s="181"/>
      <c r="AH153" s="181"/>
      <c r="AI153" s="181"/>
      <c r="AJ153" s="395"/>
      <c r="AK153" s="387"/>
      <c r="AL153" s="181"/>
      <c r="AM153" s="181"/>
      <c r="AN153" s="181"/>
      <c r="AO153" s="196"/>
      <c r="AP153" s="195"/>
      <c r="AQ153" s="188"/>
      <c r="AR153" s="188"/>
      <c r="AS153" s="188"/>
    </row>
    <row r="154">
      <c r="A154" s="395"/>
      <c r="B154" s="387"/>
      <c r="C154" s="181"/>
      <c r="D154" s="181"/>
      <c r="E154" s="181"/>
      <c r="F154" s="395"/>
      <c r="G154" s="387"/>
      <c r="H154" s="181"/>
      <c r="I154" s="181"/>
      <c r="J154" s="181"/>
      <c r="K154" s="88"/>
      <c r="L154" s="387"/>
      <c r="M154" s="181"/>
      <c r="N154" s="181"/>
      <c r="O154" s="181"/>
      <c r="P154" s="88"/>
      <c r="Q154" s="155"/>
      <c r="R154" s="181"/>
      <c r="S154" s="181"/>
      <c r="T154" s="181"/>
      <c r="U154" s="395"/>
      <c r="V154" s="387"/>
      <c r="W154" s="181"/>
      <c r="X154" s="181"/>
      <c r="Y154" s="181"/>
      <c r="Z154" s="395"/>
      <c r="AA154" s="387"/>
      <c r="AB154" s="181"/>
      <c r="AC154" s="181"/>
      <c r="AD154" s="181"/>
      <c r="AE154" s="395"/>
      <c r="AF154" s="387"/>
      <c r="AG154" s="181"/>
      <c r="AH154" s="181"/>
      <c r="AI154" s="181"/>
      <c r="AJ154" s="395"/>
      <c r="AK154" s="387"/>
      <c r="AL154" s="181"/>
      <c r="AM154" s="181"/>
      <c r="AN154" s="181"/>
      <c r="AO154" s="196"/>
      <c r="AP154" s="195"/>
      <c r="AQ154" s="188"/>
      <c r="AR154" s="188"/>
      <c r="AS154" s="188"/>
    </row>
    <row r="155">
      <c r="A155" s="395"/>
      <c r="B155" s="387"/>
      <c r="C155" s="181"/>
      <c r="D155" s="181"/>
      <c r="E155" s="181"/>
      <c r="F155" s="395"/>
      <c r="G155" s="387"/>
      <c r="H155" s="181"/>
      <c r="I155" s="181"/>
      <c r="J155" s="181"/>
      <c r="K155" s="88"/>
      <c r="L155" s="387"/>
      <c r="M155" s="181"/>
      <c r="N155" s="181"/>
      <c r="O155" s="181"/>
      <c r="P155" s="88"/>
      <c r="Q155" s="155"/>
      <c r="R155" s="181"/>
      <c r="S155" s="181"/>
      <c r="T155" s="181"/>
      <c r="U155" s="395"/>
      <c r="V155" s="387"/>
      <c r="W155" s="181"/>
      <c r="X155" s="181"/>
      <c r="Y155" s="181"/>
      <c r="Z155" s="395"/>
      <c r="AA155" s="387"/>
      <c r="AB155" s="181"/>
      <c r="AC155" s="181"/>
      <c r="AD155" s="181"/>
      <c r="AE155" s="395"/>
      <c r="AF155" s="387"/>
      <c r="AG155" s="181"/>
      <c r="AH155" s="181"/>
      <c r="AI155" s="181"/>
      <c r="AJ155" s="395"/>
      <c r="AK155" s="387"/>
      <c r="AL155" s="181"/>
      <c r="AM155" s="181"/>
      <c r="AN155" s="181"/>
      <c r="AO155" s="196"/>
      <c r="AP155" s="195"/>
      <c r="AQ155" s="188"/>
      <c r="AR155" s="188"/>
      <c r="AS155" s="188"/>
    </row>
    <row r="156">
      <c r="A156" s="395"/>
      <c r="B156" s="387"/>
      <c r="C156" s="181"/>
      <c r="D156" s="181"/>
      <c r="E156" s="181"/>
      <c r="F156" s="395"/>
      <c r="G156" s="387"/>
      <c r="H156" s="181"/>
      <c r="I156" s="181"/>
      <c r="J156" s="181"/>
      <c r="K156" s="88"/>
      <c r="L156" s="387"/>
      <c r="M156" s="181"/>
      <c r="N156" s="181"/>
      <c r="O156" s="181"/>
      <c r="P156" s="88"/>
      <c r="Q156" s="155"/>
      <c r="R156" s="181"/>
      <c r="S156" s="181"/>
      <c r="T156" s="181"/>
      <c r="U156" s="395"/>
      <c r="V156" s="387"/>
      <c r="W156" s="181"/>
      <c r="X156" s="181"/>
      <c r="Y156" s="181"/>
      <c r="Z156" s="395"/>
      <c r="AA156" s="387"/>
      <c r="AB156" s="181"/>
      <c r="AC156" s="181"/>
      <c r="AD156" s="181"/>
      <c r="AE156" s="395"/>
      <c r="AF156" s="387"/>
      <c r="AG156" s="181"/>
      <c r="AH156" s="181"/>
      <c r="AI156" s="181"/>
      <c r="AJ156" s="395"/>
      <c r="AK156" s="387"/>
      <c r="AL156" s="181"/>
      <c r="AM156" s="181"/>
      <c r="AN156" s="181"/>
      <c r="AO156" s="196"/>
      <c r="AP156" s="195"/>
      <c r="AQ156" s="188"/>
      <c r="AR156" s="188"/>
      <c r="AS156" s="188"/>
    </row>
    <row r="157">
      <c r="A157" s="395"/>
      <c r="B157" s="387"/>
      <c r="C157" s="181"/>
      <c r="D157" s="181"/>
      <c r="E157" s="181"/>
      <c r="F157" s="395"/>
      <c r="G157" s="387"/>
      <c r="H157" s="181"/>
      <c r="I157" s="181"/>
      <c r="J157" s="181"/>
      <c r="K157" s="88"/>
      <c r="L157" s="387"/>
      <c r="M157" s="181"/>
      <c r="N157" s="181"/>
      <c r="O157" s="181"/>
      <c r="P157" s="88"/>
      <c r="Q157" s="155"/>
      <c r="R157" s="181"/>
      <c r="S157" s="181"/>
      <c r="T157" s="181"/>
      <c r="U157" s="395"/>
      <c r="V157" s="387"/>
      <c r="W157" s="181"/>
      <c r="X157" s="181"/>
      <c r="Y157" s="181"/>
      <c r="Z157" s="395"/>
      <c r="AA157" s="387"/>
      <c r="AB157" s="181"/>
      <c r="AC157" s="181"/>
      <c r="AD157" s="181"/>
      <c r="AE157" s="395"/>
      <c r="AF157" s="387"/>
      <c r="AG157" s="181"/>
      <c r="AH157" s="181"/>
      <c r="AI157" s="181"/>
      <c r="AJ157" s="395"/>
      <c r="AK157" s="387"/>
      <c r="AL157" s="181"/>
      <c r="AM157" s="181"/>
      <c r="AN157" s="181"/>
      <c r="AO157" s="196"/>
      <c r="AP157" s="195"/>
      <c r="AQ157" s="188"/>
      <c r="AR157" s="188"/>
      <c r="AS157" s="188"/>
    </row>
    <row r="158">
      <c r="A158" s="395"/>
      <c r="B158" s="387"/>
      <c r="C158" s="181"/>
      <c r="D158" s="181"/>
      <c r="E158" s="181"/>
      <c r="F158" s="395"/>
      <c r="G158" s="387"/>
      <c r="H158" s="181"/>
      <c r="I158" s="181"/>
      <c r="J158" s="181"/>
      <c r="K158" s="88"/>
      <c r="L158" s="387"/>
      <c r="M158" s="181"/>
      <c r="N158" s="181"/>
      <c r="O158" s="181"/>
      <c r="P158" s="88"/>
      <c r="Q158" s="155"/>
      <c r="R158" s="181"/>
      <c r="S158" s="181"/>
      <c r="T158" s="181"/>
      <c r="U158" s="395"/>
      <c r="V158" s="387"/>
      <c r="W158" s="181"/>
      <c r="X158" s="181"/>
      <c r="Y158" s="181"/>
      <c r="Z158" s="395"/>
      <c r="AA158" s="387"/>
      <c r="AB158" s="181"/>
      <c r="AC158" s="181"/>
      <c r="AD158" s="181"/>
      <c r="AE158" s="395"/>
      <c r="AF158" s="387"/>
      <c r="AG158" s="181"/>
      <c r="AH158" s="181"/>
      <c r="AI158" s="181"/>
      <c r="AJ158" s="395"/>
      <c r="AK158" s="387"/>
      <c r="AL158" s="181"/>
      <c r="AM158" s="181"/>
      <c r="AN158" s="181"/>
      <c r="AO158" s="196"/>
      <c r="AP158" s="195"/>
      <c r="AQ158" s="188"/>
      <c r="AR158" s="188"/>
      <c r="AS158" s="188"/>
    </row>
    <row r="159">
      <c r="A159" s="395"/>
      <c r="B159" s="387"/>
      <c r="C159" s="181"/>
      <c r="D159" s="181"/>
      <c r="E159" s="181"/>
      <c r="F159" s="395"/>
      <c r="G159" s="387"/>
      <c r="H159" s="181"/>
      <c r="I159" s="181"/>
      <c r="J159" s="181"/>
      <c r="K159" s="88"/>
      <c r="L159" s="387"/>
      <c r="M159" s="181"/>
      <c r="N159" s="181"/>
      <c r="O159" s="181"/>
      <c r="P159" s="88"/>
      <c r="Q159" s="155"/>
      <c r="R159" s="181"/>
      <c r="S159" s="181"/>
      <c r="T159" s="181"/>
      <c r="U159" s="395"/>
      <c r="V159" s="387"/>
      <c r="W159" s="181"/>
      <c r="X159" s="181"/>
      <c r="Y159" s="181"/>
      <c r="Z159" s="395"/>
      <c r="AA159" s="387"/>
      <c r="AB159" s="181"/>
      <c r="AC159" s="181"/>
      <c r="AD159" s="181"/>
      <c r="AE159" s="395"/>
      <c r="AF159" s="387"/>
      <c r="AG159" s="181"/>
      <c r="AH159" s="181"/>
      <c r="AI159" s="181"/>
      <c r="AJ159" s="395"/>
      <c r="AK159" s="387"/>
      <c r="AL159" s="181"/>
      <c r="AM159" s="181"/>
      <c r="AN159" s="181"/>
      <c r="AO159" s="196"/>
      <c r="AP159" s="195"/>
      <c r="AQ159" s="188"/>
      <c r="AR159" s="188"/>
      <c r="AS159" s="188"/>
    </row>
    <row r="160">
      <c r="A160" s="395"/>
      <c r="B160" s="387"/>
      <c r="C160" s="181"/>
      <c r="D160" s="181"/>
      <c r="E160" s="181"/>
      <c r="F160" s="395"/>
      <c r="G160" s="387"/>
      <c r="H160" s="181"/>
      <c r="I160" s="181"/>
      <c r="J160" s="181"/>
      <c r="K160" s="88"/>
      <c r="L160" s="387"/>
      <c r="M160" s="181"/>
      <c r="N160" s="181"/>
      <c r="O160" s="181"/>
      <c r="P160" s="88"/>
      <c r="Q160" s="155"/>
      <c r="R160" s="181"/>
      <c r="S160" s="181"/>
      <c r="T160" s="181"/>
      <c r="U160" s="395"/>
      <c r="V160" s="387"/>
      <c r="W160" s="181"/>
      <c r="X160" s="181"/>
      <c r="Y160" s="181"/>
      <c r="Z160" s="395"/>
      <c r="AA160" s="387"/>
      <c r="AB160" s="181"/>
      <c r="AC160" s="181"/>
      <c r="AD160" s="181"/>
      <c r="AE160" s="395"/>
      <c r="AF160" s="387"/>
      <c r="AG160" s="181"/>
      <c r="AH160" s="181"/>
      <c r="AI160" s="181"/>
      <c r="AJ160" s="395"/>
      <c r="AK160" s="387"/>
      <c r="AL160" s="181"/>
      <c r="AM160" s="181"/>
      <c r="AN160" s="181"/>
      <c r="AO160" s="196"/>
      <c r="AP160" s="195"/>
      <c r="AQ160" s="188"/>
      <c r="AR160" s="188"/>
      <c r="AS160" s="188"/>
    </row>
    <row r="161">
      <c r="A161" s="395"/>
      <c r="B161" s="387"/>
      <c r="C161" s="181"/>
      <c r="D161" s="181"/>
      <c r="E161" s="181"/>
      <c r="F161" s="395"/>
      <c r="G161" s="387"/>
      <c r="H161" s="181"/>
      <c r="I161" s="181"/>
      <c r="J161" s="181"/>
      <c r="K161" s="88"/>
      <c r="L161" s="387"/>
      <c r="M161" s="181"/>
      <c r="N161" s="181"/>
      <c r="O161" s="181"/>
      <c r="P161" s="88"/>
      <c r="Q161" s="155"/>
      <c r="R161" s="181"/>
      <c r="S161" s="181"/>
      <c r="T161" s="181"/>
      <c r="U161" s="395"/>
      <c r="V161" s="387"/>
      <c r="W161" s="181"/>
      <c r="X161" s="181"/>
      <c r="Y161" s="181"/>
      <c r="Z161" s="395"/>
      <c r="AA161" s="387"/>
      <c r="AB161" s="181"/>
      <c r="AC161" s="181"/>
      <c r="AD161" s="181"/>
      <c r="AE161" s="395"/>
      <c r="AF161" s="387"/>
      <c r="AG161" s="181"/>
      <c r="AH161" s="181"/>
      <c r="AI161" s="181"/>
      <c r="AJ161" s="395"/>
      <c r="AK161" s="387"/>
      <c r="AL161" s="181"/>
      <c r="AM161" s="181"/>
      <c r="AN161" s="181"/>
      <c r="AO161" s="196"/>
      <c r="AP161" s="195"/>
      <c r="AQ161" s="188"/>
      <c r="AR161" s="188"/>
      <c r="AS161" s="188"/>
    </row>
    <row r="162">
      <c r="A162" s="395"/>
      <c r="B162" s="387"/>
      <c r="C162" s="181"/>
      <c r="D162" s="181"/>
      <c r="E162" s="181"/>
      <c r="F162" s="395"/>
      <c r="G162" s="387"/>
      <c r="H162" s="181"/>
      <c r="I162" s="181"/>
      <c r="J162" s="181"/>
      <c r="K162" s="88"/>
      <c r="L162" s="387"/>
      <c r="M162" s="181"/>
      <c r="N162" s="181"/>
      <c r="O162" s="181"/>
      <c r="P162" s="88"/>
      <c r="Q162" s="155"/>
      <c r="R162" s="181"/>
      <c r="S162" s="181"/>
      <c r="T162" s="181"/>
      <c r="U162" s="395"/>
      <c r="V162" s="387"/>
      <c r="W162" s="181"/>
      <c r="X162" s="181"/>
      <c r="Y162" s="181"/>
      <c r="Z162" s="395"/>
      <c r="AA162" s="387"/>
      <c r="AB162" s="181"/>
      <c r="AC162" s="181"/>
      <c r="AD162" s="181"/>
      <c r="AE162" s="395"/>
      <c r="AF162" s="387"/>
      <c r="AG162" s="181"/>
      <c r="AH162" s="181"/>
      <c r="AI162" s="181"/>
      <c r="AJ162" s="395"/>
      <c r="AK162" s="387"/>
      <c r="AL162" s="181"/>
      <c r="AM162" s="181"/>
      <c r="AN162" s="181"/>
      <c r="AO162" s="196"/>
      <c r="AP162" s="195"/>
      <c r="AQ162" s="188"/>
      <c r="AR162" s="188"/>
      <c r="AS162" s="188"/>
    </row>
    <row r="163">
      <c r="A163" s="395"/>
      <c r="B163" s="387"/>
      <c r="C163" s="181"/>
      <c r="D163" s="181"/>
      <c r="E163" s="181"/>
      <c r="F163" s="395"/>
      <c r="G163" s="387"/>
      <c r="H163" s="181"/>
      <c r="I163" s="181"/>
      <c r="J163" s="181"/>
      <c r="K163" s="88"/>
      <c r="L163" s="387"/>
      <c r="M163" s="181"/>
      <c r="N163" s="181"/>
      <c r="O163" s="181"/>
      <c r="P163" s="88"/>
      <c r="Q163" s="155"/>
      <c r="R163" s="181"/>
      <c r="S163" s="181"/>
      <c r="T163" s="181"/>
      <c r="U163" s="395"/>
      <c r="V163" s="387"/>
      <c r="W163" s="181"/>
      <c r="X163" s="181"/>
      <c r="Y163" s="181"/>
      <c r="Z163" s="395"/>
      <c r="AA163" s="387"/>
      <c r="AB163" s="181"/>
      <c r="AC163" s="181"/>
      <c r="AD163" s="181"/>
      <c r="AE163" s="395"/>
      <c r="AF163" s="387"/>
      <c r="AG163" s="181"/>
      <c r="AH163" s="181"/>
      <c r="AI163" s="181"/>
      <c r="AJ163" s="395"/>
      <c r="AK163" s="387"/>
      <c r="AL163" s="181"/>
      <c r="AM163" s="181"/>
      <c r="AN163" s="181"/>
      <c r="AO163" s="196"/>
      <c r="AP163" s="195"/>
      <c r="AQ163" s="188"/>
      <c r="AR163" s="188"/>
      <c r="AS163" s="188"/>
    </row>
    <row r="164">
      <c r="A164" s="395"/>
      <c r="B164" s="387"/>
      <c r="C164" s="181"/>
      <c r="D164" s="181"/>
      <c r="E164" s="181"/>
      <c r="F164" s="395"/>
      <c r="G164" s="387"/>
      <c r="H164" s="181"/>
      <c r="I164" s="181"/>
      <c r="J164" s="181"/>
      <c r="K164" s="88"/>
      <c r="L164" s="387"/>
      <c r="M164" s="181"/>
      <c r="N164" s="181"/>
      <c r="O164" s="181"/>
      <c r="P164" s="88"/>
      <c r="Q164" s="155"/>
      <c r="R164" s="181"/>
      <c r="S164" s="181"/>
      <c r="T164" s="181"/>
      <c r="U164" s="395"/>
      <c r="V164" s="387"/>
      <c r="W164" s="181"/>
      <c r="X164" s="181"/>
      <c r="Y164" s="181"/>
      <c r="Z164" s="395"/>
      <c r="AA164" s="387"/>
      <c r="AB164" s="181"/>
      <c r="AC164" s="181"/>
      <c r="AD164" s="181"/>
      <c r="AE164" s="395"/>
      <c r="AF164" s="387"/>
      <c r="AG164" s="181"/>
      <c r="AH164" s="181"/>
      <c r="AI164" s="181"/>
      <c r="AJ164" s="395"/>
      <c r="AK164" s="387"/>
      <c r="AL164" s="181"/>
      <c r="AM164" s="181"/>
      <c r="AN164" s="181"/>
      <c r="AO164" s="196"/>
      <c r="AP164" s="195"/>
      <c r="AQ164" s="188"/>
      <c r="AR164" s="188"/>
      <c r="AS164" s="188"/>
    </row>
    <row r="165">
      <c r="A165" s="395"/>
      <c r="B165" s="387"/>
      <c r="C165" s="181"/>
      <c r="D165" s="181"/>
      <c r="E165" s="181"/>
      <c r="F165" s="395"/>
      <c r="G165" s="387"/>
      <c r="H165" s="181"/>
      <c r="I165" s="181"/>
      <c r="J165" s="181"/>
      <c r="K165" s="88"/>
      <c r="L165" s="387"/>
      <c r="M165" s="181"/>
      <c r="N165" s="181"/>
      <c r="O165" s="181"/>
      <c r="P165" s="88"/>
      <c r="Q165" s="155"/>
      <c r="R165" s="181"/>
      <c r="S165" s="181"/>
      <c r="T165" s="181"/>
      <c r="U165" s="395"/>
      <c r="V165" s="387"/>
      <c r="W165" s="181"/>
      <c r="X165" s="181"/>
      <c r="Y165" s="181"/>
      <c r="Z165" s="395"/>
      <c r="AA165" s="387"/>
      <c r="AB165" s="181"/>
      <c r="AC165" s="181"/>
      <c r="AD165" s="181"/>
      <c r="AE165" s="395"/>
      <c r="AF165" s="387"/>
      <c r="AG165" s="181"/>
      <c r="AH165" s="181"/>
      <c r="AI165" s="181"/>
      <c r="AJ165" s="395"/>
      <c r="AK165" s="387"/>
      <c r="AL165" s="181"/>
      <c r="AM165" s="181"/>
      <c r="AN165" s="181"/>
      <c r="AO165" s="196"/>
      <c r="AP165" s="195"/>
      <c r="AQ165" s="188"/>
      <c r="AR165" s="188"/>
      <c r="AS165" s="188"/>
    </row>
    <row r="166">
      <c r="A166" s="395"/>
      <c r="B166" s="387"/>
      <c r="C166" s="181"/>
      <c r="D166" s="181"/>
      <c r="E166" s="181"/>
      <c r="F166" s="395"/>
      <c r="G166" s="387"/>
      <c r="H166" s="181"/>
      <c r="I166" s="181"/>
      <c r="J166" s="181"/>
      <c r="K166" s="88"/>
      <c r="L166" s="387"/>
      <c r="M166" s="181"/>
      <c r="N166" s="181"/>
      <c r="O166" s="181"/>
      <c r="P166" s="88"/>
      <c r="Q166" s="155"/>
      <c r="R166" s="181"/>
      <c r="S166" s="181"/>
      <c r="T166" s="181"/>
      <c r="U166" s="395"/>
      <c r="V166" s="387"/>
      <c r="W166" s="181"/>
      <c r="X166" s="181"/>
      <c r="Y166" s="181"/>
      <c r="Z166" s="395"/>
      <c r="AA166" s="387"/>
      <c r="AB166" s="181"/>
      <c r="AC166" s="181"/>
      <c r="AD166" s="181"/>
      <c r="AE166" s="395"/>
      <c r="AF166" s="387"/>
      <c r="AG166" s="181"/>
      <c r="AH166" s="181"/>
      <c r="AI166" s="181"/>
      <c r="AJ166" s="395"/>
      <c r="AK166" s="387"/>
      <c r="AL166" s="181"/>
      <c r="AM166" s="181"/>
      <c r="AN166" s="181"/>
      <c r="AO166" s="196"/>
      <c r="AP166" s="195"/>
      <c r="AQ166" s="188"/>
      <c r="AR166" s="188"/>
      <c r="AS166" s="188"/>
    </row>
    <row r="167">
      <c r="A167" s="395"/>
      <c r="B167" s="387"/>
      <c r="C167" s="181"/>
      <c r="D167" s="181"/>
      <c r="E167" s="181"/>
      <c r="F167" s="395"/>
      <c r="G167" s="387"/>
      <c r="H167" s="181"/>
      <c r="I167" s="181"/>
      <c r="J167" s="181"/>
      <c r="K167" s="88"/>
      <c r="L167" s="387"/>
      <c r="M167" s="181"/>
      <c r="N167" s="181"/>
      <c r="O167" s="181"/>
      <c r="P167" s="88"/>
      <c r="Q167" s="155"/>
      <c r="R167" s="181"/>
      <c r="S167" s="181"/>
      <c r="T167" s="181"/>
      <c r="U167" s="395"/>
      <c r="V167" s="387"/>
      <c r="W167" s="181"/>
      <c r="X167" s="181"/>
      <c r="Y167" s="181"/>
      <c r="Z167" s="395"/>
      <c r="AA167" s="387"/>
      <c r="AB167" s="181"/>
      <c r="AC167" s="181"/>
      <c r="AD167" s="181"/>
      <c r="AE167" s="395"/>
      <c r="AF167" s="387"/>
      <c r="AG167" s="181"/>
      <c r="AH167" s="181"/>
      <c r="AI167" s="181"/>
      <c r="AJ167" s="395"/>
      <c r="AK167" s="387"/>
      <c r="AL167" s="181"/>
      <c r="AM167" s="181"/>
      <c r="AN167" s="181"/>
      <c r="AO167" s="196"/>
      <c r="AP167" s="195"/>
      <c r="AQ167" s="188"/>
      <c r="AR167" s="188"/>
      <c r="AS167" s="188"/>
    </row>
    <row r="168">
      <c r="A168" s="395"/>
      <c r="B168" s="387"/>
      <c r="C168" s="181"/>
      <c r="D168" s="181"/>
      <c r="E168" s="181"/>
      <c r="F168" s="395"/>
      <c r="G168" s="387"/>
      <c r="H168" s="181"/>
      <c r="I168" s="181"/>
      <c r="J168" s="181"/>
      <c r="K168" s="88"/>
      <c r="L168" s="387"/>
      <c r="M168" s="181"/>
      <c r="N168" s="181"/>
      <c r="O168" s="181"/>
      <c r="P168" s="88"/>
      <c r="Q168" s="155"/>
      <c r="R168" s="181"/>
      <c r="S168" s="181"/>
      <c r="T168" s="181"/>
      <c r="U168" s="395"/>
      <c r="V168" s="387"/>
      <c r="W168" s="181"/>
      <c r="X168" s="181"/>
      <c r="Y168" s="181"/>
      <c r="Z168" s="395"/>
      <c r="AA168" s="387"/>
      <c r="AB168" s="181"/>
      <c r="AC168" s="181"/>
      <c r="AD168" s="181"/>
      <c r="AE168" s="395"/>
      <c r="AF168" s="387"/>
      <c r="AG168" s="181"/>
      <c r="AH168" s="181"/>
      <c r="AI168" s="181"/>
      <c r="AJ168" s="395"/>
      <c r="AK168" s="387"/>
      <c r="AL168" s="181"/>
      <c r="AM168" s="181"/>
      <c r="AN168" s="181"/>
      <c r="AO168" s="196"/>
      <c r="AP168" s="195"/>
      <c r="AQ168" s="188"/>
      <c r="AR168" s="188"/>
      <c r="AS168" s="188"/>
    </row>
    <row r="169">
      <c r="A169" s="395"/>
      <c r="B169" s="387"/>
      <c r="C169" s="181"/>
      <c r="D169" s="181"/>
      <c r="E169" s="181"/>
      <c r="F169" s="395"/>
      <c r="G169" s="387"/>
      <c r="H169" s="181"/>
      <c r="I169" s="181"/>
      <c r="J169" s="181"/>
      <c r="K169" s="88"/>
      <c r="L169" s="387"/>
      <c r="M169" s="181"/>
      <c r="N169" s="181"/>
      <c r="O169" s="181"/>
      <c r="P169" s="88"/>
      <c r="Q169" s="155"/>
      <c r="R169" s="181"/>
      <c r="S169" s="181"/>
      <c r="T169" s="181"/>
      <c r="U169" s="395"/>
      <c r="V169" s="387"/>
      <c r="W169" s="181"/>
      <c r="X169" s="181"/>
      <c r="Y169" s="181"/>
      <c r="Z169" s="395"/>
      <c r="AA169" s="387"/>
      <c r="AB169" s="181"/>
      <c r="AC169" s="181"/>
      <c r="AD169" s="181"/>
      <c r="AE169" s="395"/>
      <c r="AF169" s="387"/>
      <c r="AG169" s="181"/>
      <c r="AH169" s="181"/>
      <c r="AI169" s="181"/>
      <c r="AJ169" s="395"/>
      <c r="AK169" s="387"/>
      <c r="AL169" s="181"/>
      <c r="AM169" s="181"/>
      <c r="AN169" s="181"/>
      <c r="AO169" s="196"/>
      <c r="AP169" s="195"/>
      <c r="AQ169" s="188"/>
      <c r="AR169" s="188"/>
      <c r="AS169" s="188"/>
    </row>
    <row r="170">
      <c r="A170" s="395"/>
      <c r="B170" s="387"/>
      <c r="C170" s="181"/>
      <c r="D170" s="181"/>
      <c r="E170" s="181"/>
      <c r="F170" s="395"/>
      <c r="G170" s="387"/>
      <c r="H170" s="181"/>
      <c r="I170" s="181"/>
      <c r="J170" s="181"/>
      <c r="K170" s="88"/>
      <c r="L170" s="387"/>
      <c r="M170" s="181"/>
      <c r="N170" s="181"/>
      <c r="O170" s="181"/>
      <c r="P170" s="88"/>
      <c r="Q170" s="155"/>
      <c r="R170" s="181"/>
      <c r="S170" s="181"/>
      <c r="T170" s="181"/>
      <c r="U170" s="395"/>
      <c r="V170" s="387"/>
      <c r="W170" s="181"/>
      <c r="X170" s="181"/>
      <c r="Y170" s="181"/>
      <c r="Z170" s="395"/>
      <c r="AA170" s="387"/>
      <c r="AB170" s="181"/>
      <c r="AC170" s="181"/>
      <c r="AD170" s="181"/>
      <c r="AE170" s="395"/>
      <c r="AF170" s="387"/>
      <c r="AG170" s="181"/>
      <c r="AH170" s="181"/>
      <c r="AI170" s="181"/>
      <c r="AJ170" s="395"/>
      <c r="AK170" s="387"/>
      <c r="AL170" s="181"/>
      <c r="AM170" s="181"/>
      <c r="AN170" s="181"/>
      <c r="AO170" s="196"/>
      <c r="AP170" s="195"/>
      <c r="AQ170" s="188"/>
      <c r="AR170" s="188"/>
      <c r="AS170" s="188"/>
    </row>
    <row r="171">
      <c r="A171" s="395"/>
      <c r="B171" s="387"/>
      <c r="C171" s="181"/>
      <c r="D171" s="181"/>
      <c r="E171" s="181"/>
      <c r="F171" s="395"/>
      <c r="G171" s="387"/>
      <c r="H171" s="181"/>
      <c r="I171" s="181"/>
      <c r="J171" s="181"/>
      <c r="K171" s="88"/>
      <c r="L171" s="387"/>
      <c r="M171" s="181"/>
      <c r="N171" s="181"/>
      <c r="O171" s="181"/>
      <c r="P171" s="88"/>
      <c r="Q171" s="155"/>
      <c r="R171" s="181"/>
      <c r="S171" s="181"/>
      <c r="T171" s="181"/>
      <c r="U171" s="395"/>
      <c r="V171" s="387"/>
      <c r="W171" s="181"/>
      <c r="X171" s="181"/>
      <c r="Y171" s="181"/>
      <c r="Z171" s="395"/>
      <c r="AA171" s="387"/>
      <c r="AB171" s="181"/>
      <c r="AC171" s="181"/>
      <c r="AD171" s="181"/>
      <c r="AE171" s="395"/>
      <c r="AF171" s="387"/>
      <c r="AG171" s="181"/>
      <c r="AH171" s="181"/>
      <c r="AI171" s="181"/>
      <c r="AJ171" s="395"/>
      <c r="AK171" s="387"/>
      <c r="AL171" s="181"/>
      <c r="AM171" s="181"/>
      <c r="AN171" s="181"/>
      <c r="AO171" s="196"/>
      <c r="AP171" s="195"/>
      <c r="AQ171" s="188"/>
      <c r="AR171" s="188"/>
      <c r="AS171" s="188"/>
    </row>
    <row r="172">
      <c r="A172" s="395"/>
      <c r="B172" s="387"/>
      <c r="C172" s="181"/>
      <c r="D172" s="181"/>
      <c r="E172" s="181"/>
      <c r="F172" s="395"/>
      <c r="G172" s="387"/>
      <c r="H172" s="181"/>
      <c r="I172" s="181"/>
      <c r="J172" s="181"/>
      <c r="K172" s="88"/>
      <c r="L172" s="387"/>
      <c r="M172" s="181"/>
      <c r="N172" s="181"/>
      <c r="O172" s="181"/>
      <c r="P172" s="88"/>
      <c r="Q172" s="155"/>
      <c r="R172" s="181"/>
      <c r="S172" s="181"/>
      <c r="T172" s="181"/>
      <c r="U172" s="395"/>
      <c r="V172" s="387"/>
      <c r="W172" s="181"/>
      <c r="X172" s="181"/>
      <c r="Y172" s="181"/>
      <c r="Z172" s="395"/>
      <c r="AA172" s="387"/>
      <c r="AB172" s="181"/>
      <c r="AC172" s="181"/>
      <c r="AD172" s="181"/>
      <c r="AE172" s="395"/>
      <c r="AF172" s="387"/>
      <c r="AG172" s="181"/>
      <c r="AH172" s="181"/>
      <c r="AI172" s="181"/>
      <c r="AJ172" s="395"/>
      <c r="AK172" s="387"/>
      <c r="AL172" s="181"/>
      <c r="AM172" s="181"/>
      <c r="AN172" s="181"/>
      <c r="AO172" s="196"/>
      <c r="AP172" s="195"/>
      <c r="AQ172" s="188"/>
      <c r="AR172" s="188"/>
      <c r="AS172" s="188"/>
    </row>
    <row r="173">
      <c r="A173" s="395"/>
      <c r="B173" s="387"/>
      <c r="C173" s="181"/>
      <c r="D173" s="181"/>
      <c r="E173" s="181"/>
      <c r="F173" s="395"/>
      <c r="G173" s="387"/>
      <c r="H173" s="181"/>
      <c r="I173" s="181"/>
      <c r="J173" s="181"/>
      <c r="K173" s="88"/>
      <c r="L173" s="387"/>
      <c r="M173" s="181"/>
      <c r="N173" s="181"/>
      <c r="O173" s="181"/>
      <c r="P173" s="88"/>
      <c r="Q173" s="155"/>
      <c r="R173" s="181"/>
      <c r="S173" s="181"/>
      <c r="T173" s="181"/>
      <c r="U173" s="395"/>
      <c r="V173" s="387"/>
      <c r="W173" s="181"/>
      <c r="X173" s="181"/>
      <c r="Y173" s="181"/>
      <c r="Z173" s="395"/>
      <c r="AA173" s="387"/>
      <c r="AB173" s="181"/>
      <c r="AC173" s="181"/>
      <c r="AD173" s="181"/>
      <c r="AE173" s="395"/>
      <c r="AF173" s="387"/>
      <c r="AG173" s="181"/>
      <c r="AH173" s="181"/>
      <c r="AI173" s="181"/>
      <c r="AJ173" s="395"/>
      <c r="AK173" s="387"/>
      <c r="AL173" s="181"/>
      <c r="AM173" s="181"/>
      <c r="AN173" s="181"/>
      <c r="AO173" s="196"/>
      <c r="AP173" s="195"/>
      <c r="AQ173" s="188"/>
      <c r="AR173" s="188"/>
      <c r="AS173" s="188"/>
    </row>
    <row r="174">
      <c r="A174" s="395"/>
      <c r="B174" s="387"/>
      <c r="C174" s="181"/>
      <c r="D174" s="181"/>
      <c r="E174" s="181"/>
      <c r="F174" s="395"/>
      <c r="G174" s="387"/>
      <c r="H174" s="181"/>
      <c r="I174" s="181"/>
      <c r="J174" s="181"/>
      <c r="K174" s="88"/>
      <c r="L174" s="387"/>
      <c r="M174" s="181"/>
      <c r="N174" s="181"/>
      <c r="O174" s="181"/>
      <c r="P174" s="88"/>
      <c r="Q174" s="155"/>
      <c r="R174" s="181"/>
      <c r="S174" s="181"/>
      <c r="T174" s="181"/>
      <c r="U174" s="395"/>
      <c r="V174" s="387"/>
      <c r="W174" s="181"/>
      <c r="X174" s="181"/>
      <c r="Y174" s="181"/>
      <c r="Z174" s="395"/>
      <c r="AA174" s="387"/>
      <c r="AB174" s="181"/>
      <c r="AC174" s="181"/>
      <c r="AD174" s="181"/>
      <c r="AE174" s="395"/>
      <c r="AF174" s="387"/>
      <c r="AG174" s="181"/>
      <c r="AH174" s="181"/>
      <c r="AI174" s="181"/>
      <c r="AJ174" s="395"/>
      <c r="AK174" s="387"/>
      <c r="AL174" s="181"/>
      <c r="AM174" s="181"/>
      <c r="AN174" s="181"/>
      <c r="AO174" s="196"/>
      <c r="AP174" s="195"/>
      <c r="AQ174" s="188"/>
      <c r="AR174" s="188"/>
      <c r="AS174" s="188"/>
    </row>
    <row r="175">
      <c r="A175" s="395"/>
      <c r="B175" s="387"/>
      <c r="C175" s="181"/>
      <c r="D175" s="181"/>
      <c r="E175" s="181"/>
      <c r="F175" s="395"/>
      <c r="G175" s="387"/>
      <c r="H175" s="181"/>
      <c r="I175" s="181"/>
      <c r="J175" s="181"/>
      <c r="K175" s="88"/>
      <c r="L175" s="387"/>
      <c r="M175" s="181"/>
      <c r="N175" s="181"/>
      <c r="O175" s="181"/>
      <c r="P175" s="88"/>
      <c r="Q175" s="155"/>
      <c r="R175" s="181"/>
      <c r="S175" s="181"/>
      <c r="T175" s="181"/>
      <c r="U175" s="395"/>
      <c r="V175" s="387"/>
      <c r="W175" s="181"/>
      <c r="X175" s="181"/>
      <c r="Y175" s="181"/>
      <c r="Z175" s="395"/>
      <c r="AA175" s="387"/>
      <c r="AB175" s="181"/>
      <c r="AC175" s="181"/>
      <c r="AD175" s="181"/>
      <c r="AE175" s="395"/>
      <c r="AF175" s="387"/>
      <c r="AG175" s="181"/>
      <c r="AH175" s="181"/>
      <c r="AI175" s="181"/>
      <c r="AJ175" s="395"/>
      <c r="AK175" s="387"/>
      <c r="AL175" s="181"/>
      <c r="AM175" s="181"/>
      <c r="AN175" s="181"/>
      <c r="AO175" s="196"/>
      <c r="AP175" s="195"/>
      <c r="AQ175" s="188"/>
      <c r="AR175" s="188"/>
      <c r="AS175" s="188"/>
    </row>
    <row r="176">
      <c r="A176" s="395"/>
      <c r="B176" s="387"/>
      <c r="C176" s="181"/>
      <c r="D176" s="181"/>
      <c r="E176" s="181"/>
      <c r="F176" s="395"/>
      <c r="G176" s="387"/>
      <c r="H176" s="181"/>
      <c r="I176" s="181"/>
      <c r="J176" s="181"/>
      <c r="K176" s="88"/>
      <c r="L176" s="387"/>
      <c r="M176" s="181"/>
      <c r="N176" s="181"/>
      <c r="O176" s="181"/>
      <c r="P176" s="88"/>
      <c r="Q176" s="155"/>
      <c r="R176" s="181"/>
      <c r="S176" s="181"/>
      <c r="T176" s="181"/>
      <c r="U176" s="395"/>
      <c r="V176" s="387"/>
      <c r="W176" s="181"/>
      <c r="X176" s="181"/>
      <c r="Y176" s="181"/>
      <c r="Z176" s="395"/>
      <c r="AA176" s="387"/>
      <c r="AB176" s="181"/>
      <c r="AC176" s="181"/>
      <c r="AD176" s="181"/>
      <c r="AE176" s="395"/>
      <c r="AF176" s="387"/>
      <c r="AG176" s="181"/>
      <c r="AH176" s="181"/>
      <c r="AI176" s="181"/>
      <c r="AJ176" s="395"/>
      <c r="AK176" s="387"/>
      <c r="AL176" s="181"/>
      <c r="AM176" s="181"/>
      <c r="AN176" s="181"/>
      <c r="AO176" s="196"/>
      <c r="AP176" s="195"/>
      <c r="AQ176" s="188"/>
      <c r="AR176" s="188"/>
      <c r="AS176" s="188"/>
    </row>
    <row r="177">
      <c r="A177" s="395"/>
      <c r="B177" s="387"/>
      <c r="C177" s="181"/>
      <c r="D177" s="181"/>
      <c r="E177" s="181"/>
      <c r="F177" s="395"/>
      <c r="G177" s="387"/>
      <c r="H177" s="181"/>
      <c r="I177" s="181"/>
      <c r="J177" s="181"/>
      <c r="K177" s="88"/>
      <c r="L177" s="387"/>
      <c r="M177" s="181"/>
      <c r="N177" s="181"/>
      <c r="O177" s="181"/>
      <c r="P177" s="88"/>
      <c r="Q177" s="155"/>
      <c r="R177" s="181"/>
      <c r="S177" s="181"/>
      <c r="T177" s="181"/>
      <c r="U177" s="395"/>
      <c r="V177" s="387"/>
      <c r="W177" s="181"/>
      <c r="X177" s="181"/>
      <c r="Y177" s="181"/>
      <c r="Z177" s="395"/>
      <c r="AA177" s="387"/>
      <c r="AB177" s="181"/>
      <c r="AC177" s="181"/>
      <c r="AD177" s="181"/>
      <c r="AE177" s="395"/>
      <c r="AF177" s="387"/>
      <c r="AG177" s="181"/>
      <c r="AH177" s="181"/>
      <c r="AI177" s="181"/>
      <c r="AJ177" s="395"/>
      <c r="AK177" s="387"/>
      <c r="AL177" s="181"/>
      <c r="AM177" s="181"/>
      <c r="AN177" s="181"/>
      <c r="AO177" s="196"/>
      <c r="AP177" s="195"/>
      <c r="AQ177" s="188"/>
      <c r="AR177" s="188"/>
      <c r="AS177" s="188"/>
    </row>
    <row r="178">
      <c r="A178" s="395"/>
      <c r="B178" s="387"/>
      <c r="C178" s="181"/>
      <c r="D178" s="181"/>
      <c r="E178" s="181"/>
      <c r="F178" s="395"/>
      <c r="G178" s="387"/>
      <c r="H178" s="181"/>
      <c r="I178" s="181"/>
      <c r="J178" s="181"/>
      <c r="K178" s="88"/>
      <c r="L178" s="387"/>
      <c r="M178" s="181"/>
      <c r="N178" s="181"/>
      <c r="O178" s="181"/>
      <c r="P178" s="88"/>
      <c r="Q178" s="155"/>
      <c r="R178" s="181"/>
      <c r="S178" s="181"/>
      <c r="T178" s="181"/>
      <c r="U178" s="395"/>
      <c r="V178" s="387"/>
      <c r="W178" s="181"/>
      <c r="X178" s="181"/>
      <c r="Y178" s="181"/>
      <c r="Z178" s="395"/>
      <c r="AA178" s="387"/>
      <c r="AB178" s="181"/>
      <c r="AC178" s="181"/>
      <c r="AD178" s="181"/>
      <c r="AE178" s="395"/>
      <c r="AF178" s="387"/>
      <c r="AG178" s="181"/>
      <c r="AH178" s="181"/>
      <c r="AI178" s="181"/>
      <c r="AJ178" s="395"/>
      <c r="AK178" s="387"/>
      <c r="AL178" s="181"/>
      <c r="AM178" s="181"/>
      <c r="AN178" s="181"/>
      <c r="AO178" s="196"/>
      <c r="AP178" s="195"/>
      <c r="AQ178" s="188"/>
      <c r="AR178" s="188"/>
      <c r="AS178" s="188"/>
    </row>
    <row r="179">
      <c r="A179" s="395"/>
      <c r="B179" s="387"/>
      <c r="C179" s="181"/>
      <c r="D179" s="181"/>
      <c r="E179" s="181"/>
      <c r="F179" s="395"/>
      <c r="G179" s="387"/>
      <c r="H179" s="181"/>
      <c r="I179" s="181"/>
      <c r="J179" s="181"/>
      <c r="K179" s="88"/>
      <c r="L179" s="387"/>
      <c r="M179" s="181"/>
      <c r="N179" s="181"/>
      <c r="O179" s="181"/>
      <c r="P179" s="88"/>
      <c r="Q179" s="155"/>
      <c r="R179" s="181"/>
      <c r="S179" s="181"/>
      <c r="T179" s="181"/>
      <c r="U179" s="395"/>
      <c r="V179" s="387"/>
      <c r="W179" s="181"/>
      <c r="X179" s="181"/>
      <c r="Y179" s="181"/>
      <c r="Z179" s="395"/>
      <c r="AA179" s="387"/>
      <c r="AB179" s="181"/>
      <c r="AC179" s="181"/>
      <c r="AD179" s="181"/>
      <c r="AE179" s="395"/>
      <c r="AF179" s="387"/>
      <c r="AG179" s="181"/>
      <c r="AH179" s="181"/>
      <c r="AI179" s="181"/>
      <c r="AJ179" s="395"/>
      <c r="AK179" s="387"/>
      <c r="AL179" s="181"/>
      <c r="AM179" s="181"/>
      <c r="AN179" s="181"/>
      <c r="AO179" s="196"/>
      <c r="AP179" s="195"/>
      <c r="AQ179" s="188"/>
      <c r="AR179" s="188"/>
      <c r="AS179" s="188"/>
    </row>
    <row r="180">
      <c r="A180" s="395"/>
      <c r="B180" s="387"/>
      <c r="C180" s="181"/>
      <c r="D180" s="181"/>
      <c r="E180" s="181"/>
      <c r="F180" s="395"/>
      <c r="G180" s="387"/>
      <c r="H180" s="181"/>
      <c r="I180" s="181"/>
      <c r="J180" s="181"/>
      <c r="K180" s="88"/>
      <c r="L180" s="387"/>
      <c r="M180" s="181"/>
      <c r="N180" s="181"/>
      <c r="O180" s="181"/>
      <c r="P180" s="88"/>
      <c r="Q180" s="155"/>
      <c r="R180" s="181"/>
      <c r="S180" s="181"/>
      <c r="T180" s="181"/>
      <c r="U180" s="395"/>
      <c r="V180" s="387"/>
      <c r="W180" s="181"/>
      <c r="X180" s="181"/>
      <c r="Y180" s="181"/>
      <c r="Z180" s="395"/>
      <c r="AA180" s="387"/>
      <c r="AB180" s="181"/>
      <c r="AC180" s="181"/>
      <c r="AD180" s="181"/>
      <c r="AE180" s="395"/>
      <c r="AF180" s="387"/>
      <c r="AG180" s="181"/>
      <c r="AH180" s="181"/>
      <c r="AI180" s="181"/>
      <c r="AJ180" s="395"/>
      <c r="AK180" s="387"/>
      <c r="AL180" s="181"/>
      <c r="AM180" s="181"/>
      <c r="AN180" s="181"/>
      <c r="AO180" s="196"/>
      <c r="AP180" s="195"/>
      <c r="AQ180" s="188"/>
      <c r="AR180" s="188"/>
      <c r="AS180" s="188"/>
    </row>
    <row r="181">
      <c r="A181" s="395"/>
      <c r="B181" s="387"/>
      <c r="C181" s="181"/>
      <c r="D181" s="181"/>
      <c r="E181" s="181"/>
      <c r="F181" s="395"/>
      <c r="G181" s="387"/>
      <c r="H181" s="181"/>
      <c r="I181" s="181"/>
      <c r="J181" s="181"/>
      <c r="K181" s="88"/>
      <c r="L181" s="387"/>
      <c r="M181" s="181"/>
      <c r="N181" s="181"/>
      <c r="O181" s="181"/>
      <c r="P181" s="88"/>
      <c r="Q181" s="155"/>
      <c r="R181" s="181"/>
      <c r="S181" s="181"/>
      <c r="T181" s="181"/>
      <c r="U181" s="395"/>
      <c r="V181" s="387"/>
      <c r="W181" s="181"/>
      <c r="X181" s="181"/>
      <c r="Y181" s="181"/>
      <c r="Z181" s="395"/>
      <c r="AA181" s="387"/>
      <c r="AB181" s="181"/>
      <c r="AC181" s="181"/>
      <c r="AD181" s="181"/>
      <c r="AE181" s="395"/>
      <c r="AF181" s="387"/>
      <c r="AG181" s="181"/>
      <c r="AH181" s="181"/>
      <c r="AI181" s="181"/>
      <c r="AJ181" s="395"/>
      <c r="AK181" s="387"/>
      <c r="AL181" s="181"/>
      <c r="AM181" s="181"/>
      <c r="AN181" s="181"/>
      <c r="AO181" s="196"/>
      <c r="AP181" s="195"/>
      <c r="AQ181" s="188"/>
      <c r="AR181" s="188"/>
      <c r="AS181" s="188"/>
    </row>
    <row r="182">
      <c r="A182" s="395"/>
      <c r="B182" s="387"/>
      <c r="C182" s="181"/>
      <c r="D182" s="181"/>
      <c r="E182" s="181"/>
      <c r="F182" s="395"/>
      <c r="G182" s="387"/>
      <c r="H182" s="181"/>
      <c r="I182" s="181"/>
      <c r="J182" s="181"/>
      <c r="K182" s="88"/>
      <c r="L182" s="387"/>
      <c r="M182" s="181"/>
      <c r="N182" s="181"/>
      <c r="O182" s="181"/>
      <c r="P182" s="88"/>
      <c r="Q182" s="155"/>
      <c r="R182" s="181"/>
      <c r="S182" s="181"/>
      <c r="T182" s="181"/>
      <c r="U182" s="395"/>
      <c r="V182" s="387"/>
      <c r="W182" s="181"/>
      <c r="X182" s="181"/>
      <c r="Y182" s="181"/>
      <c r="Z182" s="395"/>
      <c r="AA182" s="387"/>
      <c r="AB182" s="181"/>
      <c r="AC182" s="181"/>
      <c r="AD182" s="181"/>
      <c r="AE182" s="395"/>
      <c r="AF182" s="387"/>
      <c r="AG182" s="181"/>
      <c r="AH182" s="181"/>
      <c r="AI182" s="181"/>
      <c r="AJ182" s="395"/>
      <c r="AK182" s="387"/>
      <c r="AL182" s="181"/>
      <c r="AM182" s="181"/>
      <c r="AN182" s="181"/>
      <c r="AO182" s="196"/>
      <c r="AP182" s="195"/>
      <c r="AQ182" s="188"/>
      <c r="AR182" s="188"/>
      <c r="AS182" s="188"/>
    </row>
    <row r="183">
      <c r="A183" s="395"/>
      <c r="B183" s="387"/>
      <c r="C183" s="181"/>
      <c r="D183" s="181"/>
      <c r="E183" s="181"/>
      <c r="F183" s="395"/>
      <c r="G183" s="387"/>
      <c r="H183" s="181"/>
      <c r="I183" s="181"/>
      <c r="J183" s="181"/>
      <c r="K183" s="88"/>
      <c r="L183" s="387"/>
      <c r="M183" s="181"/>
      <c r="N183" s="181"/>
      <c r="O183" s="181"/>
      <c r="P183" s="88"/>
      <c r="Q183" s="155"/>
      <c r="R183" s="181"/>
      <c r="S183" s="181"/>
      <c r="T183" s="181"/>
      <c r="U183" s="395"/>
      <c r="V183" s="387"/>
      <c r="W183" s="181"/>
      <c r="X183" s="181"/>
      <c r="Y183" s="181"/>
      <c r="Z183" s="395"/>
      <c r="AA183" s="387"/>
      <c r="AB183" s="181"/>
      <c r="AC183" s="181"/>
      <c r="AD183" s="181"/>
      <c r="AE183" s="395"/>
      <c r="AF183" s="387"/>
      <c r="AG183" s="181"/>
      <c r="AH183" s="181"/>
      <c r="AI183" s="181"/>
      <c r="AJ183" s="395"/>
      <c r="AK183" s="387"/>
      <c r="AL183" s="181"/>
      <c r="AM183" s="181"/>
      <c r="AN183" s="181"/>
      <c r="AO183" s="196"/>
      <c r="AP183" s="195"/>
      <c r="AQ183" s="188"/>
      <c r="AR183" s="188"/>
      <c r="AS183" s="188"/>
    </row>
    <row r="184">
      <c r="A184" s="395"/>
      <c r="B184" s="387"/>
      <c r="C184" s="181"/>
      <c r="D184" s="181"/>
      <c r="E184" s="181"/>
      <c r="F184" s="395"/>
      <c r="G184" s="387"/>
      <c r="H184" s="181"/>
      <c r="I184" s="181"/>
      <c r="J184" s="181"/>
      <c r="K184" s="88"/>
      <c r="L184" s="387"/>
      <c r="M184" s="181"/>
      <c r="N184" s="181"/>
      <c r="O184" s="181"/>
      <c r="P184" s="88"/>
      <c r="Q184" s="155"/>
      <c r="R184" s="181"/>
      <c r="S184" s="181"/>
      <c r="T184" s="181"/>
      <c r="U184" s="395"/>
      <c r="V184" s="387"/>
      <c r="W184" s="181"/>
      <c r="X184" s="181"/>
      <c r="Y184" s="181"/>
      <c r="Z184" s="395"/>
      <c r="AA184" s="387"/>
      <c r="AB184" s="181"/>
      <c r="AC184" s="181"/>
      <c r="AD184" s="181"/>
      <c r="AE184" s="395"/>
      <c r="AF184" s="387"/>
      <c r="AG184" s="181"/>
      <c r="AH184" s="181"/>
      <c r="AI184" s="181"/>
      <c r="AJ184" s="395"/>
      <c r="AK184" s="387"/>
      <c r="AL184" s="181"/>
      <c r="AM184" s="181"/>
      <c r="AN184" s="181"/>
      <c r="AO184" s="196"/>
      <c r="AP184" s="195"/>
      <c r="AQ184" s="188"/>
      <c r="AR184" s="188"/>
      <c r="AS184" s="188"/>
    </row>
    <row r="185">
      <c r="A185" s="395"/>
      <c r="B185" s="387"/>
      <c r="C185" s="181"/>
      <c r="D185" s="181"/>
      <c r="E185" s="181"/>
      <c r="F185" s="395"/>
      <c r="G185" s="387"/>
      <c r="H185" s="181"/>
      <c r="I185" s="181"/>
      <c r="J185" s="181"/>
      <c r="K185" s="88"/>
      <c r="L185" s="387"/>
      <c r="M185" s="181"/>
      <c r="N185" s="181"/>
      <c r="O185" s="181"/>
      <c r="P185" s="88"/>
      <c r="Q185" s="155"/>
      <c r="R185" s="181"/>
      <c r="S185" s="181"/>
      <c r="T185" s="181"/>
      <c r="U185" s="395"/>
      <c r="V185" s="387"/>
      <c r="W185" s="181"/>
      <c r="X185" s="181"/>
      <c r="Y185" s="181"/>
      <c r="Z185" s="395"/>
      <c r="AA185" s="387"/>
      <c r="AB185" s="181"/>
      <c r="AC185" s="181"/>
      <c r="AD185" s="181"/>
      <c r="AE185" s="395"/>
      <c r="AF185" s="387"/>
      <c r="AG185" s="181"/>
      <c r="AH185" s="181"/>
      <c r="AI185" s="181"/>
      <c r="AJ185" s="395"/>
      <c r="AK185" s="387"/>
      <c r="AL185" s="181"/>
      <c r="AM185" s="181"/>
      <c r="AN185" s="181"/>
      <c r="AO185" s="196"/>
      <c r="AP185" s="195"/>
      <c r="AQ185" s="188"/>
      <c r="AR185" s="188"/>
      <c r="AS185" s="188"/>
    </row>
    <row r="186">
      <c r="A186" s="395"/>
      <c r="B186" s="387"/>
      <c r="C186" s="181"/>
      <c r="D186" s="181"/>
      <c r="E186" s="181"/>
      <c r="F186" s="395"/>
      <c r="G186" s="387"/>
      <c r="H186" s="181"/>
      <c r="I186" s="181"/>
      <c r="J186" s="181"/>
      <c r="K186" s="88"/>
      <c r="L186" s="387"/>
      <c r="M186" s="181"/>
      <c r="N186" s="181"/>
      <c r="O186" s="181"/>
      <c r="P186" s="88"/>
      <c r="Q186" s="155"/>
      <c r="R186" s="181"/>
      <c r="S186" s="181"/>
      <c r="T186" s="181"/>
      <c r="U186" s="395"/>
      <c r="V186" s="387"/>
      <c r="W186" s="181"/>
      <c r="X186" s="181"/>
      <c r="Y186" s="181"/>
      <c r="Z186" s="395"/>
      <c r="AA186" s="387"/>
      <c r="AB186" s="181"/>
      <c r="AC186" s="181"/>
      <c r="AD186" s="181"/>
      <c r="AE186" s="395"/>
      <c r="AF186" s="387"/>
      <c r="AG186" s="181"/>
      <c r="AH186" s="181"/>
      <c r="AI186" s="181"/>
      <c r="AJ186" s="395"/>
      <c r="AK186" s="387"/>
      <c r="AL186" s="181"/>
      <c r="AM186" s="181"/>
      <c r="AN186" s="181"/>
      <c r="AO186" s="196"/>
      <c r="AP186" s="195"/>
      <c r="AQ186" s="188"/>
      <c r="AR186" s="188"/>
      <c r="AS186" s="188"/>
    </row>
    <row r="187">
      <c r="A187" s="395"/>
      <c r="B187" s="387"/>
      <c r="C187" s="181"/>
      <c r="D187" s="181"/>
      <c r="E187" s="181"/>
      <c r="F187" s="395"/>
      <c r="G187" s="387"/>
      <c r="H187" s="181"/>
      <c r="I187" s="181"/>
      <c r="J187" s="181"/>
      <c r="K187" s="88"/>
      <c r="L187" s="387"/>
      <c r="M187" s="181"/>
      <c r="N187" s="181"/>
      <c r="O187" s="181"/>
      <c r="P187" s="88"/>
      <c r="Q187" s="155"/>
      <c r="R187" s="181"/>
      <c r="S187" s="181"/>
      <c r="T187" s="181"/>
      <c r="U187" s="395"/>
      <c r="V187" s="387"/>
      <c r="W187" s="181"/>
      <c r="X187" s="181"/>
      <c r="Y187" s="181"/>
      <c r="Z187" s="395"/>
      <c r="AA187" s="387"/>
      <c r="AB187" s="181"/>
      <c r="AC187" s="181"/>
      <c r="AD187" s="181"/>
      <c r="AE187" s="395"/>
      <c r="AF187" s="387"/>
      <c r="AG187" s="181"/>
      <c r="AH187" s="181"/>
      <c r="AI187" s="181"/>
      <c r="AJ187" s="395"/>
      <c r="AK187" s="387"/>
      <c r="AL187" s="181"/>
      <c r="AM187" s="181"/>
      <c r="AN187" s="181"/>
      <c r="AO187" s="196"/>
      <c r="AP187" s="195"/>
      <c r="AQ187" s="188"/>
      <c r="AR187" s="188"/>
      <c r="AS187" s="188"/>
    </row>
    <row r="188">
      <c r="A188" s="395"/>
      <c r="B188" s="387"/>
      <c r="C188" s="181"/>
      <c r="D188" s="181"/>
      <c r="E188" s="181"/>
      <c r="F188" s="395"/>
      <c r="G188" s="387"/>
      <c r="H188" s="181"/>
      <c r="I188" s="181"/>
      <c r="J188" s="181"/>
      <c r="K188" s="88"/>
      <c r="L188" s="387"/>
      <c r="M188" s="181"/>
      <c r="N188" s="181"/>
      <c r="O188" s="181"/>
      <c r="P188" s="88"/>
      <c r="Q188" s="155"/>
      <c r="R188" s="181"/>
      <c r="S188" s="181"/>
      <c r="T188" s="181"/>
      <c r="U188" s="395"/>
      <c r="V188" s="387"/>
      <c r="W188" s="181"/>
      <c r="X188" s="181"/>
      <c r="Y188" s="181"/>
      <c r="Z188" s="395"/>
      <c r="AA188" s="387"/>
      <c r="AB188" s="181"/>
      <c r="AC188" s="181"/>
      <c r="AD188" s="181"/>
      <c r="AE188" s="395"/>
      <c r="AF188" s="387"/>
      <c r="AG188" s="181"/>
      <c r="AH188" s="181"/>
      <c r="AI188" s="181"/>
      <c r="AJ188" s="395"/>
      <c r="AK188" s="387"/>
      <c r="AL188" s="181"/>
      <c r="AM188" s="181"/>
      <c r="AN188" s="181"/>
      <c r="AO188" s="196"/>
      <c r="AP188" s="195"/>
      <c r="AQ188" s="188"/>
      <c r="AR188" s="188"/>
      <c r="AS188" s="188"/>
    </row>
    <row r="189">
      <c r="A189" s="395"/>
      <c r="B189" s="387"/>
      <c r="C189" s="181"/>
      <c r="D189" s="181"/>
      <c r="E189" s="181"/>
      <c r="F189" s="395"/>
      <c r="G189" s="387"/>
      <c r="H189" s="181"/>
      <c r="I189" s="181"/>
      <c r="J189" s="181"/>
      <c r="K189" s="88"/>
      <c r="L189" s="387"/>
      <c r="M189" s="181"/>
      <c r="N189" s="181"/>
      <c r="O189" s="181"/>
      <c r="P189" s="88"/>
      <c r="Q189" s="155"/>
      <c r="R189" s="181"/>
      <c r="S189" s="181"/>
      <c r="T189" s="181"/>
      <c r="U189" s="395"/>
      <c r="V189" s="387"/>
      <c r="W189" s="181"/>
      <c r="X189" s="181"/>
      <c r="Y189" s="181"/>
      <c r="Z189" s="395"/>
      <c r="AA189" s="387"/>
      <c r="AB189" s="181"/>
      <c r="AC189" s="181"/>
      <c r="AD189" s="181"/>
      <c r="AE189" s="395"/>
      <c r="AF189" s="387"/>
      <c r="AG189" s="181"/>
      <c r="AH189" s="181"/>
      <c r="AI189" s="181"/>
      <c r="AJ189" s="395"/>
      <c r="AK189" s="387"/>
      <c r="AL189" s="181"/>
      <c r="AM189" s="181"/>
      <c r="AN189" s="181"/>
      <c r="AO189" s="196"/>
      <c r="AP189" s="195"/>
      <c r="AQ189" s="188"/>
      <c r="AR189" s="188"/>
      <c r="AS189" s="188"/>
    </row>
    <row r="190">
      <c r="A190" s="395"/>
      <c r="B190" s="387"/>
      <c r="C190" s="181"/>
      <c r="D190" s="181"/>
      <c r="E190" s="181"/>
      <c r="F190" s="395"/>
      <c r="G190" s="387"/>
      <c r="H190" s="181"/>
      <c r="I190" s="181"/>
      <c r="J190" s="181"/>
      <c r="K190" s="88"/>
      <c r="L190" s="387"/>
      <c r="M190" s="181"/>
      <c r="N190" s="181"/>
      <c r="O190" s="181"/>
      <c r="P190" s="88"/>
      <c r="Q190" s="155"/>
      <c r="R190" s="181"/>
      <c r="S190" s="181"/>
      <c r="T190" s="181"/>
      <c r="U190" s="395"/>
      <c r="V190" s="387"/>
      <c r="W190" s="181"/>
      <c r="X190" s="181"/>
      <c r="Y190" s="181"/>
      <c r="Z190" s="395"/>
      <c r="AA190" s="387"/>
      <c r="AB190" s="181"/>
      <c r="AC190" s="181"/>
      <c r="AD190" s="181"/>
      <c r="AE190" s="395"/>
      <c r="AF190" s="387"/>
      <c r="AG190" s="181"/>
      <c r="AH190" s="181"/>
      <c r="AI190" s="181"/>
      <c r="AJ190" s="395"/>
      <c r="AK190" s="387"/>
      <c r="AL190" s="181"/>
      <c r="AM190" s="181"/>
      <c r="AN190" s="181"/>
      <c r="AO190" s="196"/>
      <c r="AP190" s="195"/>
      <c r="AQ190" s="188"/>
      <c r="AR190" s="188"/>
      <c r="AS190" s="188"/>
    </row>
    <row r="191">
      <c r="A191" s="395"/>
      <c r="B191" s="387"/>
      <c r="C191" s="181"/>
      <c r="D191" s="181"/>
      <c r="E191" s="181"/>
      <c r="F191" s="395"/>
      <c r="G191" s="387"/>
      <c r="H191" s="181"/>
      <c r="I191" s="181"/>
      <c r="J191" s="181"/>
      <c r="K191" s="88"/>
      <c r="L191" s="387"/>
      <c r="M191" s="181"/>
      <c r="N191" s="181"/>
      <c r="O191" s="181"/>
      <c r="P191" s="88"/>
      <c r="Q191" s="155"/>
      <c r="R191" s="181"/>
      <c r="S191" s="181"/>
      <c r="T191" s="181"/>
      <c r="U191" s="395"/>
      <c r="V191" s="387"/>
      <c r="W191" s="181"/>
      <c r="X191" s="181"/>
      <c r="Y191" s="181"/>
      <c r="Z191" s="395"/>
      <c r="AA191" s="387"/>
      <c r="AB191" s="181"/>
      <c r="AC191" s="181"/>
      <c r="AD191" s="181"/>
      <c r="AE191" s="395"/>
      <c r="AF191" s="387"/>
      <c r="AG191" s="181"/>
      <c r="AH191" s="181"/>
      <c r="AI191" s="181"/>
      <c r="AJ191" s="395"/>
      <c r="AK191" s="387"/>
      <c r="AL191" s="181"/>
      <c r="AM191" s="181"/>
      <c r="AN191" s="181"/>
      <c r="AO191" s="196"/>
      <c r="AP191" s="195"/>
      <c r="AQ191" s="188"/>
      <c r="AR191" s="188"/>
      <c r="AS191" s="188"/>
    </row>
    <row r="192">
      <c r="A192" s="395"/>
      <c r="B192" s="387"/>
      <c r="C192" s="181"/>
      <c r="D192" s="181"/>
      <c r="E192" s="181"/>
      <c r="F192" s="395"/>
      <c r="G192" s="387"/>
      <c r="H192" s="181"/>
      <c r="I192" s="181"/>
      <c r="J192" s="181"/>
      <c r="K192" s="88"/>
      <c r="L192" s="387"/>
      <c r="M192" s="181"/>
      <c r="N192" s="181"/>
      <c r="O192" s="181"/>
      <c r="P192" s="88"/>
      <c r="Q192" s="155"/>
      <c r="R192" s="181"/>
      <c r="S192" s="181"/>
      <c r="T192" s="181"/>
      <c r="U192" s="395"/>
      <c r="V192" s="387"/>
      <c r="W192" s="181"/>
      <c r="X192" s="181"/>
      <c r="Y192" s="181"/>
      <c r="Z192" s="395"/>
      <c r="AA192" s="387"/>
      <c r="AB192" s="181"/>
      <c r="AC192" s="181"/>
      <c r="AD192" s="181"/>
      <c r="AE192" s="395"/>
      <c r="AF192" s="387"/>
      <c r="AG192" s="181"/>
      <c r="AH192" s="181"/>
      <c r="AI192" s="181"/>
      <c r="AJ192" s="395"/>
      <c r="AK192" s="387"/>
      <c r="AL192" s="181"/>
      <c r="AM192" s="181"/>
      <c r="AN192" s="181"/>
      <c r="AO192" s="196"/>
      <c r="AP192" s="195"/>
      <c r="AQ192" s="188"/>
      <c r="AR192" s="188"/>
      <c r="AS192" s="188"/>
    </row>
    <row r="193">
      <c r="A193" s="395"/>
      <c r="B193" s="387"/>
      <c r="C193" s="181"/>
      <c r="D193" s="181"/>
      <c r="E193" s="181"/>
      <c r="F193" s="395"/>
      <c r="G193" s="387"/>
      <c r="H193" s="181"/>
      <c r="I193" s="181"/>
      <c r="J193" s="181"/>
      <c r="K193" s="88"/>
      <c r="L193" s="387"/>
      <c r="M193" s="181"/>
      <c r="N193" s="181"/>
      <c r="O193" s="181"/>
      <c r="P193" s="88"/>
      <c r="Q193" s="155"/>
      <c r="R193" s="181"/>
      <c r="S193" s="181"/>
      <c r="T193" s="181"/>
      <c r="U193" s="395"/>
      <c r="V193" s="387"/>
      <c r="W193" s="181"/>
      <c r="X193" s="181"/>
      <c r="Y193" s="181"/>
      <c r="Z193" s="395"/>
      <c r="AA193" s="387"/>
      <c r="AB193" s="181"/>
      <c r="AC193" s="181"/>
      <c r="AD193" s="181"/>
      <c r="AE193" s="395"/>
      <c r="AF193" s="387"/>
      <c r="AG193" s="181"/>
      <c r="AH193" s="181"/>
      <c r="AI193" s="181"/>
      <c r="AJ193" s="395"/>
      <c r="AK193" s="387"/>
      <c r="AL193" s="181"/>
      <c r="AM193" s="181"/>
      <c r="AN193" s="181"/>
      <c r="AO193" s="196"/>
      <c r="AP193" s="195"/>
      <c r="AQ193" s="188"/>
      <c r="AR193" s="188"/>
      <c r="AS193" s="188"/>
    </row>
    <row r="194">
      <c r="A194" s="395"/>
      <c r="B194" s="387"/>
      <c r="C194" s="181"/>
      <c r="D194" s="181"/>
      <c r="E194" s="181"/>
      <c r="F194" s="395"/>
      <c r="G194" s="387"/>
      <c r="H194" s="181"/>
      <c r="I194" s="181"/>
      <c r="J194" s="181"/>
      <c r="K194" s="88"/>
      <c r="L194" s="387"/>
      <c r="M194" s="181"/>
      <c r="N194" s="181"/>
      <c r="O194" s="181"/>
      <c r="P194" s="88"/>
      <c r="Q194" s="155"/>
      <c r="R194" s="181"/>
      <c r="S194" s="181"/>
      <c r="T194" s="181"/>
      <c r="U194" s="395"/>
      <c r="V194" s="387"/>
      <c r="W194" s="181"/>
      <c r="X194" s="181"/>
      <c r="Y194" s="181"/>
      <c r="Z194" s="395"/>
      <c r="AA194" s="387"/>
      <c r="AB194" s="181"/>
      <c r="AC194" s="181"/>
      <c r="AD194" s="181"/>
      <c r="AE194" s="395"/>
      <c r="AF194" s="387"/>
      <c r="AG194" s="181"/>
      <c r="AH194" s="181"/>
      <c r="AI194" s="181"/>
      <c r="AJ194" s="395"/>
      <c r="AK194" s="387"/>
      <c r="AL194" s="181"/>
      <c r="AM194" s="181"/>
      <c r="AN194" s="181"/>
      <c r="AO194" s="196"/>
      <c r="AP194" s="195"/>
      <c r="AQ194" s="188"/>
      <c r="AR194" s="188"/>
      <c r="AS194" s="188"/>
    </row>
    <row r="195">
      <c r="A195" s="395"/>
      <c r="B195" s="387"/>
      <c r="C195" s="181"/>
      <c r="D195" s="181"/>
      <c r="E195" s="181"/>
      <c r="F195" s="395"/>
      <c r="G195" s="387"/>
      <c r="H195" s="181"/>
      <c r="I195" s="181"/>
      <c r="J195" s="181"/>
      <c r="K195" s="88"/>
      <c r="L195" s="387"/>
      <c r="M195" s="181"/>
      <c r="N195" s="181"/>
      <c r="O195" s="181"/>
      <c r="P195" s="88"/>
      <c r="Q195" s="155"/>
      <c r="R195" s="181"/>
      <c r="S195" s="181"/>
      <c r="T195" s="181"/>
      <c r="U195" s="395"/>
      <c r="V195" s="387"/>
      <c r="W195" s="181"/>
      <c r="X195" s="181"/>
      <c r="Y195" s="181"/>
      <c r="Z195" s="395"/>
      <c r="AA195" s="387"/>
      <c r="AB195" s="181"/>
      <c r="AC195" s="181"/>
      <c r="AD195" s="181"/>
      <c r="AE195" s="395"/>
      <c r="AF195" s="387"/>
      <c r="AG195" s="181"/>
      <c r="AH195" s="181"/>
      <c r="AI195" s="181"/>
      <c r="AJ195" s="395"/>
      <c r="AK195" s="387"/>
      <c r="AL195" s="181"/>
      <c r="AM195" s="181"/>
      <c r="AN195" s="181"/>
      <c r="AO195" s="196"/>
      <c r="AP195" s="195"/>
      <c r="AQ195" s="188"/>
      <c r="AR195" s="188"/>
      <c r="AS195" s="188"/>
    </row>
    <row r="196">
      <c r="A196" s="395"/>
      <c r="B196" s="387"/>
      <c r="C196" s="181"/>
      <c r="D196" s="181"/>
      <c r="E196" s="181"/>
      <c r="F196" s="395"/>
      <c r="G196" s="387"/>
      <c r="H196" s="181"/>
      <c r="I196" s="181"/>
      <c r="J196" s="181"/>
      <c r="K196" s="88"/>
      <c r="L196" s="387"/>
      <c r="M196" s="181"/>
      <c r="N196" s="181"/>
      <c r="O196" s="181"/>
      <c r="P196" s="88"/>
      <c r="Q196" s="155"/>
      <c r="R196" s="181"/>
      <c r="S196" s="181"/>
      <c r="T196" s="181"/>
      <c r="U196" s="395"/>
      <c r="V196" s="387"/>
      <c r="W196" s="181"/>
      <c r="X196" s="181"/>
      <c r="Y196" s="181"/>
      <c r="Z196" s="395"/>
      <c r="AA196" s="387"/>
      <c r="AB196" s="181"/>
      <c r="AC196" s="181"/>
      <c r="AD196" s="181"/>
      <c r="AE196" s="395"/>
      <c r="AF196" s="387"/>
      <c r="AG196" s="181"/>
      <c r="AH196" s="181"/>
      <c r="AI196" s="181"/>
      <c r="AJ196" s="395"/>
      <c r="AK196" s="387"/>
      <c r="AL196" s="181"/>
      <c r="AM196" s="181"/>
      <c r="AN196" s="181"/>
      <c r="AO196" s="196"/>
      <c r="AP196" s="195"/>
      <c r="AQ196" s="188"/>
      <c r="AR196" s="188"/>
      <c r="AS196" s="188"/>
    </row>
    <row r="197">
      <c r="A197" s="395"/>
      <c r="B197" s="387"/>
      <c r="C197" s="181"/>
      <c r="D197" s="181"/>
      <c r="E197" s="181"/>
      <c r="F197" s="395"/>
      <c r="G197" s="387"/>
      <c r="H197" s="181"/>
      <c r="I197" s="181"/>
      <c r="J197" s="181"/>
      <c r="K197" s="88"/>
      <c r="L197" s="387"/>
      <c r="M197" s="181"/>
      <c r="N197" s="181"/>
      <c r="O197" s="181"/>
      <c r="P197" s="88"/>
      <c r="Q197" s="155"/>
      <c r="R197" s="181"/>
      <c r="S197" s="181"/>
      <c r="T197" s="181"/>
      <c r="U197" s="395"/>
      <c r="V197" s="387"/>
      <c r="W197" s="181"/>
      <c r="X197" s="181"/>
      <c r="Y197" s="181"/>
      <c r="Z197" s="395"/>
      <c r="AA197" s="387"/>
      <c r="AB197" s="181"/>
      <c r="AC197" s="181"/>
      <c r="AD197" s="181"/>
      <c r="AE197" s="395"/>
      <c r="AF197" s="387"/>
      <c r="AG197" s="181"/>
      <c r="AH197" s="181"/>
      <c r="AI197" s="181"/>
      <c r="AJ197" s="395"/>
      <c r="AK197" s="387"/>
      <c r="AL197" s="181"/>
      <c r="AM197" s="181"/>
      <c r="AN197" s="181"/>
      <c r="AO197" s="196"/>
      <c r="AP197" s="195"/>
      <c r="AQ197" s="188"/>
      <c r="AR197" s="188"/>
      <c r="AS197" s="188"/>
    </row>
    <row r="198">
      <c r="A198" s="395"/>
      <c r="B198" s="387"/>
      <c r="C198" s="181"/>
      <c r="D198" s="181"/>
      <c r="E198" s="181"/>
      <c r="F198" s="395"/>
      <c r="G198" s="387"/>
      <c r="H198" s="181"/>
      <c r="I198" s="181"/>
      <c r="J198" s="181"/>
      <c r="K198" s="88"/>
      <c r="L198" s="387"/>
      <c r="M198" s="181"/>
      <c r="N198" s="181"/>
      <c r="O198" s="181"/>
      <c r="P198" s="88"/>
      <c r="Q198" s="155"/>
      <c r="R198" s="181"/>
      <c r="S198" s="181"/>
      <c r="T198" s="181"/>
      <c r="U198" s="395"/>
      <c r="V198" s="387"/>
      <c r="W198" s="181"/>
      <c r="X198" s="181"/>
      <c r="Y198" s="181"/>
      <c r="Z198" s="395"/>
      <c r="AA198" s="387"/>
      <c r="AB198" s="181"/>
      <c r="AC198" s="181"/>
      <c r="AD198" s="181"/>
      <c r="AE198" s="395"/>
      <c r="AF198" s="387"/>
      <c r="AG198" s="181"/>
      <c r="AH198" s="181"/>
      <c r="AI198" s="181"/>
      <c r="AJ198" s="395"/>
      <c r="AK198" s="387"/>
      <c r="AL198" s="181"/>
      <c r="AM198" s="181"/>
      <c r="AN198" s="181"/>
      <c r="AO198" s="196"/>
      <c r="AP198" s="195"/>
      <c r="AQ198" s="188"/>
      <c r="AR198" s="188"/>
      <c r="AS198" s="188"/>
    </row>
    <row r="199">
      <c r="A199" s="395"/>
      <c r="B199" s="387"/>
      <c r="C199" s="181"/>
      <c r="D199" s="181"/>
      <c r="E199" s="181"/>
      <c r="F199" s="395"/>
      <c r="G199" s="387"/>
      <c r="H199" s="181"/>
      <c r="I199" s="181"/>
      <c r="J199" s="181"/>
      <c r="K199" s="88"/>
      <c r="L199" s="387"/>
      <c r="M199" s="181"/>
      <c r="N199" s="181"/>
      <c r="O199" s="181"/>
      <c r="P199" s="88"/>
      <c r="Q199" s="155"/>
      <c r="R199" s="181"/>
      <c r="S199" s="181"/>
      <c r="T199" s="181"/>
      <c r="U199" s="395"/>
      <c r="V199" s="387"/>
      <c r="W199" s="181"/>
      <c r="X199" s="181"/>
      <c r="Y199" s="181"/>
      <c r="Z199" s="395"/>
      <c r="AA199" s="387"/>
      <c r="AB199" s="181"/>
      <c r="AC199" s="181"/>
      <c r="AD199" s="181"/>
      <c r="AE199" s="395"/>
      <c r="AF199" s="387"/>
      <c r="AG199" s="181"/>
      <c r="AH199" s="181"/>
      <c r="AI199" s="181"/>
      <c r="AJ199" s="395"/>
      <c r="AK199" s="387"/>
      <c r="AL199" s="181"/>
      <c r="AM199" s="181"/>
      <c r="AN199" s="181"/>
      <c r="AO199" s="196"/>
      <c r="AP199" s="195"/>
      <c r="AQ199" s="188"/>
      <c r="AR199" s="188"/>
      <c r="AS199" s="188"/>
    </row>
    <row r="200">
      <c r="A200" s="395"/>
      <c r="B200" s="387"/>
      <c r="C200" s="181"/>
      <c r="D200" s="181"/>
      <c r="E200" s="181"/>
      <c r="F200" s="395"/>
      <c r="G200" s="387"/>
      <c r="H200" s="181"/>
      <c r="I200" s="181"/>
      <c r="J200" s="181"/>
      <c r="K200" s="88"/>
      <c r="L200" s="387"/>
      <c r="M200" s="181"/>
      <c r="N200" s="181"/>
      <c r="O200" s="181"/>
      <c r="P200" s="88"/>
      <c r="Q200" s="155"/>
      <c r="R200" s="181"/>
      <c r="S200" s="181"/>
      <c r="T200" s="181"/>
      <c r="U200" s="395"/>
      <c r="V200" s="387"/>
      <c r="W200" s="181"/>
      <c r="X200" s="181"/>
      <c r="Y200" s="181"/>
      <c r="Z200" s="395"/>
      <c r="AA200" s="387"/>
      <c r="AB200" s="181"/>
      <c r="AC200" s="181"/>
      <c r="AD200" s="181"/>
      <c r="AE200" s="395"/>
      <c r="AF200" s="387"/>
      <c r="AG200" s="181"/>
      <c r="AH200" s="181"/>
      <c r="AI200" s="181"/>
      <c r="AJ200" s="395"/>
      <c r="AK200" s="387"/>
      <c r="AL200" s="181"/>
      <c r="AM200" s="181"/>
      <c r="AN200" s="181"/>
      <c r="AO200" s="196"/>
      <c r="AP200" s="195"/>
      <c r="AQ200" s="188"/>
      <c r="AR200" s="188"/>
      <c r="AS200" s="188"/>
    </row>
    <row r="201">
      <c r="A201" s="395"/>
      <c r="B201" s="387"/>
      <c r="C201" s="181"/>
      <c r="D201" s="181"/>
      <c r="E201" s="181"/>
      <c r="F201" s="395"/>
      <c r="G201" s="387"/>
      <c r="H201" s="181"/>
      <c r="I201" s="181"/>
      <c r="J201" s="181"/>
      <c r="K201" s="88"/>
      <c r="L201" s="387"/>
      <c r="M201" s="181"/>
      <c r="N201" s="181"/>
      <c r="O201" s="181"/>
      <c r="P201" s="88"/>
      <c r="Q201" s="155"/>
      <c r="R201" s="181"/>
      <c r="S201" s="181"/>
      <c r="T201" s="181"/>
      <c r="U201" s="395"/>
      <c r="V201" s="387"/>
      <c r="W201" s="181"/>
      <c r="X201" s="181"/>
      <c r="Y201" s="181"/>
      <c r="Z201" s="395"/>
      <c r="AA201" s="387"/>
      <c r="AB201" s="181"/>
      <c r="AC201" s="181"/>
      <c r="AD201" s="181"/>
      <c r="AE201" s="395"/>
      <c r="AF201" s="387"/>
      <c r="AG201" s="181"/>
      <c r="AH201" s="181"/>
      <c r="AI201" s="181"/>
      <c r="AJ201" s="395"/>
      <c r="AK201" s="387"/>
      <c r="AL201" s="181"/>
      <c r="AM201" s="181"/>
      <c r="AN201" s="181"/>
      <c r="AO201" s="196"/>
      <c r="AP201" s="195"/>
      <c r="AQ201" s="188"/>
      <c r="AR201" s="188"/>
      <c r="AS201" s="188"/>
    </row>
    <row r="202">
      <c r="A202" s="395"/>
      <c r="B202" s="387"/>
      <c r="C202" s="181"/>
      <c r="D202" s="181"/>
      <c r="E202" s="181"/>
      <c r="F202" s="395"/>
      <c r="G202" s="387"/>
      <c r="H202" s="181"/>
      <c r="I202" s="181"/>
      <c r="J202" s="181"/>
      <c r="K202" s="88"/>
      <c r="L202" s="387"/>
      <c r="M202" s="181"/>
      <c r="N202" s="181"/>
      <c r="O202" s="181"/>
      <c r="P202" s="88"/>
      <c r="Q202" s="155"/>
      <c r="R202" s="181"/>
      <c r="S202" s="181"/>
      <c r="T202" s="181"/>
      <c r="U202" s="395"/>
      <c r="V202" s="387"/>
      <c r="W202" s="181"/>
      <c r="X202" s="181"/>
      <c r="Y202" s="181"/>
      <c r="Z202" s="395"/>
      <c r="AA202" s="387"/>
      <c r="AB202" s="181"/>
      <c r="AC202" s="181"/>
      <c r="AD202" s="181"/>
      <c r="AE202" s="395"/>
      <c r="AF202" s="387"/>
      <c r="AG202" s="181"/>
      <c r="AH202" s="181"/>
      <c r="AI202" s="181"/>
      <c r="AJ202" s="395"/>
      <c r="AK202" s="387"/>
      <c r="AL202" s="181"/>
      <c r="AM202" s="181"/>
      <c r="AN202" s="181"/>
      <c r="AO202" s="196"/>
      <c r="AP202" s="195"/>
      <c r="AQ202" s="188"/>
      <c r="AR202" s="188"/>
      <c r="AS202" s="188"/>
    </row>
    <row r="203">
      <c r="A203" s="395"/>
      <c r="B203" s="387"/>
      <c r="C203" s="181"/>
      <c r="D203" s="181"/>
      <c r="E203" s="181"/>
      <c r="F203" s="395"/>
      <c r="G203" s="387"/>
      <c r="H203" s="181"/>
      <c r="I203" s="181"/>
      <c r="J203" s="181"/>
      <c r="K203" s="88"/>
      <c r="L203" s="387"/>
      <c r="M203" s="181"/>
      <c r="N203" s="181"/>
      <c r="O203" s="181"/>
      <c r="P203" s="88"/>
      <c r="Q203" s="155"/>
      <c r="R203" s="181"/>
      <c r="S203" s="181"/>
      <c r="T203" s="181"/>
      <c r="U203" s="395"/>
      <c r="V203" s="387"/>
      <c r="W203" s="181"/>
      <c r="X203" s="181"/>
      <c r="Y203" s="181"/>
      <c r="Z203" s="395"/>
      <c r="AA203" s="387"/>
      <c r="AB203" s="181"/>
      <c r="AC203" s="181"/>
      <c r="AD203" s="181"/>
      <c r="AE203" s="395"/>
      <c r="AF203" s="387"/>
      <c r="AG203" s="181"/>
      <c r="AH203" s="181"/>
      <c r="AI203" s="181"/>
      <c r="AJ203" s="395"/>
      <c r="AK203" s="387"/>
      <c r="AL203" s="181"/>
      <c r="AM203" s="181"/>
      <c r="AN203" s="181"/>
      <c r="AO203" s="196"/>
      <c r="AP203" s="195"/>
      <c r="AQ203" s="188"/>
      <c r="AR203" s="188"/>
      <c r="AS203" s="188"/>
    </row>
    <row r="204">
      <c r="A204" s="395"/>
      <c r="B204" s="387"/>
      <c r="C204" s="181"/>
      <c r="D204" s="181"/>
      <c r="E204" s="181"/>
      <c r="F204" s="395"/>
      <c r="G204" s="387"/>
      <c r="H204" s="181"/>
      <c r="I204" s="181"/>
      <c r="J204" s="181"/>
      <c r="K204" s="88"/>
      <c r="L204" s="387"/>
      <c r="M204" s="181"/>
      <c r="N204" s="181"/>
      <c r="O204" s="181"/>
      <c r="P204" s="88"/>
      <c r="Q204" s="155"/>
      <c r="R204" s="181"/>
      <c r="S204" s="181"/>
      <c r="T204" s="181"/>
      <c r="U204" s="395"/>
      <c r="V204" s="387"/>
      <c r="W204" s="181"/>
      <c r="X204" s="181"/>
      <c r="Y204" s="181"/>
      <c r="Z204" s="395"/>
      <c r="AA204" s="387"/>
      <c r="AB204" s="181"/>
      <c r="AC204" s="181"/>
      <c r="AD204" s="181"/>
      <c r="AE204" s="395"/>
      <c r="AF204" s="387"/>
      <c r="AG204" s="181"/>
      <c r="AH204" s="181"/>
      <c r="AI204" s="181"/>
      <c r="AJ204" s="395"/>
      <c r="AK204" s="387"/>
      <c r="AL204" s="181"/>
      <c r="AM204" s="181"/>
      <c r="AN204" s="181"/>
      <c r="AO204" s="196"/>
      <c r="AP204" s="195"/>
      <c r="AQ204" s="188"/>
      <c r="AR204" s="188"/>
      <c r="AS204" s="188"/>
    </row>
    <row r="205">
      <c r="A205" s="395"/>
      <c r="B205" s="387"/>
      <c r="C205" s="181"/>
      <c r="D205" s="181"/>
      <c r="E205" s="181"/>
      <c r="F205" s="395"/>
      <c r="G205" s="387"/>
      <c r="H205" s="181"/>
      <c r="I205" s="181"/>
      <c r="J205" s="181"/>
      <c r="K205" s="88"/>
      <c r="L205" s="387"/>
      <c r="M205" s="181"/>
      <c r="N205" s="181"/>
      <c r="O205" s="181"/>
      <c r="P205" s="88"/>
      <c r="Q205" s="155"/>
      <c r="R205" s="181"/>
      <c r="S205" s="181"/>
      <c r="T205" s="181"/>
      <c r="U205" s="395"/>
      <c r="V205" s="387"/>
      <c r="W205" s="181"/>
      <c r="X205" s="181"/>
      <c r="Y205" s="181"/>
      <c r="Z205" s="395"/>
      <c r="AA205" s="387"/>
      <c r="AB205" s="181"/>
      <c r="AC205" s="181"/>
      <c r="AD205" s="181"/>
      <c r="AE205" s="395"/>
      <c r="AF205" s="387"/>
      <c r="AG205" s="181"/>
      <c r="AH205" s="181"/>
      <c r="AI205" s="181"/>
      <c r="AJ205" s="395"/>
      <c r="AK205" s="387"/>
      <c r="AL205" s="181"/>
      <c r="AM205" s="181"/>
      <c r="AN205" s="181"/>
      <c r="AO205" s="196"/>
      <c r="AP205" s="195"/>
      <c r="AQ205" s="188"/>
      <c r="AR205" s="188"/>
      <c r="AS205" s="188"/>
    </row>
    <row r="206">
      <c r="A206" s="395"/>
      <c r="B206" s="387"/>
      <c r="C206" s="181"/>
      <c r="D206" s="181"/>
      <c r="E206" s="181"/>
      <c r="F206" s="395"/>
      <c r="G206" s="387"/>
      <c r="H206" s="181"/>
      <c r="I206" s="181"/>
      <c r="J206" s="181"/>
      <c r="K206" s="88"/>
      <c r="L206" s="387"/>
      <c r="M206" s="181"/>
      <c r="N206" s="181"/>
      <c r="O206" s="181"/>
      <c r="P206" s="88"/>
      <c r="Q206" s="155"/>
      <c r="R206" s="181"/>
      <c r="S206" s="181"/>
      <c r="T206" s="181"/>
      <c r="U206" s="395"/>
      <c r="V206" s="387"/>
      <c r="W206" s="181"/>
      <c r="X206" s="181"/>
      <c r="Y206" s="181"/>
      <c r="Z206" s="395"/>
      <c r="AA206" s="387"/>
      <c r="AB206" s="181"/>
      <c r="AC206" s="181"/>
      <c r="AD206" s="181"/>
      <c r="AE206" s="395"/>
      <c r="AF206" s="387"/>
      <c r="AG206" s="181"/>
      <c r="AH206" s="181"/>
      <c r="AI206" s="181"/>
      <c r="AJ206" s="395"/>
      <c r="AK206" s="387"/>
      <c r="AL206" s="181"/>
      <c r="AM206" s="181"/>
      <c r="AN206" s="181"/>
      <c r="AO206" s="196"/>
      <c r="AP206" s="195"/>
      <c r="AQ206" s="188"/>
      <c r="AR206" s="188"/>
      <c r="AS206" s="188"/>
    </row>
    <row r="207">
      <c r="A207" s="395"/>
      <c r="B207" s="387"/>
      <c r="C207" s="181"/>
      <c r="D207" s="181"/>
      <c r="E207" s="181"/>
      <c r="F207" s="395"/>
      <c r="G207" s="387"/>
      <c r="H207" s="181"/>
      <c r="I207" s="181"/>
      <c r="J207" s="181"/>
      <c r="K207" s="88"/>
      <c r="L207" s="387"/>
      <c r="M207" s="181"/>
      <c r="N207" s="181"/>
      <c r="O207" s="181"/>
      <c r="P207" s="88"/>
      <c r="Q207" s="155"/>
      <c r="R207" s="181"/>
      <c r="S207" s="181"/>
      <c r="T207" s="181"/>
      <c r="U207" s="395"/>
      <c r="V207" s="387"/>
      <c r="W207" s="181"/>
      <c r="X207" s="181"/>
      <c r="Y207" s="181"/>
      <c r="Z207" s="395"/>
      <c r="AA207" s="387"/>
      <c r="AB207" s="181"/>
      <c r="AC207" s="181"/>
      <c r="AD207" s="181"/>
      <c r="AE207" s="395"/>
      <c r="AF207" s="387"/>
      <c r="AG207" s="181"/>
      <c r="AH207" s="181"/>
      <c r="AI207" s="181"/>
      <c r="AJ207" s="395"/>
      <c r="AK207" s="387"/>
      <c r="AL207" s="181"/>
      <c r="AM207" s="181"/>
      <c r="AN207" s="181"/>
      <c r="AO207" s="196"/>
      <c r="AP207" s="195"/>
      <c r="AQ207" s="188"/>
      <c r="AR207" s="188"/>
      <c r="AS207" s="188"/>
    </row>
    <row r="208">
      <c r="A208" s="395"/>
      <c r="B208" s="387"/>
      <c r="C208" s="181"/>
      <c r="D208" s="181"/>
      <c r="E208" s="181"/>
      <c r="F208" s="395"/>
      <c r="G208" s="387"/>
      <c r="H208" s="181"/>
      <c r="I208" s="181"/>
      <c r="J208" s="181"/>
      <c r="K208" s="88"/>
      <c r="L208" s="387"/>
      <c r="M208" s="181"/>
      <c r="N208" s="181"/>
      <c r="O208" s="181"/>
      <c r="P208" s="88"/>
      <c r="Q208" s="155"/>
      <c r="R208" s="181"/>
      <c r="S208" s="181"/>
      <c r="T208" s="181"/>
      <c r="U208" s="395"/>
      <c r="V208" s="387"/>
      <c r="W208" s="181"/>
      <c r="X208" s="181"/>
      <c r="Y208" s="181"/>
      <c r="Z208" s="395"/>
      <c r="AA208" s="387"/>
      <c r="AB208" s="181"/>
      <c r="AC208" s="181"/>
      <c r="AD208" s="181"/>
      <c r="AE208" s="395"/>
      <c r="AF208" s="387"/>
      <c r="AG208" s="181"/>
      <c r="AH208" s="181"/>
      <c r="AI208" s="181"/>
      <c r="AJ208" s="395"/>
      <c r="AK208" s="387"/>
      <c r="AL208" s="181"/>
      <c r="AM208" s="181"/>
      <c r="AN208" s="181"/>
      <c r="AO208" s="196"/>
      <c r="AP208" s="195"/>
      <c r="AQ208" s="188"/>
      <c r="AR208" s="188"/>
      <c r="AS208" s="188"/>
    </row>
    <row r="209">
      <c r="A209" s="395"/>
      <c r="B209" s="387"/>
      <c r="C209" s="181"/>
      <c r="D209" s="181"/>
      <c r="E209" s="181"/>
      <c r="F209" s="395"/>
      <c r="G209" s="387"/>
      <c r="H209" s="181"/>
      <c r="I209" s="181"/>
      <c r="J209" s="181"/>
      <c r="K209" s="88"/>
      <c r="L209" s="387"/>
      <c r="M209" s="181"/>
      <c r="N209" s="181"/>
      <c r="O209" s="181"/>
      <c r="P209" s="88"/>
      <c r="Q209" s="155"/>
      <c r="R209" s="181"/>
      <c r="S209" s="181"/>
      <c r="T209" s="181"/>
      <c r="U209" s="395"/>
      <c r="V209" s="387"/>
      <c r="W209" s="181"/>
      <c r="X209" s="181"/>
      <c r="Y209" s="181"/>
      <c r="Z209" s="395"/>
      <c r="AA209" s="387"/>
      <c r="AB209" s="181"/>
      <c r="AC209" s="181"/>
      <c r="AD209" s="181"/>
      <c r="AE209" s="395"/>
      <c r="AF209" s="387"/>
      <c r="AG209" s="181"/>
      <c r="AH209" s="181"/>
      <c r="AI209" s="181"/>
      <c r="AJ209" s="395"/>
      <c r="AK209" s="387"/>
      <c r="AL209" s="181"/>
      <c r="AM209" s="181"/>
      <c r="AN209" s="181"/>
      <c r="AO209" s="196"/>
      <c r="AP209" s="195"/>
      <c r="AQ209" s="188"/>
      <c r="AR209" s="188"/>
      <c r="AS209" s="188"/>
    </row>
    <row r="210">
      <c r="A210" s="395"/>
      <c r="B210" s="387"/>
      <c r="C210" s="181"/>
      <c r="D210" s="181"/>
      <c r="E210" s="181"/>
      <c r="F210" s="395"/>
      <c r="G210" s="387"/>
      <c r="H210" s="181"/>
      <c r="I210" s="181"/>
      <c r="J210" s="181"/>
      <c r="K210" s="88"/>
      <c r="L210" s="387"/>
      <c r="M210" s="181"/>
      <c r="N210" s="181"/>
      <c r="O210" s="181"/>
      <c r="P210" s="88"/>
      <c r="Q210" s="155"/>
      <c r="R210" s="181"/>
      <c r="S210" s="181"/>
      <c r="T210" s="181"/>
      <c r="U210" s="395"/>
      <c r="V210" s="387"/>
      <c r="W210" s="181"/>
      <c r="X210" s="181"/>
      <c r="Y210" s="181"/>
      <c r="Z210" s="395"/>
      <c r="AA210" s="387"/>
      <c r="AB210" s="181"/>
      <c r="AC210" s="181"/>
      <c r="AD210" s="181"/>
      <c r="AE210" s="395"/>
      <c r="AF210" s="387"/>
      <c r="AG210" s="181"/>
      <c r="AH210" s="181"/>
      <c r="AI210" s="181"/>
      <c r="AJ210" s="395"/>
      <c r="AK210" s="387"/>
      <c r="AL210" s="181"/>
      <c r="AM210" s="181"/>
      <c r="AN210" s="181"/>
      <c r="AO210" s="196"/>
      <c r="AP210" s="195"/>
      <c r="AQ210" s="188"/>
      <c r="AR210" s="188"/>
      <c r="AS210" s="188"/>
    </row>
    <row r="211">
      <c r="A211" s="395"/>
      <c r="B211" s="387"/>
      <c r="C211" s="181"/>
      <c r="D211" s="181"/>
      <c r="E211" s="181"/>
      <c r="F211" s="395"/>
      <c r="G211" s="387"/>
      <c r="H211" s="181"/>
      <c r="I211" s="181"/>
      <c r="J211" s="181"/>
      <c r="K211" s="88"/>
      <c r="L211" s="387"/>
      <c r="M211" s="181"/>
      <c r="N211" s="181"/>
      <c r="O211" s="181"/>
      <c r="P211" s="88"/>
      <c r="Q211" s="155"/>
      <c r="R211" s="181"/>
      <c r="S211" s="181"/>
      <c r="T211" s="181"/>
      <c r="U211" s="395"/>
      <c r="V211" s="387"/>
      <c r="W211" s="181"/>
      <c r="X211" s="181"/>
      <c r="Y211" s="181"/>
      <c r="Z211" s="395"/>
      <c r="AA211" s="387"/>
      <c r="AB211" s="181"/>
      <c r="AC211" s="181"/>
      <c r="AD211" s="181"/>
      <c r="AE211" s="395"/>
      <c r="AF211" s="387"/>
      <c r="AG211" s="181"/>
      <c r="AH211" s="181"/>
      <c r="AI211" s="181"/>
      <c r="AJ211" s="395"/>
      <c r="AK211" s="387"/>
      <c r="AL211" s="181"/>
      <c r="AM211" s="181"/>
      <c r="AN211" s="181"/>
      <c r="AO211" s="196"/>
      <c r="AP211" s="195"/>
      <c r="AQ211" s="188"/>
      <c r="AR211" s="188"/>
      <c r="AS211" s="188"/>
    </row>
    <row r="212">
      <c r="A212" s="395"/>
      <c r="B212" s="387"/>
      <c r="C212" s="181"/>
      <c r="D212" s="181"/>
      <c r="E212" s="181"/>
      <c r="F212" s="395"/>
      <c r="G212" s="387"/>
      <c r="H212" s="181"/>
      <c r="I212" s="181"/>
      <c r="J212" s="181"/>
      <c r="K212" s="88"/>
      <c r="L212" s="387"/>
      <c r="M212" s="181"/>
      <c r="N212" s="181"/>
      <c r="O212" s="181"/>
      <c r="P212" s="88"/>
      <c r="Q212" s="155"/>
      <c r="R212" s="181"/>
      <c r="S212" s="181"/>
      <c r="T212" s="181"/>
      <c r="U212" s="395"/>
      <c r="V212" s="387"/>
      <c r="W212" s="181"/>
      <c r="X212" s="181"/>
      <c r="Y212" s="181"/>
      <c r="Z212" s="395"/>
      <c r="AA212" s="387"/>
      <c r="AB212" s="181"/>
      <c r="AC212" s="181"/>
      <c r="AD212" s="181"/>
      <c r="AE212" s="395"/>
      <c r="AF212" s="387"/>
      <c r="AG212" s="181"/>
      <c r="AH212" s="181"/>
      <c r="AI212" s="181"/>
      <c r="AJ212" s="395"/>
      <c r="AK212" s="387"/>
      <c r="AL212" s="181"/>
      <c r="AM212" s="181"/>
      <c r="AN212" s="181"/>
      <c r="AO212" s="196"/>
      <c r="AP212" s="195"/>
      <c r="AQ212" s="188"/>
      <c r="AR212" s="188"/>
      <c r="AS212" s="188"/>
    </row>
    <row r="213">
      <c r="A213" s="395"/>
      <c r="B213" s="387"/>
      <c r="C213" s="181"/>
      <c r="D213" s="181"/>
      <c r="E213" s="181"/>
      <c r="F213" s="395"/>
      <c r="G213" s="387"/>
      <c r="H213" s="181"/>
      <c r="I213" s="181"/>
      <c r="J213" s="181"/>
      <c r="K213" s="88"/>
      <c r="L213" s="387"/>
      <c r="M213" s="181"/>
      <c r="N213" s="181"/>
      <c r="O213" s="181"/>
      <c r="P213" s="88"/>
      <c r="Q213" s="155"/>
      <c r="R213" s="181"/>
      <c r="S213" s="181"/>
      <c r="T213" s="181"/>
      <c r="U213" s="395"/>
      <c r="V213" s="387"/>
      <c r="W213" s="181"/>
      <c r="X213" s="181"/>
      <c r="Y213" s="181"/>
      <c r="Z213" s="395"/>
      <c r="AA213" s="387"/>
      <c r="AB213" s="181"/>
      <c r="AC213" s="181"/>
      <c r="AD213" s="181"/>
      <c r="AE213" s="395"/>
      <c r="AF213" s="387"/>
      <c r="AG213" s="181"/>
      <c r="AH213" s="181"/>
      <c r="AI213" s="181"/>
      <c r="AJ213" s="395"/>
      <c r="AK213" s="387"/>
      <c r="AL213" s="181"/>
      <c r="AM213" s="181"/>
      <c r="AN213" s="181"/>
      <c r="AO213" s="196"/>
      <c r="AP213" s="195"/>
      <c r="AQ213" s="188"/>
      <c r="AR213" s="188"/>
      <c r="AS213" s="188"/>
    </row>
    <row r="214">
      <c r="A214" s="395"/>
      <c r="B214" s="387"/>
      <c r="C214" s="181"/>
      <c r="D214" s="181"/>
      <c r="E214" s="181"/>
      <c r="F214" s="395"/>
      <c r="G214" s="387"/>
      <c r="H214" s="181"/>
      <c r="I214" s="181"/>
      <c r="J214" s="181"/>
      <c r="K214" s="88"/>
      <c r="L214" s="387"/>
      <c r="M214" s="181"/>
      <c r="N214" s="181"/>
      <c r="O214" s="181"/>
      <c r="P214" s="88"/>
      <c r="Q214" s="155"/>
      <c r="R214" s="181"/>
      <c r="S214" s="181"/>
      <c r="T214" s="181"/>
      <c r="U214" s="395"/>
      <c r="V214" s="387"/>
      <c r="W214" s="181"/>
      <c r="X214" s="181"/>
      <c r="Y214" s="181"/>
      <c r="Z214" s="395"/>
      <c r="AA214" s="387"/>
      <c r="AB214" s="181"/>
      <c r="AC214" s="181"/>
      <c r="AD214" s="181"/>
      <c r="AE214" s="395"/>
      <c r="AF214" s="387"/>
      <c r="AG214" s="181"/>
      <c r="AH214" s="181"/>
      <c r="AI214" s="181"/>
      <c r="AJ214" s="395"/>
      <c r="AK214" s="387"/>
      <c r="AL214" s="181"/>
      <c r="AM214" s="181"/>
      <c r="AN214" s="181"/>
      <c r="AO214" s="196"/>
      <c r="AP214" s="195"/>
      <c r="AQ214" s="188"/>
      <c r="AR214" s="188"/>
      <c r="AS214" s="188"/>
    </row>
    <row r="215">
      <c r="A215" s="395"/>
      <c r="B215" s="387"/>
      <c r="C215" s="181"/>
      <c r="D215" s="181"/>
      <c r="E215" s="181"/>
      <c r="F215" s="395"/>
      <c r="G215" s="387"/>
      <c r="H215" s="181"/>
      <c r="I215" s="181"/>
      <c r="J215" s="181"/>
      <c r="K215" s="88"/>
      <c r="L215" s="387"/>
      <c r="M215" s="181"/>
      <c r="N215" s="181"/>
      <c r="O215" s="181"/>
      <c r="P215" s="88"/>
      <c r="Q215" s="155"/>
      <c r="R215" s="181"/>
      <c r="S215" s="181"/>
      <c r="T215" s="181"/>
      <c r="U215" s="395"/>
      <c r="V215" s="387"/>
      <c r="W215" s="181"/>
      <c r="X215" s="181"/>
      <c r="Y215" s="181"/>
      <c r="Z215" s="395"/>
      <c r="AA215" s="387"/>
      <c r="AB215" s="181"/>
      <c r="AC215" s="181"/>
      <c r="AD215" s="181"/>
      <c r="AE215" s="395"/>
      <c r="AF215" s="387"/>
      <c r="AG215" s="181"/>
      <c r="AH215" s="181"/>
      <c r="AI215" s="181"/>
      <c r="AJ215" s="395"/>
      <c r="AK215" s="387"/>
      <c r="AL215" s="181"/>
      <c r="AM215" s="181"/>
      <c r="AN215" s="181"/>
      <c r="AO215" s="196"/>
      <c r="AP215" s="195"/>
      <c r="AQ215" s="188"/>
      <c r="AR215" s="188"/>
      <c r="AS215" s="188"/>
    </row>
    <row r="216">
      <c r="A216" s="395"/>
      <c r="B216" s="387"/>
      <c r="C216" s="181"/>
      <c r="D216" s="181"/>
      <c r="E216" s="181"/>
      <c r="F216" s="395"/>
      <c r="G216" s="387"/>
      <c r="H216" s="181"/>
      <c r="I216" s="181"/>
      <c r="J216" s="181"/>
      <c r="K216" s="88"/>
      <c r="L216" s="387"/>
      <c r="M216" s="181"/>
      <c r="N216" s="181"/>
      <c r="O216" s="181"/>
      <c r="P216" s="88"/>
      <c r="Q216" s="155"/>
      <c r="R216" s="181"/>
      <c r="S216" s="181"/>
      <c r="T216" s="181"/>
      <c r="U216" s="395"/>
      <c r="V216" s="387"/>
      <c r="W216" s="181"/>
      <c r="X216" s="181"/>
      <c r="Y216" s="181"/>
      <c r="Z216" s="395"/>
      <c r="AA216" s="387"/>
      <c r="AB216" s="181"/>
      <c r="AC216" s="181"/>
      <c r="AD216" s="181"/>
      <c r="AE216" s="395"/>
      <c r="AF216" s="387"/>
      <c r="AG216" s="181"/>
      <c r="AH216" s="181"/>
      <c r="AI216" s="181"/>
      <c r="AJ216" s="395"/>
      <c r="AK216" s="387"/>
      <c r="AL216" s="181"/>
      <c r="AM216" s="181"/>
      <c r="AN216" s="181"/>
      <c r="AO216" s="196"/>
      <c r="AP216" s="195"/>
      <c r="AQ216" s="188"/>
      <c r="AR216" s="188"/>
      <c r="AS216" s="188"/>
    </row>
    <row r="217">
      <c r="A217" s="395"/>
      <c r="B217" s="387"/>
      <c r="C217" s="181"/>
      <c r="D217" s="181"/>
      <c r="E217" s="181"/>
      <c r="F217" s="395"/>
      <c r="G217" s="387"/>
      <c r="H217" s="181"/>
      <c r="I217" s="181"/>
      <c r="J217" s="181"/>
      <c r="K217" s="88"/>
      <c r="L217" s="387"/>
      <c r="M217" s="181"/>
      <c r="N217" s="181"/>
      <c r="O217" s="181"/>
      <c r="P217" s="88"/>
      <c r="Q217" s="155"/>
      <c r="R217" s="181"/>
      <c r="S217" s="181"/>
      <c r="T217" s="181"/>
      <c r="U217" s="395"/>
      <c r="V217" s="387"/>
      <c r="W217" s="181"/>
      <c r="X217" s="181"/>
      <c r="Y217" s="181"/>
      <c r="Z217" s="395"/>
      <c r="AA217" s="387"/>
      <c r="AB217" s="181"/>
      <c r="AC217" s="181"/>
      <c r="AD217" s="181"/>
      <c r="AE217" s="395"/>
      <c r="AF217" s="387"/>
      <c r="AG217" s="181"/>
      <c r="AH217" s="181"/>
      <c r="AI217" s="181"/>
      <c r="AJ217" s="395"/>
      <c r="AK217" s="387"/>
      <c r="AL217" s="181"/>
      <c r="AM217" s="181"/>
      <c r="AN217" s="181"/>
      <c r="AO217" s="196"/>
      <c r="AP217" s="195"/>
      <c r="AQ217" s="188"/>
      <c r="AR217" s="188"/>
      <c r="AS217" s="188"/>
    </row>
    <row r="218">
      <c r="A218" s="395"/>
      <c r="B218" s="387"/>
      <c r="C218" s="181"/>
      <c r="D218" s="181"/>
      <c r="E218" s="181"/>
      <c r="F218" s="395"/>
      <c r="G218" s="387"/>
      <c r="H218" s="181"/>
      <c r="I218" s="181"/>
      <c r="J218" s="181"/>
      <c r="K218" s="88"/>
      <c r="L218" s="387"/>
      <c r="M218" s="181"/>
      <c r="N218" s="181"/>
      <c r="O218" s="181"/>
      <c r="P218" s="88"/>
      <c r="Q218" s="155"/>
      <c r="R218" s="181"/>
      <c r="S218" s="181"/>
      <c r="T218" s="181"/>
      <c r="U218" s="395"/>
      <c r="V218" s="387"/>
      <c r="W218" s="181"/>
      <c r="X218" s="181"/>
      <c r="Y218" s="181"/>
      <c r="Z218" s="395"/>
      <c r="AA218" s="387"/>
      <c r="AB218" s="181"/>
      <c r="AC218" s="181"/>
      <c r="AD218" s="181"/>
      <c r="AE218" s="395"/>
      <c r="AF218" s="387"/>
      <c r="AG218" s="181"/>
      <c r="AH218" s="181"/>
      <c r="AI218" s="181"/>
      <c r="AJ218" s="395"/>
      <c r="AK218" s="387"/>
      <c r="AL218" s="181"/>
      <c r="AM218" s="181"/>
      <c r="AN218" s="181"/>
      <c r="AO218" s="196"/>
      <c r="AP218" s="195"/>
      <c r="AQ218" s="188"/>
      <c r="AR218" s="188"/>
      <c r="AS218" s="188"/>
    </row>
    <row r="219">
      <c r="A219" s="395"/>
      <c r="B219" s="387"/>
      <c r="C219" s="181"/>
      <c r="D219" s="181"/>
      <c r="E219" s="181"/>
      <c r="F219" s="395"/>
      <c r="G219" s="387"/>
      <c r="H219" s="181"/>
      <c r="I219" s="181"/>
      <c r="J219" s="181"/>
      <c r="K219" s="88"/>
      <c r="L219" s="387"/>
      <c r="M219" s="181"/>
      <c r="N219" s="181"/>
      <c r="O219" s="181"/>
      <c r="P219" s="88"/>
      <c r="Q219" s="155"/>
      <c r="R219" s="181"/>
      <c r="S219" s="181"/>
      <c r="T219" s="181"/>
      <c r="U219" s="395"/>
      <c r="V219" s="387"/>
      <c r="W219" s="181"/>
      <c r="X219" s="181"/>
      <c r="Y219" s="181"/>
      <c r="Z219" s="395"/>
      <c r="AA219" s="387"/>
      <c r="AB219" s="181"/>
      <c r="AC219" s="181"/>
      <c r="AD219" s="181"/>
      <c r="AE219" s="395"/>
      <c r="AF219" s="387"/>
      <c r="AG219" s="181"/>
      <c r="AH219" s="181"/>
      <c r="AI219" s="181"/>
      <c r="AJ219" s="395"/>
      <c r="AK219" s="387"/>
      <c r="AL219" s="181"/>
      <c r="AM219" s="181"/>
      <c r="AN219" s="181"/>
      <c r="AO219" s="196"/>
      <c r="AP219" s="195"/>
      <c r="AQ219" s="188"/>
      <c r="AR219" s="188"/>
      <c r="AS219" s="188"/>
    </row>
    <row r="220">
      <c r="A220" s="395"/>
      <c r="B220" s="387"/>
      <c r="C220" s="181"/>
      <c r="D220" s="181"/>
      <c r="E220" s="181"/>
      <c r="F220" s="395"/>
      <c r="G220" s="387"/>
      <c r="H220" s="181"/>
      <c r="I220" s="181"/>
      <c r="J220" s="181"/>
      <c r="K220" s="88"/>
      <c r="L220" s="387"/>
      <c r="M220" s="181"/>
      <c r="N220" s="181"/>
      <c r="O220" s="181"/>
      <c r="P220" s="88"/>
      <c r="Q220" s="155"/>
      <c r="R220" s="181"/>
      <c r="S220" s="181"/>
      <c r="T220" s="181"/>
      <c r="U220" s="395"/>
      <c r="V220" s="387"/>
      <c r="W220" s="181"/>
      <c r="X220" s="181"/>
      <c r="Y220" s="181"/>
      <c r="Z220" s="395"/>
      <c r="AA220" s="387"/>
      <c r="AB220" s="181"/>
      <c r="AC220" s="181"/>
      <c r="AD220" s="181"/>
      <c r="AE220" s="395"/>
      <c r="AF220" s="387"/>
      <c r="AG220" s="181"/>
      <c r="AH220" s="181"/>
      <c r="AI220" s="181"/>
      <c r="AJ220" s="395"/>
      <c r="AK220" s="387"/>
      <c r="AL220" s="181"/>
      <c r="AM220" s="181"/>
      <c r="AN220" s="181"/>
      <c r="AO220" s="196"/>
      <c r="AP220" s="195"/>
      <c r="AQ220" s="188"/>
      <c r="AR220" s="188"/>
      <c r="AS220" s="188"/>
    </row>
    <row r="221">
      <c r="A221" s="395"/>
      <c r="B221" s="387"/>
      <c r="C221" s="181"/>
      <c r="D221" s="181"/>
      <c r="E221" s="181"/>
      <c r="F221" s="395"/>
      <c r="G221" s="387"/>
      <c r="H221" s="181"/>
      <c r="I221" s="181"/>
      <c r="J221" s="181"/>
      <c r="K221" s="88"/>
      <c r="L221" s="387"/>
      <c r="M221" s="181"/>
      <c r="N221" s="181"/>
      <c r="O221" s="181"/>
      <c r="P221" s="88"/>
      <c r="Q221" s="155"/>
      <c r="R221" s="181"/>
      <c r="S221" s="181"/>
      <c r="T221" s="181"/>
      <c r="U221" s="395"/>
      <c r="V221" s="387"/>
      <c r="W221" s="181"/>
      <c r="X221" s="181"/>
      <c r="Y221" s="181"/>
      <c r="Z221" s="395"/>
      <c r="AA221" s="387"/>
      <c r="AB221" s="181"/>
      <c r="AC221" s="181"/>
      <c r="AD221" s="181"/>
      <c r="AE221" s="395"/>
      <c r="AF221" s="387"/>
      <c r="AG221" s="181"/>
      <c r="AH221" s="181"/>
      <c r="AI221" s="181"/>
      <c r="AJ221" s="395"/>
      <c r="AK221" s="387"/>
      <c r="AL221" s="181"/>
      <c r="AM221" s="181"/>
      <c r="AN221" s="181"/>
      <c r="AO221" s="196"/>
      <c r="AP221" s="195"/>
      <c r="AQ221" s="188"/>
      <c r="AR221" s="188"/>
      <c r="AS221" s="188"/>
    </row>
    <row r="222">
      <c r="A222" s="395"/>
      <c r="B222" s="387"/>
      <c r="C222" s="181"/>
      <c r="D222" s="181"/>
      <c r="E222" s="181"/>
      <c r="F222" s="395"/>
      <c r="G222" s="387"/>
      <c r="H222" s="181"/>
      <c r="I222" s="181"/>
      <c r="J222" s="181"/>
      <c r="K222" s="88"/>
      <c r="L222" s="387"/>
      <c r="M222" s="181"/>
      <c r="N222" s="181"/>
      <c r="O222" s="181"/>
      <c r="P222" s="88"/>
      <c r="Q222" s="155"/>
      <c r="R222" s="181"/>
      <c r="S222" s="181"/>
      <c r="T222" s="181"/>
      <c r="U222" s="395"/>
      <c r="V222" s="387"/>
      <c r="W222" s="181"/>
      <c r="X222" s="181"/>
      <c r="Y222" s="181"/>
      <c r="Z222" s="395"/>
      <c r="AA222" s="387"/>
      <c r="AB222" s="181"/>
      <c r="AC222" s="181"/>
      <c r="AD222" s="181"/>
      <c r="AE222" s="395"/>
      <c r="AF222" s="387"/>
      <c r="AG222" s="181"/>
      <c r="AH222" s="181"/>
      <c r="AI222" s="181"/>
      <c r="AJ222" s="395"/>
      <c r="AK222" s="387"/>
      <c r="AL222" s="181"/>
      <c r="AM222" s="181"/>
      <c r="AN222" s="181"/>
      <c r="AO222" s="196"/>
      <c r="AP222" s="195"/>
      <c r="AQ222" s="188"/>
      <c r="AR222" s="188"/>
      <c r="AS222" s="188"/>
    </row>
    <row r="223">
      <c r="A223" s="395"/>
      <c r="B223" s="387"/>
      <c r="C223" s="181"/>
      <c r="D223" s="181"/>
      <c r="E223" s="181"/>
      <c r="F223" s="395"/>
      <c r="G223" s="387"/>
      <c r="H223" s="181"/>
      <c r="I223" s="181"/>
      <c r="J223" s="181"/>
      <c r="K223" s="88"/>
      <c r="L223" s="387"/>
      <c r="M223" s="181"/>
      <c r="N223" s="181"/>
      <c r="O223" s="181"/>
      <c r="P223" s="88"/>
      <c r="Q223" s="155"/>
      <c r="R223" s="181"/>
      <c r="S223" s="181"/>
      <c r="T223" s="181"/>
      <c r="U223" s="395"/>
      <c r="V223" s="387"/>
      <c r="W223" s="181"/>
      <c r="X223" s="181"/>
      <c r="Y223" s="181"/>
      <c r="Z223" s="395"/>
      <c r="AA223" s="387"/>
      <c r="AB223" s="181"/>
      <c r="AC223" s="181"/>
      <c r="AD223" s="181"/>
      <c r="AE223" s="395"/>
      <c r="AF223" s="387"/>
      <c r="AG223" s="181"/>
      <c r="AH223" s="181"/>
      <c r="AI223" s="181"/>
      <c r="AJ223" s="395"/>
      <c r="AK223" s="387"/>
      <c r="AL223" s="181"/>
      <c r="AM223" s="181"/>
      <c r="AN223" s="181"/>
      <c r="AO223" s="196"/>
      <c r="AP223" s="195"/>
      <c r="AQ223" s="188"/>
      <c r="AR223" s="188"/>
      <c r="AS223" s="188"/>
    </row>
    <row r="224">
      <c r="A224" s="395"/>
      <c r="B224" s="387"/>
      <c r="C224" s="181"/>
      <c r="D224" s="181"/>
      <c r="E224" s="181"/>
      <c r="F224" s="395"/>
      <c r="G224" s="387"/>
      <c r="H224" s="181"/>
      <c r="I224" s="181"/>
      <c r="J224" s="181"/>
      <c r="K224" s="88"/>
      <c r="L224" s="387"/>
      <c r="M224" s="181"/>
      <c r="N224" s="181"/>
      <c r="O224" s="181"/>
      <c r="P224" s="88"/>
      <c r="Q224" s="155"/>
      <c r="R224" s="181"/>
      <c r="S224" s="181"/>
      <c r="T224" s="181"/>
      <c r="U224" s="395"/>
      <c r="V224" s="387"/>
      <c r="W224" s="181"/>
      <c r="X224" s="181"/>
      <c r="Y224" s="181"/>
      <c r="Z224" s="395"/>
      <c r="AA224" s="387"/>
      <c r="AB224" s="181"/>
      <c r="AC224" s="181"/>
      <c r="AD224" s="181"/>
      <c r="AE224" s="395"/>
      <c r="AF224" s="387"/>
      <c r="AG224" s="181"/>
      <c r="AH224" s="181"/>
      <c r="AI224" s="181"/>
      <c r="AJ224" s="395"/>
      <c r="AK224" s="387"/>
      <c r="AL224" s="181"/>
      <c r="AM224" s="181"/>
      <c r="AN224" s="181"/>
      <c r="AO224" s="196"/>
      <c r="AP224" s="195"/>
      <c r="AQ224" s="188"/>
      <c r="AR224" s="188"/>
      <c r="AS224" s="188"/>
    </row>
    <row r="225">
      <c r="A225" s="395"/>
      <c r="B225" s="387"/>
      <c r="C225" s="181"/>
      <c r="D225" s="181"/>
      <c r="E225" s="181"/>
      <c r="F225" s="395"/>
      <c r="G225" s="387"/>
      <c r="H225" s="181"/>
      <c r="I225" s="181"/>
      <c r="J225" s="181"/>
      <c r="K225" s="88"/>
      <c r="L225" s="387"/>
      <c r="M225" s="181"/>
      <c r="N225" s="181"/>
      <c r="O225" s="181"/>
      <c r="P225" s="88"/>
      <c r="Q225" s="155"/>
      <c r="R225" s="181"/>
      <c r="S225" s="181"/>
      <c r="T225" s="181"/>
      <c r="U225" s="395"/>
      <c r="V225" s="387"/>
      <c r="W225" s="181"/>
      <c r="X225" s="181"/>
      <c r="Y225" s="181"/>
      <c r="Z225" s="395"/>
      <c r="AA225" s="387"/>
      <c r="AB225" s="181"/>
      <c r="AC225" s="181"/>
      <c r="AD225" s="181"/>
      <c r="AE225" s="395"/>
      <c r="AF225" s="387"/>
      <c r="AG225" s="181"/>
      <c r="AH225" s="181"/>
      <c r="AI225" s="181"/>
      <c r="AJ225" s="395"/>
      <c r="AK225" s="387"/>
      <c r="AL225" s="181"/>
      <c r="AM225" s="181"/>
      <c r="AN225" s="181"/>
      <c r="AO225" s="196"/>
      <c r="AP225" s="195"/>
      <c r="AQ225" s="188"/>
      <c r="AR225" s="188"/>
      <c r="AS225" s="188"/>
    </row>
    <row r="226">
      <c r="A226" s="395"/>
      <c r="B226" s="387"/>
      <c r="C226" s="181"/>
      <c r="D226" s="181"/>
      <c r="E226" s="181"/>
      <c r="F226" s="395"/>
      <c r="G226" s="387"/>
      <c r="H226" s="181"/>
      <c r="I226" s="181"/>
      <c r="J226" s="181"/>
      <c r="K226" s="88"/>
      <c r="L226" s="387"/>
      <c r="M226" s="181"/>
      <c r="N226" s="181"/>
      <c r="O226" s="181"/>
      <c r="P226" s="88"/>
      <c r="Q226" s="155"/>
      <c r="R226" s="181"/>
      <c r="S226" s="181"/>
      <c r="T226" s="181"/>
      <c r="U226" s="395"/>
      <c r="V226" s="387"/>
      <c r="W226" s="181"/>
      <c r="X226" s="181"/>
      <c r="Y226" s="181"/>
      <c r="Z226" s="395"/>
      <c r="AA226" s="387"/>
      <c r="AB226" s="181"/>
      <c r="AC226" s="181"/>
      <c r="AD226" s="181"/>
      <c r="AE226" s="395"/>
      <c r="AF226" s="387"/>
      <c r="AG226" s="181"/>
      <c r="AH226" s="181"/>
      <c r="AI226" s="181"/>
      <c r="AJ226" s="395"/>
      <c r="AK226" s="387"/>
      <c r="AL226" s="181"/>
      <c r="AM226" s="181"/>
      <c r="AN226" s="181"/>
      <c r="AO226" s="196"/>
      <c r="AP226" s="195"/>
      <c r="AQ226" s="188"/>
      <c r="AR226" s="188"/>
      <c r="AS226" s="188"/>
    </row>
    <row r="227">
      <c r="A227" s="395"/>
      <c r="B227" s="387"/>
      <c r="C227" s="181"/>
      <c r="D227" s="181"/>
      <c r="E227" s="181"/>
      <c r="F227" s="395"/>
      <c r="G227" s="387"/>
      <c r="H227" s="181"/>
      <c r="I227" s="181"/>
      <c r="J227" s="181"/>
      <c r="K227" s="88"/>
      <c r="L227" s="387"/>
      <c r="M227" s="181"/>
      <c r="N227" s="181"/>
      <c r="O227" s="181"/>
      <c r="P227" s="88"/>
      <c r="Q227" s="155"/>
      <c r="R227" s="181"/>
      <c r="S227" s="181"/>
      <c r="T227" s="181"/>
      <c r="U227" s="395"/>
      <c r="V227" s="387"/>
      <c r="W227" s="181"/>
      <c r="X227" s="181"/>
      <c r="Y227" s="181"/>
      <c r="Z227" s="395"/>
      <c r="AA227" s="387"/>
      <c r="AB227" s="181"/>
      <c r="AC227" s="181"/>
      <c r="AD227" s="181"/>
      <c r="AE227" s="395"/>
      <c r="AF227" s="387"/>
      <c r="AG227" s="181"/>
      <c r="AH227" s="181"/>
      <c r="AI227" s="181"/>
      <c r="AJ227" s="395"/>
      <c r="AK227" s="387"/>
      <c r="AL227" s="181"/>
      <c r="AM227" s="181"/>
      <c r="AN227" s="181"/>
      <c r="AO227" s="196"/>
      <c r="AP227" s="195"/>
      <c r="AQ227" s="188"/>
      <c r="AR227" s="188"/>
      <c r="AS227" s="188"/>
    </row>
    <row r="228">
      <c r="A228" s="395"/>
      <c r="B228" s="387"/>
      <c r="C228" s="181"/>
      <c r="D228" s="181"/>
      <c r="E228" s="181"/>
      <c r="F228" s="395"/>
      <c r="G228" s="387"/>
      <c r="H228" s="181"/>
      <c r="I228" s="181"/>
      <c r="J228" s="181"/>
      <c r="K228" s="88"/>
      <c r="L228" s="387"/>
      <c r="M228" s="181"/>
      <c r="N228" s="181"/>
      <c r="O228" s="181"/>
      <c r="P228" s="88"/>
      <c r="Q228" s="155"/>
      <c r="R228" s="181"/>
      <c r="S228" s="181"/>
      <c r="T228" s="181"/>
      <c r="U228" s="395"/>
      <c r="V228" s="387"/>
      <c r="W228" s="181"/>
      <c r="X228" s="181"/>
      <c r="Y228" s="181"/>
      <c r="Z228" s="395"/>
      <c r="AA228" s="387"/>
      <c r="AB228" s="181"/>
      <c r="AC228" s="181"/>
      <c r="AD228" s="181"/>
      <c r="AE228" s="395"/>
      <c r="AF228" s="387"/>
      <c r="AG228" s="181"/>
      <c r="AH228" s="181"/>
      <c r="AI228" s="181"/>
      <c r="AJ228" s="395"/>
      <c r="AK228" s="387"/>
      <c r="AL228" s="181"/>
      <c r="AM228" s="181"/>
      <c r="AN228" s="181"/>
      <c r="AO228" s="196"/>
      <c r="AP228" s="195"/>
      <c r="AQ228" s="188"/>
      <c r="AR228" s="188"/>
      <c r="AS228" s="188"/>
    </row>
    <row r="229">
      <c r="A229" s="395"/>
      <c r="B229" s="387"/>
      <c r="C229" s="181"/>
      <c r="D229" s="181"/>
      <c r="E229" s="181"/>
      <c r="F229" s="395"/>
      <c r="G229" s="387"/>
      <c r="H229" s="181"/>
      <c r="I229" s="181"/>
      <c r="J229" s="181"/>
      <c r="K229" s="88"/>
      <c r="L229" s="387"/>
      <c r="M229" s="181"/>
      <c r="N229" s="181"/>
      <c r="O229" s="181"/>
      <c r="P229" s="88"/>
      <c r="Q229" s="155"/>
      <c r="R229" s="181"/>
      <c r="S229" s="181"/>
      <c r="T229" s="181"/>
      <c r="U229" s="395"/>
      <c r="V229" s="387"/>
      <c r="W229" s="181"/>
      <c r="X229" s="181"/>
      <c r="Y229" s="181"/>
      <c r="Z229" s="395"/>
      <c r="AA229" s="387"/>
      <c r="AB229" s="181"/>
      <c r="AC229" s="181"/>
      <c r="AD229" s="181"/>
      <c r="AE229" s="395"/>
      <c r="AF229" s="387"/>
      <c r="AG229" s="181"/>
      <c r="AH229" s="181"/>
      <c r="AI229" s="181"/>
      <c r="AJ229" s="395"/>
      <c r="AK229" s="387"/>
      <c r="AL229" s="181"/>
      <c r="AM229" s="181"/>
      <c r="AN229" s="181"/>
      <c r="AO229" s="196"/>
      <c r="AP229" s="195"/>
      <c r="AQ229" s="188"/>
      <c r="AR229" s="188"/>
      <c r="AS229" s="188"/>
    </row>
    <row r="230">
      <c r="A230" s="395"/>
      <c r="B230" s="387"/>
      <c r="C230" s="181"/>
      <c r="D230" s="181"/>
      <c r="E230" s="181"/>
      <c r="F230" s="395"/>
      <c r="G230" s="387"/>
      <c r="H230" s="181"/>
      <c r="I230" s="181"/>
      <c r="J230" s="181"/>
      <c r="K230" s="88"/>
      <c r="L230" s="387"/>
      <c r="M230" s="181"/>
      <c r="N230" s="181"/>
      <c r="O230" s="181"/>
      <c r="P230" s="88"/>
      <c r="Q230" s="155"/>
      <c r="R230" s="181"/>
      <c r="S230" s="181"/>
      <c r="T230" s="181"/>
      <c r="U230" s="395"/>
      <c r="V230" s="387"/>
      <c r="W230" s="181"/>
      <c r="X230" s="181"/>
      <c r="Y230" s="181"/>
      <c r="Z230" s="395"/>
      <c r="AA230" s="387"/>
      <c r="AB230" s="181"/>
      <c r="AC230" s="181"/>
      <c r="AD230" s="181"/>
      <c r="AE230" s="395"/>
      <c r="AF230" s="387"/>
      <c r="AG230" s="181"/>
      <c r="AH230" s="181"/>
      <c r="AI230" s="181"/>
      <c r="AJ230" s="395"/>
      <c r="AK230" s="387"/>
      <c r="AL230" s="181"/>
      <c r="AM230" s="181"/>
      <c r="AN230" s="181"/>
      <c r="AO230" s="196"/>
      <c r="AP230" s="195"/>
      <c r="AQ230" s="188"/>
      <c r="AR230" s="188"/>
      <c r="AS230" s="188"/>
    </row>
    <row r="231">
      <c r="A231" s="395"/>
      <c r="B231" s="387"/>
      <c r="C231" s="181"/>
      <c r="D231" s="181"/>
      <c r="E231" s="181"/>
      <c r="F231" s="395"/>
      <c r="G231" s="387"/>
      <c r="H231" s="181"/>
      <c r="I231" s="181"/>
      <c r="J231" s="181"/>
      <c r="K231" s="88"/>
      <c r="L231" s="387"/>
      <c r="M231" s="181"/>
      <c r="N231" s="181"/>
      <c r="O231" s="181"/>
      <c r="P231" s="88"/>
      <c r="Q231" s="155"/>
      <c r="R231" s="181"/>
      <c r="S231" s="181"/>
      <c r="T231" s="181"/>
      <c r="U231" s="395"/>
      <c r="V231" s="387"/>
      <c r="W231" s="181"/>
      <c r="X231" s="181"/>
      <c r="Y231" s="181"/>
      <c r="Z231" s="395"/>
      <c r="AA231" s="387"/>
      <c r="AB231" s="181"/>
      <c r="AC231" s="181"/>
      <c r="AD231" s="181"/>
      <c r="AE231" s="395"/>
      <c r="AF231" s="387"/>
      <c r="AG231" s="181"/>
      <c r="AH231" s="181"/>
      <c r="AI231" s="181"/>
      <c r="AJ231" s="395"/>
      <c r="AK231" s="387"/>
      <c r="AL231" s="181"/>
      <c r="AM231" s="181"/>
      <c r="AN231" s="181"/>
      <c r="AO231" s="196"/>
      <c r="AP231" s="195"/>
      <c r="AQ231" s="188"/>
      <c r="AR231" s="188"/>
      <c r="AS231" s="188"/>
    </row>
    <row r="232">
      <c r="A232" s="395"/>
      <c r="B232" s="387"/>
      <c r="C232" s="181"/>
      <c r="D232" s="181"/>
      <c r="E232" s="181"/>
      <c r="F232" s="395"/>
      <c r="G232" s="387"/>
      <c r="H232" s="181"/>
      <c r="I232" s="181"/>
      <c r="J232" s="181"/>
      <c r="K232" s="88"/>
      <c r="L232" s="387"/>
      <c r="M232" s="181"/>
      <c r="N232" s="181"/>
      <c r="O232" s="181"/>
      <c r="P232" s="88"/>
      <c r="Q232" s="155"/>
      <c r="R232" s="181"/>
      <c r="S232" s="181"/>
      <c r="T232" s="181"/>
      <c r="U232" s="395"/>
      <c r="V232" s="387"/>
      <c r="W232" s="181"/>
      <c r="X232" s="181"/>
      <c r="Y232" s="181"/>
      <c r="Z232" s="395"/>
      <c r="AA232" s="387"/>
      <c r="AB232" s="181"/>
      <c r="AC232" s="181"/>
      <c r="AD232" s="181"/>
      <c r="AE232" s="395"/>
      <c r="AF232" s="387"/>
      <c r="AG232" s="181"/>
      <c r="AH232" s="181"/>
      <c r="AI232" s="181"/>
      <c r="AJ232" s="395"/>
      <c r="AK232" s="387"/>
      <c r="AL232" s="181"/>
      <c r="AM232" s="181"/>
      <c r="AN232" s="181"/>
      <c r="AO232" s="196"/>
      <c r="AP232" s="195"/>
      <c r="AQ232" s="188"/>
      <c r="AR232" s="188"/>
      <c r="AS232" s="188"/>
    </row>
    <row r="233">
      <c r="A233" s="395"/>
      <c r="B233" s="387"/>
      <c r="C233" s="181"/>
      <c r="D233" s="181"/>
      <c r="E233" s="181"/>
      <c r="F233" s="395"/>
      <c r="G233" s="387"/>
      <c r="H233" s="181"/>
      <c r="I233" s="181"/>
      <c r="J233" s="181"/>
      <c r="K233" s="88"/>
      <c r="L233" s="387"/>
      <c r="M233" s="181"/>
      <c r="N233" s="181"/>
      <c r="O233" s="181"/>
      <c r="P233" s="88"/>
      <c r="Q233" s="155"/>
      <c r="R233" s="181"/>
      <c r="S233" s="181"/>
      <c r="T233" s="181"/>
      <c r="U233" s="395"/>
      <c r="V233" s="387"/>
      <c r="W233" s="181"/>
      <c r="X233" s="181"/>
      <c r="Y233" s="181"/>
      <c r="Z233" s="395"/>
      <c r="AA233" s="387"/>
      <c r="AB233" s="181"/>
      <c r="AC233" s="181"/>
      <c r="AD233" s="181"/>
      <c r="AE233" s="395"/>
      <c r="AF233" s="387"/>
      <c r="AG233" s="181"/>
      <c r="AH233" s="181"/>
      <c r="AI233" s="181"/>
      <c r="AJ233" s="395"/>
      <c r="AK233" s="387"/>
      <c r="AL233" s="181"/>
      <c r="AM233" s="181"/>
      <c r="AN233" s="181"/>
      <c r="AO233" s="196"/>
      <c r="AP233" s="195"/>
      <c r="AQ233" s="188"/>
      <c r="AR233" s="188"/>
      <c r="AS233" s="188"/>
    </row>
    <row r="234">
      <c r="A234" s="395"/>
      <c r="B234" s="387"/>
      <c r="C234" s="181"/>
      <c r="D234" s="181"/>
      <c r="E234" s="181"/>
      <c r="F234" s="395"/>
      <c r="G234" s="387"/>
      <c r="H234" s="181"/>
      <c r="I234" s="181"/>
      <c r="J234" s="181"/>
      <c r="K234" s="88"/>
      <c r="L234" s="387"/>
      <c r="M234" s="181"/>
      <c r="N234" s="181"/>
      <c r="O234" s="181"/>
      <c r="P234" s="88"/>
      <c r="Q234" s="155"/>
      <c r="R234" s="181"/>
      <c r="S234" s="181"/>
      <c r="T234" s="181"/>
      <c r="U234" s="395"/>
      <c r="V234" s="387"/>
      <c r="W234" s="181"/>
      <c r="X234" s="181"/>
      <c r="Y234" s="181"/>
      <c r="Z234" s="395"/>
      <c r="AA234" s="387"/>
      <c r="AB234" s="181"/>
      <c r="AC234" s="181"/>
      <c r="AD234" s="181"/>
      <c r="AE234" s="395"/>
      <c r="AF234" s="387"/>
      <c r="AG234" s="181"/>
      <c r="AH234" s="181"/>
      <c r="AI234" s="181"/>
      <c r="AJ234" s="395"/>
      <c r="AK234" s="387"/>
      <c r="AL234" s="181"/>
      <c r="AM234" s="181"/>
      <c r="AN234" s="181"/>
      <c r="AO234" s="196"/>
      <c r="AP234" s="195"/>
      <c r="AQ234" s="188"/>
      <c r="AR234" s="188"/>
      <c r="AS234" s="188"/>
    </row>
    <row r="235">
      <c r="A235" s="395"/>
      <c r="B235" s="387"/>
      <c r="C235" s="181"/>
      <c r="D235" s="181"/>
      <c r="E235" s="181"/>
      <c r="F235" s="395"/>
      <c r="G235" s="387"/>
      <c r="H235" s="181"/>
      <c r="I235" s="181"/>
      <c r="J235" s="181"/>
      <c r="K235" s="88"/>
      <c r="L235" s="387"/>
      <c r="M235" s="181"/>
      <c r="N235" s="181"/>
      <c r="O235" s="181"/>
      <c r="P235" s="88"/>
      <c r="Q235" s="155"/>
      <c r="R235" s="181"/>
      <c r="S235" s="181"/>
      <c r="T235" s="181"/>
      <c r="U235" s="395"/>
      <c r="V235" s="387"/>
      <c r="W235" s="181"/>
      <c r="X235" s="181"/>
      <c r="Y235" s="181"/>
      <c r="Z235" s="395"/>
      <c r="AA235" s="387"/>
      <c r="AB235" s="181"/>
      <c r="AC235" s="181"/>
      <c r="AD235" s="181"/>
      <c r="AE235" s="395"/>
      <c r="AF235" s="387"/>
      <c r="AG235" s="181"/>
      <c r="AH235" s="181"/>
      <c r="AI235" s="181"/>
      <c r="AJ235" s="395"/>
      <c r="AK235" s="387"/>
      <c r="AL235" s="181"/>
      <c r="AM235" s="181"/>
      <c r="AN235" s="181"/>
      <c r="AO235" s="196"/>
      <c r="AP235" s="195"/>
      <c r="AQ235" s="188"/>
      <c r="AR235" s="188"/>
      <c r="AS235" s="188"/>
    </row>
    <row r="236">
      <c r="A236" s="395"/>
      <c r="B236" s="387"/>
      <c r="C236" s="181"/>
      <c r="D236" s="181"/>
      <c r="E236" s="181"/>
      <c r="F236" s="395"/>
      <c r="G236" s="387"/>
      <c r="H236" s="181"/>
      <c r="I236" s="181"/>
      <c r="J236" s="181"/>
      <c r="K236" s="88"/>
      <c r="L236" s="387"/>
      <c r="M236" s="181"/>
      <c r="N236" s="181"/>
      <c r="O236" s="181"/>
      <c r="P236" s="88"/>
      <c r="Q236" s="155"/>
      <c r="R236" s="181"/>
      <c r="S236" s="181"/>
      <c r="T236" s="181"/>
      <c r="U236" s="395"/>
      <c r="V236" s="387"/>
      <c r="W236" s="181"/>
      <c r="X236" s="181"/>
      <c r="Y236" s="181"/>
      <c r="Z236" s="395"/>
      <c r="AA236" s="387"/>
      <c r="AB236" s="181"/>
      <c r="AC236" s="181"/>
      <c r="AD236" s="181"/>
      <c r="AE236" s="395"/>
      <c r="AF236" s="387"/>
      <c r="AG236" s="181"/>
      <c r="AH236" s="181"/>
      <c r="AI236" s="181"/>
      <c r="AJ236" s="395"/>
      <c r="AK236" s="387"/>
      <c r="AL236" s="181"/>
      <c r="AM236" s="181"/>
      <c r="AN236" s="181"/>
      <c r="AO236" s="196"/>
      <c r="AP236" s="195"/>
      <c r="AQ236" s="188"/>
      <c r="AR236" s="188"/>
      <c r="AS236" s="188"/>
    </row>
    <row r="237">
      <c r="A237" s="395"/>
      <c r="B237" s="387"/>
      <c r="C237" s="181"/>
      <c r="D237" s="181"/>
      <c r="E237" s="181"/>
      <c r="F237" s="395"/>
      <c r="G237" s="387"/>
      <c r="H237" s="181"/>
      <c r="I237" s="181"/>
      <c r="J237" s="181"/>
      <c r="K237" s="88"/>
      <c r="L237" s="387"/>
      <c r="M237" s="181"/>
      <c r="N237" s="181"/>
      <c r="O237" s="181"/>
      <c r="P237" s="88"/>
      <c r="Q237" s="155"/>
      <c r="R237" s="181"/>
      <c r="S237" s="181"/>
      <c r="T237" s="181"/>
      <c r="U237" s="395"/>
      <c r="V237" s="387"/>
      <c r="W237" s="181"/>
      <c r="X237" s="181"/>
      <c r="Y237" s="181"/>
      <c r="Z237" s="395"/>
      <c r="AA237" s="387"/>
      <c r="AB237" s="181"/>
      <c r="AC237" s="181"/>
      <c r="AD237" s="181"/>
      <c r="AE237" s="395"/>
      <c r="AF237" s="387"/>
      <c r="AG237" s="181"/>
      <c r="AH237" s="181"/>
      <c r="AI237" s="181"/>
      <c r="AJ237" s="395"/>
      <c r="AK237" s="387"/>
      <c r="AL237" s="181"/>
      <c r="AM237" s="181"/>
      <c r="AN237" s="181"/>
      <c r="AO237" s="196"/>
      <c r="AP237" s="195"/>
      <c r="AQ237" s="188"/>
      <c r="AR237" s="188"/>
      <c r="AS237" s="188"/>
    </row>
    <row r="238">
      <c r="A238" s="395"/>
      <c r="B238" s="387"/>
      <c r="C238" s="181"/>
      <c r="D238" s="181"/>
      <c r="E238" s="181"/>
      <c r="F238" s="395"/>
      <c r="G238" s="387"/>
      <c r="H238" s="181"/>
      <c r="I238" s="181"/>
      <c r="J238" s="181"/>
      <c r="K238" s="88"/>
      <c r="L238" s="387"/>
      <c r="M238" s="181"/>
      <c r="N238" s="181"/>
      <c r="O238" s="181"/>
      <c r="P238" s="88"/>
      <c r="Q238" s="155"/>
      <c r="R238" s="181"/>
      <c r="S238" s="181"/>
      <c r="T238" s="181"/>
      <c r="U238" s="395"/>
      <c r="V238" s="387"/>
      <c r="W238" s="181"/>
      <c r="X238" s="181"/>
      <c r="Y238" s="181"/>
      <c r="Z238" s="395"/>
      <c r="AA238" s="387"/>
      <c r="AB238" s="181"/>
      <c r="AC238" s="181"/>
      <c r="AD238" s="181"/>
      <c r="AE238" s="395"/>
      <c r="AF238" s="387"/>
      <c r="AG238" s="181"/>
      <c r="AH238" s="181"/>
      <c r="AI238" s="181"/>
      <c r="AJ238" s="395"/>
      <c r="AK238" s="387"/>
      <c r="AL238" s="181"/>
      <c r="AM238" s="181"/>
      <c r="AN238" s="181"/>
      <c r="AO238" s="196"/>
      <c r="AP238" s="195"/>
      <c r="AQ238" s="188"/>
      <c r="AR238" s="188"/>
      <c r="AS238" s="188"/>
    </row>
    <row r="239">
      <c r="A239" s="395"/>
      <c r="B239" s="387"/>
      <c r="C239" s="181"/>
      <c r="D239" s="181"/>
      <c r="E239" s="181"/>
      <c r="F239" s="395"/>
      <c r="G239" s="387"/>
      <c r="H239" s="181"/>
      <c r="I239" s="181"/>
      <c r="J239" s="181"/>
      <c r="K239" s="88"/>
      <c r="L239" s="387"/>
      <c r="M239" s="181"/>
      <c r="N239" s="181"/>
      <c r="O239" s="181"/>
      <c r="P239" s="88"/>
      <c r="Q239" s="155"/>
      <c r="R239" s="181"/>
      <c r="S239" s="181"/>
      <c r="T239" s="181"/>
      <c r="U239" s="395"/>
      <c r="V239" s="387"/>
      <c r="W239" s="181"/>
      <c r="X239" s="181"/>
      <c r="Y239" s="181"/>
      <c r="Z239" s="395"/>
      <c r="AA239" s="387"/>
      <c r="AB239" s="181"/>
      <c r="AC239" s="181"/>
      <c r="AD239" s="181"/>
      <c r="AE239" s="395"/>
      <c r="AF239" s="387"/>
      <c r="AG239" s="181"/>
      <c r="AH239" s="181"/>
      <c r="AI239" s="181"/>
      <c r="AJ239" s="395"/>
      <c r="AK239" s="387"/>
      <c r="AL239" s="181"/>
      <c r="AM239" s="181"/>
      <c r="AN239" s="181"/>
      <c r="AO239" s="196"/>
      <c r="AP239" s="195"/>
      <c r="AQ239" s="188"/>
      <c r="AR239" s="188"/>
      <c r="AS239" s="188"/>
    </row>
    <row r="240">
      <c r="A240" s="395"/>
      <c r="B240" s="387"/>
      <c r="C240" s="181"/>
      <c r="D240" s="181"/>
      <c r="E240" s="181"/>
      <c r="F240" s="395"/>
      <c r="G240" s="387"/>
      <c r="H240" s="181"/>
      <c r="I240" s="181"/>
      <c r="J240" s="181"/>
      <c r="K240" s="88"/>
      <c r="L240" s="387"/>
      <c r="M240" s="181"/>
      <c r="N240" s="181"/>
      <c r="O240" s="181"/>
      <c r="P240" s="88"/>
      <c r="Q240" s="155"/>
      <c r="R240" s="181"/>
      <c r="S240" s="181"/>
      <c r="T240" s="181"/>
      <c r="U240" s="395"/>
      <c r="V240" s="387"/>
      <c r="W240" s="181"/>
      <c r="X240" s="181"/>
      <c r="Y240" s="181"/>
      <c r="Z240" s="395"/>
      <c r="AA240" s="387"/>
      <c r="AB240" s="181"/>
      <c r="AC240" s="181"/>
      <c r="AD240" s="181"/>
      <c r="AE240" s="395"/>
      <c r="AF240" s="387"/>
      <c r="AG240" s="181"/>
      <c r="AH240" s="181"/>
      <c r="AI240" s="181"/>
      <c r="AJ240" s="395"/>
      <c r="AK240" s="387"/>
      <c r="AL240" s="181"/>
      <c r="AM240" s="181"/>
      <c r="AN240" s="181"/>
      <c r="AO240" s="196"/>
      <c r="AP240" s="195"/>
      <c r="AQ240" s="188"/>
      <c r="AR240" s="188"/>
      <c r="AS240" s="188"/>
    </row>
    <row r="241">
      <c r="A241" s="395"/>
      <c r="B241" s="387"/>
      <c r="C241" s="181"/>
      <c r="D241" s="181"/>
      <c r="E241" s="181"/>
      <c r="F241" s="395"/>
      <c r="G241" s="387"/>
      <c r="H241" s="181"/>
      <c r="I241" s="181"/>
      <c r="J241" s="181"/>
      <c r="K241" s="88"/>
      <c r="L241" s="387"/>
      <c r="M241" s="181"/>
      <c r="N241" s="181"/>
      <c r="O241" s="181"/>
      <c r="P241" s="88"/>
      <c r="Q241" s="155"/>
      <c r="R241" s="181"/>
      <c r="S241" s="181"/>
      <c r="T241" s="181"/>
      <c r="U241" s="395"/>
      <c r="V241" s="387"/>
      <c r="W241" s="181"/>
      <c r="X241" s="181"/>
      <c r="Y241" s="181"/>
      <c r="Z241" s="395"/>
      <c r="AA241" s="387"/>
      <c r="AB241" s="181"/>
      <c r="AC241" s="181"/>
      <c r="AD241" s="181"/>
      <c r="AE241" s="395"/>
      <c r="AF241" s="387"/>
      <c r="AG241" s="181"/>
      <c r="AH241" s="181"/>
      <c r="AI241" s="181"/>
      <c r="AJ241" s="395"/>
      <c r="AK241" s="387"/>
      <c r="AL241" s="181"/>
      <c r="AM241" s="181"/>
      <c r="AN241" s="181"/>
      <c r="AO241" s="196"/>
      <c r="AP241" s="195"/>
      <c r="AQ241" s="188"/>
      <c r="AR241" s="188"/>
      <c r="AS241" s="188"/>
    </row>
    <row r="242">
      <c r="A242" s="395"/>
      <c r="B242" s="387"/>
      <c r="C242" s="181"/>
      <c r="D242" s="181"/>
      <c r="E242" s="181"/>
      <c r="F242" s="395"/>
      <c r="G242" s="387"/>
      <c r="H242" s="181"/>
      <c r="I242" s="181"/>
      <c r="J242" s="181"/>
      <c r="K242" s="88"/>
      <c r="L242" s="387"/>
      <c r="M242" s="181"/>
      <c r="N242" s="181"/>
      <c r="O242" s="181"/>
      <c r="P242" s="88"/>
      <c r="Q242" s="155"/>
      <c r="R242" s="181"/>
      <c r="S242" s="181"/>
      <c r="T242" s="181"/>
      <c r="U242" s="395"/>
      <c r="V242" s="387"/>
      <c r="W242" s="181"/>
      <c r="X242" s="181"/>
      <c r="Y242" s="181"/>
      <c r="Z242" s="395"/>
      <c r="AA242" s="387"/>
      <c r="AB242" s="181"/>
      <c r="AC242" s="181"/>
      <c r="AD242" s="181"/>
      <c r="AE242" s="395"/>
      <c r="AF242" s="387"/>
      <c r="AG242" s="181"/>
      <c r="AH242" s="181"/>
      <c r="AI242" s="181"/>
      <c r="AJ242" s="395"/>
      <c r="AK242" s="387"/>
      <c r="AL242" s="181"/>
      <c r="AM242" s="181"/>
      <c r="AN242" s="181"/>
      <c r="AO242" s="196"/>
      <c r="AP242" s="195"/>
      <c r="AQ242" s="188"/>
      <c r="AR242" s="188"/>
      <c r="AS242" s="188"/>
    </row>
    <row r="243">
      <c r="A243" s="395"/>
      <c r="B243" s="387"/>
      <c r="C243" s="181"/>
      <c r="D243" s="181"/>
      <c r="E243" s="181"/>
      <c r="F243" s="395"/>
      <c r="G243" s="387"/>
      <c r="H243" s="181"/>
      <c r="I243" s="181"/>
      <c r="J243" s="181"/>
      <c r="K243" s="88"/>
      <c r="L243" s="387"/>
      <c r="M243" s="181"/>
      <c r="N243" s="181"/>
      <c r="O243" s="181"/>
      <c r="P243" s="88"/>
      <c r="Q243" s="155"/>
      <c r="R243" s="181"/>
      <c r="S243" s="181"/>
      <c r="T243" s="181"/>
      <c r="U243" s="395"/>
      <c r="V243" s="387"/>
      <c r="W243" s="181"/>
      <c r="X243" s="181"/>
      <c r="Y243" s="181"/>
      <c r="Z243" s="395"/>
      <c r="AA243" s="387"/>
      <c r="AB243" s="181"/>
      <c r="AC243" s="181"/>
      <c r="AD243" s="181"/>
      <c r="AE243" s="395"/>
      <c r="AF243" s="387"/>
      <c r="AG243" s="181"/>
      <c r="AH243" s="181"/>
      <c r="AI243" s="181"/>
      <c r="AJ243" s="395"/>
      <c r="AK243" s="387"/>
      <c r="AL243" s="181"/>
      <c r="AM243" s="181"/>
      <c r="AN243" s="181"/>
      <c r="AO243" s="196"/>
      <c r="AP243" s="195"/>
      <c r="AQ243" s="188"/>
      <c r="AR243" s="188"/>
      <c r="AS243" s="188"/>
    </row>
    <row r="244">
      <c r="A244" s="395"/>
      <c r="B244" s="387"/>
      <c r="C244" s="181"/>
      <c r="D244" s="181"/>
      <c r="E244" s="181"/>
      <c r="F244" s="395"/>
      <c r="G244" s="387"/>
      <c r="H244" s="181"/>
      <c r="I244" s="181"/>
      <c r="J244" s="181"/>
      <c r="K244" s="88"/>
      <c r="L244" s="387"/>
      <c r="M244" s="181"/>
      <c r="N244" s="181"/>
      <c r="O244" s="181"/>
      <c r="P244" s="88"/>
      <c r="Q244" s="155"/>
      <c r="R244" s="181"/>
      <c r="S244" s="181"/>
      <c r="T244" s="181"/>
      <c r="U244" s="395"/>
      <c r="V244" s="387"/>
      <c r="W244" s="181"/>
      <c r="X244" s="181"/>
      <c r="Y244" s="181"/>
      <c r="Z244" s="395"/>
      <c r="AA244" s="387"/>
      <c r="AB244" s="181"/>
      <c r="AC244" s="181"/>
      <c r="AD244" s="181"/>
      <c r="AE244" s="395"/>
      <c r="AF244" s="387"/>
      <c r="AG244" s="181"/>
      <c r="AH244" s="181"/>
      <c r="AI244" s="181"/>
      <c r="AJ244" s="395"/>
      <c r="AK244" s="387"/>
      <c r="AL244" s="181"/>
      <c r="AM244" s="181"/>
      <c r="AN244" s="181"/>
      <c r="AO244" s="196"/>
      <c r="AP244" s="195"/>
      <c r="AQ244" s="188"/>
      <c r="AR244" s="188"/>
      <c r="AS244" s="188"/>
    </row>
    <row r="245">
      <c r="A245" s="395"/>
      <c r="B245" s="387"/>
      <c r="C245" s="181"/>
      <c r="D245" s="181"/>
      <c r="E245" s="181"/>
      <c r="F245" s="395"/>
      <c r="G245" s="387"/>
      <c r="H245" s="181"/>
      <c r="I245" s="181"/>
      <c r="J245" s="181"/>
      <c r="K245" s="88"/>
      <c r="L245" s="387"/>
      <c r="M245" s="181"/>
      <c r="N245" s="181"/>
      <c r="O245" s="181"/>
      <c r="P245" s="88"/>
      <c r="Q245" s="155"/>
      <c r="R245" s="181"/>
      <c r="S245" s="181"/>
      <c r="T245" s="181"/>
      <c r="U245" s="395"/>
      <c r="V245" s="387"/>
      <c r="W245" s="181"/>
      <c r="X245" s="181"/>
      <c r="Y245" s="181"/>
      <c r="Z245" s="395"/>
      <c r="AA245" s="387"/>
      <c r="AB245" s="181"/>
      <c r="AC245" s="181"/>
      <c r="AD245" s="181"/>
      <c r="AE245" s="395"/>
      <c r="AF245" s="387"/>
      <c r="AG245" s="181"/>
      <c r="AH245" s="181"/>
      <c r="AI245" s="181"/>
      <c r="AJ245" s="395"/>
      <c r="AK245" s="387"/>
      <c r="AL245" s="181"/>
      <c r="AM245" s="181"/>
      <c r="AN245" s="181"/>
      <c r="AO245" s="196"/>
      <c r="AP245" s="195"/>
      <c r="AQ245" s="188"/>
      <c r="AR245" s="188"/>
      <c r="AS245" s="188"/>
    </row>
    <row r="246">
      <c r="A246" s="395"/>
      <c r="B246" s="387"/>
      <c r="C246" s="181"/>
      <c r="D246" s="181"/>
      <c r="E246" s="181"/>
      <c r="F246" s="395"/>
      <c r="G246" s="387"/>
      <c r="H246" s="181"/>
      <c r="I246" s="181"/>
      <c r="J246" s="181"/>
      <c r="K246" s="88"/>
      <c r="L246" s="387"/>
      <c r="M246" s="181"/>
      <c r="N246" s="181"/>
      <c r="O246" s="181"/>
      <c r="P246" s="88"/>
      <c r="Q246" s="155"/>
      <c r="R246" s="181"/>
      <c r="S246" s="181"/>
      <c r="T246" s="181"/>
      <c r="U246" s="395"/>
      <c r="V246" s="387"/>
      <c r="W246" s="181"/>
      <c r="X246" s="181"/>
      <c r="Y246" s="181"/>
      <c r="Z246" s="395"/>
      <c r="AA246" s="387"/>
      <c r="AB246" s="181"/>
      <c r="AC246" s="181"/>
      <c r="AD246" s="181"/>
      <c r="AE246" s="395"/>
      <c r="AF246" s="387"/>
      <c r="AG246" s="181"/>
      <c r="AH246" s="181"/>
      <c r="AI246" s="181"/>
      <c r="AJ246" s="395"/>
      <c r="AK246" s="387"/>
      <c r="AL246" s="181"/>
      <c r="AM246" s="181"/>
      <c r="AN246" s="181"/>
      <c r="AO246" s="196"/>
      <c r="AP246" s="195"/>
      <c r="AQ246" s="188"/>
      <c r="AR246" s="188"/>
      <c r="AS246" s="188"/>
    </row>
    <row r="247">
      <c r="A247" s="395"/>
      <c r="B247" s="387"/>
      <c r="C247" s="181"/>
      <c r="D247" s="181"/>
      <c r="E247" s="181"/>
      <c r="F247" s="395"/>
      <c r="G247" s="387"/>
      <c r="H247" s="181"/>
      <c r="I247" s="181"/>
      <c r="J247" s="181"/>
      <c r="K247" s="88"/>
      <c r="L247" s="387"/>
      <c r="M247" s="181"/>
      <c r="N247" s="181"/>
      <c r="O247" s="181"/>
      <c r="P247" s="88"/>
      <c r="Q247" s="155"/>
      <c r="R247" s="181"/>
      <c r="S247" s="181"/>
      <c r="T247" s="181"/>
      <c r="U247" s="395"/>
      <c r="V247" s="387"/>
      <c r="W247" s="181"/>
      <c r="X247" s="181"/>
      <c r="Y247" s="181"/>
      <c r="Z247" s="395"/>
      <c r="AA247" s="387"/>
      <c r="AB247" s="181"/>
      <c r="AC247" s="181"/>
      <c r="AD247" s="181"/>
      <c r="AE247" s="395"/>
      <c r="AF247" s="387"/>
      <c r="AG247" s="181"/>
      <c r="AH247" s="181"/>
      <c r="AI247" s="181"/>
      <c r="AJ247" s="395"/>
      <c r="AK247" s="387"/>
      <c r="AL247" s="181"/>
      <c r="AM247" s="181"/>
      <c r="AN247" s="181"/>
      <c r="AO247" s="196"/>
      <c r="AP247" s="195"/>
      <c r="AQ247" s="188"/>
      <c r="AR247" s="188"/>
      <c r="AS247" s="188"/>
    </row>
    <row r="248">
      <c r="A248" s="395"/>
      <c r="B248" s="387"/>
      <c r="C248" s="181"/>
      <c r="D248" s="181"/>
      <c r="E248" s="181"/>
      <c r="F248" s="395"/>
      <c r="G248" s="387"/>
      <c r="H248" s="181"/>
      <c r="I248" s="181"/>
      <c r="J248" s="181"/>
      <c r="K248" s="88"/>
      <c r="L248" s="387"/>
      <c r="M248" s="181"/>
      <c r="N248" s="181"/>
      <c r="O248" s="181"/>
      <c r="P248" s="88"/>
      <c r="Q248" s="155"/>
      <c r="R248" s="181"/>
      <c r="S248" s="181"/>
      <c r="T248" s="181"/>
      <c r="U248" s="395"/>
      <c r="V248" s="387"/>
      <c r="W248" s="181"/>
      <c r="X248" s="181"/>
      <c r="Y248" s="181"/>
      <c r="Z248" s="395"/>
      <c r="AA248" s="387"/>
      <c r="AB248" s="181"/>
      <c r="AC248" s="181"/>
      <c r="AD248" s="181"/>
      <c r="AE248" s="395"/>
      <c r="AF248" s="387"/>
      <c r="AG248" s="181"/>
      <c r="AH248" s="181"/>
      <c r="AI248" s="181"/>
      <c r="AJ248" s="395"/>
      <c r="AK248" s="387"/>
      <c r="AL248" s="181"/>
      <c r="AM248" s="181"/>
      <c r="AN248" s="181"/>
      <c r="AO248" s="196"/>
      <c r="AP248" s="195"/>
      <c r="AQ248" s="188"/>
      <c r="AR248" s="188"/>
      <c r="AS248" s="188"/>
    </row>
    <row r="249">
      <c r="A249" s="395"/>
      <c r="B249" s="387"/>
      <c r="C249" s="181"/>
      <c r="D249" s="181"/>
      <c r="E249" s="181"/>
      <c r="F249" s="395"/>
      <c r="G249" s="387"/>
      <c r="H249" s="181"/>
      <c r="I249" s="181"/>
      <c r="J249" s="181"/>
      <c r="K249" s="88"/>
      <c r="L249" s="387"/>
      <c r="M249" s="181"/>
      <c r="N249" s="181"/>
      <c r="O249" s="181"/>
      <c r="P249" s="88"/>
      <c r="Q249" s="155"/>
      <c r="R249" s="181"/>
      <c r="S249" s="181"/>
      <c r="T249" s="181"/>
      <c r="U249" s="395"/>
      <c r="V249" s="387"/>
      <c r="W249" s="181"/>
      <c r="X249" s="181"/>
      <c r="Y249" s="181"/>
      <c r="Z249" s="395"/>
      <c r="AA249" s="387"/>
      <c r="AB249" s="181"/>
      <c r="AC249" s="181"/>
      <c r="AD249" s="181"/>
      <c r="AE249" s="395"/>
      <c r="AF249" s="387"/>
      <c r="AG249" s="181"/>
      <c r="AH249" s="181"/>
      <c r="AI249" s="181"/>
      <c r="AJ249" s="395"/>
      <c r="AK249" s="387"/>
      <c r="AL249" s="181"/>
      <c r="AM249" s="181"/>
      <c r="AN249" s="181"/>
      <c r="AO249" s="196"/>
      <c r="AP249" s="195"/>
      <c r="AQ249" s="188"/>
      <c r="AR249" s="188"/>
      <c r="AS249" s="188"/>
    </row>
    <row r="250">
      <c r="A250" s="395"/>
      <c r="B250" s="387"/>
      <c r="C250" s="181"/>
      <c r="D250" s="181"/>
      <c r="E250" s="181"/>
      <c r="F250" s="395"/>
      <c r="G250" s="387"/>
      <c r="H250" s="181"/>
      <c r="I250" s="181"/>
      <c r="J250" s="181"/>
      <c r="K250" s="88"/>
      <c r="L250" s="387"/>
      <c r="M250" s="181"/>
      <c r="N250" s="181"/>
      <c r="O250" s="181"/>
      <c r="P250" s="88"/>
      <c r="Q250" s="155"/>
      <c r="R250" s="181"/>
      <c r="S250" s="181"/>
      <c r="T250" s="181"/>
      <c r="U250" s="395"/>
      <c r="V250" s="387"/>
      <c r="W250" s="181"/>
      <c r="X250" s="181"/>
      <c r="Y250" s="181"/>
      <c r="Z250" s="395"/>
      <c r="AA250" s="387"/>
      <c r="AB250" s="181"/>
      <c r="AC250" s="181"/>
      <c r="AD250" s="181"/>
      <c r="AE250" s="395"/>
      <c r="AF250" s="387"/>
      <c r="AG250" s="181"/>
      <c r="AH250" s="181"/>
      <c r="AI250" s="181"/>
      <c r="AJ250" s="395"/>
      <c r="AK250" s="387"/>
      <c r="AL250" s="181"/>
      <c r="AM250" s="181"/>
      <c r="AN250" s="181"/>
      <c r="AO250" s="196"/>
      <c r="AP250" s="195"/>
      <c r="AQ250" s="188"/>
      <c r="AR250" s="188"/>
      <c r="AS250" s="188"/>
    </row>
    <row r="251">
      <c r="A251" s="395"/>
      <c r="B251" s="387"/>
      <c r="C251" s="181"/>
      <c r="D251" s="181"/>
      <c r="E251" s="181"/>
      <c r="F251" s="395"/>
      <c r="G251" s="387"/>
      <c r="H251" s="181"/>
      <c r="I251" s="181"/>
      <c r="J251" s="181"/>
      <c r="K251" s="88"/>
      <c r="L251" s="387"/>
      <c r="M251" s="181"/>
      <c r="N251" s="181"/>
      <c r="O251" s="181"/>
      <c r="P251" s="88"/>
      <c r="Q251" s="155"/>
      <c r="R251" s="181"/>
      <c r="S251" s="181"/>
      <c r="T251" s="181"/>
      <c r="U251" s="395"/>
      <c r="V251" s="387"/>
      <c r="W251" s="181"/>
      <c r="X251" s="181"/>
      <c r="Y251" s="181"/>
      <c r="Z251" s="395"/>
      <c r="AA251" s="387"/>
      <c r="AB251" s="181"/>
      <c r="AC251" s="181"/>
      <c r="AD251" s="181"/>
      <c r="AE251" s="395"/>
      <c r="AF251" s="387"/>
      <c r="AG251" s="181"/>
      <c r="AH251" s="181"/>
      <c r="AI251" s="181"/>
      <c r="AJ251" s="395"/>
      <c r="AK251" s="387"/>
      <c r="AL251" s="181"/>
      <c r="AM251" s="181"/>
      <c r="AN251" s="181"/>
      <c r="AO251" s="196"/>
      <c r="AP251" s="195"/>
      <c r="AQ251" s="188"/>
      <c r="AR251" s="188"/>
      <c r="AS251" s="188"/>
    </row>
    <row r="252">
      <c r="A252" s="395"/>
      <c r="B252" s="387"/>
      <c r="C252" s="181"/>
      <c r="D252" s="181"/>
      <c r="E252" s="181"/>
      <c r="F252" s="395"/>
      <c r="G252" s="387"/>
      <c r="H252" s="181"/>
      <c r="I252" s="181"/>
      <c r="J252" s="181"/>
      <c r="K252" s="88"/>
      <c r="L252" s="387"/>
      <c r="M252" s="181"/>
      <c r="N252" s="181"/>
      <c r="O252" s="181"/>
      <c r="P252" s="88"/>
      <c r="Q252" s="155"/>
      <c r="R252" s="181"/>
      <c r="S252" s="181"/>
      <c r="T252" s="181"/>
      <c r="U252" s="395"/>
      <c r="V252" s="387"/>
      <c r="W252" s="181"/>
      <c r="X252" s="181"/>
      <c r="Y252" s="181"/>
      <c r="Z252" s="395"/>
      <c r="AA252" s="387"/>
      <c r="AB252" s="181"/>
      <c r="AC252" s="181"/>
      <c r="AD252" s="181"/>
      <c r="AE252" s="395"/>
      <c r="AF252" s="387"/>
      <c r="AG252" s="181"/>
      <c r="AH252" s="181"/>
      <c r="AI252" s="181"/>
      <c r="AJ252" s="395"/>
      <c r="AK252" s="387"/>
      <c r="AL252" s="181"/>
      <c r="AM252" s="181"/>
      <c r="AN252" s="181"/>
      <c r="AO252" s="196"/>
      <c r="AP252" s="195"/>
      <c r="AQ252" s="188"/>
      <c r="AR252" s="188"/>
      <c r="AS252" s="188"/>
    </row>
    <row r="253">
      <c r="A253" s="395"/>
      <c r="B253" s="387"/>
      <c r="C253" s="181"/>
      <c r="D253" s="181"/>
      <c r="E253" s="181"/>
      <c r="F253" s="395"/>
      <c r="G253" s="387"/>
      <c r="H253" s="181"/>
      <c r="I253" s="181"/>
      <c r="J253" s="181"/>
      <c r="K253" s="88"/>
      <c r="L253" s="387"/>
      <c r="M253" s="181"/>
      <c r="N253" s="181"/>
      <c r="O253" s="181"/>
      <c r="P253" s="88"/>
      <c r="Q253" s="155"/>
      <c r="R253" s="181"/>
      <c r="S253" s="181"/>
      <c r="T253" s="181"/>
      <c r="U253" s="395"/>
      <c r="V253" s="387"/>
      <c r="W253" s="181"/>
      <c r="X253" s="181"/>
      <c r="Y253" s="181"/>
      <c r="Z253" s="395"/>
      <c r="AA253" s="387"/>
      <c r="AB253" s="181"/>
      <c r="AC253" s="181"/>
      <c r="AD253" s="181"/>
      <c r="AE253" s="395"/>
      <c r="AF253" s="387"/>
      <c r="AG253" s="181"/>
      <c r="AH253" s="181"/>
      <c r="AI253" s="181"/>
      <c r="AJ253" s="395"/>
      <c r="AK253" s="387"/>
      <c r="AL253" s="181"/>
      <c r="AM253" s="181"/>
      <c r="AN253" s="181"/>
      <c r="AO253" s="196"/>
      <c r="AP253" s="195"/>
      <c r="AQ253" s="188"/>
      <c r="AR253" s="188"/>
      <c r="AS253" s="188"/>
    </row>
    <row r="254">
      <c r="A254" s="395"/>
      <c r="B254" s="387"/>
      <c r="C254" s="181"/>
      <c r="D254" s="181"/>
      <c r="E254" s="181"/>
      <c r="F254" s="395"/>
      <c r="G254" s="387"/>
      <c r="H254" s="181"/>
      <c r="I254" s="181"/>
      <c r="J254" s="181"/>
      <c r="K254" s="88"/>
      <c r="L254" s="387"/>
      <c r="M254" s="181"/>
      <c r="N254" s="181"/>
      <c r="O254" s="181"/>
      <c r="P254" s="88"/>
      <c r="Q254" s="155"/>
      <c r="R254" s="181"/>
      <c r="S254" s="181"/>
      <c r="T254" s="181"/>
      <c r="U254" s="395"/>
      <c r="V254" s="387"/>
      <c r="W254" s="181"/>
      <c r="X254" s="181"/>
      <c r="Y254" s="181"/>
      <c r="Z254" s="395"/>
      <c r="AA254" s="387"/>
      <c r="AB254" s="181"/>
      <c r="AC254" s="181"/>
      <c r="AD254" s="181"/>
      <c r="AE254" s="395"/>
      <c r="AF254" s="387"/>
      <c r="AG254" s="181"/>
      <c r="AH254" s="181"/>
      <c r="AI254" s="181"/>
      <c r="AJ254" s="395"/>
      <c r="AK254" s="387"/>
      <c r="AL254" s="181"/>
      <c r="AM254" s="181"/>
      <c r="AN254" s="181"/>
      <c r="AO254" s="196"/>
      <c r="AP254" s="195"/>
      <c r="AQ254" s="188"/>
      <c r="AR254" s="188"/>
      <c r="AS254" s="188"/>
    </row>
    <row r="255">
      <c r="A255" s="395"/>
      <c r="B255" s="387"/>
      <c r="C255" s="181"/>
      <c r="D255" s="181"/>
      <c r="E255" s="181"/>
      <c r="F255" s="395"/>
      <c r="G255" s="387"/>
      <c r="H255" s="181"/>
      <c r="I255" s="181"/>
      <c r="J255" s="181"/>
      <c r="K255" s="88"/>
      <c r="L255" s="387"/>
      <c r="M255" s="181"/>
      <c r="N255" s="181"/>
      <c r="O255" s="181"/>
      <c r="P255" s="88"/>
      <c r="Q255" s="155"/>
      <c r="R255" s="181"/>
      <c r="S255" s="181"/>
      <c r="T255" s="181"/>
      <c r="U255" s="395"/>
      <c r="V255" s="387"/>
      <c r="W255" s="181"/>
      <c r="X255" s="181"/>
      <c r="Y255" s="181"/>
      <c r="Z255" s="395"/>
      <c r="AA255" s="387"/>
      <c r="AB255" s="181"/>
      <c r="AC255" s="181"/>
      <c r="AD255" s="181"/>
      <c r="AE255" s="395"/>
      <c r="AF255" s="387"/>
      <c r="AG255" s="181"/>
      <c r="AH255" s="181"/>
      <c r="AI255" s="181"/>
      <c r="AJ255" s="395"/>
      <c r="AK255" s="387"/>
      <c r="AL255" s="181"/>
      <c r="AM255" s="181"/>
      <c r="AN255" s="181"/>
      <c r="AO255" s="196"/>
      <c r="AP255" s="195"/>
      <c r="AQ255" s="188"/>
      <c r="AR255" s="188"/>
      <c r="AS255" s="188"/>
    </row>
    <row r="256">
      <c r="A256" s="395"/>
      <c r="B256" s="387"/>
      <c r="C256" s="181"/>
      <c r="D256" s="181"/>
      <c r="E256" s="181"/>
      <c r="F256" s="395"/>
      <c r="G256" s="387"/>
      <c r="H256" s="181"/>
      <c r="I256" s="181"/>
      <c r="J256" s="181"/>
      <c r="K256" s="88"/>
      <c r="L256" s="387"/>
      <c r="M256" s="181"/>
      <c r="N256" s="181"/>
      <c r="O256" s="181"/>
      <c r="P256" s="88"/>
      <c r="Q256" s="155"/>
      <c r="R256" s="181"/>
      <c r="S256" s="181"/>
      <c r="T256" s="181"/>
      <c r="U256" s="395"/>
      <c r="V256" s="387"/>
      <c r="W256" s="181"/>
      <c r="X256" s="181"/>
      <c r="Y256" s="181"/>
      <c r="Z256" s="395"/>
      <c r="AA256" s="387"/>
      <c r="AB256" s="181"/>
      <c r="AC256" s="181"/>
      <c r="AD256" s="181"/>
      <c r="AE256" s="395"/>
      <c r="AF256" s="387"/>
      <c r="AG256" s="181"/>
      <c r="AH256" s="181"/>
      <c r="AI256" s="181"/>
      <c r="AJ256" s="395"/>
      <c r="AK256" s="387"/>
      <c r="AL256" s="181"/>
      <c r="AM256" s="181"/>
      <c r="AN256" s="181"/>
      <c r="AO256" s="196"/>
      <c r="AP256" s="195"/>
      <c r="AQ256" s="188"/>
      <c r="AR256" s="188"/>
      <c r="AS256" s="188"/>
    </row>
    <row r="257">
      <c r="A257" s="395"/>
      <c r="B257" s="387"/>
      <c r="C257" s="181"/>
      <c r="D257" s="181"/>
      <c r="E257" s="181"/>
      <c r="F257" s="395"/>
      <c r="G257" s="387"/>
      <c r="H257" s="181"/>
      <c r="I257" s="181"/>
      <c r="J257" s="181"/>
      <c r="K257" s="88"/>
      <c r="L257" s="387"/>
      <c r="M257" s="181"/>
      <c r="N257" s="181"/>
      <c r="O257" s="181"/>
      <c r="P257" s="88"/>
      <c r="Q257" s="155"/>
      <c r="R257" s="181"/>
      <c r="S257" s="181"/>
      <c r="T257" s="181"/>
      <c r="U257" s="395"/>
      <c r="V257" s="387"/>
      <c r="W257" s="181"/>
      <c r="X257" s="181"/>
      <c r="Y257" s="181"/>
      <c r="Z257" s="395"/>
      <c r="AA257" s="387"/>
      <c r="AB257" s="181"/>
      <c r="AC257" s="181"/>
      <c r="AD257" s="181"/>
      <c r="AE257" s="395"/>
      <c r="AF257" s="387"/>
      <c r="AG257" s="181"/>
      <c r="AH257" s="181"/>
      <c r="AI257" s="181"/>
      <c r="AJ257" s="395"/>
      <c r="AK257" s="387"/>
      <c r="AL257" s="181"/>
      <c r="AM257" s="181"/>
      <c r="AN257" s="181"/>
      <c r="AO257" s="196"/>
      <c r="AP257" s="195"/>
      <c r="AQ257" s="188"/>
      <c r="AR257" s="188"/>
      <c r="AS257" s="188"/>
    </row>
    <row r="258">
      <c r="A258" s="395"/>
      <c r="B258" s="387"/>
      <c r="C258" s="181"/>
      <c r="D258" s="181"/>
      <c r="E258" s="181"/>
      <c r="F258" s="395"/>
      <c r="G258" s="387"/>
      <c r="H258" s="181"/>
      <c r="I258" s="181"/>
      <c r="J258" s="181"/>
      <c r="K258" s="88"/>
      <c r="L258" s="387"/>
      <c r="M258" s="181"/>
      <c r="N258" s="181"/>
      <c r="O258" s="181"/>
      <c r="P258" s="88"/>
      <c r="Q258" s="155"/>
      <c r="R258" s="181"/>
      <c r="S258" s="181"/>
      <c r="T258" s="181"/>
      <c r="U258" s="395"/>
      <c r="V258" s="387"/>
      <c r="W258" s="181"/>
      <c r="X258" s="181"/>
      <c r="Y258" s="181"/>
      <c r="Z258" s="395"/>
      <c r="AA258" s="387"/>
      <c r="AB258" s="181"/>
      <c r="AC258" s="181"/>
      <c r="AD258" s="181"/>
      <c r="AE258" s="395"/>
      <c r="AF258" s="387"/>
      <c r="AG258" s="181"/>
      <c r="AH258" s="181"/>
      <c r="AI258" s="181"/>
      <c r="AJ258" s="395"/>
      <c r="AK258" s="387"/>
      <c r="AL258" s="181"/>
      <c r="AM258" s="181"/>
      <c r="AN258" s="181"/>
      <c r="AO258" s="196"/>
      <c r="AP258" s="195"/>
      <c r="AQ258" s="188"/>
      <c r="AR258" s="188"/>
      <c r="AS258" s="188"/>
    </row>
    <row r="259">
      <c r="A259" s="395"/>
      <c r="B259" s="387"/>
      <c r="C259" s="181"/>
      <c r="D259" s="181"/>
      <c r="E259" s="181"/>
      <c r="F259" s="395"/>
      <c r="G259" s="387"/>
      <c r="H259" s="181"/>
      <c r="I259" s="181"/>
      <c r="J259" s="181"/>
      <c r="K259" s="88"/>
      <c r="L259" s="387"/>
      <c r="M259" s="181"/>
      <c r="N259" s="181"/>
      <c r="O259" s="181"/>
      <c r="P259" s="88"/>
      <c r="Q259" s="155"/>
      <c r="R259" s="181"/>
      <c r="S259" s="181"/>
      <c r="T259" s="181"/>
      <c r="U259" s="395"/>
      <c r="V259" s="387"/>
      <c r="W259" s="181"/>
      <c r="X259" s="181"/>
      <c r="Y259" s="181"/>
      <c r="Z259" s="395"/>
      <c r="AA259" s="387"/>
      <c r="AB259" s="181"/>
      <c r="AC259" s="181"/>
      <c r="AD259" s="181"/>
      <c r="AE259" s="395"/>
      <c r="AF259" s="387"/>
      <c r="AG259" s="181"/>
      <c r="AH259" s="181"/>
      <c r="AI259" s="181"/>
      <c r="AJ259" s="395"/>
      <c r="AK259" s="387"/>
      <c r="AL259" s="181"/>
      <c r="AM259" s="181"/>
      <c r="AN259" s="181"/>
      <c r="AO259" s="196"/>
      <c r="AP259" s="195"/>
      <c r="AQ259" s="188"/>
      <c r="AR259" s="188"/>
      <c r="AS259" s="188"/>
    </row>
    <row r="260">
      <c r="A260" s="395"/>
      <c r="B260" s="387"/>
      <c r="C260" s="181"/>
      <c r="D260" s="181"/>
      <c r="E260" s="181"/>
      <c r="F260" s="395"/>
      <c r="G260" s="387"/>
      <c r="H260" s="181"/>
      <c r="I260" s="181"/>
      <c r="J260" s="181"/>
      <c r="K260" s="88"/>
      <c r="L260" s="387"/>
      <c r="M260" s="181"/>
      <c r="N260" s="181"/>
      <c r="O260" s="181"/>
      <c r="P260" s="88"/>
      <c r="Q260" s="155"/>
      <c r="R260" s="181"/>
      <c r="S260" s="181"/>
      <c r="T260" s="181"/>
      <c r="U260" s="395"/>
      <c r="V260" s="387"/>
      <c r="W260" s="181"/>
      <c r="X260" s="181"/>
      <c r="Y260" s="181"/>
      <c r="Z260" s="395"/>
      <c r="AA260" s="387"/>
      <c r="AB260" s="181"/>
      <c r="AC260" s="181"/>
      <c r="AD260" s="181"/>
      <c r="AE260" s="395"/>
      <c r="AF260" s="387"/>
      <c r="AG260" s="181"/>
      <c r="AH260" s="181"/>
      <c r="AI260" s="181"/>
      <c r="AJ260" s="395"/>
      <c r="AK260" s="387"/>
      <c r="AL260" s="181"/>
      <c r="AM260" s="181"/>
      <c r="AN260" s="181"/>
      <c r="AO260" s="196"/>
      <c r="AP260" s="195"/>
      <c r="AQ260" s="188"/>
      <c r="AR260" s="188"/>
      <c r="AS260" s="188"/>
    </row>
    <row r="261">
      <c r="A261" s="395"/>
      <c r="B261" s="387"/>
      <c r="C261" s="181"/>
      <c r="D261" s="181"/>
      <c r="E261" s="181"/>
      <c r="F261" s="395"/>
      <c r="G261" s="387"/>
      <c r="H261" s="181"/>
      <c r="I261" s="181"/>
      <c r="J261" s="181"/>
      <c r="K261" s="88"/>
      <c r="L261" s="387"/>
      <c r="M261" s="181"/>
      <c r="N261" s="181"/>
      <c r="O261" s="181"/>
      <c r="P261" s="88"/>
      <c r="Q261" s="155"/>
      <c r="R261" s="181"/>
      <c r="S261" s="181"/>
      <c r="T261" s="181"/>
      <c r="U261" s="395"/>
      <c r="V261" s="387"/>
      <c r="W261" s="181"/>
      <c r="X261" s="181"/>
      <c r="Y261" s="181"/>
      <c r="Z261" s="395"/>
      <c r="AA261" s="387"/>
      <c r="AB261" s="181"/>
      <c r="AC261" s="181"/>
      <c r="AD261" s="181"/>
      <c r="AE261" s="395"/>
      <c r="AF261" s="387"/>
      <c r="AG261" s="181"/>
      <c r="AH261" s="181"/>
      <c r="AI261" s="181"/>
      <c r="AJ261" s="395"/>
      <c r="AK261" s="387"/>
      <c r="AL261" s="181"/>
      <c r="AM261" s="181"/>
      <c r="AN261" s="181"/>
      <c r="AO261" s="196"/>
      <c r="AP261" s="195"/>
      <c r="AQ261" s="188"/>
      <c r="AR261" s="188"/>
      <c r="AS261" s="188"/>
    </row>
    <row r="262">
      <c r="A262" s="395"/>
      <c r="B262" s="387"/>
      <c r="C262" s="181"/>
      <c r="D262" s="181"/>
      <c r="E262" s="181"/>
      <c r="F262" s="395"/>
      <c r="G262" s="387"/>
      <c r="H262" s="181"/>
      <c r="I262" s="181"/>
      <c r="J262" s="181"/>
      <c r="K262" s="88"/>
      <c r="L262" s="387"/>
      <c r="M262" s="181"/>
      <c r="N262" s="181"/>
      <c r="O262" s="181"/>
      <c r="P262" s="88"/>
      <c r="Q262" s="155"/>
      <c r="R262" s="181"/>
      <c r="S262" s="181"/>
      <c r="T262" s="181"/>
      <c r="U262" s="395"/>
      <c r="V262" s="387"/>
      <c r="W262" s="181"/>
      <c r="X262" s="181"/>
      <c r="Y262" s="181"/>
      <c r="Z262" s="395"/>
      <c r="AA262" s="387"/>
      <c r="AB262" s="181"/>
      <c r="AC262" s="181"/>
      <c r="AD262" s="181"/>
      <c r="AE262" s="395"/>
      <c r="AF262" s="387"/>
      <c r="AG262" s="181"/>
      <c r="AH262" s="181"/>
      <c r="AI262" s="181"/>
      <c r="AJ262" s="395"/>
      <c r="AK262" s="387"/>
      <c r="AL262" s="181"/>
      <c r="AM262" s="181"/>
      <c r="AN262" s="181"/>
      <c r="AO262" s="196"/>
      <c r="AP262" s="195"/>
      <c r="AQ262" s="188"/>
      <c r="AR262" s="188"/>
      <c r="AS262" s="188"/>
    </row>
    <row r="263">
      <c r="A263" s="395"/>
      <c r="B263" s="387"/>
      <c r="C263" s="181"/>
      <c r="D263" s="181"/>
      <c r="E263" s="181"/>
      <c r="F263" s="395"/>
      <c r="G263" s="387"/>
      <c r="H263" s="181"/>
      <c r="I263" s="181"/>
      <c r="J263" s="181"/>
      <c r="K263" s="88"/>
      <c r="L263" s="387"/>
      <c r="M263" s="181"/>
      <c r="N263" s="181"/>
      <c r="O263" s="181"/>
      <c r="P263" s="88"/>
      <c r="Q263" s="155"/>
      <c r="R263" s="181"/>
      <c r="S263" s="181"/>
      <c r="T263" s="181"/>
      <c r="U263" s="395"/>
      <c r="V263" s="387"/>
      <c r="W263" s="181"/>
      <c r="X263" s="181"/>
      <c r="Y263" s="181"/>
      <c r="Z263" s="395"/>
      <c r="AA263" s="387"/>
      <c r="AB263" s="181"/>
      <c r="AC263" s="181"/>
      <c r="AD263" s="181"/>
      <c r="AE263" s="395"/>
      <c r="AF263" s="387"/>
      <c r="AG263" s="181"/>
      <c r="AH263" s="181"/>
      <c r="AI263" s="181"/>
      <c r="AJ263" s="395"/>
      <c r="AK263" s="387"/>
      <c r="AL263" s="181"/>
      <c r="AM263" s="181"/>
      <c r="AN263" s="181"/>
      <c r="AO263" s="196"/>
      <c r="AP263" s="195"/>
      <c r="AQ263" s="188"/>
      <c r="AR263" s="188"/>
      <c r="AS263" s="188"/>
    </row>
    <row r="264">
      <c r="A264" s="395"/>
      <c r="B264" s="387"/>
      <c r="C264" s="181"/>
      <c r="D264" s="181"/>
      <c r="E264" s="181"/>
      <c r="F264" s="395"/>
      <c r="G264" s="387"/>
      <c r="H264" s="181"/>
      <c r="I264" s="181"/>
      <c r="J264" s="181"/>
      <c r="K264" s="88"/>
      <c r="L264" s="387"/>
      <c r="M264" s="181"/>
      <c r="N264" s="181"/>
      <c r="O264" s="181"/>
      <c r="P264" s="88"/>
      <c r="Q264" s="155"/>
      <c r="R264" s="181"/>
      <c r="S264" s="181"/>
      <c r="T264" s="181"/>
      <c r="U264" s="395"/>
      <c r="V264" s="387"/>
      <c r="W264" s="181"/>
      <c r="X264" s="181"/>
      <c r="Y264" s="181"/>
      <c r="Z264" s="395"/>
      <c r="AA264" s="387"/>
      <c r="AB264" s="181"/>
      <c r="AC264" s="181"/>
      <c r="AD264" s="181"/>
      <c r="AE264" s="395"/>
      <c r="AF264" s="387"/>
      <c r="AG264" s="181"/>
      <c r="AH264" s="181"/>
      <c r="AI264" s="181"/>
      <c r="AJ264" s="395"/>
      <c r="AK264" s="387"/>
      <c r="AL264" s="181"/>
      <c r="AM264" s="181"/>
      <c r="AN264" s="181"/>
      <c r="AO264" s="196"/>
      <c r="AP264" s="195"/>
      <c r="AQ264" s="188"/>
      <c r="AR264" s="188"/>
      <c r="AS264" s="188"/>
    </row>
    <row r="265">
      <c r="A265" s="395"/>
      <c r="B265" s="387"/>
      <c r="C265" s="181"/>
      <c r="D265" s="181"/>
      <c r="E265" s="181"/>
      <c r="F265" s="395"/>
      <c r="G265" s="387"/>
      <c r="H265" s="181"/>
      <c r="I265" s="181"/>
      <c r="J265" s="181"/>
      <c r="K265" s="88"/>
      <c r="L265" s="387"/>
      <c r="M265" s="181"/>
      <c r="N265" s="181"/>
      <c r="O265" s="181"/>
      <c r="P265" s="88"/>
      <c r="Q265" s="155"/>
      <c r="R265" s="181"/>
      <c r="S265" s="181"/>
      <c r="T265" s="181"/>
      <c r="U265" s="395"/>
      <c r="V265" s="387"/>
      <c r="W265" s="181"/>
      <c r="X265" s="181"/>
      <c r="Y265" s="181"/>
      <c r="Z265" s="395"/>
      <c r="AA265" s="387"/>
      <c r="AB265" s="181"/>
      <c r="AC265" s="181"/>
      <c r="AD265" s="181"/>
      <c r="AE265" s="395"/>
      <c r="AF265" s="387"/>
      <c r="AG265" s="181"/>
      <c r="AH265" s="181"/>
      <c r="AI265" s="181"/>
      <c r="AJ265" s="395"/>
      <c r="AK265" s="387"/>
      <c r="AL265" s="181"/>
      <c r="AM265" s="181"/>
      <c r="AN265" s="181"/>
      <c r="AO265" s="196"/>
      <c r="AP265" s="195"/>
      <c r="AQ265" s="188"/>
      <c r="AR265" s="188"/>
      <c r="AS265" s="188"/>
    </row>
    <row r="266">
      <c r="A266" s="395"/>
      <c r="B266" s="387"/>
      <c r="C266" s="181"/>
      <c r="D266" s="181"/>
      <c r="E266" s="181"/>
      <c r="F266" s="395"/>
      <c r="G266" s="387"/>
      <c r="H266" s="181"/>
      <c r="I266" s="181"/>
      <c r="J266" s="181"/>
      <c r="K266" s="88"/>
      <c r="L266" s="387"/>
      <c r="M266" s="181"/>
      <c r="N266" s="181"/>
      <c r="O266" s="181"/>
      <c r="P266" s="88"/>
      <c r="Q266" s="155"/>
      <c r="R266" s="181"/>
      <c r="S266" s="181"/>
      <c r="T266" s="181"/>
      <c r="U266" s="395"/>
      <c r="V266" s="387"/>
      <c r="W266" s="181"/>
      <c r="X266" s="181"/>
      <c r="Y266" s="181"/>
      <c r="Z266" s="395"/>
      <c r="AA266" s="387"/>
      <c r="AB266" s="181"/>
      <c r="AC266" s="181"/>
      <c r="AD266" s="181"/>
      <c r="AE266" s="395"/>
      <c r="AF266" s="387"/>
      <c r="AG266" s="181"/>
      <c r="AH266" s="181"/>
      <c r="AI266" s="181"/>
      <c r="AJ266" s="395"/>
      <c r="AK266" s="387"/>
      <c r="AL266" s="181"/>
      <c r="AM266" s="181"/>
      <c r="AN266" s="181"/>
      <c r="AO266" s="370"/>
      <c r="AP266" s="370"/>
      <c r="AQ266" s="370"/>
      <c r="AR266" s="370"/>
      <c r="AS266" s="370"/>
    </row>
    <row r="267">
      <c r="A267" s="395"/>
      <c r="B267" s="387"/>
      <c r="C267" s="181"/>
      <c r="D267" s="181"/>
      <c r="E267" s="181"/>
      <c r="F267" s="395"/>
      <c r="G267" s="387"/>
      <c r="H267" s="181"/>
      <c r="I267" s="181"/>
      <c r="J267" s="181"/>
      <c r="K267" s="88"/>
      <c r="L267" s="387"/>
      <c r="M267" s="181"/>
      <c r="N267" s="181"/>
      <c r="O267" s="181"/>
      <c r="P267" s="88"/>
      <c r="Q267" s="155"/>
      <c r="R267" s="181"/>
      <c r="S267" s="181"/>
      <c r="T267" s="181"/>
      <c r="U267" s="395"/>
      <c r="V267" s="387"/>
      <c r="W267" s="181"/>
      <c r="X267" s="181"/>
      <c r="Y267" s="181"/>
      <c r="Z267" s="395"/>
      <c r="AA267" s="387"/>
      <c r="AB267" s="181"/>
      <c r="AC267" s="181"/>
      <c r="AD267" s="181"/>
      <c r="AE267" s="395"/>
      <c r="AF267" s="387"/>
      <c r="AG267" s="181"/>
      <c r="AH267" s="181"/>
      <c r="AI267" s="181"/>
      <c r="AJ267" s="395"/>
      <c r="AK267" s="387"/>
      <c r="AL267" s="181"/>
      <c r="AM267" s="181"/>
      <c r="AN267" s="181"/>
      <c r="AO267" s="370"/>
      <c r="AP267" s="370"/>
      <c r="AQ267" s="370"/>
      <c r="AR267" s="370"/>
      <c r="AS267" s="370"/>
    </row>
    <row r="268">
      <c r="A268" s="395"/>
      <c r="B268" s="387"/>
      <c r="C268" s="181"/>
      <c r="D268" s="181"/>
      <c r="E268" s="181"/>
      <c r="F268" s="395"/>
      <c r="G268" s="387"/>
      <c r="H268" s="181"/>
      <c r="I268" s="181"/>
      <c r="J268" s="181"/>
      <c r="K268" s="88"/>
      <c r="L268" s="387"/>
      <c r="M268" s="181"/>
      <c r="N268" s="181"/>
      <c r="O268" s="181"/>
      <c r="P268" s="88"/>
      <c r="Q268" s="155"/>
      <c r="R268" s="181"/>
      <c r="S268" s="181"/>
      <c r="T268" s="181"/>
      <c r="U268" s="395"/>
      <c r="V268" s="387"/>
      <c r="W268" s="181"/>
      <c r="X268" s="181"/>
      <c r="Y268" s="181"/>
      <c r="Z268" s="395"/>
      <c r="AA268" s="387"/>
      <c r="AB268" s="181"/>
      <c r="AC268" s="181"/>
      <c r="AD268" s="181"/>
      <c r="AE268" s="395"/>
      <c r="AF268" s="387"/>
      <c r="AG268" s="181"/>
      <c r="AH268" s="181"/>
      <c r="AI268" s="181"/>
      <c r="AJ268" s="395"/>
      <c r="AK268" s="387"/>
      <c r="AL268" s="181"/>
      <c r="AM268" s="181"/>
      <c r="AN268" s="181"/>
      <c r="AO268" s="370"/>
      <c r="AP268" s="370"/>
      <c r="AQ268" s="370"/>
      <c r="AR268" s="370"/>
      <c r="AS268" s="370"/>
    </row>
    <row r="269">
      <c r="A269" s="395"/>
      <c r="B269" s="387"/>
      <c r="C269" s="181"/>
      <c r="D269" s="181"/>
      <c r="E269" s="181"/>
      <c r="F269" s="395"/>
      <c r="G269" s="387"/>
      <c r="H269" s="181"/>
      <c r="I269" s="181"/>
      <c r="J269" s="181"/>
      <c r="K269" s="88"/>
      <c r="L269" s="387"/>
      <c r="M269" s="181"/>
      <c r="N269" s="181"/>
      <c r="O269" s="181"/>
      <c r="P269" s="88"/>
      <c r="Q269" s="155"/>
      <c r="R269" s="181"/>
      <c r="S269" s="181"/>
      <c r="T269" s="181"/>
      <c r="U269" s="395"/>
      <c r="V269" s="387"/>
      <c r="W269" s="181"/>
      <c r="X269" s="181"/>
      <c r="Y269" s="181"/>
      <c r="Z269" s="395"/>
      <c r="AA269" s="387"/>
      <c r="AB269" s="181"/>
      <c r="AC269" s="181"/>
      <c r="AD269" s="181"/>
      <c r="AE269" s="395"/>
      <c r="AF269" s="387"/>
      <c r="AG269" s="181"/>
      <c r="AH269" s="181"/>
      <c r="AI269" s="181"/>
      <c r="AJ269" s="395"/>
      <c r="AK269" s="387"/>
      <c r="AL269" s="181"/>
      <c r="AM269" s="181"/>
      <c r="AN269" s="181"/>
      <c r="AO269" s="370"/>
      <c r="AP269" s="370"/>
      <c r="AQ269" s="370"/>
      <c r="AR269" s="370"/>
      <c r="AS269" s="370"/>
    </row>
    <row r="270">
      <c r="A270" s="395"/>
      <c r="B270" s="387"/>
      <c r="C270" s="181"/>
      <c r="D270" s="181"/>
      <c r="E270" s="181"/>
      <c r="F270" s="395"/>
      <c r="G270" s="387"/>
      <c r="H270" s="181"/>
      <c r="I270" s="181"/>
      <c r="J270" s="181"/>
      <c r="K270" s="88"/>
      <c r="L270" s="387"/>
      <c r="M270" s="181"/>
      <c r="N270" s="181"/>
      <c r="O270" s="181"/>
      <c r="P270" s="88"/>
      <c r="Q270" s="155"/>
      <c r="R270" s="181"/>
      <c r="S270" s="181"/>
      <c r="T270" s="181"/>
      <c r="U270" s="395"/>
      <c r="V270" s="387"/>
      <c r="W270" s="181"/>
      <c r="X270" s="181"/>
      <c r="Y270" s="181"/>
      <c r="Z270" s="395"/>
      <c r="AA270" s="387"/>
      <c r="AB270" s="181"/>
      <c r="AC270" s="181"/>
      <c r="AD270" s="181"/>
      <c r="AE270" s="395"/>
      <c r="AF270" s="387"/>
      <c r="AG270" s="181"/>
      <c r="AH270" s="181"/>
      <c r="AI270" s="181"/>
      <c r="AJ270" s="395"/>
      <c r="AK270" s="387"/>
      <c r="AL270" s="181"/>
      <c r="AM270" s="181"/>
      <c r="AN270" s="181"/>
      <c r="AO270" s="370"/>
      <c r="AP270" s="370"/>
      <c r="AQ270" s="370"/>
      <c r="AR270" s="370"/>
      <c r="AS270" s="370"/>
    </row>
    <row r="271">
      <c r="A271" s="395"/>
      <c r="B271" s="387"/>
      <c r="C271" s="181"/>
      <c r="D271" s="181"/>
      <c r="E271" s="181"/>
      <c r="F271" s="395"/>
      <c r="G271" s="387"/>
      <c r="H271" s="181"/>
      <c r="I271" s="181"/>
      <c r="J271" s="181"/>
      <c r="K271" s="88"/>
      <c r="L271" s="387"/>
      <c r="M271" s="181"/>
      <c r="N271" s="181"/>
      <c r="O271" s="181"/>
      <c r="P271" s="88"/>
      <c r="Q271" s="155"/>
      <c r="R271" s="181"/>
      <c r="S271" s="181"/>
      <c r="T271" s="181"/>
      <c r="U271" s="395"/>
      <c r="V271" s="387"/>
      <c r="W271" s="181"/>
      <c r="X271" s="181"/>
      <c r="Y271" s="181"/>
      <c r="Z271" s="395"/>
      <c r="AA271" s="387"/>
      <c r="AB271" s="181"/>
      <c r="AC271" s="181"/>
      <c r="AD271" s="181"/>
      <c r="AE271" s="395"/>
      <c r="AF271" s="387"/>
      <c r="AG271" s="181"/>
      <c r="AH271" s="181"/>
      <c r="AI271" s="181"/>
      <c r="AJ271" s="395"/>
      <c r="AK271" s="387"/>
      <c r="AL271" s="181"/>
      <c r="AM271" s="181"/>
      <c r="AN271" s="181"/>
      <c r="AO271" s="370"/>
      <c r="AP271" s="370"/>
      <c r="AQ271" s="370"/>
      <c r="AR271" s="370"/>
      <c r="AS271" s="370"/>
    </row>
    <row r="272">
      <c r="A272" s="395"/>
      <c r="B272" s="387"/>
      <c r="C272" s="181"/>
      <c r="D272" s="181"/>
      <c r="E272" s="181"/>
      <c r="F272" s="395"/>
      <c r="G272" s="387"/>
      <c r="H272" s="181"/>
      <c r="I272" s="181"/>
      <c r="J272" s="181"/>
      <c r="K272" s="88"/>
      <c r="L272" s="387"/>
      <c r="M272" s="181"/>
      <c r="N272" s="181"/>
      <c r="O272" s="181"/>
      <c r="P272" s="88"/>
      <c r="Q272" s="155"/>
      <c r="R272" s="181"/>
      <c r="S272" s="181"/>
      <c r="T272" s="181"/>
      <c r="U272" s="395"/>
      <c r="V272" s="387"/>
      <c r="W272" s="181"/>
      <c r="X272" s="181"/>
      <c r="Y272" s="181"/>
      <c r="Z272" s="395"/>
      <c r="AA272" s="387"/>
      <c r="AB272" s="181"/>
      <c r="AC272" s="181"/>
      <c r="AD272" s="181"/>
      <c r="AE272" s="395"/>
      <c r="AF272" s="387"/>
      <c r="AG272" s="181"/>
      <c r="AH272" s="181"/>
      <c r="AI272" s="181"/>
      <c r="AJ272" s="395"/>
      <c r="AK272" s="387"/>
      <c r="AL272" s="181"/>
      <c r="AM272" s="181"/>
      <c r="AN272" s="181"/>
      <c r="AO272" s="370"/>
      <c r="AP272" s="370"/>
      <c r="AQ272" s="370"/>
      <c r="AR272" s="370"/>
      <c r="AS272" s="370"/>
    </row>
    <row r="273">
      <c r="A273" s="395"/>
      <c r="B273" s="387"/>
      <c r="C273" s="181"/>
      <c r="D273" s="181"/>
      <c r="E273" s="181"/>
      <c r="F273" s="395"/>
      <c r="G273" s="387"/>
      <c r="H273" s="181"/>
      <c r="I273" s="181"/>
      <c r="J273" s="181"/>
      <c r="K273" s="88"/>
      <c r="L273" s="387"/>
      <c r="M273" s="181"/>
      <c r="N273" s="181"/>
      <c r="O273" s="181"/>
      <c r="P273" s="88"/>
      <c r="Q273" s="155"/>
      <c r="R273" s="181"/>
      <c r="S273" s="181"/>
      <c r="T273" s="181"/>
      <c r="U273" s="395"/>
      <c r="V273" s="387"/>
      <c r="W273" s="181"/>
      <c r="X273" s="181"/>
      <c r="Y273" s="181"/>
      <c r="Z273" s="395"/>
      <c r="AA273" s="387"/>
      <c r="AB273" s="181"/>
      <c r="AC273" s="181"/>
      <c r="AD273" s="181"/>
      <c r="AE273" s="395"/>
      <c r="AF273" s="387"/>
      <c r="AG273" s="181"/>
      <c r="AH273" s="181"/>
      <c r="AI273" s="181"/>
      <c r="AJ273" s="395"/>
      <c r="AK273" s="387"/>
      <c r="AL273" s="181"/>
      <c r="AM273" s="181"/>
      <c r="AN273" s="181"/>
      <c r="AO273" s="370"/>
      <c r="AP273" s="370"/>
      <c r="AQ273" s="370"/>
      <c r="AR273" s="370"/>
      <c r="AS273" s="370"/>
    </row>
    <row r="274">
      <c r="A274" s="395"/>
      <c r="B274" s="387"/>
      <c r="C274" s="181"/>
      <c r="D274" s="181"/>
      <c r="E274" s="181"/>
      <c r="F274" s="395"/>
      <c r="G274" s="387"/>
      <c r="H274" s="181"/>
      <c r="I274" s="181"/>
      <c r="J274" s="181"/>
      <c r="K274" s="88"/>
      <c r="L274" s="387"/>
      <c r="M274" s="181"/>
      <c r="N274" s="181"/>
      <c r="O274" s="181"/>
      <c r="P274" s="88"/>
      <c r="Q274" s="155"/>
      <c r="R274" s="181"/>
      <c r="S274" s="181"/>
      <c r="T274" s="181"/>
      <c r="U274" s="395"/>
      <c r="V274" s="387"/>
      <c r="W274" s="181"/>
      <c r="X274" s="181"/>
      <c r="Y274" s="181"/>
      <c r="Z274" s="395"/>
      <c r="AA274" s="387"/>
      <c r="AB274" s="181"/>
      <c r="AC274" s="181"/>
      <c r="AD274" s="181"/>
      <c r="AE274" s="395"/>
      <c r="AF274" s="387"/>
      <c r="AG274" s="181"/>
      <c r="AH274" s="181"/>
      <c r="AI274" s="181"/>
      <c r="AJ274" s="395"/>
      <c r="AK274" s="387"/>
      <c r="AL274" s="181"/>
      <c r="AM274" s="181"/>
      <c r="AN274" s="181"/>
      <c r="AO274" s="370"/>
      <c r="AP274" s="370"/>
      <c r="AQ274" s="370"/>
      <c r="AR274" s="370"/>
      <c r="AS274" s="370"/>
    </row>
    <row r="275">
      <c r="A275" s="395"/>
      <c r="B275" s="387"/>
      <c r="C275" s="181"/>
      <c r="D275" s="181"/>
      <c r="E275" s="181"/>
      <c r="F275" s="395"/>
      <c r="G275" s="387"/>
      <c r="H275" s="181"/>
      <c r="I275" s="181"/>
      <c r="J275" s="181"/>
      <c r="K275" s="88"/>
      <c r="L275" s="387"/>
      <c r="M275" s="181"/>
      <c r="N275" s="181"/>
      <c r="O275" s="181"/>
      <c r="P275" s="88"/>
      <c r="Q275" s="155"/>
      <c r="R275" s="181"/>
      <c r="S275" s="181"/>
      <c r="T275" s="181"/>
      <c r="U275" s="395"/>
      <c r="V275" s="387"/>
      <c r="W275" s="181"/>
      <c r="X275" s="181"/>
      <c r="Y275" s="181"/>
      <c r="Z275" s="395"/>
      <c r="AA275" s="387"/>
      <c r="AB275" s="181"/>
      <c r="AC275" s="181"/>
      <c r="AD275" s="181"/>
      <c r="AE275" s="395"/>
      <c r="AF275" s="387"/>
      <c r="AG275" s="181"/>
      <c r="AH275" s="181"/>
      <c r="AI275" s="181"/>
      <c r="AJ275" s="395"/>
      <c r="AK275" s="387"/>
      <c r="AL275" s="181"/>
      <c r="AM275" s="181"/>
      <c r="AN275" s="181"/>
      <c r="AO275" s="370"/>
      <c r="AP275" s="370"/>
      <c r="AQ275" s="370"/>
      <c r="AR275" s="370"/>
      <c r="AS275" s="370"/>
    </row>
    <row r="276">
      <c r="A276" s="395"/>
      <c r="B276" s="387"/>
      <c r="C276" s="181"/>
      <c r="D276" s="181"/>
      <c r="E276" s="181"/>
      <c r="F276" s="395"/>
      <c r="G276" s="387"/>
      <c r="H276" s="181"/>
      <c r="I276" s="181"/>
      <c r="J276" s="181"/>
      <c r="K276" s="88"/>
      <c r="L276" s="387"/>
      <c r="M276" s="181"/>
      <c r="N276" s="181"/>
      <c r="O276" s="181"/>
      <c r="P276" s="88"/>
      <c r="Q276" s="155"/>
      <c r="R276" s="181"/>
      <c r="S276" s="181"/>
      <c r="T276" s="181"/>
      <c r="U276" s="395"/>
      <c r="V276" s="387"/>
      <c r="W276" s="181"/>
      <c r="X276" s="181"/>
      <c r="Y276" s="181"/>
      <c r="Z276" s="395"/>
      <c r="AA276" s="387"/>
      <c r="AB276" s="181"/>
      <c r="AC276" s="181"/>
      <c r="AD276" s="181"/>
      <c r="AE276" s="395"/>
      <c r="AF276" s="387"/>
      <c r="AG276" s="181"/>
      <c r="AH276" s="181"/>
      <c r="AI276" s="181"/>
      <c r="AJ276" s="395"/>
      <c r="AK276" s="387"/>
      <c r="AL276" s="181"/>
      <c r="AM276" s="181"/>
      <c r="AN276" s="181"/>
      <c r="AO276" s="370"/>
      <c r="AP276" s="370"/>
      <c r="AQ276" s="370"/>
      <c r="AR276" s="370"/>
      <c r="AS276" s="370"/>
    </row>
    <row r="277">
      <c r="A277" s="395"/>
      <c r="B277" s="387"/>
      <c r="C277" s="181"/>
      <c r="D277" s="181"/>
      <c r="E277" s="181"/>
      <c r="F277" s="395"/>
      <c r="G277" s="387"/>
      <c r="H277" s="181"/>
      <c r="I277" s="181"/>
      <c r="J277" s="181"/>
      <c r="K277" s="88"/>
      <c r="L277" s="387"/>
      <c r="M277" s="181"/>
      <c r="N277" s="181"/>
      <c r="O277" s="181"/>
      <c r="P277" s="88"/>
      <c r="Q277" s="155"/>
      <c r="R277" s="181"/>
      <c r="S277" s="181"/>
      <c r="T277" s="181"/>
      <c r="U277" s="395"/>
      <c r="V277" s="387"/>
      <c r="W277" s="181"/>
      <c r="X277" s="181"/>
      <c r="Y277" s="181"/>
      <c r="Z277" s="395"/>
      <c r="AA277" s="387"/>
      <c r="AB277" s="181"/>
      <c r="AC277" s="181"/>
      <c r="AD277" s="181"/>
      <c r="AE277" s="395"/>
      <c r="AF277" s="387"/>
      <c r="AG277" s="181"/>
      <c r="AH277" s="181"/>
      <c r="AI277" s="181"/>
      <c r="AJ277" s="395"/>
      <c r="AK277" s="387"/>
      <c r="AL277" s="181"/>
      <c r="AM277" s="181"/>
      <c r="AN277" s="181"/>
      <c r="AO277" s="370"/>
      <c r="AP277" s="370"/>
      <c r="AQ277" s="370"/>
      <c r="AR277" s="370"/>
      <c r="AS277" s="370"/>
    </row>
    <row r="278">
      <c r="A278" s="395"/>
      <c r="B278" s="387"/>
      <c r="C278" s="181"/>
      <c r="D278" s="181"/>
      <c r="E278" s="181"/>
      <c r="F278" s="395"/>
      <c r="G278" s="387"/>
      <c r="H278" s="181"/>
      <c r="I278" s="181"/>
      <c r="J278" s="181"/>
      <c r="K278" s="88"/>
      <c r="L278" s="387"/>
      <c r="M278" s="181"/>
      <c r="N278" s="181"/>
      <c r="O278" s="181"/>
      <c r="P278" s="88"/>
      <c r="Q278" s="155"/>
      <c r="R278" s="181"/>
      <c r="S278" s="181"/>
      <c r="T278" s="181"/>
      <c r="U278" s="395"/>
      <c r="V278" s="387"/>
      <c r="W278" s="181"/>
      <c r="X278" s="181"/>
      <c r="Y278" s="181"/>
      <c r="Z278" s="395"/>
      <c r="AA278" s="387"/>
      <c r="AB278" s="181"/>
      <c r="AC278" s="181"/>
      <c r="AD278" s="181"/>
      <c r="AE278" s="395"/>
      <c r="AF278" s="387"/>
      <c r="AG278" s="181"/>
      <c r="AH278" s="181"/>
      <c r="AI278" s="181"/>
      <c r="AJ278" s="395"/>
      <c r="AK278" s="387"/>
      <c r="AL278" s="181"/>
      <c r="AM278" s="181"/>
      <c r="AN278" s="181"/>
      <c r="AO278" s="370"/>
      <c r="AP278" s="370"/>
      <c r="AQ278" s="370"/>
      <c r="AR278" s="370"/>
      <c r="AS278" s="370"/>
    </row>
    <row r="279">
      <c r="A279" s="395"/>
      <c r="B279" s="387"/>
      <c r="C279" s="181"/>
      <c r="D279" s="181"/>
      <c r="E279" s="181"/>
      <c r="F279" s="395"/>
      <c r="G279" s="387"/>
      <c r="H279" s="181"/>
      <c r="I279" s="181"/>
      <c r="J279" s="181"/>
      <c r="K279" s="88"/>
      <c r="L279" s="387"/>
      <c r="M279" s="181"/>
      <c r="N279" s="181"/>
      <c r="O279" s="181"/>
      <c r="P279" s="88"/>
      <c r="Q279" s="155"/>
      <c r="R279" s="181"/>
      <c r="S279" s="181"/>
      <c r="T279" s="181"/>
      <c r="U279" s="395"/>
      <c r="V279" s="387"/>
      <c r="W279" s="181"/>
      <c r="X279" s="181"/>
      <c r="Y279" s="181"/>
      <c r="Z279" s="395"/>
      <c r="AA279" s="387"/>
      <c r="AB279" s="181"/>
      <c r="AC279" s="181"/>
      <c r="AD279" s="181"/>
      <c r="AE279" s="395"/>
      <c r="AF279" s="387"/>
      <c r="AG279" s="181"/>
      <c r="AH279" s="181"/>
      <c r="AI279" s="181"/>
      <c r="AJ279" s="395"/>
      <c r="AK279" s="387"/>
      <c r="AL279" s="181"/>
      <c r="AM279" s="181"/>
      <c r="AN279" s="181"/>
      <c r="AO279" s="370"/>
      <c r="AP279" s="370"/>
      <c r="AQ279" s="370"/>
      <c r="AR279" s="370"/>
      <c r="AS279" s="370"/>
    </row>
    <row r="280">
      <c r="A280" s="395"/>
      <c r="B280" s="387"/>
      <c r="C280" s="181"/>
      <c r="D280" s="181"/>
      <c r="E280" s="181"/>
      <c r="F280" s="395"/>
      <c r="G280" s="387"/>
      <c r="H280" s="181"/>
      <c r="I280" s="181"/>
      <c r="J280" s="181"/>
      <c r="K280" s="88"/>
      <c r="L280" s="387"/>
      <c r="M280" s="181"/>
      <c r="N280" s="181"/>
      <c r="O280" s="181"/>
      <c r="P280" s="88"/>
      <c r="Q280" s="155"/>
      <c r="R280" s="181"/>
      <c r="S280" s="181"/>
      <c r="T280" s="181"/>
      <c r="U280" s="395"/>
      <c r="V280" s="387"/>
      <c r="W280" s="181"/>
      <c r="X280" s="181"/>
      <c r="Y280" s="181"/>
      <c r="Z280" s="395"/>
      <c r="AA280" s="387"/>
      <c r="AB280" s="181"/>
      <c r="AC280" s="181"/>
      <c r="AD280" s="181"/>
      <c r="AE280" s="395"/>
      <c r="AF280" s="387"/>
      <c r="AG280" s="181"/>
      <c r="AH280" s="181"/>
      <c r="AI280" s="181"/>
      <c r="AJ280" s="395"/>
      <c r="AK280" s="387"/>
      <c r="AL280" s="181"/>
      <c r="AM280" s="181"/>
      <c r="AN280" s="181"/>
      <c r="AO280" s="370"/>
      <c r="AP280" s="370"/>
      <c r="AQ280" s="370"/>
      <c r="AR280" s="370"/>
      <c r="AS280" s="370"/>
    </row>
    <row r="281">
      <c r="A281" s="395"/>
      <c r="B281" s="387"/>
      <c r="C281" s="181"/>
      <c r="D281" s="181"/>
      <c r="E281" s="181"/>
      <c r="F281" s="395"/>
      <c r="G281" s="387"/>
      <c r="H281" s="181"/>
      <c r="I281" s="181"/>
      <c r="J281" s="181"/>
      <c r="K281" s="88"/>
      <c r="L281" s="387"/>
      <c r="M281" s="181"/>
      <c r="N281" s="181"/>
      <c r="O281" s="181"/>
      <c r="P281" s="88"/>
      <c r="Q281" s="155"/>
      <c r="R281" s="181"/>
      <c r="S281" s="181"/>
      <c r="T281" s="181"/>
      <c r="U281" s="395"/>
      <c r="V281" s="387"/>
      <c r="W281" s="181"/>
      <c r="X281" s="181"/>
      <c r="Y281" s="181"/>
      <c r="Z281" s="395"/>
      <c r="AA281" s="387"/>
      <c r="AB281" s="181"/>
      <c r="AC281" s="181"/>
      <c r="AD281" s="181"/>
      <c r="AE281" s="395"/>
      <c r="AF281" s="387"/>
      <c r="AG281" s="181"/>
      <c r="AH281" s="181"/>
      <c r="AI281" s="181"/>
      <c r="AJ281" s="395"/>
      <c r="AK281" s="387"/>
      <c r="AL281" s="181"/>
      <c r="AM281" s="181"/>
      <c r="AN281" s="181"/>
      <c r="AO281" s="370"/>
      <c r="AP281" s="370"/>
      <c r="AQ281" s="370"/>
      <c r="AR281" s="370"/>
      <c r="AS281" s="370"/>
    </row>
    <row r="282">
      <c r="A282" s="395"/>
      <c r="B282" s="387"/>
      <c r="C282" s="181"/>
      <c r="D282" s="181"/>
      <c r="E282" s="181"/>
      <c r="F282" s="395"/>
      <c r="G282" s="387"/>
      <c r="H282" s="181"/>
      <c r="I282" s="181"/>
      <c r="J282" s="181"/>
      <c r="K282" s="88"/>
      <c r="L282" s="387"/>
      <c r="M282" s="181"/>
      <c r="N282" s="181"/>
      <c r="O282" s="181"/>
      <c r="P282" s="88"/>
      <c r="Q282" s="155"/>
      <c r="R282" s="181"/>
      <c r="S282" s="181"/>
      <c r="T282" s="181"/>
      <c r="U282" s="395"/>
      <c r="V282" s="387"/>
      <c r="W282" s="181"/>
      <c r="X282" s="181"/>
      <c r="Y282" s="181"/>
      <c r="Z282" s="395"/>
      <c r="AA282" s="387"/>
      <c r="AB282" s="181"/>
      <c r="AC282" s="181"/>
      <c r="AD282" s="181"/>
      <c r="AE282" s="395"/>
      <c r="AF282" s="387"/>
      <c r="AG282" s="181"/>
      <c r="AH282" s="181"/>
      <c r="AI282" s="181"/>
      <c r="AJ282" s="395"/>
      <c r="AK282" s="387"/>
      <c r="AL282" s="181"/>
      <c r="AM282" s="181"/>
      <c r="AN282" s="181"/>
      <c r="AO282" s="370"/>
      <c r="AP282" s="370"/>
      <c r="AQ282" s="370"/>
      <c r="AR282" s="370"/>
      <c r="AS282" s="370"/>
    </row>
    <row r="283">
      <c r="A283" s="395"/>
      <c r="B283" s="387"/>
      <c r="C283" s="181"/>
      <c r="D283" s="181"/>
      <c r="E283" s="181"/>
      <c r="F283" s="395"/>
      <c r="G283" s="387"/>
      <c r="H283" s="181"/>
      <c r="I283" s="181"/>
      <c r="J283" s="181"/>
      <c r="K283" s="88"/>
      <c r="L283" s="387"/>
      <c r="M283" s="181"/>
      <c r="N283" s="181"/>
      <c r="O283" s="181"/>
      <c r="P283" s="88"/>
      <c r="Q283" s="155"/>
      <c r="R283" s="181"/>
      <c r="S283" s="181"/>
      <c r="T283" s="181"/>
      <c r="U283" s="395"/>
      <c r="V283" s="387"/>
      <c r="W283" s="181"/>
      <c r="X283" s="181"/>
      <c r="Y283" s="181"/>
      <c r="Z283" s="395"/>
      <c r="AA283" s="387"/>
      <c r="AB283" s="181"/>
      <c r="AC283" s="181"/>
      <c r="AD283" s="181"/>
      <c r="AE283" s="395"/>
      <c r="AF283" s="387"/>
      <c r="AG283" s="181"/>
      <c r="AH283" s="181"/>
      <c r="AI283" s="181"/>
      <c r="AJ283" s="395"/>
      <c r="AK283" s="387"/>
      <c r="AL283" s="181"/>
      <c r="AM283" s="181"/>
      <c r="AN283" s="181"/>
      <c r="AO283" s="370"/>
      <c r="AP283" s="370"/>
      <c r="AQ283" s="370"/>
      <c r="AR283" s="370"/>
      <c r="AS283" s="370"/>
    </row>
    <row r="284">
      <c r="A284" s="395"/>
      <c r="B284" s="387"/>
      <c r="C284" s="181"/>
      <c r="D284" s="181"/>
      <c r="E284" s="181"/>
      <c r="F284" s="395"/>
      <c r="G284" s="387"/>
      <c r="H284" s="181"/>
      <c r="I284" s="181"/>
      <c r="J284" s="181"/>
      <c r="K284" s="88"/>
      <c r="L284" s="387"/>
      <c r="M284" s="181"/>
      <c r="N284" s="181"/>
      <c r="O284" s="181"/>
      <c r="P284" s="88"/>
      <c r="Q284" s="155"/>
      <c r="R284" s="181"/>
      <c r="S284" s="181"/>
      <c r="T284" s="181"/>
      <c r="U284" s="395"/>
      <c r="V284" s="387"/>
      <c r="W284" s="181"/>
      <c r="X284" s="181"/>
      <c r="Y284" s="181"/>
      <c r="Z284" s="395"/>
      <c r="AA284" s="387"/>
      <c r="AB284" s="181"/>
      <c r="AC284" s="181"/>
      <c r="AD284" s="181"/>
      <c r="AE284" s="395"/>
      <c r="AF284" s="387"/>
      <c r="AG284" s="181"/>
      <c r="AH284" s="181"/>
      <c r="AI284" s="181"/>
      <c r="AJ284" s="395"/>
      <c r="AK284" s="387"/>
      <c r="AL284" s="181"/>
      <c r="AM284" s="181"/>
      <c r="AN284" s="181"/>
      <c r="AO284" s="370"/>
      <c r="AP284" s="370"/>
      <c r="AQ284" s="370"/>
      <c r="AR284" s="370"/>
      <c r="AS284" s="370"/>
    </row>
    <row r="285">
      <c r="A285" s="395"/>
      <c r="B285" s="387"/>
      <c r="C285" s="181"/>
      <c r="D285" s="181"/>
      <c r="E285" s="181"/>
      <c r="F285" s="395"/>
      <c r="G285" s="387"/>
      <c r="H285" s="181"/>
      <c r="I285" s="181"/>
      <c r="J285" s="181"/>
      <c r="K285" s="88"/>
      <c r="L285" s="387"/>
      <c r="M285" s="181"/>
      <c r="N285" s="181"/>
      <c r="O285" s="181"/>
      <c r="P285" s="88"/>
      <c r="Q285" s="155"/>
      <c r="R285" s="181"/>
      <c r="S285" s="181"/>
      <c r="T285" s="181"/>
      <c r="U285" s="395"/>
      <c r="V285" s="387"/>
      <c r="W285" s="181"/>
      <c r="X285" s="181"/>
      <c r="Y285" s="181"/>
      <c r="Z285" s="395"/>
      <c r="AA285" s="387"/>
      <c r="AB285" s="181"/>
      <c r="AC285" s="181"/>
      <c r="AD285" s="181"/>
      <c r="AE285" s="395"/>
      <c r="AF285" s="387"/>
      <c r="AG285" s="181"/>
      <c r="AH285" s="181"/>
      <c r="AI285" s="181"/>
      <c r="AJ285" s="395"/>
      <c r="AK285" s="387"/>
      <c r="AL285" s="181"/>
      <c r="AM285" s="181"/>
      <c r="AN285" s="181"/>
      <c r="AO285" s="370"/>
      <c r="AP285" s="370"/>
      <c r="AQ285" s="370"/>
      <c r="AR285" s="370"/>
      <c r="AS285" s="370"/>
    </row>
    <row r="286">
      <c r="A286" s="395"/>
      <c r="B286" s="387"/>
      <c r="C286" s="181"/>
      <c r="D286" s="181"/>
      <c r="E286" s="181"/>
      <c r="F286" s="395"/>
      <c r="G286" s="387"/>
      <c r="H286" s="181"/>
      <c r="I286" s="181"/>
      <c r="J286" s="181"/>
      <c r="K286" s="88"/>
      <c r="L286" s="387"/>
      <c r="M286" s="181"/>
      <c r="N286" s="181"/>
      <c r="O286" s="181"/>
      <c r="P286" s="88"/>
      <c r="Q286" s="155"/>
      <c r="R286" s="181"/>
      <c r="S286" s="181"/>
      <c r="T286" s="181"/>
      <c r="U286" s="395"/>
      <c r="V286" s="387"/>
      <c r="W286" s="181"/>
      <c r="X286" s="181"/>
      <c r="Y286" s="181"/>
      <c r="Z286" s="395"/>
      <c r="AA286" s="387"/>
      <c r="AB286" s="181"/>
      <c r="AC286" s="181"/>
      <c r="AD286" s="181"/>
      <c r="AE286" s="395"/>
      <c r="AF286" s="387"/>
      <c r="AG286" s="181"/>
      <c r="AH286" s="181"/>
      <c r="AI286" s="181"/>
      <c r="AJ286" s="395"/>
      <c r="AK286" s="387"/>
      <c r="AL286" s="181"/>
      <c r="AM286" s="181"/>
      <c r="AN286" s="181"/>
      <c r="AO286" s="370"/>
      <c r="AP286" s="370"/>
      <c r="AQ286" s="370"/>
      <c r="AR286" s="370"/>
      <c r="AS286" s="370"/>
    </row>
    <row r="287">
      <c r="A287" s="395"/>
      <c r="B287" s="387"/>
      <c r="C287" s="181"/>
      <c r="D287" s="181"/>
      <c r="E287" s="181"/>
      <c r="F287" s="395"/>
      <c r="G287" s="387"/>
      <c r="H287" s="181"/>
      <c r="I287" s="181"/>
      <c r="J287" s="181"/>
      <c r="K287" s="88"/>
      <c r="L287" s="387"/>
      <c r="M287" s="181"/>
      <c r="N287" s="181"/>
      <c r="O287" s="181"/>
      <c r="P287" s="88"/>
      <c r="Q287" s="155"/>
      <c r="R287" s="181"/>
      <c r="S287" s="181"/>
      <c r="T287" s="181"/>
      <c r="U287" s="395"/>
      <c r="V287" s="387"/>
      <c r="W287" s="181"/>
      <c r="X287" s="181"/>
      <c r="Y287" s="181"/>
      <c r="Z287" s="395"/>
      <c r="AA287" s="387"/>
      <c r="AB287" s="181"/>
      <c r="AC287" s="181"/>
      <c r="AD287" s="181"/>
      <c r="AE287" s="395"/>
      <c r="AF287" s="387"/>
      <c r="AG287" s="181"/>
      <c r="AH287" s="181"/>
      <c r="AI287" s="181"/>
      <c r="AJ287" s="395"/>
      <c r="AK287" s="387"/>
      <c r="AL287" s="181"/>
      <c r="AM287" s="181"/>
      <c r="AN287" s="181"/>
      <c r="AO287" s="370"/>
      <c r="AP287" s="370"/>
      <c r="AQ287" s="370"/>
      <c r="AR287" s="370"/>
      <c r="AS287" s="370"/>
    </row>
    <row r="288">
      <c r="A288" s="395"/>
      <c r="B288" s="387"/>
      <c r="C288" s="181"/>
      <c r="D288" s="181"/>
      <c r="E288" s="181"/>
      <c r="F288" s="395"/>
      <c r="G288" s="387"/>
      <c r="H288" s="181"/>
      <c r="I288" s="181"/>
      <c r="J288" s="181"/>
      <c r="K288" s="88"/>
      <c r="L288" s="387"/>
      <c r="M288" s="181"/>
      <c r="N288" s="181"/>
      <c r="O288" s="181"/>
      <c r="P288" s="88"/>
      <c r="Q288" s="155"/>
      <c r="R288" s="181"/>
      <c r="S288" s="181"/>
      <c r="T288" s="181"/>
      <c r="U288" s="395"/>
      <c r="V288" s="387"/>
      <c r="W288" s="181"/>
      <c r="X288" s="181"/>
      <c r="Y288" s="181"/>
      <c r="Z288" s="395"/>
      <c r="AA288" s="387"/>
      <c r="AB288" s="181"/>
      <c r="AC288" s="181"/>
      <c r="AD288" s="181"/>
      <c r="AE288" s="395"/>
      <c r="AF288" s="387"/>
      <c r="AG288" s="181"/>
      <c r="AH288" s="181"/>
      <c r="AI288" s="181"/>
      <c r="AJ288" s="395"/>
      <c r="AK288" s="387"/>
      <c r="AL288" s="181"/>
      <c r="AM288" s="181"/>
      <c r="AN288" s="181"/>
      <c r="AO288" s="370"/>
      <c r="AP288" s="370"/>
      <c r="AQ288" s="370"/>
      <c r="AR288" s="370"/>
      <c r="AS288" s="370"/>
    </row>
    <row r="289">
      <c r="A289" s="395"/>
      <c r="B289" s="387"/>
      <c r="C289" s="181"/>
      <c r="D289" s="181"/>
      <c r="E289" s="181"/>
      <c r="F289" s="395"/>
      <c r="G289" s="387"/>
      <c r="H289" s="181"/>
      <c r="I289" s="181"/>
      <c r="J289" s="181"/>
      <c r="K289" s="88"/>
      <c r="L289" s="387"/>
      <c r="M289" s="181"/>
      <c r="N289" s="181"/>
      <c r="O289" s="181"/>
      <c r="P289" s="88"/>
      <c r="Q289" s="155"/>
      <c r="R289" s="181"/>
      <c r="S289" s="181"/>
      <c r="T289" s="181"/>
      <c r="U289" s="395"/>
      <c r="V289" s="387"/>
      <c r="W289" s="181"/>
      <c r="X289" s="181"/>
      <c r="Y289" s="181"/>
      <c r="Z289" s="395"/>
      <c r="AA289" s="387"/>
      <c r="AB289" s="181"/>
      <c r="AC289" s="181"/>
      <c r="AD289" s="181"/>
      <c r="AE289" s="395"/>
      <c r="AF289" s="387"/>
      <c r="AG289" s="181"/>
      <c r="AH289" s="181"/>
      <c r="AI289" s="181"/>
      <c r="AJ289" s="395"/>
      <c r="AK289" s="387"/>
      <c r="AL289" s="181"/>
      <c r="AM289" s="181"/>
      <c r="AN289" s="181"/>
      <c r="AO289" s="370"/>
      <c r="AP289" s="370"/>
      <c r="AQ289" s="370"/>
      <c r="AR289" s="370"/>
      <c r="AS289" s="370"/>
    </row>
    <row r="290">
      <c r="A290" s="395"/>
      <c r="B290" s="387"/>
      <c r="C290" s="181"/>
      <c r="D290" s="181"/>
      <c r="E290" s="181"/>
      <c r="F290" s="395"/>
      <c r="G290" s="387"/>
      <c r="H290" s="181"/>
      <c r="I290" s="181"/>
      <c r="J290" s="181"/>
      <c r="K290" s="88"/>
      <c r="L290" s="387"/>
      <c r="M290" s="181"/>
      <c r="N290" s="181"/>
      <c r="O290" s="181"/>
      <c r="P290" s="88"/>
      <c r="Q290" s="155"/>
      <c r="R290" s="181"/>
      <c r="S290" s="181"/>
      <c r="T290" s="181"/>
      <c r="U290" s="395"/>
      <c r="V290" s="387"/>
      <c r="W290" s="181"/>
      <c r="X290" s="181"/>
      <c r="Y290" s="181"/>
      <c r="Z290" s="395"/>
      <c r="AA290" s="387"/>
      <c r="AB290" s="181"/>
      <c r="AC290" s="181"/>
      <c r="AD290" s="181"/>
      <c r="AE290" s="395"/>
      <c r="AF290" s="387"/>
      <c r="AG290" s="181"/>
      <c r="AH290" s="181"/>
      <c r="AI290" s="181"/>
      <c r="AJ290" s="395"/>
      <c r="AK290" s="387"/>
      <c r="AL290" s="181"/>
      <c r="AM290" s="181"/>
      <c r="AN290" s="181"/>
      <c r="AO290" s="370"/>
      <c r="AP290" s="370"/>
      <c r="AQ290" s="370"/>
      <c r="AR290" s="370"/>
      <c r="AS290" s="370"/>
    </row>
    <row r="291">
      <c r="A291" s="395"/>
      <c r="B291" s="387"/>
      <c r="C291" s="181"/>
      <c r="D291" s="181"/>
      <c r="E291" s="181"/>
      <c r="F291" s="395"/>
      <c r="G291" s="387"/>
      <c r="H291" s="181"/>
      <c r="I291" s="181"/>
      <c r="J291" s="181"/>
      <c r="K291" s="88"/>
      <c r="L291" s="387"/>
      <c r="M291" s="181"/>
      <c r="N291" s="181"/>
      <c r="O291" s="181"/>
      <c r="P291" s="88"/>
      <c r="Q291" s="155"/>
      <c r="R291" s="181"/>
      <c r="S291" s="181"/>
      <c r="T291" s="181"/>
      <c r="U291" s="395"/>
      <c r="V291" s="387"/>
      <c r="W291" s="181"/>
      <c r="X291" s="181"/>
      <c r="Y291" s="181"/>
      <c r="Z291" s="395"/>
      <c r="AA291" s="387"/>
      <c r="AB291" s="181"/>
      <c r="AC291" s="181"/>
      <c r="AD291" s="181"/>
      <c r="AE291" s="395"/>
      <c r="AF291" s="387"/>
      <c r="AG291" s="181"/>
      <c r="AH291" s="181"/>
      <c r="AI291" s="181"/>
      <c r="AJ291" s="395"/>
      <c r="AK291" s="387"/>
      <c r="AL291" s="181"/>
      <c r="AM291" s="181"/>
      <c r="AN291" s="181"/>
      <c r="AO291" s="370"/>
      <c r="AP291" s="370"/>
      <c r="AQ291" s="370"/>
      <c r="AR291" s="370"/>
      <c r="AS291" s="370"/>
    </row>
    <row r="292">
      <c r="A292" s="395"/>
      <c r="B292" s="387"/>
      <c r="C292" s="181"/>
      <c r="D292" s="181"/>
      <c r="E292" s="181"/>
      <c r="F292" s="395"/>
      <c r="G292" s="387"/>
      <c r="H292" s="181"/>
      <c r="I292" s="181"/>
      <c r="J292" s="181"/>
      <c r="K292" s="88"/>
      <c r="L292" s="387"/>
      <c r="M292" s="181"/>
      <c r="N292" s="181"/>
      <c r="O292" s="181"/>
      <c r="P292" s="88"/>
      <c r="Q292" s="155"/>
      <c r="R292" s="181"/>
      <c r="S292" s="181"/>
      <c r="T292" s="181"/>
      <c r="U292" s="395"/>
      <c r="V292" s="387"/>
      <c r="W292" s="181"/>
      <c r="X292" s="181"/>
      <c r="Y292" s="181"/>
      <c r="Z292" s="395"/>
      <c r="AA292" s="387"/>
      <c r="AB292" s="181"/>
      <c r="AC292" s="181"/>
      <c r="AD292" s="181"/>
      <c r="AE292" s="395"/>
      <c r="AF292" s="387"/>
      <c r="AG292" s="181"/>
      <c r="AH292" s="181"/>
      <c r="AI292" s="181"/>
      <c r="AJ292" s="395"/>
      <c r="AK292" s="387"/>
      <c r="AL292" s="181"/>
      <c r="AM292" s="181"/>
      <c r="AN292" s="181"/>
      <c r="AO292" s="370"/>
      <c r="AP292" s="370"/>
      <c r="AQ292" s="370"/>
      <c r="AR292" s="370"/>
      <c r="AS292" s="370"/>
    </row>
    <row r="293">
      <c r="A293" s="395"/>
      <c r="B293" s="387"/>
      <c r="C293" s="181"/>
      <c r="D293" s="181"/>
      <c r="E293" s="181"/>
      <c r="F293" s="395"/>
      <c r="G293" s="387"/>
      <c r="H293" s="181"/>
      <c r="I293" s="181"/>
      <c r="J293" s="181"/>
      <c r="K293" s="88"/>
      <c r="L293" s="387"/>
      <c r="M293" s="181"/>
      <c r="N293" s="181"/>
      <c r="O293" s="181"/>
      <c r="P293" s="88"/>
      <c r="Q293" s="155"/>
      <c r="R293" s="181"/>
      <c r="S293" s="181"/>
      <c r="T293" s="181"/>
      <c r="U293" s="395"/>
      <c r="V293" s="387"/>
      <c r="W293" s="181"/>
      <c r="X293" s="181"/>
      <c r="Y293" s="181"/>
      <c r="Z293" s="395"/>
      <c r="AA293" s="387"/>
      <c r="AB293" s="181"/>
      <c r="AC293" s="181"/>
      <c r="AD293" s="181"/>
      <c r="AE293" s="395"/>
      <c r="AF293" s="387"/>
      <c r="AG293" s="181"/>
      <c r="AH293" s="181"/>
      <c r="AI293" s="181"/>
      <c r="AJ293" s="395"/>
      <c r="AK293" s="387"/>
      <c r="AL293" s="181"/>
      <c r="AM293" s="181"/>
      <c r="AN293" s="181"/>
      <c r="AO293" s="370"/>
      <c r="AP293" s="370"/>
      <c r="AQ293" s="370"/>
      <c r="AR293" s="370"/>
      <c r="AS293" s="370"/>
    </row>
    <row r="294">
      <c r="A294" s="395"/>
      <c r="B294" s="387"/>
      <c r="C294" s="181"/>
      <c r="D294" s="181"/>
      <c r="E294" s="181"/>
      <c r="F294" s="395"/>
      <c r="G294" s="387"/>
      <c r="H294" s="181"/>
      <c r="I294" s="181"/>
      <c r="J294" s="181"/>
      <c r="K294" s="88"/>
      <c r="L294" s="387"/>
      <c r="M294" s="181"/>
      <c r="N294" s="181"/>
      <c r="O294" s="181"/>
      <c r="P294" s="88"/>
      <c r="Q294" s="155"/>
      <c r="R294" s="181"/>
      <c r="S294" s="181"/>
      <c r="T294" s="181"/>
      <c r="U294" s="395"/>
      <c r="V294" s="387"/>
      <c r="W294" s="181"/>
      <c r="X294" s="181"/>
      <c r="Y294" s="181"/>
      <c r="Z294" s="395"/>
      <c r="AA294" s="387"/>
      <c r="AB294" s="181"/>
      <c r="AC294" s="181"/>
      <c r="AD294" s="181"/>
      <c r="AE294" s="395"/>
      <c r="AF294" s="387"/>
      <c r="AG294" s="181"/>
      <c r="AH294" s="181"/>
      <c r="AI294" s="181"/>
      <c r="AJ294" s="395"/>
      <c r="AK294" s="387"/>
      <c r="AL294" s="181"/>
      <c r="AM294" s="181"/>
      <c r="AN294" s="181"/>
      <c r="AO294" s="370"/>
      <c r="AP294" s="370"/>
      <c r="AQ294" s="370"/>
      <c r="AR294" s="370"/>
      <c r="AS294" s="370"/>
    </row>
    <row r="295">
      <c r="A295" s="395"/>
      <c r="B295" s="387"/>
      <c r="C295" s="181"/>
      <c r="D295" s="181"/>
      <c r="E295" s="181"/>
      <c r="F295" s="395"/>
      <c r="G295" s="387"/>
      <c r="H295" s="181"/>
      <c r="I295" s="181"/>
      <c r="J295" s="181"/>
      <c r="K295" s="88"/>
      <c r="L295" s="387"/>
      <c r="M295" s="181"/>
      <c r="N295" s="181"/>
      <c r="O295" s="181"/>
      <c r="P295" s="88"/>
      <c r="Q295" s="155"/>
      <c r="R295" s="181"/>
      <c r="S295" s="181"/>
      <c r="T295" s="181"/>
      <c r="U295" s="395"/>
      <c r="V295" s="387"/>
      <c r="W295" s="181"/>
      <c r="X295" s="181"/>
      <c r="Y295" s="181"/>
      <c r="Z295" s="395"/>
      <c r="AA295" s="387"/>
      <c r="AB295" s="181"/>
      <c r="AC295" s="181"/>
      <c r="AD295" s="181"/>
      <c r="AE295" s="395"/>
      <c r="AF295" s="387"/>
      <c r="AG295" s="181"/>
      <c r="AH295" s="181"/>
      <c r="AI295" s="181"/>
      <c r="AJ295" s="395"/>
      <c r="AK295" s="387"/>
      <c r="AL295" s="181"/>
      <c r="AM295" s="181"/>
      <c r="AN295" s="181"/>
      <c r="AO295" s="370"/>
      <c r="AP295" s="370"/>
      <c r="AQ295" s="370"/>
      <c r="AR295" s="370"/>
      <c r="AS295" s="370"/>
    </row>
    <row r="296">
      <c r="A296" s="395"/>
      <c r="B296" s="387"/>
      <c r="C296" s="181"/>
      <c r="D296" s="181"/>
      <c r="E296" s="181"/>
      <c r="F296" s="395"/>
      <c r="G296" s="387"/>
      <c r="H296" s="181"/>
      <c r="I296" s="181"/>
      <c r="J296" s="181"/>
      <c r="K296" s="88"/>
      <c r="L296" s="387"/>
      <c r="M296" s="181"/>
      <c r="N296" s="181"/>
      <c r="O296" s="181"/>
      <c r="P296" s="88"/>
      <c r="Q296" s="155"/>
      <c r="R296" s="181"/>
      <c r="S296" s="181"/>
      <c r="T296" s="181"/>
      <c r="U296" s="395"/>
      <c r="V296" s="387"/>
      <c r="W296" s="181"/>
      <c r="X296" s="181"/>
      <c r="Y296" s="181"/>
      <c r="Z296" s="395"/>
      <c r="AA296" s="387"/>
      <c r="AB296" s="181"/>
      <c r="AC296" s="181"/>
      <c r="AD296" s="181"/>
      <c r="AE296" s="395"/>
      <c r="AF296" s="387"/>
      <c r="AG296" s="181"/>
      <c r="AH296" s="181"/>
      <c r="AI296" s="181"/>
      <c r="AJ296" s="395"/>
      <c r="AK296" s="387"/>
      <c r="AL296" s="181"/>
      <c r="AM296" s="181"/>
      <c r="AN296" s="181"/>
      <c r="AO296" s="370"/>
      <c r="AP296" s="370"/>
      <c r="AQ296" s="370"/>
      <c r="AR296" s="370"/>
      <c r="AS296" s="370"/>
    </row>
    <row r="297">
      <c r="A297" s="395"/>
      <c r="B297" s="387"/>
      <c r="C297" s="181"/>
      <c r="D297" s="181"/>
      <c r="E297" s="181"/>
      <c r="F297" s="395"/>
      <c r="G297" s="387"/>
      <c r="H297" s="181"/>
      <c r="I297" s="181"/>
      <c r="J297" s="181"/>
      <c r="K297" s="88"/>
      <c r="L297" s="387"/>
      <c r="M297" s="181"/>
      <c r="N297" s="181"/>
      <c r="O297" s="181"/>
      <c r="P297" s="88"/>
      <c r="Q297" s="155"/>
      <c r="R297" s="181"/>
      <c r="S297" s="181"/>
      <c r="T297" s="181"/>
      <c r="U297" s="395"/>
      <c r="V297" s="387"/>
      <c r="W297" s="181"/>
      <c r="X297" s="181"/>
      <c r="Y297" s="181"/>
      <c r="Z297" s="395"/>
      <c r="AA297" s="387"/>
      <c r="AB297" s="181"/>
      <c r="AC297" s="181"/>
      <c r="AD297" s="181"/>
      <c r="AE297" s="395"/>
      <c r="AF297" s="387"/>
      <c r="AG297" s="181"/>
      <c r="AH297" s="181"/>
      <c r="AI297" s="181"/>
      <c r="AJ297" s="395"/>
      <c r="AK297" s="387"/>
      <c r="AL297" s="181"/>
      <c r="AM297" s="181"/>
      <c r="AN297" s="181"/>
      <c r="AO297" s="370"/>
      <c r="AP297" s="370"/>
      <c r="AQ297" s="370"/>
      <c r="AR297" s="370"/>
      <c r="AS297" s="370"/>
    </row>
    <row r="298">
      <c r="A298" s="395"/>
      <c r="B298" s="387"/>
      <c r="C298" s="181"/>
      <c r="D298" s="181"/>
      <c r="E298" s="181"/>
      <c r="F298" s="395"/>
      <c r="G298" s="387"/>
      <c r="H298" s="181"/>
      <c r="I298" s="181"/>
      <c r="J298" s="181"/>
      <c r="K298" s="88"/>
      <c r="L298" s="387"/>
      <c r="M298" s="181"/>
      <c r="N298" s="181"/>
      <c r="O298" s="181"/>
      <c r="P298" s="88"/>
      <c r="Q298" s="155"/>
      <c r="R298" s="181"/>
      <c r="S298" s="181"/>
      <c r="T298" s="181"/>
      <c r="U298" s="395"/>
      <c r="V298" s="387"/>
      <c r="W298" s="181"/>
      <c r="X298" s="181"/>
      <c r="Y298" s="181"/>
      <c r="Z298" s="395"/>
      <c r="AA298" s="387"/>
      <c r="AB298" s="181"/>
      <c r="AC298" s="181"/>
      <c r="AD298" s="181"/>
      <c r="AE298" s="395"/>
      <c r="AF298" s="387"/>
      <c r="AG298" s="181"/>
      <c r="AH298" s="181"/>
      <c r="AI298" s="181"/>
      <c r="AJ298" s="395"/>
      <c r="AK298" s="387"/>
      <c r="AL298" s="181"/>
      <c r="AM298" s="181"/>
      <c r="AN298" s="181"/>
      <c r="AO298" s="370"/>
      <c r="AP298" s="370"/>
      <c r="AQ298" s="370"/>
      <c r="AR298" s="370"/>
      <c r="AS298" s="370"/>
    </row>
    <row r="299">
      <c r="A299" s="395"/>
      <c r="B299" s="387"/>
      <c r="C299" s="181"/>
      <c r="D299" s="181"/>
      <c r="E299" s="181"/>
      <c r="F299" s="395"/>
      <c r="G299" s="387"/>
      <c r="H299" s="181"/>
      <c r="I299" s="181"/>
      <c r="J299" s="181"/>
      <c r="K299" s="88"/>
      <c r="L299" s="387"/>
      <c r="M299" s="181"/>
      <c r="N299" s="181"/>
      <c r="O299" s="181"/>
      <c r="P299" s="88"/>
      <c r="Q299" s="155"/>
      <c r="R299" s="181"/>
      <c r="S299" s="181"/>
      <c r="T299" s="181"/>
      <c r="U299" s="395"/>
      <c r="V299" s="387"/>
      <c r="W299" s="181"/>
      <c r="X299" s="181"/>
      <c r="Y299" s="181"/>
      <c r="Z299" s="395"/>
      <c r="AA299" s="387"/>
      <c r="AB299" s="181"/>
      <c r="AC299" s="181"/>
      <c r="AD299" s="181"/>
      <c r="AE299" s="395"/>
      <c r="AF299" s="387"/>
      <c r="AG299" s="181"/>
      <c r="AH299" s="181"/>
      <c r="AI299" s="181"/>
      <c r="AJ299" s="395"/>
      <c r="AK299" s="387"/>
      <c r="AL299" s="181"/>
      <c r="AM299" s="181"/>
      <c r="AN299" s="181"/>
      <c r="AO299" s="370"/>
      <c r="AP299" s="370"/>
      <c r="AQ299" s="370"/>
      <c r="AR299" s="370"/>
      <c r="AS299" s="370"/>
    </row>
    <row r="300">
      <c r="A300" s="395"/>
      <c r="B300" s="387"/>
      <c r="C300" s="181"/>
      <c r="D300" s="181"/>
      <c r="E300" s="181"/>
      <c r="F300" s="395"/>
      <c r="G300" s="387"/>
      <c r="H300" s="181"/>
      <c r="I300" s="181"/>
      <c r="J300" s="181"/>
      <c r="K300" s="88"/>
      <c r="L300" s="387"/>
      <c r="M300" s="181"/>
      <c r="N300" s="181"/>
      <c r="O300" s="181"/>
      <c r="P300" s="88"/>
      <c r="Q300" s="155"/>
      <c r="R300" s="181"/>
      <c r="S300" s="181"/>
      <c r="T300" s="181"/>
      <c r="U300" s="395"/>
      <c r="V300" s="387"/>
      <c r="W300" s="181"/>
      <c r="X300" s="181"/>
      <c r="Y300" s="181"/>
      <c r="Z300" s="395"/>
      <c r="AA300" s="387"/>
      <c r="AB300" s="181"/>
      <c r="AC300" s="181"/>
      <c r="AD300" s="181"/>
      <c r="AE300" s="395"/>
      <c r="AF300" s="387"/>
      <c r="AG300" s="181"/>
      <c r="AH300" s="181"/>
      <c r="AI300" s="181"/>
      <c r="AJ300" s="395"/>
      <c r="AK300" s="387"/>
      <c r="AL300" s="181"/>
      <c r="AM300" s="181"/>
      <c r="AN300" s="181"/>
      <c r="AO300" s="370"/>
      <c r="AP300" s="370"/>
      <c r="AQ300" s="370"/>
      <c r="AR300" s="370"/>
      <c r="AS300" s="370"/>
    </row>
    <row r="301">
      <c r="A301" s="395"/>
      <c r="B301" s="387"/>
      <c r="C301" s="181"/>
      <c r="D301" s="181"/>
      <c r="E301" s="181"/>
      <c r="F301" s="395"/>
      <c r="G301" s="387"/>
      <c r="H301" s="181"/>
      <c r="I301" s="181"/>
      <c r="J301" s="181"/>
      <c r="K301" s="88"/>
      <c r="L301" s="387"/>
      <c r="M301" s="181"/>
      <c r="N301" s="181"/>
      <c r="O301" s="181"/>
      <c r="P301" s="88"/>
      <c r="Q301" s="155"/>
      <c r="R301" s="181"/>
      <c r="S301" s="181"/>
      <c r="T301" s="181"/>
      <c r="U301" s="395"/>
      <c r="V301" s="387"/>
      <c r="W301" s="181"/>
      <c r="X301" s="181"/>
      <c r="Y301" s="181"/>
      <c r="Z301" s="395"/>
      <c r="AA301" s="387"/>
      <c r="AB301" s="181"/>
      <c r="AC301" s="181"/>
      <c r="AD301" s="181"/>
      <c r="AE301" s="395"/>
      <c r="AF301" s="387"/>
      <c r="AG301" s="181"/>
      <c r="AH301" s="181"/>
      <c r="AI301" s="181"/>
      <c r="AJ301" s="395"/>
      <c r="AK301" s="387"/>
      <c r="AL301" s="181"/>
      <c r="AM301" s="181"/>
      <c r="AN301" s="181"/>
      <c r="AO301" s="370"/>
      <c r="AP301" s="370"/>
      <c r="AQ301" s="370"/>
      <c r="AR301" s="370"/>
      <c r="AS301" s="370"/>
    </row>
    <row r="302">
      <c r="A302" s="395"/>
      <c r="B302" s="387"/>
      <c r="C302" s="181"/>
      <c r="D302" s="181"/>
      <c r="E302" s="181"/>
      <c r="F302" s="395"/>
      <c r="G302" s="387"/>
      <c r="H302" s="181"/>
      <c r="I302" s="181"/>
      <c r="J302" s="181"/>
      <c r="K302" s="88"/>
      <c r="L302" s="387"/>
      <c r="M302" s="181"/>
      <c r="N302" s="181"/>
      <c r="O302" s="181"/>
      <c r="P302" s="88"/>
      <c r="Q302" s="155"/>
      <c r="R302" s="181"/>
      <c r="S302" s="181"/>
      <c r="T302" s="181"/>
      <c r="U302" s="395"/>
      <c r="V302" s="387"/>
      <c r="W302" s="181"/>
      <c r="X302" s="181"/>
      <c r="Y302" s="181"/>
      <c r="Z302" s="395"/>
      <c r="AA302" s="387"/>
      <c r="AB302" s="181"/>
      <c r="AC302" s="181"/>
      <c r="AD302" s="181"/>
      <c r="AE302" s="395"/>
      <c r="AF302" s="387"/>
      <c r="AG302" s="181"/>
      <c r="AH302" s="181"/>
      <c r="AI302" s="181"/>
      <c r="AJ302" s="395"/>
      <c r="AK302" s="387"/>
      <c r="AL302" s="181"/>
      <c r="AM302" s="181"/>
      <c r="AN302" s="181"/>
      <c r="AO302" s="370"/>
      <c r="AP302" s="370"/>
      <c r="AQ302" s="370"/>
      <c r="AR302" s="370"/>
      <c r="AS302" s="370"/>
    </row>
    <row r="303">
      <c r="A303" s="395"/>
      <c r="B303" s="387"/>
      <c r="C303" s="181"/>
      <c r="D303" s="181"/>
      <c r="E303" s="181"/>
      <c r="F303" s="395"/>
      <c r="G303" s="387"/>
      <c r="H303" s="181"/>
      <c r="I303" s="181"/>
      <c r="J303" s="181"/>
      <c r="K303" s="88"/>
      <c r="L303" s="387"/>
      <c r="M303" s="181"/>
      <c r="N303" s="181"/>
      <c r="O303" s="181"/>
      <c r="P303" s="88"/>
      <c r="Q303" s="155"/>
      <c r="R303" s="181"/>
      <c r="S303" s="181"/>
      <c r="T303" s="181"/>
      <c r="U303" s="395"/>
      <c r="V303" s="387"/>
      <c r="W303" s="181"/>
      <c r="X303" s="181"/>
      <c r="Y303" s="181"/>
      <c r="Z303" s="395"/>
      <c r="AA303" s="387"/>
      <c r="AB303" s="181"/>
      <c r="AC303" s="181"/>
      <c r="AD303" s="181"/>
      <c r="AE303" s="395"/>
      <c r="AF303" s="387"/>
      <c r="AG303" s="181"/>
      <c r="AH303" s="181"/>
      <c r="AI303" s="181"/>
      <c r="AJ303" s="395"/>
      <c r="AK303" s="387"/>
      <c r="AL303" s="181"/>
      <c r="AM303" s="181"/>
      <c r="AN303" s="181"/>
      <c r="AO303" s="370"/>
      <c r="AP303" s="370"/>
      <c r="AQ303" s="370"/>
      <c r="AR303" s="370"/>
      <c r="AS303" s="370"/>
    </row>
    <row r="304">
      <c r="A304" s="395"/>
      <c r="B304" s="387"/>
      <c r="C304" s="181"/>
      <c r="D304" s="181"/>
      <c r="E304" s="181"/>
      <c r="F304" s="395"/>
      <c r="G304" s="387"/>
      <c r="H304" s="181"/>
      <c r="I304" s="181"/>
      <c r="J304" s="181"/>
      <c r="K304" s="88"/>
      <c r="L304" s="387"/>
      <c r="M304" s="181"/>
      <c r="N304" s="181"/>
      <c r="O304" s="181"/>
      <c r="P304" s="88"/>
      <c r="Q304" s="155"/>
      <c r="R304" s="181"/>
      <c r="S304" s="181"/>
      <c r="T304" s="181"/>
      <c r="U304" s="395"/>
      <c r="V304" s="387"/>
      <c r="W304" s="181"/>
      <c r="X304" s="181"/>
      <c r="Y304" s="181"/>
      <c r="Z304" s="395"/>
      <c r="AA304" s="387"/>
      <c r="AB304" s="181"/>
      <c r="AC304" s="181"/>
      <c r="AD304" s="181"/>
      <c r="AE304" s="395"/>
      <c r="AF304" s="387"/>
      <c r="AG304" s="181"/>
      <c r="AH304" s="181"/>
      <c r="AI304" s="181"/>
      <c r="AJ304" s="395"/>
      <c r="AK304" s="387"/>
      <c r="AL304" s="181"/>
      <c r="AM304" s="181"/>
      <c r="AN304" s="181"/>
      <c r="AO304" s="370"/>
      <c r="AP304" s="370"/>
      <c r="AQ304" s="370"/>
      <c r="AR304" s="370"/>
      <c r="AS304" s="370"/>
    </row>
    <row r="305">
      <c r="A305" s="395"/>
      <c r="B305" s="387"/>
      <c r="C305" s="181"/>
      <c r="D305" s="181"/>
      <c r="E305" s="181"/>
      <c r="F305" s="395"/>
      <c r="G305" s="387"/>
      <c r="H305" s="181"/>
      <c r="I305" s="181"/>
      <c r="J305" s="181"/>
      <c r="K305" s="88"/>
      <c r="L305" s="387"/>
      <c r="M305" s="181"/>
      <c r="N305" s="181"/>
      <c r="O305" s="181"/>
      <c r="P305" s="88"/>
      <c r="Q305" s="155"/>
      <c r="R305" s="181"/>
      <c r="S305" s="181"/>
      <c r="T305" s="181"/>
      <c r="U305" s="395"/>
      <c r="V305" s="387"/>
      <c r="W305" s="181"/>
      <c r="X305" s="181"/>
      <c r="Y305" s="181"/>
      <c r="Z305" s="395"/>
      <c r="AA305" s="387"/>
      <c r="AB305" s="181"/>
      <c r="AC305" s="181"/>
      <c r="AD305" s="181"/>
      <c r="AE305" s="395"/>
      <c r="AF305" s="387"/>
      <c r="AG305" s="181"/>
      <c r="AH305" s="181"/>
      <c r="AI305" s="181"/>
      <c r="AJ305" s="395"/>
      <c r="AK305" s="387"/>
      <c r="AL305" s="181"/>
      <c r="AM305" s="181"/>
      <c r="AN305" s="181"/>
      <c r="AO305" s="370"/>
      <c r="AP305" s="370"/>
      <c r="AQ305" s="370"/>
      <c r="AR305" s="370"/>
      <c r="AS305" s="370"/>
    </row>
    <row r="306">
      <c r="A306" s="395"/>
      <c r="B306" s="387"/>
      <c r="C306" s="181"/>
      <c r="D306" s="181"/>
      <c r="E306" s="181"/>
      <c r="F306" s="395"/>
      <c r="G306" s="387"/>
      <c r="H306" s="181"/>
      <c r="I306" s="181"/>
      <c r="J306" s="181"/>
      <c r="K306" s="88"/>
      <c r="L306" s="387"/>
      <c r="M306" s="181"/>
      <c r="N306" s="181"/>
      <c r="O306" s="181"/>
      <c r="P306" s="88"/>
      <c r="Q306" s="155"/>
      <c r="R306" s="181"/>
      <c r="S306" s="181"/>
      <c r="T306" s="181"/>
      <c r="U306" s="395"/>
      <c r="V306" s="387"/>
      <c r="W306" s="181"/>
      <c r="X306" s="181"/>
      <c r="Y306" s="181"/>
      <c r="Z306" s="395"/>
      <c r="AA306" s="387"/>
      <c r="AB306" s="181"/>
      <c r="AC306" s="181"/>
      <c r="AD306" s="181"/>
      <c r="AE306" s="395"/>
      <c r="AF306" s="387"/>
      <c r="AG306" s="181"/>
      <c r="AH306" s="181"/>
      <c r="AI306" s="181"/>
      <c r="AJ306" s="395"/>
      <c r="AK306" s="387"/>
      <c r="AL306" s="181"/>
      <c r="AM306" s="181"/>
      <c r="AN306" s="181"/>
      <c r="AO306" s="370"/>
      <c r="AP306" s="370"/>
      <c r="AQ306" s="370"/>
      <c r="AR306" s="370"/>
      <c r="AS306" s="370"/>
    </row>
    <row r="307">
      <c r="A307" s="395"/>
      <c r="B307" s="387"/>
      <c r="C307" s="181"/>
      <c r="D307" s="181"/>
      <c r="E307" s="181"/>
      <c r="F307" s="395"/>
      <c r="G307" s="387"/>
      <c r="H307" s="181"/>
      <c r="I307" s="181"/>
      <c r="J307" s="181"/>
      <c r="K307" s="88"/>
      <c r="L307" s="387"/>
      <c r="M307" s="181"/>
      <c r="N307" s="181"/>
      <c r="O307" s="181"/>
      <c r="P307" s="88"/>
      <c r="Q307" s="155"/>
      <c r="R307" s="181"/>
      <c r="S307" s="181"/>
      <c r="T307" s="181"/>
      <c r="U307" s="395"/>
      <c r="V307" s="387"/>
      <c r="W307" s="181"/>
      <c r="X307" s="181"/>
      <c r="Y307" s="181"/>
      <c r="Z307" s="395"/>
      <c r="AA307" s="387"/>
      <c r="AB307" s="181"/>
      <c r="AC307" s="181"/>
      <c r="AD307" s="181"/>
      <c r="AE307" s="395"/>
      <c r="AF307" s="387"/>
      <c r="AG307" s="181"/>
      <c r="AH307" s="181"/>
      <c r="AI307" s="181"/>
      <c r="AJ307" s="395"/>
      <c r="AK307" s="387"/>
      <c r="AL307" s="181"/>
      <c r="AM307" s="181"/>
      <c r="AN307" s="181"/>
      <c r="AO307" s="370"/>
      <c r="AP307" s="370"/>
      <c r="AQ307" s="370"/>
      <c r="AR307" s="370"/>
      <c r="AS307" s="370"/>
    </row>
    <row r="308">
      <c r="A308" s="395"/>
      <c r="B308" s="387"/>
      <c r="C308" s="181"/>
      <c r="D308" s="181"/>
      <c r="E308" s="181"/>
      <c r="F308" s="395"/>
      <c r="G308" s="387"/>
      <c r="H308" s="181"/>
      <c r="I308" s="181"/>
      <c r="J308" s="181"/>
      <c r="K308" s="88"/>
      <c r="L308" s="387"/>
      <c r="M308" s="181"/>
      <c r="N308" s="181"/>
      <c r="O308" s="181"/>
      <c r="P308" s="88"/>
      <c r="Q308" s="155"/>
      <c r="R308" s="181"/>
      <c r="S308" s="181"/>
      <c r="T308" s="181"/>
      <c r="U308" s="395"/>
      <c r="V308" s="387"/>
      <c r="W308" s="181"/>
      <c r="X308" s="181"/>
      <c r="Y308" s="181"/>
      <c r="Z308" s="395"/>
      <c r="AA308" s="387"/>
      <c r="AB308" s="181"/>
      <c r="AC308" s="181"/>
      <c r="AD308" s="181"/>
      <c r="AE308" s="395"/>
      <c r="AF308" s="387"/>
      <c r="AG308" s="181"/>
      <c r="AH308" s="181"/>
      <c r="AI308" s="181"/>
      <c r="AJ308" s="395"/>
      <c r="AK308" s="387"/>
      <c r="AL308" s="181"/>
      <c r="AM308" s="181"/>
      <c r="AN308" s="181"/>
      <c r="AO308" s="370"/>
      <c r="AP308" s="370"/>
      <c r="AQ308" s="370"/>
      <c r="AR308" s="370"/>
      <c r="AS308" s="370"/>
    </row>
    <row r="309">
      <c r="A309" s="395"/>
      <c r="B309" s="387"/>
      <c r="C309" s="181"/>
      <c r="D309" s="181"/>
      <c r="E309" s="181"/>
      <c r="F309" s="395"/>
      <c r="G309" s="387"/>
      <c r="H309" s="181"/>
      <c r="I309" s="181"/>
      <c r="J309" s="181"/>
      <c r="K309" s="88"/>
      <c r="L309" s="387"/>
      <c r="M309" s="181"/>
      <c r="N309" s="181"/>
      <c r="O309" s="181"/>
      <c r="P309" s="88"/>
      <c r="Q309" s="155"/>
      <c r="R309" s="181"/>
      <c r="S309" s="181"/>
      <c r="T309" s="181"/>
      <c r="U309" s="395"/>
      <c r="V309" s="387"/>
      <c r="W309" s="181"/>
      <c r="X309" s="181"/>
      <c r="Y309" s="181"/>
      <c r="Z309" s="395"/>
      <c r="AA309" s="387"/>
      <c r="AB309" s="181"/>
      <c r="AC309" s="181"/>
      <c r="AD309" s="181"/>
      <c r="AE309" s="395"/>
      <c r="AF309" s="387"/>
      <c r="AG309" s="181"/>
      <c r="AH309" s="181"/>
      <c r="AI309" s="181"/>
      <c r="AJ309" s="395"/>
      <c r="AK309" s="387"/>
      <c r="AL309" s="181"/>
      <c r="AM309" s="181"/>
      <c r="AN309" s="181"/>
      <c r="AO309" s="370"/>
      <c r="AP309" s="370"/>
      <c r="AQ309" s="370"/>
      <c r="AR309" s="370"/>
      <c r="AS309" s="370"/>
    </row>
    <row r="310">
      <c r="A310" s="395"/>
      <c r="B310" s="387"/>
      <c r="C310" s="181"/>
      <c r="D310" s="181"/>
      <c r="E310" s="181"/>
      <c r="F310" s="395"/>
      <c r="G310" s="387"/>
      <c r="H310" s="181"/>
      <c r="I310" s="181"/>
      <c r="J310" s="181"/>
      <c r="K310" s="88"/>
      <c r="L310" s="387"/>
      <c r="M310" s="181"/>
      <c r="N310" s="181"/>
      <c r="O310" s="181"/>
      <c r="P310" s="88"/>
      <c r="Q310" s="155"/>
      <c r="R310" s="181"/>
      <c r="S310" s="181"/>
      <c r="T310" s="181"/>
      <c r="U310" s="395"/>
      <c r="V310" s="387"/>
      <c r="W310" s="181"/>
      <c r="X310" s="181"/>
      <c r="Y310" s="181"/>
      <c r="Z310" s="395"/>
      <c r="AA310" s="387"/>
      <c r="AB310" s="181"/>
      <c r="AC310" s="181"/>
      <c r="AD310" s="181"/>
      <c r="AE310" s="395"/>
      <c r="AF310" s="387"/>
      <c r="AG310" s="181"/>
      <c r="AH310" s="181"/>
      <c r="AI310" s="181"/>
      <c r="AJ310" s="395"/>
      <c r="AK310" s="387"/>
      <c r="AL310" s="181"/>
      <c r="AM310" s="181"/>
      <c r="AN310" s="181"/>
      <c r="AO310" s="370"/>
      <c r="AP310" s="370"/>
      <c r="AQ310" s="370"/>
      <c r="AR310" s="370"/>
      <c r="AS310" s="370"/>
    </row>
    <row r="311">
      <c r="A311" s="395"/>
      <c r="B311" s="387"/>
      <c r="C311" s="181"/>
      <c r="D311" s="181"/>
      <c r="E311" s="181"/>
      <c r="F311" s="395"/>
      <c r="G311" s="387"/>
      <c r="H311" s="181"/>
      <c r="I311" s="181"/>
      <c r="J311" s="181"/>
      <c r="K311" s="88"/>
      <c r="L311" s="387"/>
      <c r="M311" s="181"/>
      <c r="N311" s="181"/>
      <c r="O311" s="181"/>
      <c r="P311" s="88"/>
      <c r="Q311" s="155"/>
      <c r="R311" s="181"/>
      <c r="S311" s="181"/>
      <c r="T311" s="181"/>
      <c r="U311" s="395"/>
      <c r="V311" s="387"/>
      <c r="W311" s="181"/>
      <c r="X311" s="181"/>
      <c r="Y311" s="181"/>
      <c r="Z311" s="395"/>
      <c r="AA311" s="387"/>
      <c r="AB311" s="181"/>
      <c r="AC311" s="181"/>
      <c r="AD311" s="181"/>
      <c r="AE311" s="395"/>
      <c r="AF311" s="387"/>
      <c r="AG311" s="181"/>
      <c r="AH311" s="181"/>
      <c r="AI311" s="181"/>
      <c r="AJ311" s="395"/>
      <c r="AK311" s="387"/>
      <c r="AL311" s="181"/>
      <c r="AM311" s="181"/>
      <c r="AN311" s="181"/>
      <c r="AO311" s="370"/>
      <c r="AP311" s="370"/>
      <c r="AQ311" s="370"/>
      <c r="AR311" s="370"/>
      <c r="AS311" s="370"/>
    </row>
    <row r="312">
      <c r="A312" s="395"/>
      <c r="B312" s="387"/>
      <c r="C312" s="181"/>
      <c r="D312" s="181"/>
      <c r="E312" s="181"/>
      <c r="F312" s="395"/>
      <c r="G312" s="387"/>
      <c r="H312" s="181"/>
      <c r="I312" s="181"/>
      <c r="J312" s="181"/>
      <c r="K312" s="88"/>
      <c r="L312" s="387"/>
      <c r="M312" s="181"/>
      <c r="N312" s="181"/>
      <c r="O312" s="181"/>
      <c r="P312" s="88"/>
      <c r="Q312" s="155"/>
      <c r="R312" s="181"/>
      <c r="S312" s="181"/>
      <c r="T312" s="181"/>
      <c r="U312" s="395"/>
      <c r="V312" s="387"/>
      <c r="W312" s="181"/>
      <c r="X312" s="181"/>
      <c r="Y312" s="181"/>
      <c r="Z312" s="395"/>
      <c r="AA312" s="387"/>
      <c r="AB312" s="181"/>
      <c r="AC312" s="181"/>
      <c r="AD312" s="181"/>
      <c r="AE312" s="395"/>
      <c r="AF312" s="387"/>
      <c r="AG312" s="181"/>
      <c r="AH312" s="181"/>
      <c r="AI312" s="181"/>
      <c r="AJ312" s="395"/>
      <c r="AK312" s="387"/>
      <c r="AL312" s="181"/>
      <c r="AM312" s="181"/>
      <c r="AN312" s="181"/>
      <c r="AO312" s="370"/>
      <c r="AP312" s="370"/>
      <c r="AQ312" s="370"/>
      <c r="AR312" s="370"/>
      <c r="AS312" s="370"/>
    </row>
    <row r="313">
      <c r="A313" s="395"/>
      <c r="B313" s="387"/>
      <c r="C313" s="181"/>
      <c r="D313" s="181"/>
      <c r="E313" s="181"/>
      <c r="F313" s="395"/>
      <c r="G313" s="387"/>
      <c r="H313" s="181"/>
      <c r="I313" s="181"/>
      <c r="J313" s="181"/>
      <c r="K313" s="88"/>
      <c r="L313" s="387"/>
      <c r="M313" s="181"/>
      <c r="N313" s="181"/>
      <c r="O313" s="181"/>
      <c r="P313" s="88"/>
      <c r="Q313" s="155"/>
      <c r="R313" s="181"/>
      <c r="S313" s="181"/>
      <c r="T313" s="181"/>
      <c r="U313" s="395"/>
      <c r="V313" s="387"/>
      <c r="W313" s="181"/>
      <c r="X313" s="181"/>
      <c r="Y313" s="181"/>
      <c r="Z313" s="395"/>
      <c r="AA313" s="387"/>
      <c r="AB313" s="181"/>
      <c r="AC313" s="181"/>
      <c r="AD313" s="181"/>
      <c r="AE313" s="395"/>
      <c r="AF313" s="387"/>
      <c r="AG313" s="181"/>
      <c r="AH313" s="181"/>
      <c r="AI313" s="181"/>
      <c r="AJ313" s="395"/>
      <c r="AK313" s="387"/>
      <c r="AL313" s="181"/>
      <c r="AM313" s="181"/>
      <c r="AN313" s="181"/>
      <c r="AO313" s="370"/>
      <c r="AP313" s="370"/>
      <c r="AQ313" s="370"/>
      <c r="AR313" s="370"/>
      <c r="AS313" s="370"/>
    </row>
    <row r="314">
      <c r="A314" s="395"/>
      <c r="B314" s="387"/>
      <c r="C314" s="181"/>
      <c r="D314" s="181"/>
      <c r="E314" s="181"/>
      <c r="F314" s="395"/>
      <c r="G314" s="387"/>
      <c r="H314" s="181"/>
      <c r="I314" s="181"/>
      <c r="J314" s="181"/>
      <c r="K314" s="88"/>
      <c r="L314" s="387"/>
      <c r="M314" s="181"/>
      <c r="N314" s="181"/>
      <c r="O314" s="181"/>
      <c r="P314" s="88"/>
      <c r="Q314" s="155"/>
      <c r="R314" s="181"/>
      <c r="S314" s="181"/>
      <c r="T314" s="181"/>
      <c r="U314" s="395"/>
      <c r="V314" s="387"/>
      <c r="W314" s="181"/>
      <c r="X314" s="181"/>
      <c r="Y314" s="181"/>
      <c r="Z314" s="395"/>
      <c r="AA314" s="387"/>
      <c r="AB314" s="181"/>
      <c r="AC314" s="181"/>
      <c r="AD314" s="181"/>
      <c r="AE314" s="395"/>
      <c r="AF314" s="387"/>
      <c r="AG314" s="181"/>
      <c r="AH314" s="181"/>
      <c r="AI314" s="181"/>
      <c r="AJ314" s="395"/>
      <c r="AK314" s="387"/>
      <c r="AL314" s="181"/>
      <c r="AM314" s="181"/>
      <c r="AN314" s="181"/>
      <c r="AO314" s="370"/>
      <c r="AP314" s="370"/>
      <c r="AQ314" s="370"/>
      <c r="AR314" s="370"/>
      <c r="AS314" s="370"/>
    </row>
    <row r="315">
      <c r="A315" s="395"/>
      <c r="B315" s="387"/>
      <c r="C315" s="181"/>
      <c r="D315" s="181"/>
      <c r="E315" s="181"/>
      <c r="F315" s="395"/>
      <c r="G315" s="387"/>
      <c r="H315" s="181"/>
      <c r="I315" s="181"/>
      <c r="J315" s="181"/>
      <c r="K315" s="88"/>
      <c r="L315" s="387"/>
      <c r="M315" s="181"/>
      <c r="N315" s="181"/>
      <c r="O315" s="181"/>
      <c r="P315" s="88"/>
      <c r="Q315" s="155"/>
      <c r="R315" s="181"/>
      <c r="S315" s="181"/>
      <c r="T315" s="181"/>
      <c r="U315" s="395"/>
      <c r="V315" s="387"/>
      <c r="W315" s="181"/>
      <c r="X315" s="181"/>
      <c r="Y315" s="181"/>
      <c r="Z315" s="395"/>
      <c r="AA315" s="387"/>
      <c r="AB315" s="181"/>
      <c r="AC315" s="181"/>
      <c r="AD315" s="181"/>
      <c r="AE315" s="395"/>
      <c r="AF315" s="387"/>
      <c r="AG315" s="181"/>
      <c r="AH315" s="181"/>
      <c r="AI315" s="181"/>
      <c r="AJ315" s="395"/>
      <c r="AK315" s="387"/>
      <c r="AL315" s="181"/>
      <c r="AM315" s="181"/>
      <c r="AN315" s="181"/>
      <c r="AO315" s="370"/>
      <c r="AP315" s="370"/>
      <c r="AQ315" s="370"/>
      <c r="AR315" s="370"/>
      <c r="AS315" s="370"/>
    </row>
    <row r="316">
      <c r="A316" s="395"/>
      <c r="B316" s="387"/>
      <c r="C316" s="181"/>
      <c r="D316" s="181"/>
      <c r="E316" s="181"/>
      <c r="F316" s="395"/>
      <c r="G316" s="387"/>
      <c r="H316" s="181"/>
      <c r="I316" s="181"/>
      <c r="J316" s="181"/>
      <c r="K316" s="88"/>
      <c r="L316" s="387"/>
      <c r="M316" s="181"/>
      <c r="N316" s="181"/>
      <c r="O316" s="181"/>
      <c r="P316" s="88"/>
      <c r="Q316" s="155"/>
      <c r="R316" s="181"/>
      <c r="S316" s="181"/>
      <c r="T316" s="181"/>
      <c r="U316" s="395"/>
      <c r="V316" s="387"/>
      <c r="W316" s="181"/>
      <c r="X316" s="181"/>
      <c r="Y316" s="181"/>
      <c r="Z316" s="395"/>
      <c r="AA316" s="387"/>
      <c r="AB316" s="181"/>
      <c r="AC316" s="181"/>
      <c r="AD316" s="181"/>
      <c r="AE316" s="395"/>
      <c r="AF316" s="387"/>
      <c r="AG316" s="181"/>
      <c r="AH316" s="181"/>
      <c r="AI316" s="181"/>
      <c r="AJ316" s="395"/>
      <c r="AK316" s="387"/>
      <c r="AL316" s="181"/>
      <c r="AM316" s="181"/>
      <c r="AN316" s="181"/>
      <c r="AO316" s="370"/>
      <c r="AP316" s="370"/>
      <c r="AQ316" s="370"/>
      <c r="AR316" s="370"/>
      <c r="AS316" s="370"/>
    </row>
    <row r="317">
      <c r="A317" s="395"/>
      <c r="B317" s="387"/>
      <c r="C317" s="181"/>
      <c r="D317" s="181"/>
      <c r="E317" s="181"/>
      <c r="F317" s="395"/>
      <c r="G317" s="387"/>
      <c r="H317" s="181"/>
      <c r="I317" s="181"/>
      <c r="J317" s="181"/>
      <c r="K317" s="88"/>
      <c r="L317" s="387"/>
      <c r="M317" s="181"/>
      <c r="N317" s="181"/>
      <c r="O317" s="181"/>
      <c r="P317" s="88"/>
      <c r="Q317" s="155"/>
      <c r="R317" s="181"/>
      <c r="S317" s="181"/>
      <c r="T317" s="181"/>
      <c r="U317" s="395"/>
      <c r="V317" s="387"/>
      <c r="W317" s="181"/>
      <c r="X317" s="181"/>
      <c r="Y317" s="181"/>
      <c r="Z317" s="395"/>
      <c r="AA317" s="387"/>
      <c r="AB317" s="181"/>
      <c r="AC317" s="181"/>
      <c r="AD317" s="181"/>
      <c r="AE317" s="395"/>
      <c r="AF317" s="387"/>
      <c r="AG317" s="181"/>
      <c r="AH317" s="181"/>
      <c r="AI317" s="181"/>
      <c r="AJ317" s="395"/>
      <c r="AK317" s="387"/>
      <c r="AL317" s="181"/>
      <c r="AM317" s="181"/>
      <c r="AN317" s="181"/>
      <c r="AO317" s="370"/>
      <c r="AP317" s="370"/>
      <c r="AQ317" s="370"/>
      <c r="AR317" s="370"/>
      <c r="AS317" s="370"/>
    </row>
    <row r="318">
      <c r="A318" s="395"/>
      <c r="B318" s="387"/>
      <c r="C318" s="181"/>
      <c r="D318" s="181"/>
      <c r="E318" s="181"/>
      <c r="F318" s="395"/>
      <c r="G318" s="387"/>
      <c r="H318" s="181"/>
      <c r="I318" s="181"/>
      <c r="J318" s="181"/>
      <c r="K318" s="88"/>
      <c r="L318" s="387"/>
      <c r="M318" s="181"/>
      <c r="N318" s="181"/>
      <c r="O318" s="181"/>
      <c r="P318" s="88"/>
      <c r="Q318" s="155"/>
      <c r="R318" s="181"/>
      <c r="S318" s="181"/>
      <c r="T318" s="181"/>
      <c r="U318" s="395"/>
      <c r="V318" s="387"/>
      <c r="W318" s="181"/>
      <c r="X318" s="181"/>
      <c r="Y318" s="181"/>
      <c r="Z318" s="395"/>
      <c r="AA318" s="387"/>
      <c r="AB318" s="181"/>
      <c r="AC318" s="181"/>
      <c r="AD318" s="181"/>
      <c r="AE318" s="395"/>
      <c r="AF318" s="387"/>
      <c r="AG318" s="181"/>
      <c r="AH318" s="181"/>
      <c r="AI318" s="181"/>
      <c r="AJ318" s="395"/>
      <c r="AK318" s="387"/>
      <c r="AL318" s="181"/>
      <c r="AM318" s="181"/>
      <c r="AN318" s="181"/>
      <c r="AO318" s="370"/>
      <c r="AP318" s="370"/>
      <c r="AQ318" s="370"/>
      <c r="AR318" s="370"/>
      <c r="AS318" s="370"/>
    </row>
    <row r="319">
      <c r="A319" s="395"/>
      <c r="B319" s="387"/>
      <c r="C319" s="181"/>
      <c r="D319" s="181"/>
      <c r="E319" s="181"/>
      <c r="F319" s="395"/>
      <c r="G319" s="387"/>
      <c r="H319" s="181"/>
      <c r="I319" s="181"/>
      <c r="J319" s="181"/>
      <c r="K319" s="88"/>
      <c r="L319" s="387"/>
      <c r="M319" s="181"/>
      <c r="N319" s="181"/>
      <c r="O319" s="181"/>
      <c r="P319" s="88"/>
      <c r="Q319" s="155"/>
      <c r="R319" s="181"/>
      <c r="S319" s="181"/>
      <c r="T319" s="181"/>
      <c r="U319" s="395"/>
      <c r="V319" s="387"/>
      <c r="W319" s="181"/>
      <c r="X319" s="181"/>
      <c r="Y319" s="181"/>
      <c r="Z319" s="395"/>
      <c r="AA319" s="387"/>
      <c r="AB319" s="181"/>
      <c r="AC319" s="181"/>
      <c r="AD319" s="181"/>
      <c r="AE319" s="395"/>
      <c r="AF319" s="387"/>
      <c r="AG319" s="181"/>
      <c r="AH319" s="181"/>
      <c r="AI319" s="181"/>
      <c r="AJ319" s="395"/>
      <c r="AK319" s="387"/>
      <c r="AL319" s="181"/>
      <c r="AM319" s="181"/>
      <c r="AN319" s="181"/>
      <c r="AO319" s="370"/>
      <c r="AP319" s="370"/>
      <c r="AQ319" s="370"/>
      <c r="AR319" s="370"/>
      <c r="AS319" s="370"/>
    </row>
    <row r="320">
      <c r="A320" s="395"/>
      <c r="B320" s="387"/>
      <c r="C320" s="181"/>
      <c r="D320" s="181"/>
      <c r="E320" s="181"/>
      <c r="F320" s="395"/>
      <c r="G320" s="387"/>
      <c r="H320" s="181"/>
      <c r="I320" s="181"/>
      <c r="J320" s="181"/>
      <c r="K320" s="88"/>
      <c r="L320" s="387"/>
      <c r="M320" s="181"/>
      <c r="N320" s="181"/>
      <c r="O320" s="181"/>
      <c r="P320" s="88"/>
      <c r="Q320" s="155"/>
      <c r="R320" s="181"/>
      <c r="S320" s="181"/>
      <c r="T320" s="181"/>
      <c r="U320" s="395"/>
      <c r="V320" s="387"/>
      <c r="W320" s="181"/>
      <c r="X320" s="181"/>
      <c r="Y320" s="181"/>
      <c r="Z320" s="395"/>
      <c r="AA320" s="387"/>
      <c r="AB320" s="181"/>
      <c r="AC320" s="181"/>
      <c r="AD320" s="181"/>
      <c r="AE320" s="395"/>
      <c r="AF320" s="387"/>
      <c r="AG320" s="181"/>
      <c r="AH320" s="181"/>
      <c r="AI320" s="181"/>
      <c r="AJ320" s="395"/>
      <c r="AK320" s="387"/>
      <c r="AL320" s="181"/>
      <c r="AM320" s="181"/>
      <c r="AN320" s="181"/>
      <c r="AO320" s="370"/>
      <c r="AP320" s="370"/>
      <c r="AQ320" s="370"/>
      <c r="AR320" s="370"/>
      <c r="AS320" s="370"/>
    </row>
    <row r="321">
      <c r="A321" s="395"/>
      <c r="B321" s="387"/>
      <c r="C321" s="181"/>
      <c r="D321" s="181"/>
      <c r="E321" s="181"/>
      <c r="F321" s="395"/>
      <c r="G321" s="387"/>
      <c r="H321" s="181"/>
      <c r="I321" s="181"/>
      <c r="J321" s="181"/>
      <c r="K321" s="88"/>
      <c r="L321" s="387"/>
      <c r="M321" s="181"/>
      <c r="N321" s="181"/>
      <c r="O321" s="181"/>
      <c r="P321" s="88"/>
      <c r="Q321" s="155"/>
      <c r="R321" s="181"/>
      <c r="S321" s="181"/>
      <c r="T321" s="181"/>
      <c r="U321" s="395"/>
      <c r="V321" s="387"/>
      <c r="W321" s="181"/>
      <c r="X321" s="181"/>
      <c r="Y321" s="181"/>
      <c r="Z321" s="395"/>
      <c r="AA321" s="387"/>
      <c r="AB321" s="181"/>
      <c r="AC321" s="181"/>
      <c r="AD321" s="181"/>
      <c r="AE321" s="395"/>
      <c r="AF321" s="387"/>
      <c r="AG321" s="181"/>
      <c r="AH321" s="181"/>
      <c r="AI321" s="181"/>
      <c r="AJ321" s="395"/>
      <c r="AK321" s="387"/>
      <c r="AL321" s="181"/>
      <c r="AM321" s="181"/>
      <c r="AN321" s="181"/>
      <c r="AO321" s="370"/>
      <c r="AP321" s="370"/>
      <c r="AQ321" s="370"/>
      <c r="AR321" s="370"/>
      <c r="AS321" s="370"/>
    </row>
    <row r="322">
      <c r="A322" s="395"/>
      <c r="B322" s="387"/>
      <c r="C322" s="181"/>
      <c r="D322" s="181"/>
      <c r="E322" s="181"/>
      <c r="F322" s="395"/>
      <c r="G322" s="387"/>
      <c r="H322" s="181"/>
      <c r="I322" s="181"/>
      <c r="J322" s="181"/>
      <c r="K322" s="88"/>
      <c r="L322" s="387"/>
      <c r="M322" s="181"/>
      <c r="N322" s="181"/>
      <c r="O322" s="181"/>
      <c r="P322" s="88"/>
      <c r="Q322" s="155"/>
      <c r="R322" s="181"/>
      <c r="S322" s="181"/>
      <c r="T322" s="181"/>
      <c r="U322" s="395"/>
      <c r="V322" s="387"/>
      <c r="W322" s="181"/>
      <c r="X322" s="181"/>
      <c r="Y322" s="181"/>
      <c r="Z322" s="395"/>
      <c r="AA322" s="387"/>
      <c r="AB322" s="181"/>
      <c r="AC322" s="181"/>
      <c r="AD322" s="181"/>
      <c r="AE322" s="395"/>
      <c r="AF322" s="387"/>
      <c r="AG322" s="181"/>
      <c r="AH322" s="181"/>
      <c r="AI322" s="181"/>
      <c r="AJ322" s="395"/>
      <c r="AK322" s="387"/>
      <c r="AL322" s="181"/>
      <c r="AM322" s="181"/>
      <c r="AN322" s="181"/>
      <c r="AO322" s="370"/>
      <c r="AP322" s="370"/>
      <c r="AQ322" s="370"/>
      <c r="AR322" s="370"/>
      <c r="AS322" s="370"/>
    </row>
    <row r="323">
      <c r="A323" s="395"/>
      <c r="B323" s="387"/>
      <c r="C323" s="181"/>
      <c r="D323" s="181"/>
      <c r="E323" s="181"/>
      <c r="F323" s="395"/>
      <c r="G323" s="387"/>
      <c r="H323" s="181"/>
      <c r="I323" s="181"/>
      <c r="J323" s="181"/>
      <c r="K323" s="88"/>
      <c r="L323" s="387"/>
      <c r="M323" s="181"/>
      <c r="N323" s="181"/>
      <c r="O323" s="181"/>
      <c r="P323" s="88"/>
      <c r="Q323" s="155"/>
      <c r="R323" s="181"/>
      <c r="S323" s="181"/>
      <c r="T323" s="181"/>
      <c r="U323" s="395"/>
      <c r="V323" s="387"/>
      <c r="W323" s="181"/>
      <c r="X323" s="181"/>
      <c r="Y323" s="181"/>
      <c r="Z323" s="395"/>
      <c r="AA323" s="387"/>
      <c r="AB323" s="181"/>
      <c r="AC323" s="181"/>
      <c r="AD323" s="181"/>
      <c r="AE323" s="395"/>
      <c r="AF323" s="387"/>
      <c r="AG323" s="181"/>
      <c r="AH323" s="181"/>
      <c r="AI323" s="181"/>
      <c r="AJ323" s="395"/>
      <c r="AK323" s="387"/>
      <c r="AL323" s="181"/>
      <c r="AM323" s="181"/>
      <c r="AN323" s="181"/>
      <c r="AO323" s="370"/>
      <c r="AP323" s="370"/>
      <c r="AQ323" s="370"/>
      <c r="AR323" s="370"/>
      <c r="AS323" s="370"/>
    </row>
    <row r="324">
      <c r="A324" s="395"/>
      <c r="B324" s="387"/>
      <c r="C324" s="181"/>
      <c r="D324" s="181"/>
      <c r="E324" s="181"/>
      <c r="F324" s="395"/>
      <c r="G324" s="387"/>
      <c r="H324" s="181"/>
      <c r="I324" s="181"/>
      <c r="J324" s="181"/>
      <c r="K324" s="88"/>
      <c r="L324" s="387"/>
      <c r="M324" s="181"/>
      <c r="N324" s="181"/>
      <c r="O324" s="181"/>
      <c r="P324" s="88"/>
      <c r="Q324" s="155"/>
      <c r="R324" s="181"/>
      <c r="S324" s="181"/>
      <c r="T324" s="181"/>
      <c r="U324" s="395"/>
      <c r="V324" s="387"/>
      <c r="W324" s="181"/>
      <c r="X324" s="181"/>
      <c r="Y324" s="181"/>
      <c r="Z324" s="395"/>
      <c r="AA324" s="387"/>
      <c r="AB324" s="181"/>
      <c r="AC324" s="181"/>
      <c r="AD324" s="181"/>
      <c r="AE324" s="395"/>
      <c r="AF324" s="387"/>
      <c r="AG324" s="181"/>
      <c r="AH324" s="181"/>
      <c r="AI324" s="181"/>
      <c r="AJ324" s="395"/>
      <c r="AK324" s="387"/>
      <c r="AL324" s="181"/>
      <c r="AM324" s="181"/>
      <c r="AN324" s="181"/>
      <c r="AO324" s="370"/>
      <c r="AP324" s="370"/>
      <c r="AQ324" s="370"/>
      <c r="AR324" s="370"/>
      <c r="AS324" s="370"/>
    </row>
    <row r="325">
      <c r="A325" s="395"/>
      <c r="B325" s="387"/>
      <c r="C325" s="181"/>
      <c r="D325" s="181"/>
      <c r="E325" s="181"/>
      <c r="F325" s="395"/>
      <c r="G325" s="387"/>
      <c r="H325" s="181"/>
      <c r="I325" s="181"/>
      <c r="J325" s="181"/>
      <c r="K325" s="88"/>
      <c r="L325" s="387"/>
      <c r="M325" s="181"/>
      <c r="N325" s="181"/>
      <c r="O325" s="181"/>
      <c r="P325" s="88"/>
      <c r="Q325" s="155"/>
      <c r="R325" s="181"/>
      <c r="S325" s="181"/>
      <c r="T325" s="181"/>
      <c r="U325" s="395"/>
      <c r="V325" s="387"/>
      <c r="W325" s="181"/>
      <c r="X325" s="181"/>
      <c r="Y325" s="181"/>
      <c r="Z325" s="395"/>
      <c r="AA325" s="387"/>
      <c r="AB325" s="181"/>
      <c r="AC325" s="181"/>
      <c r="AD325" s="181"/>
      <c r="AE325" s="395"/>
      <c r="AF325" s="387"/>
      <c r="AG325" s="181"/>
      <c r="AH325" s="181"/>
      <c r="AI325" s="181"/>
      <c r="AJ325" s="395"/>
      <c r="AK325" s="387"/>
      <c r="AL325" s="181"/>
      <c r="AM325" s="181"/>
      <c r="AN325" s="181"/>
      <c r="AO325" s="370"/>
      <c r="AP325" s="370"/>
      <c r="AQ325" s="370"/>
      <c r="AR325" s="370"/>
      <c r="AS325" s="370"/>
    </row>
    <row r="326">
      <c r="A326" s="395"/>
      <c r="B326" s="387"/>
      <c r="C326" s="181"/>
      <c r="D326" s="181"/>
      <c r="E326" s="181"/>
      <c r="F326" s="395"/>
      <c r="G326" s="387"/>
      <c r="H326" s="181"/>
      <c r="I326" s="181"/>
      <c r="J326" s="181"/>
      <c r="K326" s="88"/>
      <c r="L326" s="387"/>
      <c r="M326" s="181"/>
      <c r="N326" s="181"/>
      <c r="O326" s="181"/>
      <c r="P326" s="88"/>
      <c r="Q326" s="155"/>
      <c r="R326" s="181"/>
      <c r="S326" s="181"/>
      <c r="T326" s="181"/>
      <c r="U326" s="395"/>
      <c r="V326" s="387"/>
      <c r="W326" s="181"/>
      <c r="X326" s="181"/>
      <c r="Y326" s="181"/>
      <c r="Z326" s="395"/>
      <c r="AA326" s="387"/>
      <c r="AB326" s="181"/>
      <c r="AC326" s="181"/>
      <c r="AD326" s="181"/>
      <c r="AE326" s="395"/>
      <c r="AF326" s="387"/>
      <c r="AG326" s="181"/>
      <c r="AH326" s="181"/>
      <c r="AI326" s="181"/>
      <c r="AJ326" s="395"/>
      <c r="AK326" s="387"/>
      <c r="AL326" s="181"/>
      <c r="AM326" s="181"/>
      <c r="AN326" s="181"/>
      <c r="AO326" s="370"/>
      <c r="AP326" s="370"/>
      <c r="AQ326" s="370"/>
      <c r="AR326" s="370"/>
      <c r="AS326" s="370"/>
    </row>
    <row r="327">
      <c r="A327" s="395"/>
      <c r="B327" s="387"/>
      <c r="C327" s="181"/>
      <c r="D327" s="181"/>
      <c r="E327" s="181"/>
      <c r="F327" s="395"/>
      <c r="G327" s="387"/>
      <c r="H327" s="181"/>
      <c r="I327" s="181"/>
      <c r="J327" s="181"/>
      <c r="K327" s="88"/>
      <c r="L327" s="387"/>
      <c r="M327" s="181"/>
      <c r="N327" s="181"/>
      <c r="O327" s="181"/>
      <c r="P327" s="88"/>
      <c r="Q327" s="155"/>
      <c r="R327" s="181"/>
      <c r="S327" s="181"/>
      <c r="T327" s="181"/>
      <c r="U327" s="395"/>
      <c r="V327" s="387"/>
      <c r="W327" s="181"/>
      <c r="X327" s="181"/>
      <c r="Y327" s="181"/>
      <c r="Z327" s="395"/>
      <c r="AA327" s="387"/>
      <c r="AB327" s="181"/>
      <c r="AC327" s="181"/>
      <c r="AD327" s="181"/>
      <c r="AE327" s="395"/>
      <c r="AF327" s="387"/>
      <c r="AG327" s="181"/>
      <c r="AH327" s="181"/>
      <c r="AI327" s="181"/>
      <c r="AJ327" s="395"/>
      <c r="AK327" s="387"/>
      <c r="AL327" s="181"/>
      <c r="AM327" s="181"/>
      <c r="AN327" s="181"/>
      <c r="AO327" s="370"/>
      <c r="AP327" s="370"/>
      <c r="AQ327" s="370"/>
      <c r="AR327" s="370"/>
      <c r="AS327" s="370"/>
    </row>
    <row r="328">
      <c r="A328" s="395"/>
      <c r="B328" s="387"/>
      <c r="C328" s="181"/>
      <c r="D328" s="181"/>
      <c r="E328" s="181"/>
      <c r="F328" s="395"/>
      <c r="G328" s="387"/>
      <c r="H328" s="181"/>
      <c r="I328" s="181"/>
      <c r="J328" s="181"/>
      <c r="K328" s="88"/>
      <c r="L328" s="387"/>
      <c r="M328" s="181"/>
      <c r="N328" s="181"/>
      <c r="O328" s="181"/>
      <c r="P328" s="88"/>
      <c r="Q328" s="155"/>
      <c r="R328" s="181"/>
      <c r="S328" s="181"/>
      <c r="T328" s="181"/>
      <c r="U328" s="395"/>
      <c r="V328" s="387"/>
      <c r="W328" s="181"/>
      <c r="X328" s="181"/>
      <c r="Y328" s="181"/>
      <c r="Z328" s="395"/>
      <c r="AA328" s="387"/>
      <c r="AB328" s="181"/>
      <c r="AC328" s="181"/>
      <c r="AD328" s="181"/>
      <c r="AE328" s="395"/>
      <c r="AF328" s="387"/>
      <c r="AG328" s="181"/>
      <c r="AH328" s="181"/>
      <c r="AI328" s="181"/>
      <c r="AJ328" s="395"/>
      <c r="AK328" s="387"/>
      <c r="AL328" s="181"/>
      <c r="AM328" s="181"/>
      <c r="AN328" s="181"/>
      <c r="AO328" s="370"/>
      <c r="AP328" s="370"/>
      <c r="AQ328" s="370"/>
      <c r="AR328" s="370"/>
      <c r="AS328" s="370"/>
    </row>
    <row r="329">
      <c r="A329" s="395"/>
      <c r="B329" s="387"/>
      <c r="C329" s="181"/>
      <c r="D329" s="181"/>
      <c r="E329" s="181"/>
      <c r="F329" s="395"/>
      <c r="G329" s="387"/>
      <c r="H329" s="181"/>
      <c r="I329" s="181"/>
      <c r="J329" s="181"/>
      <c r="K329" s="88"/>
      <c r="L329" s="387"/>
      <c r="M329" s="181"/>
      <c r="N329" s="181"/>
      <c r="O329" s="181"/>
      <c r="P329" s="88"/>
      <c r="Q329" s="155"/>
      <c r="R329" s="181"/>
      <c r="S329" s="181"/>
      <c r="T329" s="181"/>
      <c r="U329" s="395"/>
      <c r="V329" s="387"/>
      <c r="W329" s="181"/>
      <c r="X329" s="181"/>
      <c r="Y329" s="181"/>
      <c r="Z329" s="395"/>
      <c r="AA329" s="387"/>
      <c r="AB329" s="181"/>
      <c r="AC329" s="181"/>
      <c r="AD329" s="181"/>
      <c r="AE329" s="395"/>
      <c r="AF329" s="387"/>
      <c r="AG329" s="181"/>
      <c r="AH329" s="181"/>
      <c r="AI329" s="181"/>
      <c r="AJ329" s="395"/>
      <c r="AK329" s="387"/>
      <c r="AL329" s="181"/>
      <c r="AM329" s="181"/>
      <c r="AN329" s="181"/>
      <c r="AO329" s="370"/>
      <c r="AP329" s="370"/>
      <c r="AQ329" s="370"/>
      <c r="AR329" s="370"/>
      <c r="AS329" s="370"/>
    </row>
    <row r="330">
      <c r="A330" s="395"/>
      <c r="B330" s="387"/>
      <c r="C330" s="181"/>
      <c r="D330" s="181"/>
      <c r="E330" s="181"/>
      <c r="F330" s="395"/>
      <c r="G330" s="387"/>
      <c r="H330" s="181"/>
      <c r="I330" s="181"/>
      <c r="J330" s="181"/>
      <c r="K330" s="88"/>
      <c r="L330" s="387"/>
      <c r="M330" s="181"/>
      <c r="N330" s="181"/>
      <c r="O330" s="181"/>
      <c r="P330" s="88"/>
      <c r="Q330" s="155"/>
      <c r="R330" s="181"/>
      <c r="S330" s="181"/>
      <c r="T330" s="181"/>
      <c r="U330" s="395"/>
      <c r="V330" s="387"/>
      <c r="W330" s="181"/>
      <c r="X330" s="181"/>
      <c r="Y330" s="181"/>
      <c r="Z330" s="395"/>
      <c r="AA330" s="387"/>
      <c r="AB330" s="181"/>
      <c r="AC330" s="181"/>
      <c r="AD330" s="181"/>
      <c r="AE330" s="395"/>
      <c r="AF330" s="387"/>
      <c r="AG330" s="181"/>
      <c r="AH330" s="181"/>
      <c r="AI330" s="181"/>
      <c r="AJ330" s="395"/>
      <c r="AK330" s="387"/>
      <c r="AL330" s="181"/>
      <c r="AM330" s="181"/>
      <c r="AN330" s="181"/>
      <c r="AO330" s="370"/>
      <c r="AP330" s="370"/>
      <c r="AQ330" s="370"/>
      <c r="AR330" s="370"/>
      <c r="AS330" s="370"/>
    </row>
    <row r="331">
      <c r="A331" s="395"/>
      <c r="B331" s="387"/>
      <c r="C331" s="181"/>
      <c r="D331" s="181"/>
      <c r="E331" s="181"/>
      <c r="F331" s="395"/>
      <c r="G331" s="387"/>
      <c r="H331" s="181"/>
      <c r="I331" s="181"/>
      <c r="J331" s="181"/>
      <c r="K331" s="88"/>
      <c r="L331" s="387"/>
      <c r="M331" s="181"/>
      <c r="N331" s="181"/>
      <c r="O331" s="181"/>
      <c r="P331" s="88"/>
      <c r="Q331" s="155"/>
      <c r="R331" s="181"/>
      <c r="S331" s="181"/>
      <c r="T331" s="181"/>
      <c r="U331" s="395"/>
      <c r="V331" s="387"/>
      <c r="W331" s="181"/>
      <c r="X331" s="181"/>
      <c r="Y331" s="181"/>
      <c r="Z331" s="395"/>
      <c r="AA331" s="387"/>
      <c r="AB331" s="181"/>
      <c r="AC331" s="181"/>
      <c r="AD331" s="181"/>
      <c r="AE331" s="395"/>
      <c r="AF331" s="387"/>
      <c r="AG331" s="181"/>
      <c r="AH331" s="181"/>
      <c r="AI331" s="181"/>
      <c r="AJ331" s="395"/>
      <c r="AK331" s="387"/>
      <c r="AL331" s="181"/>
      <c r="AM331" s="181"/>
      <c r="AN331" s="181"/>
      <c r="AO331" s="370"/>
      <c r="AP331" s="370"/>
      <c r="AQ331" s="370"/>
      <c r="AR331" s="370"/>
      <c r="AS331" s="370"/>
    </row>
    <row r="332">
      <c r="A332" s="395"/>
      <c r="B332" s="387"/>
      <c r="C332" s="181"/>
      <c r="D332" s="181"/>
      <c r="E332" s="181"/>
      <c r="F332" s="395"/>
      <c r="G332" s="387"/>
      <c r="H332" s="181"/>
      <c r="I332" s="181"/>
      <c r="J332" s="181"/>
      <c r="K332" s="88"/>
      <c r="L332" s="387"/>
      <c r="M332" s="181"/>
      <c r="N332" s="181"/>
      <c r="O332" s="181"/>
      <c r="P332" s="88"/>
      <c r="Q332" s="155"/>
      <c r="R332" s="181"/>
      <c r="S332" s="181"/>
      <c r="T332" s="181"/>
      <c r="U332" s="395"/>
      <c r="V332" s="387"/>
      <c r="W332" s="181"/>
      <c r="X332" s="181"/>
      <c r="Y332" s="181"/>
      <c r="Z332" s="395"/>
      <c r="AA332" s="387"/>
      <c r="AB332" s="181"/>
      <c r="AC332" s="181"/>
      <c r="AD332" s="181"/>
      <c r="AE332" s="395"/>
      <c r="AF332" s="387"/>
      <c r="AG332" s="181"/>
      <c r="AH332" s="181"/>
      <c r="AI332" s="181"/>
      <c r="AJ332" s="395"/>
      <c r="AK332" s="387"/>
      <c r="AL332" s="181"/>
      <c r="AM332" s="181"/>
      <c r="AN332" s="181"/>
      <c r="AO332" s="370"/>
      <c r="AP332" s="370"/>
      <c r="AQ332" s="370"/>
      <c r="AR332" s="370"/>
      <c r="AS332" s="370"/>
    </row>
    <row r="333">
      <c r="A333" s="395"/>
      <c r="B333" s="387"/>
      <c r="C333" s="181"/>
      <c r="D333" s="181"/>
      <c r="E333" s="181"/>
      <c r="F333" s="395"/>
      <c r="G333" s="387"/>
      <c r="H333" s="181"/>
      <c r="I333" s="181"/>
      <c r="J333" s="181"/>
      <c r="K333" s="88"/>
      <c r="L333" s="387"/>
      <c r="M333" s="181"/>
      <c r="N333" s="181"/>
      <c r="O333" s="181"/>
      <c r="P333" s="88"/>
      <c r="Q333" s="155"/>
      <c r="R333" s="181"/>
      <c r="S333" s="181"/>
      <c r="T333" s="181"/>
      <c r="U333" s="395"/>
      <c r="V333" s="387"/>
      <c r="W333" s="181"/>
      <c r="X333" s="181"/>
      <c r="Y333" s="181"/>
      <c r="Z333" s="395"/>
      <c r="AA333" s="387"/>
      <c r="AB333" s="181"/>
      <c r="AC333" s="181"/>
      <c r="AD333" s="181"/>
      <c r="AE333" s="395"/>
      <c r="AF333" s="387"/>
      <c r="AG333" s="181"/>
      <c r="AH333" s="181"/>
      <c r="AI333" s="181"/>
      <c r="AJ333" s="395"/>
      <c r="AK333" s="387"/>
      <c r="AL333" s="181"/>
      <c r="AM333" s="181"/>
      <c r="AN333" s="181"/>
      <c r="AO333" s="370"/>
      <c r="AP333" s="370"/>
      <c r="AQ333" s="370"/>
      <c r="AR333" s="370"/>
      <c r="AS333" s="370"/>
    </row>
    <row r="334">
      <c r="A334" s="395"/>
      <c r="B334" s="387"/>
      <c r="C334" s="181"/>
      <c r="D334" s="181"/>
      <c r="E334" s="181"/>
      <c r="F334" s="395"/>
      <c r="G334" s="387"/>
      <c r="H334" s="181"/>
      <c r="I334" s="181"/>
      <c r="J334" s="181"/>
      <c r="K334" s="88"/>
      <c r="L334" s="387"/>
      <c r="M334" s="181"/>
      <c r="N334" s="181"/>
      <c r="O334" s="181"/>
      <c r="P334" s="88"/>
      <c r="Q334" s="155"/>
      <c r="R334" s="181"/>
      <c r="S334" s="181"/>
      <c r="T334" s="181"/>
      <c r="U334" s="395"/>
      <c r="V334" s="387"/>
      <c r="W334" s="181"/>
      <c r="X334" s="181"/>
      <c r="Y334" s="181"/>
      <c r="Z334" s="395"/>
      <c r="AA334" s="387"/>
      <c r="AB334" s="181"/>
      <c r="AC334" s="181"/>
      <c r="AD334" s="181"/>
      <c r="AE334" s="395"/>
      <c r="AF334" s="387"/>
      <c r="AG334" s="181"/>
      <c r="AH334" s="181"/>
      <c r="AI334" s="181"/>
      <c r="AJ334" s="395"/>
      <c r="AK334" s="387"/>
      <c r="AL334" s="181"/>
      <c r="AM334" s="181"/>
      <c r="AN334" s="181"/>
      <c r="AO334" s="370"/>
      <c r="AP334" s="370"/>
      <c r="AQ334" s="370"/>
      <c r="AR334" s="370"/>
      <c r="AS334" s="370"/>
    </row>
    <row r="335">
      <c r="A335" s="395"/>
      <c r="B335" s="387"/>
      <c r="C335" s="181"/>
      <c r="D335" s="181"/>
      <c r="E335" s="181"/>
      <c r="F335" s="395"/>
      <c r="G335" s="387"/>
      <c r="H335" s="181"/>
      <c r="I335" s="181"/>
      <c r="J335" s="181"/>
      <c r="K335" s="88"/>
      <c r="L335" s="387"/>
      <c r="M335" s="181"/>
      <c r="N335" s="181"/>
      <c r="O335" s="181"/>
      <c r="P335" s="88"/>
      <c r="Q335" s="155"/>
      <c r="R335" s="181"/>
      <c r="S335" s="181"/>
      <c r="T335" s="181"/>
      <c r="U335" s="395"/>
      <c r="V335" s="387"/>
      <c r="W335" s="181"/>
      <c r="X335" s="181"/>
      <c r="Y335" s="181"/>
      <c r="Z335" s="395"/>
      <c r="AA335" s="387"/>
      <c r="AB335" s="181"/>
      <c r="AC335" s="181"/>
      <c r="AD335" s="181"/>
      <c r="AE335" s="395"/>
      <c r="AF335" s="387"/>
      <c r="AG335" s="181"/>
      <c r="AH335" s="181"/>
      <c r="AI335" s="181"/>
      <c r="AJ335" s="395"/>
      <c r="AK335" s="387"/>
      <c r="AL335" s="181"/>
      <c r="AM335" s="181"/>
      <c r="AN335" s="181"/>
      <c r="AO335" s="370"/>
      <c r="AP335" s="370"/>
      <c r="AQ335" s="370"/>
      <c r="AR335" s="370"/>
      <c r="AS335" s="370"/>
    </row>
    <row r="336">
      <c r="A336" s="395"/>
      <c r="B336" s="387"/>
      <c r="C336" s="181"/>
      <c r="D336" s="181"/>
      <c r="E336" s="181"/>
      <c r="F336" s="395"/>
      <c r="G336" s="387"/>
      <c r="H336" s="181"/>
      <c r="I336" s="181"/>
      <c r="J336" s="181"/>
      <c r="K336" s="88"/>
      <c r="L336" s="387"/>
      <c r="M336" s="181"/>
      <c r="N336" s="181"/>
      <c r="O336" s="181"/>
      <c r="P336" s="88"/>
      <c r="Q336" s="155"/>
      <c r="R336" s="181"/>
      <c r="S336" s="181"/>
      <c r="T336" s="181"/>
      <c r="U336" s="395"/>
      <c r="V336" s="387"/>
      <c r="W336" s="181"/>
      <c r="X336" s="181"/>
      <c r="Y336" s="181"/>
      <c r="Z336" s="395"/>
      <c r="AA336" s="387"/>
      <c r="AB336" s="181"/>
      <c r="AC336" s="181"/>
      <c r="AD336" s="181"/>
      <c r="AE336" s="395"/>
      <c r="AF336" s="387"/>
      <c r="AG336" s="181"/>
      <c r="AH336" s="181"/>
      <c r="AI336" s="181"/>
      <c r="AJ336" s="395"/>
      <c r="AK336" s="387"/>
      <c r="AL336" s="181"/>
      <c r="AM336" s="181"/>
      <c r="AN336" s="181"/>
      <c r="AO336" s="370"/>
      <c r="AP336" s="370"/>
      <c r="AQ336" s="370"/>
      <c r="AR336" s="370"/>
      <c r="AS336" s="370"/>
    </row>
    <row r="337">
      <c r="A337" s="395"/>
      <c r="B337" s="387"/>
      <c r="C337" s="181"/>
      <c r="D337" s="181"/>
      <c r="E337" s="181"/>
      <c r="F337" s="395"/>
      <c r="G337" s="387"/>
      <c r="H337" s="181"/>
      <c r="I337" s="181"/>
      <c r="J337" s="181"/>
      <c r="K337" s="88"/>
      <c r="L337" s="387"/>
      <c r="M337" s="181"/>
      <c r="N337" s="181"/>
      <c r="O337" s="181"/>
      <c r="P337" s="88"/>
      <c r="Q337" s="155"/>
      <c r="R337" s="181"/>
      <c r="S337" s="181"/>
      <c r="T337" s="181"/>
      <c r="U337" s="395"/>
      <c r="V337" s="387"/>
      <c r="W337" s="181"/>
      <c r="X337" s="181"/>
      <c r="Y337" s="181"/>
      <c r="Z337" s="395"/>
      <c r="AA337" s="387"/>
      <c r="AB337" s="181"/>
      <c r="AC337" s="181"/>
      <c r="AD337" s="181"/>
      <c r="AE337" s="395"/>
      <c r="AF337" s="387"/>
      <c r="AG337" s="181"/>
      <c r="AH337" s="181"/>
      <c r="AI337" s="181"/>
      <c r="AJ337" s="395"/>
      <c r="AK337" s="387"/>
      <c r="AL337" s="181"/>
      <c r="AM337" s="181"/>
      <c r="AN337" s="181"/>
      <c r="AO337" s="370"/>
      <c r="AP337" s="370"/>
      <c r="AQ337" s="370"/>
      <c r="AR337" s="370"/>
      <c r="AS337" s="370"/>
    </row>
    <row r="338">
      <c r="A338" s="395"/>
      <c r="B338" s="387"/>
      <c r="C338" s="181"/>
      <c r="D338" s="181"/>
      <c r="E338" s="181"/>
      <c r="F338" s="395"/>
      <c r="G338" s="387"/>
      <c r="H338" s="181"/>
      <c r="I338" s="181"/>
      <c r="J338" s="181"/>
      <c r="K338" s="88"/>
      <c r="L338" s="387"/>
      <c r="M338" s="181"/>
      <c r="N338" s="181"/>
      <c r="O338" s="181"/>
      <c r="P338" s="88"/>
      <c r="Q338" s="155"/>
      <c r="R338" s="181"/>
      <c r="S338" s="181"/>
      <c r="T338" s="181"/>
      <c r="U338" s="395"/>
      <c r="V338" s="387"/>
      <c r="W338" s="181"/>
      <c r="X338" s="181"/>
      <c r="Y338" s="181"/>
      <c r="Z338" s="395"/>
      <c r="AA338" s="387"/>
      <c r="AB338" s="181"/>
      <c r="AC338" s="181"/>
      <c r="AD338" s="181"/>
      <c r="AE338" s="395"/>
      <c r="AF338" s="387"/>
      <c r="AG338" s="181"/>
      <c r="AH338" s="181"/>
      <c r="AI338" s="181"/>
      <c r="AJ338" s="395"/>
      <c r="AK338" s="387"/>
      <c r="AL338" s="181"/>
      <c r="AM338" s="181"/>
      <c r="AN338" s="181"/>
      <c r="AO338" s="370"/>
      <c r="AP338" s="370"/>
      <c r="AQ338" s="370"/>
      <c r="AR338" s="370"/>
      <c r="AS338" s="370"/>
    </row>
    <row r="339">
      <c r="A339" s="395"/>
      <c r="B339" s="387"/>
      <c r="C339" s="181"/>
      <c r="D339" s="181"/>
      <c r="E339" s="181"/>
      <c r="F339" s="395"/>
      <c r="G339" s="387"/>
      <c r="H339" s="181"/>
      <c r="I339" s="181"/>
      <c r="J339" s="181"/>
      <c r="K339" s="88"/>
      <c r="L339" s="387"/>
      <c r="M339" s="181"/>
      <c r="N339" s="181"/>
      <c r="O339" s="181"/>
      <c r="P339" s="88"/>
      <c r="Q339" s="155"/>
      <c r="R339" s="181"/>
      <c r="S339" s="181"/>
      <c r="T339" s="181"/>
      <c r="U339" s="395"/>
      <c r="V339" s="387"/>
      <c r="W339" s="181"/>
      <c r="X339" s="181"/>
      <c r="Y339" s="181"/>
      <c r="Z339" s="395"/>
      <c r="AA339" s="387"/>
      <c r="AB339" s="181"/>
      <c r="AC339" s="181"/>
      <c r="AD339" s="181"/>
      <c r="AE339" s="395"/>
      <c r="AF339" s="387"/>
      <c r="AG339" s="181"/>
      <c r="AH339" s="181"/>
      <c r="AI339" s="181"/>
      <c r="AJ339" s="395"/>
      <c r="AK339" s="387"/>
      <c r="AL339" s="181"/>
      <c r="AM339" s="181"/>
      <c r="AN339" s="181"/>
      <c r="AO339" s="370"/>
      <c r="AP339" s="370"/>
      <c r="AQ339" s="370"/>
      <c r="AR339" s="370"/>
      <c r="AS339" s="370"/>
    </row>
    <row r="340">
      <c r="A340" s="395"/>
      <c r="B340" s="387"/>
      <c r="C340" s="181"/>
      <c r="D340" s="181"/>
      <c r="E340" s="181"/>
      <c r="F340" s="395"/>
      <c r="G340" s="387"/>
      <c r="H340" s="181"/>
      <c r="I340" s="181"/>
      <c r="J340" s="181"/>
      <c r="K340" s="88"/>
      <c r="L340" s="387"/>
      <c r="M340" s="181"/>
      <c r="N340" s="181"/>
      <c r="O340" s="181"/>
      <c r="P340" s="88"/>
      <c r="Q340" s="155"/>
      <c r="R340" s="181"/>
      <c r="S340" s="181"/>
      <c r="T340" s="181"/>
      <c r="U340" s="395"/>
      <c r="V340" s="387"/>
      <c r="W340" s="181"/>
      <c r="X340" s="181"/>
      <c r="Y340" s="181"/>
      <c r="Z340" s="395"/>
      <c r="AA340" s="387"/>
      <c r="AB340" s="181"/>
      <c r="AC340" s="181"/>
      <c r="AD340" s="181"/>
      <c r="AE340" s="395"/>
      <c r="AF340" s="387"/>
      <c r="AG340" s="181"/>
      <c r="AH340" s="181"/>
      <c r="AI340" s="181"/>
      <c r="AJ340" s="395"/>
      <c r="AK340" s="387"/>
      <c r="AL340" s="181"/>
      <c r="AM340" s="181"/>
      <c r="AN340" s="181"/>
      <c r="AO340" s="370"/>
      <c r="AP340" s="370"/>
      <c r="AQ340" s="370"/>
      <c r="AR340" s="370"/>
      <c r="AS340" s="370"/>
    </row>
    <row r="341">
      <c r="A341" s="395"/>
      <c r="B341" s="387"/>
      <c r="C341" s="181"/>
      <c r="D341" s="181"/>
      <c r="E341" s="181"/>
      <c r="F341" s="395"/>
      <c r="G341" s="387"/>
      <c r="H341" s="181"/>
      <c r="I341" s="181"/>
      <c r="J341" s="181"/>
      <c r="K341" s="88"/>
      <c r="L341" s="387"/>
      <c r="M341" s="181"/>
      <c r="N341" s="181"/>
      <c r="O341" s="181"/>
      <c r="P341" s="88"/>
      <c r="Q341" s="155"/>
      <c r="R341" s="181"/>
      <c r="S341" s="181"/>
      <c r="T341" s="181"/>
      <c r="U341" s="395"/>
      <c r="V341" s="387"/>
      <c r="W341" s="181"/>
      <c r="X341" s="181"/>
      <c r="Y341" s="181"/>
      <c r="Z341" s="395"/>
      <c r="AA341" s="387"/>
      <c r="AB341" s="181"/>
      <c r="AC341" s="181"/>
      <c r="AD341" s="181"/>
      <c r="AE341" s="395"/>
      <c r="AF341" s="387"/>
      <c r="AG341" s="181"/>
      <c r="AH341" s="181"/>
      <c r="AI341" s="181"/>
      <c r="AJ341" s="395"/>
      <c r="AK341" s="387"/>
      <c r="AL341" s="181"/>
      <c r="AM341" s="181"/>
      <c r="AN341" s="181"/>
      <c r="AO341" s="370"/>
      <c r="AP341" s="370"/>
      <c r="AQ341" s="370"/>
      <c r="AR341" s="370"/>
      <c r="AS341" s="370"/>
    </row>
    <row r="342">
      <c r="A342" s="395"/>
      <c r="B342" s="387"/>
      <c r="C342" s="181"/>
      <c r="D342" s="181"/>
      <c r="E342" s="181"/>
      <c r="F342" s="395"/>
      <c r="G342" s="387"/>
      <c r="H342" s="181"/>
      <c r="I342" s="181"/>
      <c r="J342" s="181"/>
      <c r="K342" s="88"/>
      <c r="L342" s="387"/>
      <c r="M342" s="181"/>
      <c r="N342" s="181"/>
      <c r="O342" s="181"/>
      <c r="P342" s="88"/>
      <c r="Q342" s="155"/>
      <c r="R342" s="181"/>
      <c r="S342" s="181"/>
      <c r="T342" s="181"/>
      <c r="U342" s="395"/>
      <c r="V342" s="387"/>
      <c r="W342" s="181"/>
      <c r="X342" s="181"/>
      <c r="Y342" s="181"/>
      <c r="Z342" s="395"/>
      <c r="AA342" s="387"/>
      <c r="AB342" s="181"/>
      <c r="AC342" s="181"/>
      <c r="AD342" s="181"/>
      <c r="AE342" s="395"/>
      <c r="AF342" s="387"/>
      <c r="AG342" s="181"/>
      <c r="AH342" s="181"/>
      <c r="AI342" s="181"/>
      <c r="AJ342" s="395"/>
      <c r="AK342" s="387"/>
      <c r="AL342" s="181"/>
      <c r="AM342" s="181"/>
      <c r="AN342" s="181"/>
      <c r="AO342" s="370"/>
      <c r="AP342" s="370"/>
      <c r="AQ342" s="370"/>
      <c r="AR342" s="370"/>
      <c r="AS342" s="370"/>
    </row>
    <row r="343">
      <c r="A343" s="395"/>
      <c r="B343" s="387"/>
      <c r="C343" s="181"/>
      <c r="D343" s="181"/>
      <c r="E343" s="181"/>
      <c r="F343" s="395"/>
      <c r="G343" s="387"/>
      <c r="H343" s="181"/>
      <c r="I343" s="181"/>
      <c r="J343" s="181"/>
      <c r="K343" s="88"/>
      <c r="L343" s="387"/>
      <c r="M343" s="181"/>
      <c r="N343" s="181"/>
      <c r="O343" s="181"/>
      <c r="P343" s="88"/>
      <c r="Q343" s="155"/>
      <c r="R343" s="181"/>
      <c r="S343" s="181"/>
      <c r="T343" s="181"/>
      <c r="U343" s="395"/>
      <c r="V343" s="387"/>
      <c r="W343" s="181"/>
      <c r="X343" s="181"/>
      <c r="Y343" s="181"/>
      <c r="Z343" s="395"/>
      <c r="AA343" s="387"/>
      <c r="AB343" s="181"/>
      <c r="AC343" s="181"/>
      <c r="AD343" s="181"/>
      <c r="AE343" s="395"/>
      <c r="AF343" s="387"/>
      <c r="AG343" s="181"/>
      <c r="AH343" s="181"/>
      <c r="AI343" s="181"/>
      <c r="AJ343" s="395"/>
      <c r="AK343" s="387"/>
      <c r="AL343" s="181"/>
      <c r="AM343" s="181"/>
      <c r="AN343" s="181"/>
      <c r="AO343" s="370"/>
      <c r="AP343" s="370"/>
      <c r="AQ343" s="370"/>
      <c r="AR343" s="370"/>
      <c r="AS343" s="370"/>
    </row>
    <row r="344">
      <c r="A344" s="395"/>
      <c r="B344" s="387"/>
      <c r="C344" s="181"/>
      <c r="D344" s="181"/>
      <c r="E344" s="181"/>
      <c r="F344" s="395"/>
      <c r="G344" s="387"/>
      <c r="H344" s="181"/>
      <c r="I344" s="181"/>
      <c r="J344" s="181"/>
      <c r="K344" s="88"/>
      <c r="L344" s="387"/>
      <c r="M344" s="181"/>
      <c r="N344" s="181"/>
      <c r="O344" s="181"/>
      <c r="P344" s="88"/>
      <c r="Q344" s="155"/>
      <c r="R344" s="181"/>
      <c r="S344" s="181"/>
      <c r="T344" s="181"/>
      <c r="U344" s="395"/>
      <c r="V344" s="387"/>
      <c r="W344" s="181"/>
      <c r="X344" s="181"/>
      <c r="Y344" s="181"/>
      <c r="Z344" s="395"/>
      <c r="AA344" s="387"/>
      <c r="AB344" s="181"/>
      <c r="AC344" s="181"/>
      <c r="AD344" s="181"/>
      <c r="AE344" s="395"/>
      <c r="AF344" s="387"/>
      <c r="AG344" s="181"/>
      <c r="AH344" s="181"/>
      <c r="AI344" s="181"/>
      <c r="AJ344" s="395"/>
      <c r="AK344" s="387"/>
      <c r="AL344" s="181"/>
      <c r="AM344" s="181"/>
      <c r="AN344" s="181"/>
      <c r="AO344" s="370"/>
      <c r="AP344" s="370"/>
      <c r="AQ344" s="370"/>
      <c r="AR344" s="370"/>
      <c r="AS344" s="370"/>
    </row>
    <row r="345">
      <c r="A345" s="395"/>
      <c r="B345" s="387"/>
      <c r="C345" s="181"/>
      <c r="D345" s="181"/>
      <c r="E345" s="181"/>
      <c r="F345" s="395"/>
      <c r="G345" s="387"/>
      <c r="H345" s="181"/>
      <c r="I345" s="181"/>
      <c r="J345" s="181"/>
      <c r="K345" s="88"/>
      <c r="L345" s="387"/>
      <c r="M345" s="181"/>
      <c r="N345" s="181"/>
      <c r="O345" s="181"/>
      <c r="P345" s="88"/>
      <c r="Q345" s="155"/>
      <c r="R345" s="181"/>
      <c r="S345" s="181"/>
      <c r="T345" s="181"/>
      <c r="U345" s="395"/>
      <c r="V345" s="387"/>
      <c r="W345" s="181"/>
      <c r="X345" s="181"/>
      <c r="Y345" s="181"/>
      <c r="Z345" s="395"/>
      <c r="AA345" s="387"/>
      <c r="AB345" s="181"/>
      <c r="AC345" s="181"/>
      <c r="AD345" s="181"/>
      <c r="AE345" s="395"/>
      <c r="AF345" s="387"/>
      <c r="AG345" s="181"/>
      <c r="AH345" s="181"/>
      <c r="AI345" s="181"/>
      <c r="AJ345" s="395"/>
      <c r="AK345" s="387"/>
      <c r="AL345" s="181"/>
      <c r="AM345" s="181"/>
      <c r="AN345" s="181"/>
      <c r="AO345" s="370"/>
      <c r="AP345" s="370"/>
      <c r="AQ345" s="370"/>
      <c r="AR345" s="370"/>
      <c r="AS345" s="370"/>
    </row>
    <row r="346">
      <c r="A346" s="395"/>
      <c r="B346" s="387"/>
      <c r="C346" s="181"/>
      <c r="D346" s="181"/>
      <c r="E346" s="181"/>
      <c r="F346" s="395"/>
      <c r="G346" s="387"/>
      <c r="H346" s="181"/>
      <c r="I346" s="181"/>
      <c r="J346" s="181"/>
      <c r="K346" s="88"/>
      <c r="L346" s="387"/>
      <c r="M346" s="181"/>
      <c r="N346" s="181"/>
      <c r="O346" s="181"/>
      <c r="P346" s="88"/>
      <c r="Q346" s="155"/>
      <c r="R346" s="181"/>
      <c r="S346" s="181"/>
      <c r="T346" s="181"/>
      <c r="U346" s="395"/>
      <c r="V346" s="387"/>
      <c r="W346" s="181"/>
      <c r="X346" s="181"/>
      <c r="Y346" s="181"/>
      <c r="Z346" s="395"/>
      <c r="AA346" s="387"/>
      <c r="AB346" s="181"/>
      <c r="AC346" s="181"/>
      <c r="AD346" s="181"/>
      <c r="AE346" s="395"/>
      <c r="AF346" s="387"/>
      <c r="AG346" s="181"/>
      <c r="AH346" s="181"/>
      <c r="AI346" s="181"/>
      <c r="AJ346" s="395"/>
      <c r="AK346" s="387"/>
      <c r="AL346" s="181"/>
      <c r="AM346" s="181"/>
      <c r="AN346" s="181"/>
      <c r="AO346" s="370"/>
      <c r="AP346" s="370"/>
      <c r="AQ346" s="370"/>
      <c r="AR346" s="370"/>
      <c r="AS346" s="370"/>
    </row>
    <row r="347">
      <c r="A347" s="395"/>
      <c r="B347" s="387"/>
      <c r="C347" s="181"/>
      <c r="D347" s="181"/>
      <c r="E347" s="181"/>
      <c r="F347" s="395"/>
      <c r="G347" s="387"/>
      <c r="H347" s="181"/>
      <c r="I347" s="181"/>
      <c r="J347" s="181"/>
      <c r="K347" s="88"/>
      <c r="L347" s="387"/>
      <c r="M347" s="181"/>
      <c r="N347" s="181"/>
      <c r="O347" s="181"/>
      <c r="P347" s="88"/>
      <c r="Q347" s="155"/>
      <c r="R347" s="181"/>
      <c r="S347" s="181"/>
      <c r="T347" s="181"/>
      <c r="U347" s="395"/>
      <c r="V347" s="387"/>
      <c r="W347" s="181"/>
      <c r="X347" s="181"/>
      <c r="Y347" s="181"/>
      <c r="Z347" s="395"/>
      <c r="AA347" s="387"/>
      <c r="AB347" s="181"/>
      <c r="AC347" s="181"/>
      <c r="AD347" s="181"/>
      <c r="AE347" s="395"/>
      <c r="AF347" s="387"/>
      <c r="AG347" s="181"/>
      <c r="AH347" s="181"/>
      <c r="AI347" s="181"/>
      <c r="AJ347" s="395"/>
      <c r="AK347" s="387"/>
      <c r="AL347" s="181"/>
      <c r="AM347" s="181"/>
      <c r="AN347" s="181"/>
      <c r="AO347" s="370"/>
      <c r="AP347" s="370"/>
      <c r="AQ347" s="370"/>
      <c r="AR347" s="370"/>
      <c r="AS347" s="370"/>
    </row>
    <row r="348">
      <c r="A348" s="395"/>
      <c r="B348" s="387"/>
      <c r="C348" s="181"/>
      <c r="D348" s="181"/>
      <c r="E348" s="181"/>
      <c r="F348" s="395"/>
      <c r="G348" s="387"/>
      <c r="H348" s="181"/>
      <c r="I348" s="181"/>
      <c r="J348" s="181"/>
      <c r="K348" s="88"/>
      <c r="L348" s="387"/>
      <c r="M348" s="181"/>
      <c r="N348" s="181"/>
      <c r="O348" s="181"/>
      <c r="P348" s="88"/>
      <c r="Q348" s="155"/>
      <c r="R348" s="181"/>
      <c r="S348" s="181"/>
      <c r="T348" s="181"/>
      <c r="U348" s="395"/>
      <c r="V348" s="387"/>
      <c r="W348" s="181"/>
      <c r="X348" s="181"/>
      <c r="Y348" s="181"/>
      <c r="Z348" s="395"/>
      <c r="AA348" s="387"/>
      <c r="AB348" s="181"/>
      <c r="AC348" s="181"/>
      <c r="AD348" s="181"/>
      <c r="AE348" s="395"/>
      <c r="AF348" s="387"/>
      <c r="AG348" s="181"/>
      <c r="AH348" s="181"/>
      <c r="AI348" s="181"/>
      <c r="AJ348" s="395"/>
      <c r="AK348" s="387"/>
      <c r="AL348" s="181"/>
      <c r="AM348" s="181"/>
      <c r="AN348" s="181"/>
      <c r="AO348" s="370"/>
      <c r="AP348" s="370"/>
      <c r="AQ348" s="370"/>
      <c r="AR348" s="370"/>
      <c r="AS348" s="370"/>
    </row>
    <row r="349">
      <c r="A349" s="395"/>
      <c r="B349" s="387"/>
      <c r="C349" s="181"/>
      <c r="D349" s="181"/>
      <c r="E349" s="181"/>
      <c r="F349" s="395"/>
      <c r="G349" s="387"/>
      <c r="H349" s="181"/>
      <c r="I349" s="181"/>
      <c r="J349" s="181"/>
      <c r="K349" s="88"/>
      <c r="L349" s="387"/>
      <c r="M349" s="181"/>
      <c r="N349" s="181"/>
      <c r="O349" s="181"/>
      <c r="P349" s="88"/>
      <c r="Q349" s="155"/>
      <c r="R349" s="181"/>
      <c r="S349" s="181"/>
      <c r="T349" s="181"/>
      <c r="U349" s="395"/>
      <c r="V349" s="387"/>
      <c r="W349" s="181"/>
      <c r="X349" s="181"/>
      <c r="Y349" s="181"/>
      <c r="Z349" s="395"/>
      <c r="AA349" s="387"/>
      <c r="AB349" s="181"/>
      <c r="AC349" s="181"/>
      <c r="AD349" s="181"/>
      <c r="AE349" s="395"/>
      <c r="AF349" s="387"/>
      <c r="AG349" s="181"/>
      <c r="AH349" s="181"/>
      <c r="AI349" s="181"/>
      <c r="AJ349" s="395"/>
      <c r="AK349" s="387"/>
      <c r="AL349" s="181"/>
      <c r="AM349" s="181"/>
      <c r="AN349" s="181"/>
      <c r="AO349" s="370"/>
      <c r="AP349" s="370"/>
      <c r="AQ349" s="370"/>
      <c r="AR349" s="370"/>
      <c r="AS349" s="370"/>
    </row>
    <row r="350">
      <c r="A350" s="395"/>
      <c r="B350" s="387"/>
      <c r="C350" s="181"/>
      <c r="D350" s="181"/>
      <c r="E350" s="181"/>
      <c r="F350" s="395"/>
      <c r="G350" s="387"/>
      <c r="H350" s="181"/>
      <c r="I350" s="181"/>
      <c r="J350" s="181"/>
      <c r="K350" s="88"/>
      <c r="L350" s="387"/>
      <c r="M350" s="181"/>
      <c r="N350" s="181"/>
      <c r="O350" s="181"/>
      <c r="P350" s="88"/>
      <c r="Q350" s="155"/>
      <c r="R350" s="181"/>
      <c r="S350" s="181"/>
      <c r="T350" s="181"/>
      <c r="U350" s="395"/>
      <c r="V350" s="387"/>
      <c r="W350" s="181"/>
      <c r="X350" s="181"/>
      <c r="Y350" s="181"/>
      <c r="Z350" s="395"/>
      <c r="AA350" s="387"/>
      <c r="AB350" s="181"/>
      <c r="AC350" s="181"/>
      <c r="AD350" s="181"/>
      <c r="AE350" s="395"/>
      <c r="AF350" s="387"/>
      <c r="AG350" s="181"/>
      <c r="AH350" s="181"/>
      <c r="AI350" s="181"/>
      <c r="AJ350" s="395"/>
      <c r="AK350" s="387"/>
      <c r="AL350" s="181"/>
      <c r="AM350" s="181"/>
      <c r="AN350" s="181"/>
      <c r="AO350" s="370"/>
      <c r="AP350" s="370"/>
      <c r="AQ350" s="370"/>
      <c r="AR350" s="370"/>
      <c r="AS350" s="370"/>
    </row>
    <row r="351">
      <c r="A351" s="395"/>
      <c r="B351" s="387"/>
      <c r="C351" s="181"/>
      <c r="D351" s="181"/>
      <c r="E351" s="181"/>
      <c r="F351" s="395"/>
      <c r="G351" s="387"/>
      <c r="H351" s="181"/>
      <c r="I351" s="181"/>
      <c r="J351" s="181"/>
      <c r="K351" s="88"/>
      <c r="L351" s="387"/>
      <c r="M351" s="181"/>
      <c r="N351" s="181"/>
      <c r="O351" s="181"/>
      <c r="P351" s="88"/>
      <c r="Q351" s="155"/>
      <c r="R351" s="181"/>
      <c r="S351" s="181"/>
      <c r="T351" s="181"/>
      <c r="U351" s="395"/>
      <c r="V351" s="387"/>
      <c r="W351" s="181"/>
      <c r="X351" s="181"/>
      <c r="Y351" s="181"/>
      <c r="Z351" s="395"/>
      <c r="AA351" s="387"/>
      <c r="AB351" s="181"/>
      <c r="AC351" s="181"/>
      <c r="AD351" s="181"/>
      <c r="AE351" s="395"/>
      <c r="AF351" s="387"/>
      <c r="AG351" s="181"/>
      <c r="AH351" s="181"/>
      <c r="AI351" s="181"/>
      <c r="AJ351" s="395"/>
      <c r="AK351" s="387"/>
      <c r="AL351" s="181"/>
      <c r="AM351" s="181"/>
      <c r="AN351" s="181"/>
      <c r="AO351" s="370"/>
      <c r="AP351" s="370"/>
      <c r="AQ351" s="370"/>
      <c r="AR351" s="370"/>
      <c r="AS351" s="370"/>
    </row>
    <row r="352">
      <c r="A352" s="395"/>
      <c r="B352" s="387"/>
      <c r="C352" s="181"/>
      <c r="D352" s="181"/>
      <c r="E352" s="181"/>
      <c r="F352" s="395"/>
      <c r="G352" s="387"/>
      <c r="H352" s="181"/>
      <c r="I352" s="181"/>
      <c r="J352" s="181"/>
      <c r="K352" s="88"/>
      <c r="L352" s="387"/>
      <c r="M352" s="181"/>
      <c r="N352" s="181"/>
      <c r="O352" s="181"/>
      <c r="P352" s="88"/>
      <c r="Q352" s="155"/>
      <c r="R352" s="181"/>
      <c r="S352" s="181"/>
      <c r="T352" s="181"/>
      <c r="U352" s="395"/>
      <c r="V352" s="387"/>
      <c r="W352" s="181"/>
      <c r="X352" s="181"/>
      <c r="Y352" s="181"/>
      <c r="Z352" s="395"/>
      <c r="AA352" s="387"/>
      <c r="AB352" s="181"/>
      <c r="AC352" s="181"/>
      <c r="AD352" s="181"/>
      <c r="AE352" s="395"/>
      <c r="AF352" s="387"/>
      <c r="AG352" s="181"/>
      <c r="AH352" s="181"/>
      <c r="AI352" s="181"/>
      <c r="AJ352" s="395"/>
      <c r="AK352" s="387"/>
      <c r="AL352" s="181"/>
      <c r="AM352" s="181"/>
      <c r="AN352" s="181"/>
      <c r="AO352" s="370"/>
      <c r="AP352" s="370"/>
      <c r="AQ352" s="370"/>
      <c r="AR352" s="370"/>
      <c r="AS352" s="370"/>
    </row>
    <row r="353">
      <c r="A353" s="395"/>
      <c r="B353" s="387"/>
      <c r="C353" s="181"/>
      <c r="D353" s="181"/>
      <c r="E353" s="181"/>
      <c r="F353" s="395"/>
      <c r="G353" s="387"/>
      <c r="H353" s="181"/>
      <c r="I353" s="181"/>
      <c r="J353" s="181"/>
      <c r="K353" s="88"/>
      <c r="L353" s="387"/>
      <c r="M353" s="181"/>
      <c r="N353" s="181"/>
      <c r="O353" s="181"/>
      <c r="P353" s="88"/>
      <c r="Q353" s="155"/>
      <c r="R353" s="181"/>
      <c r="S353" s="181"/>
      <c r="T353" s="181"/>
      <c r="U353" s="395"/>
      <c r="V353" s="387"/>
      <c r="W353" s="181"/>
      <c r="X353" s="181"/>
      <c r="Y353" s="181"/>
      <c r="Z353" s="395"/>
      <c r="AA353" s="387"/>
      <c r="AB353" s="181"/>
      <c r="AC353" s="181"/>
      <c r="AD353" s="181"/>
      <c r="AE353" s="395"/>
      <c r="AF353" s="387"/>
      <c r="AG353" s="181"/>
      <c r="AH353" s="181"/>
      <c r="AI353" s="181"/>
      <c r="AJ353" s="395"/>
      <c r="AK353" s="387"/>
      <c r="AL353" s="181"/>
      <c r="AM353" s="181"/>
      <c r="AN353" s="181"/>
      <c r="AO353" s="370"/>
      <c r="AP353" s="370"/>
      <c r="AQ353" s="370"/>
      <c r="AR353" s="370"/>
      <c r="AS353" s="370"/>
    </row>
    <row r="354">
      <c r="A354" s="395"/>
      <c r="B354" s="387"/>
      <c r="C354" s="181"/>
      <c r="D354" s="181"/>
      <c r="E354" s="181"/>
      <c r="F354" s="395"/>
      <c r="G354" s="387"/>
      <c r="H354" s="181"/>
      <c r="I354" s="181"/>
      <c r="J354" s="181"/>
      <c r="K354" s="88"/>
      <c r="L354" s="387"/>
      <c r="M354" s="181"/>
      <c r="N354" s="181"/>
      <c r="O354" s="181"/>
      <c r="P354" s="88"/>
      <c r="Q354" s="155"/>
      <c r="R354" s="181"/>
      <c r="S354" s="181"/>
      <c r="T354" s="181"/>
      <c r="U354" s="395"/>
      <c r="V354" s="387"/>
      <c r="W354" s="181"/>
      <c r="X354" s="181"/>
      <c r="Y354" s="181"/>
      <c r="Z354" s="395"/>
      <c r="AA354" s="387"/>
      <c r="AB354" s="181"/>
      <c r="AC354" s="181"/>
      <c r="AD354" s="181"/>
      <c r="AE354" s="395"/>
      <c r="AF354" s="387"/>
      <c r="AG354" s="181"/>
      <c r="AH354" s="181"/>
      <c r="AI354" s="181"/>
      <c r="AJ354" s="395"/>
      <c r="AK354" s="387"/>
      <c r="AL354" s="181"/>
      <c r="AM354" s="181"/>
      <c r="AN354" s="181"/>
      <c r="AO354" s="370"/>
      <c r="AP354" s="370"/>
      <c r="AQ354" s="370"/>
      <c r="AR354" s="370"/>
      <c r="AS354" s="370"/>
    </row>
    <row r="355">
      <c r="A355" s="395"/>
      <c r="B355" s="387"/>
      <c r="C355" s="181"/>
      <c r="D355" s="181"/>
      <c r="E355" s="181"/>
      <c r="F355" s="395"/>
      <c r="G355" s="387"/>
      <c r="H355" s="181"/>
      <c r="I355" s="181"/>
      <c r="J355" s="181"/>
      <c r="K355" s="88"/>
      <c r="L355" s="387"/>
      <c r="M355" s="181"/>
      <c r="N355" s="181"/>
      <c r="O355" s="181"/>
      <c r="P355" s="88"/>
      <c r="Q355" s="155"/>
      <c r="R355" s="181"/>
      <c r="S355" s="181"/>
      <c r="T355" s="181"/>
      <c r="U355" s="395"/>
      <c r="V355" s="387"/>
      <c r="W355" s="181"/>
      <c r="X355" s="181"/>
      <c r="Y355" s="181"/>
      <c r="Z355" s="395"/>
      <c r="AA355" s="387"/>
      <c r="AB355" s="181"/>
      <c r="AC355" s="181"/>
      <c r="AD355" s="181"/>
      <c r="AE355" s="395"/>
      <c r="AF355" s="387"/>
      <c r="AG355" s="181"/>
      <c r="AH355" s="181"/>
      <c r="AI355" s="181"/>
      <c r="AJ355" s="395"/>
      <c r="AK355" s="387"/>
      <c r="AL355" s="181"/>
      <c r="AM355" s="181"/>
      <c r="AN355" s="181"/>
      <c r="AO355" s="370"/>
      <c r="AP355" s="370"/>
      <c r="AQ355" s="370"/>
      <c r="AR355" s="370"/>
      <c r="AS355" s="370"/>
    </row>
    <row r="356">
      <c r="A356" s="395"/>
      <c r="B356" s="387"/>
      <c r="C356" s="181"/>
      <c r="D356" s="181"/>
      <c r="E356" s="181"/>
      <c r="F356" s="395"/>
      <c r="G356" s="387"/>
      <c r="H356" s="181"/>
      <c r="I356" s="181"/>
      <c r="J356" s="181"/>
      <c r="K356" s="88"/>
      <c r="L356" s="387"/>
      <c r="M356" s="181"/>
      <c r="N356" s="181"/>
      <c r="O356" s="181"/>
      <c r="P356" s="88"/>
      <c r="Q356" s="155"/>
      <c r="R356" s="181"/>
      <c r="S356" s="181"/>
      <c r="T356" s="181"/>
      <c r="U356" s="395"/>
      <c r="V356" s="387"/>
      <c r="W356" s="181"/>
      <c r="X356" s="181"/>
      <c r="Y356" s="181"/>
      <c r="Z356" s="395"/>
      <c r="AA356" s="387"/>
      <c r="AB356" s="181"/>
      <c r="AC356" s="181"/>
      <c r="AD356" s="181"/>
      <c r="AE356" s="395"/>
      <c r="AF356" s="387"/>
      <c r="AG356" s="181"/>
      <c r="AH356" s="181"/>
      <c r="AI356" s="181"/>
      <c r="AJ356" s="395"/>
      <c r="AK356" s="387"/>
      <c r="AL356" s="181"/>
      <c r="AM356" s="181"/>
      <c r="AN356" s="181"/>
      <c r="AO356" s="370"/>
      <c r="AP356" s="370"/>
      <c r="AQ356" s="370"/>
      <c r="AR356" s="370"/>
      <c r="AS356" s="370"/>
    </row>
    <row r="357">
      <c r="A357" s="395"/>
      <c r="B357" s="387"/>
      <c r="C357" s="181"/>
      <c r="D357" s="181"/>
      <c r="E357" s="181"/>
      <c r="F357" s="395"/>
      <c r="G357" s="387"/>
      <c r="H357" s="181"/>
      <c r="I357" s="181"/>
      <c r="J357" s="181"/>
      <c r="K357" s="88"/>
      <c r="L357" s="387"/>
      <c r="M357" s="181"/>
      <c r="N357" s="181"/>
      <c r="O357" s="181"/>
      <c r="P357" s="88"/>
      <c r="Q357" s="155"/>
      <c r="R357" s="181"/>
      <c r="S357" s="181"/>
      <c r="T357" s="181"/>
      <c r="U357" s="395"/>
      <c r="V357" s="387"/>
      <c r="W357" s="181"/>
      <c r="X357" s="181"/>
      <c r="Y357" s="181"/>
      <c r="Z357" s="395"/>
      <c r="AA357" s="387"/>
      <c r="AB357" s="181"/>
      <c r="AC357" s="181"/>
      <c r="AD357" s="181"/>
      <c r="AE357" s="395"/>
      <c r="AF357" s="387"/>
      <c r="AG357" s="181"/>
      <c r="AH357" s="181"/>
      <c r="AI357" s="181"/>
      <c r="AJ357" s="395"/>
      <c r="AK357" s="387"/>
      <c r="AL357" s="181"/>
      <c r="AM357" s="181"/>
      <c r="AN357" s="181"/>
      <c r="AO357" s="370"/>
      <c r="AP357" s="370"/>
      <c r="AQ357" s="370"/>
      <c r="AR357" s="370"/>
      <c r="AS357" s="370"/>
    </row>
    <row r="358">
      <c r="A358" s="395"/>
      <c r="B358" s="387"/>
      <c r="C358" s="181"/>
      <c r="D358" s="181"/>
      <c r="E358" s="181"/>
      <c r="F358" s="395"/>
      <c r="G358" s="387"/>
      <c r="H358" s="181"/>
      <c r="I358" s="181"/>
      <c r="J358" s="181"/>
      <c r="K358" s="88"/>
      <c r="L358" s="387"/>
      <c r="M358" s="181"/>
      <c r="N358" s="181"/>
      <c r="O358" s="181"/>
      <c r="P358" s="88"/>
      <c r="Q358" s="155"/>
      <c r="R358" s="181"/>
      <c r="S358" s="181"/>
      <c r="T358" s="181"/>
      <c r="U358" s="395"/>
      <c r="V358" s="387"/>
      <c r="W358" s="181"/>
      <c r="X358" s="181"/>
      <c r="Y358" s="181"/>
      <c r="Z358" s="395"/>
      <c r="AA358" s="387"/>
      <c r="AB358" s="181"/>
      <c r="AC358" s="181"/>
      <c r="AD358" s="181"/>
      <c r="AE358" s="395"/>
      <c r="AF358" s="387"/>
      <c r="AG358" s="181"/>
      <c r="AH358" s="181"/>
      <c r="AI358" s="181"/>
      <c r="AJ358" s="395"/>
      <c r="AK358" s="387"/>
      <c r="AL358" s="181"/>
      <c r="AM358" s="181"/>
      <c r="AN358" s="181"/>
      <c r="AO358" s="370"/>
      <c r="AP358" s="370"/>
      <c r="AQ358" s="370"/>
      <c r="AR358" s="370"/>
      <c r="AS358" s="370"/>
    </row>
    <row r="359">
      <c r="A359" s="395"/>
      <c r="B359" s="387"/>
      <c r="C359" s="181"/>
      <c r="D359" s="181"/>
      <c r="E359" s="181"/>
      <c r="F359" s="395"/>
      <c r="G359" s="387"/>
      <c r="H359" s="181"/>
      <c r="I359" s="181"/>
      <c r="J359" s="181"/>
      <c r="K359" s="88"/>
      <c r="L359" s="387"/>
      <c r="M359" s="181"/>
      <c r="N359" s="181"/>
      <c r="O359" s="181"/>
      <c r="P359" s="88"/>
      <c r="Q359" s="155"/>
      <c r="R359" s="181"/>
      <c r="S359" s="181"/>
      <c r="T359" s="181"/>
      <c r="U359" s="395"/>
      <c r="V359" s="387"/>
      <c r="W359" s="181"/>
      <c r="X359" s="181"/>
      <c r="Y359" s="181"/>
      <c r="Z359" s="395"/>
      <c r="AA359" s="387"/>
      <c r="AB359" s="181"/>
      <c r="AC359" s="181"/>
      <c r="AD359" s="181"/>
      <c r="AE359" s="395"/>
      <c r="AF359" s="387"/>
      <c r="AG359" s="181"/>
      <c r="AH359" s="181"/>
      <c r="AI359" s="181"/>
      <c r="AJ359" s="395"/>
      <c r="AK359" s="387"/>
      <c r="AL359" s="181"/>
      <c r="AM359" s="181"/>
      <c r="AN359" s="181"/>
      <c r="AO359" s="370"/>
      <c r="AP359" s="370"/>
      <c r="AQ359" s="370"/>
      <c r="AR359" s="370"/>
      <c r="AS359" s="370"/>
    </row>
    <row r="360">
      <c r="A360" s="395"/>
      <c r="B360" s="387"/>
      <c r="C360" s="181"/>
      <c r="D360" s="181"/>
      <c r="E360" s="181"/>
      <c r="F360" s="395"/>
      <c r="G360" s="387"/>
      <c r="H360" s="181"/>
      <c r="I360" s="181"/>
      <c r="J360" s="181"/>
      <c r="K360" s="88"/>
      <c r="L360" s="387"/>
      <c r="M360" s="181"/>
      <c r="N360" s="181"/>
      <c r="O360" s="181"/>
      <c r="P360" s="88"/>
      <c r="Q360" s="155"/>
      <c r="R360" s="181"/>
      <c r="S360" s="181"/>
      <c r="T360" s="181"/>
      <c r="U360" s="395"/>
      <c r="V360" s="387"/>
      <c r="W360" s="181"/>
      <c r="X360" s="181"/>
      <c r="Y360" s="181"/>
      <c r="Z360" s="395"/>
      <c r="AA360" s="387"/>
      <c r="AB360" s="181"/>
      <c r="AC360" s="181"/>
      <c r="AD360" s="181"/>
      <c r="AE360" s="395"/>
      <c r="AF360" s="387"/>
      <c r="AG360" s="181"/>
      <c r="AH360" s="181"/>
      <c r="AI360" s="181"/>
      <c r="AJ360" s="395"/>
      <c r="AK360" s="387"/>
      <c r="AL360" s="181"/>
      <c r="AM360" s="181"/>
      <c r="AN360" s="181"/>
      <c r="AO360" s="370"/>
      <c r="AP360" s="370"/>
      <c r="AQ360" s="370"/>
      <c r="AR360" s="370"/>
      <c r="AS360" s="370"/>
    </row>
    <row r="361">
      <c r="A361" s="395"/>
      <c r="B361" s="387"/>
      <c r="C361" s="181"/>
      <c r="D361" s="181"/>
      <c r="E361" s="181"/>
      <c r="F361" s="395"/>
      <c r="G361" s="387"/>
      <c r="H361" s="181"/>
      <c r="I361" s="181"/>
      <c r="J361" s="181"/>
      <c r="K361" s="88"/>
      <c r="L361" s="387"/>
      <c r="M361" s="181"/>
      <c r="N361" s="181"/>
      <c r="O361" s="181"/>
      <c r="P361" s="88"/>
      <c r="Q361" s="155"/>
      <c r="R361" s="181"/>
      <c r="S361" s="181"/>
      <c r="T361" s="181"/>
      <c r="U361" s="395"/>
      <c r="V361" s="387"/>
      <c r="W361" s="181"/>
      <c r="X361" s="181"/>
      <c r="Y361" s="181"/>
      <c r="Z361" s="395"/>
      <c r="AA361" s="387"/>
      <c r="AB361" s="181"/>
      <c r="AC361" s="181"/>
      <c r="AD361" s="181"/>
      <c r="AE361" s="395"/>
      <c r="AF361" s="387"/>
      <c r="AG361" s="181"/>
      <c r="AH361" s="181"/>
      <c r="AI361" s="181"/>
      <c r="AJ361" s="395"/>
      <c r="AK361" s="387"/>
      <c r="AL361" s="181"/>
      <c r="AM361" s="181"/>
      <c r="AN361" s="181"/>
      <c r="AO361" s="370"/>
      <c r="AP361" s="370"/>
      <c r="AQ361" s="370"/>
      <c r="AR361" s="370"/>
      <c r="AS361" s="370"/>
    </row>
    <row r="362">
      <c r="A362" s="395"/>
      <c r="B362" s="387"/>
      <c r="C362" s="181"/>
      <c r="D362" s="181"/>
      <c r="E362" s="181"/>
      <c r="F362" s="395"/>
      <c r="G362" s="387"/>
      <c r="H362" s="181"/>
      <c r="I362" s="181"/>
      <c r="J362" s="181"/>
      <c r="K362" s="88"/>
      <c r="L362" s="387"/>
      <c r="M362" s="181"/>
      <c r="N362" s="181"/>
      <c r="O362" s="181"/>
      <c r="P362" s="88"/>
      <c r="Q362" s="155"/>
      <c r="R362" s="181"/>
      <c r="S362" s="181"/>
      <c r="T362" s="181"/>
      <c r="U362" s="395"/>
      <c r="V362" s="387"/>
      <c r="W362" s="181"/>
      <c r="X362" s="181"/>
      <c r="Y362" s="181"/>
      <c r="Z362" s="395"/>
      <c r="AA362" s="387"/>
      <c r="AB362" s="181"/>
      <c r="AC362" s="181"/>
      <c r="AD362" s="181"/>
      <c r="AE362" s="395"/>
      <c r="AF362" s="387"/>
      <c r="AG362" s="181"/>
      <c r="AH362" s="181"/>
      <c r="AI362" s="181"/>
      <c r="AJ362" s="395"/>
      <c r="AK362" s="387"/>
      <c r="AL362" s="181"/>
      <c r="AM362" s="181"/>
      <c r="AN362" s="181"/>
      <c r="AO362" s="370"/>
      <c r="AP362" s="370"/>
      <c r="AQ362" s="370"/>
      <c r="AR362" s="370"/>
      <c r="AS362" s="370"/>
    </row>
    <row r="363">
      <c r="A363" s="395"/>
      <c r="B363" s="387"/>
      <c r="C363" s="181"/>
      <c r="D363" s="181"/>
      <c r="E363" s="181"/>
      <c r="F363" s="395"/>
      <c r="G363" s="387"/>
      <c r="H363" s="181"/>
      <c r="I363" s="181"/>
      <c r="J363" s="181"/>
      <c r="K363" s="88"/>
      <c r="L363" s="387"/>
      <c r="M363" s="181"/>
      <c r="N363" s="181"/>
      <c r="O363" s="181"/>
      <c r="P363" s="88"/>
      <c r="Q363" s="155"/>
      <c r="R363" s="181"/>
      <c r="S363" s="181"/>
      <c r="T363" s="181"/>
      <c r="U363" s="395"/>
      <c r="V363" s="387"/>
      <c r="W363" s="181"/>
      <c r="X363" s="181"/>
      <c r="Y363" s="181"/>
      <c r="Z363" s="395"/>
      <c r="AA363" s="387"/>
      <c r="AB363" s="181"/>
      <c r="AC363" s="181"/>
      <c r="AD363" s="181"/>
      <c r="AE363" s="395"/>
      <c r="AF363" s="387"/>
      <c r="AG363" s="181"/>
      <c r="AH363" s="181"/>
      <c r="AI363" s="181"/>
      <c r="AJ363" s="395"/>
      <c r="AK363" s="387"/>
      <c r="AL363" s="181"/>
      <c r="AM363" s="181"/>
      <c r="AN363" s="181"/>
      <c r="AO363" s="370"/>
      <c r="AP363" s="370"/>
      <c r="AQ363" s="370"/>
      <c r="AR363" s="370"/>
      <c r="AS363" s="370"/>
    </row>
    <row r="364">
      <c r="A364" s="395"/>
      <c r="B364" s="387"/>
      <c r="C364" s="181"/>
      <c r="D364" s="181"/>
      <c r="E364" s="181"/>
      <c r="F364" s="395"/>
      <c r="G364" s="387"/>
      <c r="H364" s="181"/>
      <c r="I364" s="181"/>
      <c r="J364" s="181"/>
      <c r="K364" s="88"/>
      <c r="L364" s="387"/>
      <c r="M364" s="181"/>
      <c r="N364" s="181"/>
      <c r="O364" s="181"/>
      <c r="P364" s="88"/>
      <c r="Q364" s="155"/>
      <c r="R364" s="181"/>
      <c r="S364" s="181"/>
      <c r="T364" s="181"/>
      <c r="U364" s="395"/>
      <c r="V364" s="387"/>
      <c r="W364" s="181"/>
      <c r="X364" s="181"/>
      <c r="Y364" s="181"/>
      <c r="Z364" s="395"/>
      <c r="AA364" s="387"/>
      <c r="AB364" s="181"/>
      <c r="AC364" s="181"/>
      <c r="AD364" s="181"/>
      <c r="AE364" s="395"/>
      <c r="AF364" s="387"/>
      <c r="AG364" s="181"/>
      <c r="AH364" s="181"/>
      <c r="AI364" s="181"/>
      <c r="AJ364" s="395"/>
      <c r="AK364" s="387"/>
      <c r="AL364" s="181"/>
      <c r="AM364" s="181"/>
      <c r="AN364" s="181"/>
      <c r="AO364" s="370"/>
      <c r="AP364" s="370"/>
      <c r="AQ364" s="370"/>
      <c r="AR364" s="370"/>
      <c r="AS364" s="370"/>
    </row>
    <row r="365">
      <c r="A365" s="395"/>
      <c r="B365" s="387"/>
      <c r="C365" s="181"/>
      <c r="D365" s="181"/>
      <c r="E365" s="181"/>
      <c r="F365" s="395"/>
      <c r="G365" s="387"/>
      <c r="H365" s="181"/>
      <c r="I365" s="181"/>
      <c r="J365" s="181"/>
      <c r="K365" s="88"/>
      <c r="L365" s="387"/>
      <c r="M365" s="181"/>
      <c r="N365" s="181"/>
      <c r="O365" s="181"/>
      <c r="P365" s="88"/>
      <c r="Q365" s="155"/>
      <c r="R365" s="181"/>
      <c r="S365" s="181"/>
      <c r="T365" s="181"/>
      <c r="U365" s="395"/>
      <c r="V365" s="387"/>
      <c r="W365" s="181"/>
      <c r="X365" s="181"/>
      <c r="Y365" s="181"/>
      <c r="Z365" s="395"/>
      <c r="AA365" s="387"/>
      <c r="AB365" s="181"/>
      <c r="AC365" s="181"/>
      <c r="AD365" s="181"/>
      <c r="AE365" s="395"/>
      <c r="AF365" s="387"/>
      <c r="AG365" s="181"/>
      <c r="AH365" s="181"/>
      <c r="AI365" s="181"/>
      <c r="AJ365" s="395"/>
      <c r="AK365" s="387"/>
      <c r="AL365" s="181"/>
      <c r="AM365" s="181"/>
      <c r="AN365" s="181"/>
      <c r="AO365" s="370"/>
      <c r="AP365" s="370"/>
      <c r="AQ365" s="370"/>
      <c r="AR365" s="370"/>
      <c r="AS365" s="370"/>
    </row>
    <row r="366">
      <c r="A366" s="395"/>
      <c r="B366" s="387"/>
      <c r="C366" s="181"/>
      <c r="D366" s="181"/>
      <c r="E366" s="181"/>
      <c r="F366" s="395"/>
      <c r="G366" s="387"/>
      <c r="H366" s="181"/>
      <c r="I366" s="181"/>
      <c r="J366" s="181"/>
      <c r="K366" s="88"/>
      <c r="L366" s="387"/>
      <c r="M366" s="181"/>
      <c r="N366" s="181"/>
      <c r="O366" s="181"/>
      <c r="P366" s="88"/>
      <c r="Q366" s="155"/>
      <c r="R366" s="181"/>
      <c r="S366" s="181"/>
      <c r="T366" s="181"/>
      <c r="U366" s="395"/>
      <c r="V366" s="387"/>
      <c r="W366" s="181"/>
      <c r="X366" s="181"/>
      <c r="Y366" s="181"/>
      <c r="Z366" s="395"/>
      <c r="AA366" s="387"/>
      <c r="AB366" s="181"/>
      <c r="AC366" s="181"/>
      <c r="AD366" s="181"/>
      <c r="AE366" s="395"/>
      <c r="AF366" s="387"/>
      <c r="AG366" s="181"/>
      <c r="AH366" s="181"/>
      <c r="AI366" s="181"/>
      <c r="AJ366" s="395"/>
      <c r="AK366" s="387"/>
      <c r="AL366" s="181"/>
      <c r="AM366" s="181"/>
      <c r="AN366" s="181"/>
      <c r="AO366" s="370"/>
      <c r="AP366" s="370"/>
      <c r="AQ366" s="370"/>
      <c r="AR366" s="370"/>
      <c r="AS366" s="370"/>
    </row>
    <row r="367">
      <c r="A367" s="395"/>
      <c r="B367" s="387"/>
      <c r="C367" s="181"/>
      <c r="D367" s="181"/>
      <c r="E367" s="181"/>
      <c r="F367" s="395"/>
      <c r="G367" s="387"/>
      <c r="H367" s="181"/>
      <c r="I367" s="181"/>
      <c r="J367" s="181"/>
      <c r="K367" s="88"/>
      <c r="L367" s="387"/>
      <c r="M367" s="181"/>
      <c r="N367" s="181"/>
      <c r="O367" s="181"/>
      <c r="P367" s="88"/>
      <c r="Q367" s="155"/>
      <c r="R367" s="181"/>
      <c r="S367" s="181"/>
      <c r="T367" s="181"/>
      <c r="U367" s="395"/>
      <c r="V367" s="387"/>
      <c r="W367" s="181"/>
      <c r="X367" s="181"/>
      <c r="Y367" s="181"/>
      <c r="Z367" s="395"/>
      <c r="AA367" s="387"/>
      <c r="AB367" s="181"/>
      <c r="AC367" s="181"/>
      <c r="AD367" s="181"/>
      <c r="AE367" s="395"/>
      <c r="AF367" s="387"/>
      <c r="AG367" s="181"/>
      <c r="AH367" s="181"/>
      <c r="AI367" s="181"/>
      <c r="AJ367" s="395"/>
      <c r="AK367" s="387"/>
      <c r="AL367" s="181"/>
      <c r="AM367" s="181"/>
      <c r="AN367" s="181"/>
      <c r="AO367" s="370"/>
      <c r="AP367" s="370"/>
      <c r="AQ367" s="370"/>
      <c r="AR367" s="370"/>
      <c r="AS367" s="370"/>
    </row>
    <row r="368">
      <c r="A368" s="395"/>
      <c r="B368" s="387"/>
      <c r="C368" s="181"/>
      <c r="D368" s="181"/>
      <c r="E368" s="181"/>
      <c r="F368" s="395"/>
      <c r="G368" s="387"/>
      <c r="H368" s="181"/>
      <c r="I368" s="181"/>
      <c r="J368" s="181"/>
      <c r="K368" s="88"/>
      <c r="L368" s="387"/>
      <c r="M368" s="181"/>
      <c r="N368" s="181"/>
      <c r="O368" s="181"/>
      <c r="P368" s="88"/>
      <c r="Q368" s="155"/>
      <c r="R368" s="181"/>
      <c r="S368" s="181"/>
      <c r="T368" s="181"/>
      <c r="U368" s="395"/>
      <c r="V368" s="387"/>
      <c r="W368" s="181"/>
      <c r="X368" s="181"/>
      <c r="Y368" s="181"/>
      <c r="Z368" s="395"/>
      <c r="AA368" s="387"/>
      <c r="AB368" s="181"/>
      <c r="AC368" s="181"/>
      <c r="AD368" s="181"/>
      <c r="AE368" s="395"/>
      <c r="AF368" s="387"/>
      <c r="AG368" s="181"/>
      <c r="AH368" s="181"/>
      <c r="AI368" s="181"/>
      <c r="AJ368" s="395"/>
      <c r="AK368" s="387"/>
      <c r="AL368" s="181"/>
      <c r="AM368" s="181"/>
      <c r="AN368" s="181"/>
      <c r="AO368" s="370"/>
      <c r="AP368" s="370"/>
      <c r="AQ368" s="370"/>
      <c r="AR368" s="370"/>
      <c r="AS368" s="370"/>
    </row>
    <row r="369">
      <c r="A369" s="395"/>
      <c r="B369" s="387"/>
      <c r="C369" s="181"/>
      <c r="D369" s="181"/>
      <c r="E369" s="181"/>
      <c r="F369" s="395"/>
      <c r="G369" s="387"/>
      <c r="H369" s="181"/>
      <c r="I369" s="181"/>
      <c r="J369" s="181"/>
      <c r="K369" s="88"/>
      <c r="L369" s="387"/>
      <c r="M369" s="181"/>
      <c r="N369" s="181"/>
      <c r="O369" s="181"/>
      <c r="P369" s="88"/>
      <c r="Q369" s="155"/>
      <c r="R369" s="181"/>
      <c r="S369" s="181"/>
      <c r="T369" s="181"/>
      <c r="U369" s="395"/>
      <c r="V369" s="387"/>
      <c r="W369" s="181"/>
      <c r="X369" s="181"/>
      <c r="Y369" s="181"/>
      <c r="Z369" s="395"/>
      <c r="AA369" s="387"/>
      <c r="AB369" s="181"/>
      <c r="AC369" s="181"/>
      <c r="AD369" s="181"/>
      <c r="AE369" s="395"/>
      <c r="AF369" s="387"/>
      <c r="AG369" s="181"/>
      <c r="AH369" s="181"/>
      <c r="AI369" s="181"/>
      <c r="AJ369" s="395"/>
      <c r="AK369" s="387"/>
      <c r="AL369" s="181"/>
      <c r="AM369" s="181"/>
      <c r="AN369" s="181"/>
      <c r="AO369" s="370"/>
      <c r="AP369" s="370"/>
      <c r="AQ369" s="370"/>
      <c r="AR369" s="370"/>
      <c r="AS369" s="370"/>
    </row>
    <row r="370">
      <c r="A370" s="395"/>
      <c r="B370" s="387"/>
      <c r="C370" s="181"/>
      <c r="D370" s="181"/>
      <c r="E370" s="181"/>
      <c r="F370" s="395"/>
      <c r="G370" s="387"/>
      <c r="H370" s="181"/>
      <c r="I370" s="181"/>
      <c r="J370" s="181"/>
      <c r="K370" s="88"/>
      <c r="L370" s="387"/>
      <c r="M370" s="181"/>
      <c r="N370" s="181"/>
      <c r="O370" s="181"/>
      <c r="P370" s="88"/>
      <c r="Q370" s="155"/>
      <c r="R370" s="181"/>
      <c r="S370" s="181"/>
      <c r="T370" s="181"/>
      <c r="U370" s="395"/>
      <c r="V370" s="387"/>
      <c r="W370" s="181"/>
      <c r="X370" s="181"/>
      <c r="Y370" s="181"/>
      <c r="Z370" s="395"/>
      <c r="AA370" s="387"/>
      <c r="AB370" s="181"/>
      <c r="AC370" s="181"/>
      <c r="AD370" s="181"/>
      <c r="AE370" s="395"/>
      <c r="AF370" s="387"/>
      <c r="AG370" s="181"/>
      <c r="AH370" s="181"/>
      <c r="AI370" s="181"/>
      <c r="AJ370" s="395"/>
      <c r="AK370" s="387"/>
      <c r="AL370" s="181"/>
      <c r="AM370" s="181"/>
      <c r="AN370" s="181"/>
      <c r="AO370" s="370"/>
      <c r="AP370" s="370"/>
      <c r="AQ370" s="370"/>
      <c r="AR370" s="370"/>
      <c r="AS370" s="370"/>
    </row>
    <row r="371">
      <c r="A371" s="395"/>
      <c r="B371" s="387"/>
      <c r="C371" s="181"/>
      <c r="D371" s="181"/>
      <c r="E371" s="181"/>
      <c r="F371" s="395"/>
      <c r="G371" s="387"/>
      <c r="H371" s="181"/>
      <c r="I371" s="181"/>
      <c r="J371" s="181"/>
      <c r="K371" s="88"/>
      <c r="L371" s="387"/>
      <c r="M371" s="181"/>
      <c r="N371" s="181"/>
      <c r="O371" s="181"/>
      <c r="P371" s="88"/>
      <c r="Q371" s="155"/>
      <c r="R371" s="181"/>
      <c r="S371" s="181"/>
      <c r="T371" s="181"/>
      <c r="U371" s="395"/>
      <c r="V371" s="387"/>
      <c r="W371" s="181"/>
      <c r="X371" s="181"/>
      <c r="Y371" s="181"/>
      <c r="Z371" s="395"/>
      <c r="AA371" s="387"/>
      <c r="AB371" s="181"/>
      <c r="AC371" s="181"/>
      <c r="AD371" s="181"/>
      <c r="AE371" s="395"/>
      <c r="AF371" s="387"/>
      <c r="AG371" s="181"/>
      <c r="AH371" s="181"/>
      <c r="AI371" s="181"/>
      <c r="AJ371" s="395"/>
      <c r="AK371" s="387"/>
      <c r="AL371" s="181"/>
      <c r="AM371" s="181"/>
      <c r="AN371" s="181"/>
      <c r="AO371" s="370"/>
      <c r="AP371" s="370"/>
      <c r="AQ371" s="370"/>
      <c r="AR371" s="370"/>
      <c r="AS371" s="370"/>
    </row>
    <row r="372">
      <c r="A372" s="395"/>
      <c r="B372" s="387"/>
      <c r="C372" s="181"/>
      <c r="D372" s="181"/>
      <c r="E372" s="181"/>
      <c r="F372" s="395"/>
      <c r="G372" s="387"/>
      <c r="H372" s="181"/>
      <c r="I372" s="181"/>
      <c r="J372" s="181"/>
      <c r="K372" s="88"/>
      <c r="L372" s="387"/>
      <c r="M372" s="181"/>
      <c r="N372" s="181"/>
      <c r="O372" s="181"/>
      <c r="P372" s="88"/>
      <c r="Q372" s="155"/>
      <c r="R372" s="181"/>
      <c r="S372" s="181"/>
      <c r="T372" s="181"/>
      <c r="U372" s="395"/>
      <c r="V372" s="387"/>
      <c r="W372" s="181"/>
      <c r="X372" s="181"/>
      <c r="Y372" s="181"/>
      <c r="Z372" s="395"/>
      <c r="AA372" s="387"/>
      <c r="AB372" s="181"/>
      <c r="AC372" s="181"/>
      <c r="AD372" s="181"/>
      <c r="AE372" s="395"/>
      <c r="AF372" s="387"/>
      <c r="AG372" s="181"/>
      <c r="AH372" s="181"/>
      <c r="AI372" s="181"/>
      <c r="AJ372" s="395"/>
      <c r="AK372" s="387"/>
      <c r="AL372" s="181"/>
      <c r="AM372" s="181"/>
      <c r="AN372" s="181"/>
      <c r="AO372" s="370"/>
      <c r="AP372" s="370"/>
      <c r="AQ372" s="370"/>
      <c r="AR372" s="370"/>
      <c r="AS372" s="370"/>
    </row>
    <row r="373">
      <c r="A373" s="395"/>
      <c r="B373" s="387"/>
      <c r="C373" s="181"/>
      <c r="D373" s="181"/>
      <c r="E373" s="181"/>
      <c r="F373" s="395"/>
      <c r="G373" s="387"/>
      <c r="H373" s="181"/>
      <c r="I373" s="181"/>
      <c r="J373" s="181"/>
      <c r="K373" s="88"/>
      <c r="L373" s="387"/>
      <c r="M373" s="181"/>
      <c r="N373" s="181"/>
      <c r="O373" s="181"/>
      <c r="P373" s="88"/>
      <c r="Q373" s="155"/>
      <c r="R373" s="181"/>
      <c r="S373" s="181"/>
      <c r="T373" s="181"/>
      <c r="U373" s="395"/>
      <c r="V373" s="387"/>
      <c r="W373" s="181"/>
      <c r="X373" s="181"/>
      <c r="Y373" s="181"/>
      <c r="Z373" s="395"/>
      <c r="AA373" s="387"/>
      <c r="AB373" s="181"/>
      <c r="AC373" s="181"/>
      <c r="AD373" s="181"/>
      <c r="AE373" s="395"/>
      <c r="AF373" s="387"/>
      <c r="AG373" s="181"/>
      <c r="AH373" s="181"/>
      <c r="AI373" s="181"/>
      <c r="AJ373" s="395"/>
      <c r="AK373" s="387"/>
      <c r="AL373" s="181"/>
      <c r="AM373" s="181"/>
      <c r="AN373" s="181"/>
      <c r="AO373" s="370"/>
      <c r="AP373" s="370"/>
      <c r="AQ373" s="370"/>
      <c r="AR373" s="370"/>
      <c r="AS373" s="370"/>
    </row>
    <row r="374">
      <c r="A374" s="395"/>
      <c r="B374" s="387"/>
      <c r="C374" s="181"/>
      <c r="D374" s="181"/>
      <c r="E374" s="181"/>
      <c r="F374" s="395"/>
      <c r="G374" s="387"/>
      <c r="H374" s="181"/>
      <c r="I374" s="181"/>
      <c r="J374" s="181"/>
      <c r="K374" s="88"/>
      <c r="L374" s="387"/>
      <c r="M374" s="181"/>
      <c r="N374" s="181"/>
      <c r="O374" s="181"/>
      <c r="P374" s="88"/>
      <c r="Q374" s="155"/>
      <c r="R374" s="181"/>
      <c r="S374" s="181"/>
      <c r="T374" s="181"/>
      <c r="U374" s="395"/>
      <c r="V374" s="387"/>
      <c r="W374" s="181"/>
      <c r="X374" s="181"/>
      <c r="Y374" s="181"/>
      <c r="Z374" s="395"/>
      <c r="AA374" s="387"/>
      <c r="AB374" s="181"/>
      <c r="AC374" s="181"/>
      <c r="AD374" s="181"/>
      <c r="AE374" s="395"/>
      <c r="AF374" s="387"/>
      <c r="AG374" s="181"/>
      <c r="AH374" s="181"/>
      <c r="AI374" s="181"/>
      <c r="AJ374" s="395"/>
      <c r="AK374" s="387"/>
      <c r="AL374" s="181"/>
      <c r="AM374" s="181"/>
      <c r="AN374" s="181"/>
      <c r="AO374" s="370"/>
      <c r="AP374" s="370"/>
      <c r="AQ374" s="370"/>
      <c r="AR374" s="370"/>
      <c r="AS374" s="370"/>
    </row>
    <row r="375">
      <c r="A375" s="395"/>
      <c r="B375" s="387"/>
      <c r="C375" s="181"/>
      <c r="D375" s="181"/>
      <c r="E375" s="181"/>
      <c r="F375" s="395"/>
      <c r="G375" s="387"/>
      <c r="H375" s="181"/>
      <c r="I375" s="181"/>
      <c r="J375" s="181"/>
      <c r="K375" s="88"/>
      <c r="L375" s="387"/>
      <c r="M375" s="181"/>
      <c r="N375" s="181"/>
      <c r="O375" s="181"/>
      <c r="P375" s="88"/>
      <c r="Q375" s="155"/>
      <c r="R375" s="181"/>
      <c r="S375" s="181"/>
      <c r="T375" s="181"/>
      <c r="U375" s="395"/>
      <c r="V375" s="387"/>
      <c r="W375" s="181"/>
      <c r="X375" s="181"/>
      <c r="Y375" s="181"/>
      <c r="Z375" s="395"/>
      <c r="AA375" s="387"/>
      <c r="AB375" s="181"/>
      <c r="AC375" s="181"/>
      <c r="AD375" s="181"/>
      <c r="AE375" s="395"/>
      <c r="AF375" s="387"/>
      <c r="AG375" s="181"/>
      <c r="AH375" s="181"/>
      <c r="AI375" s="181"/>
      <c r="AJ375" s="395"/>
      <c r="AK375" s="387"/>
      <c r="AL375" s="181"/>
      <c r="AM375" s="181"/>
      <c r="AN375" s="181"/>
      <c r="AO375" s="370"/>
      <c r="AP375" s="370"/>
      <c r="AQ375" s="370"/>
      <c r="AR375" s="370"/>
      <c r="AS375" s="370"/>
    </row>
    <row r="376">
      <c r="A376" s="395"/>
      <c r="B376" s="387"/>
      <c r="C376" s="181"/>
      <c r="D376" s="181"/>
      <c r="E376" s="181"/>
      <c r="F376" s="395"/>
      <c r="G376" s="387"/>
      <c r="H376" s="181"/>
      <c r="I376" s="181"/>
      <c r="J376" s="181"/>
      <c r="K376" s="88"/>
      <c r="L376" s="387"/>
      <c r="M376" s="181"/>
      <c r="N376" s="181"/>
      <c r="O376" s="181"/>
      <c r="P376" s="88"/>
      <c r="Q376" s="155"/>
      <c r="R376" s="181"/>
      <c r="S376" s="181"/>
      <c r="T376" s="181"/>
      <c r="U376" s="395"/>
      <c r="V376" s="387"/>
      <c r="W376" s="181"/>
      <c r="X376" s="181"/>
      <c r="Y376" s="181"/>
      <c r="Z376" s="395"/>
      <c r="AA376" s="387"/>
      <c r="AB376" s="181"/>
      <c r="AC376" s="181"/>
      <c r="AD376" s="181"/>
      <c r="AE376" s="395"/>
      <c r="AF376" s="387"/>
      <c r="AG376" s="181"/>
      <c r="AH376" s="181"/>
      <c r="AI376" s="181"/>
      <c r="AJ376" s="395"/>
      <c r="AK376" s="387"/>
      <c r="AL376" s="181"/>
      <c r="AM376" s="181"/>
      <c r="AN376" s="181"/>
      <c r="AO376" s="370"/>
      <c r="AP376" s="370"/>
      <c r="AQ376" s="370"/>
      <c r="AR376" s="370"/>
      <c r="AS376" s="370"/>
    </row>
    <row r="377">
      <c r="A377" s="395"/>
      <c r="B377" s="387"/>
      <c r="C377" s="181"/>
      <c r="D377" s="181"/>
      <c r="E377" s="181"/>
      <c r="F377" s="395"/>
      <c r="G377" s="387"/>
      <c r="H377" s="181"/>
      <c r="I377" s="181"/>
      <c r="J377" s="181"/>
      <c r="K377" s="88"/>
      <c r="L377" s="387"/>
      <c r="M377" s="181"/>
      <c r="N377" s="181"/>
      <c r="O377" s="181"/>
      <c r="P377" s="88"/>
      <c r="Q377" s="155"/>
      <c r="R377" s="181"/>
      <c r="S377" s="181"/>
      <c r="T377" s="181"/>
      <c r="U377" s="395"/>
      <c r="V377" s="387"/>
      <c r="W377" s="181"/>
      <c r="X377" s="181"/>
      <c r="Y377" s="181"/>
      <c r="Z377" s="395"/>
      <c r="AA377" s="387"/>
      <c r="AB377" s="181"/>
      <c r="AC377" s="181"/>
      <c r="AD377" s="181"/>
      <c r="AE377" s="395"/>
      <c r="AF377" s="387"/>
      <c r="AG377" s="181"/>
      <c r="AH377" s="181"/>
      <c r="AI377" s="181"/>
      <c r="AJ377" s="395"/>
      <c r="AK377" s="387"/>
      <c r="AL377" s="181"/>
      <c r="AM377" s="181"/>
      <c r="AN377" s="181"/>
      <c r="AO377" s="370"/>
      <c r="AP377" s="370"/>
      <c r="AQ377" s="370"/>
      <c r="AR377" s="370"/>
      <c r="AS377" s="370"/>
    </row>
    <row r="378">
      <c r="A378" s="395"/>
      <c r="B378" s="387"/>
      <c r="C378" s="181"/>
      <c r="D378" s="181"/>
      <c r="E378" s="181"/>
      <c r="F378" s="395"/>
      <c r="G378" s="387"/>
      <c r="H378" s="181"/>
      <c r="I378" s="181"/>
      <c r="J378" s="181"/>
      <c r="K378" s="88"/>
      <c r="L378" s="387"/>
      <c r="M378" s="181"/>
      <c r="N378" s="181"/>
      <c r="O378" s="181"/>
      <c r="P378" s="88"/>
      <c r="Q378" s="155"/>
      <c r="R378" s="181"/>
      <c r="S378" s="181"/>
      <c r="T378" s="181"/>
      <c r="U378" s="395"/>
      <c r="V378" s="387"/>
      <c r="W378" s="181"/>
      <c r="X378" s="181"/>
      <c r="Y378" s="181"/>
      <c r="Z378" s="395"/>
      <c r="AA378" s="387"/>
      <c r="AB378" s="181"/>
      <c r="AC378" s="181"/>
      <c r="AD378" s="181"/>
      <c r="AE378" s="395"/>
      <c r="AF378" s="387"/>
      <c r="AG378" s="181"/>
      <c r="AH378" s="181"/>
      <c r="AI378" s="181"/>
      <c r="AJ378" s="395"/>
      <c r="AK378" s="387"/>
      <c r="AL378" s="181"/>
      <c r="AM378" s="181"/>
      <c r="AN378" s="181"/>
      <c r="AO378" s="370"/>
      <c r="AP378" s="370"/>
      <c r="AQ378" s="370"/>
      <c r="AR378" s="370"/>
      <c r="AS378" s="370"/>
    </row>
    <row r="379">
      <c r="A379" s="395"/>
      <c r="B379" s="387"/>
      <c r="C379" s="181"/>
      <c r="D379" s="181"/>
      <c r="E379" s="181"/>
      <c r="F379" s="395"/>
      <c r="G379" s="387"/>
      <c r="H379" s="181"/>
      <c r="I379" s="181"/>
      <c r="J379" s="181"/>
      <c r="K379" s="88"/>
      <c r="L379" s="387"/>
      <c r="M379" s="181"/>
      <c r="N379" s="181"/>
      <c r="O379" s="181"/>
      <c r="P379" s="88"/>
      <c r="Q379" s="155"/>
      <c r="R379" s="181"/>
      <c r="S379" s="181"/>
      <c r="T379" s="181"/>
      <c r="U379" s="395"/>
      <c r="V379" s="387"/>
      <c r="W379" s="181"/>
      <c r="X379" s="181"/>
      <c r="Y379" s="181"/>
      <c r="Z379" s="395"/>
      <c r="AA379" s="387"/>
      <c r="AB379" s="181"/>
      <c r="AC379" s="181"/>
      <c r="AD379" s="181"/>
      <c r="AE379" s="395"/>
      <c r="AF379" s="387"/>
      <c r="AG379" s="181"/>
      <c r="AH379" s="181"/>
      <c r="AI379" s="181"/>
      <c r="AJ379" s="395"/>
      <c r="AK379" s="387"/>
      <c r="AL379" s="181"/>
      <c r="AM379" s="181"/>
      <c r="AN379" s="181"/>
      <c r="AO379" s="370"/>
      <c r="AP379" s="370"/>
      <c r="AQ379" s="370"/>
      <c r="AR379" s="370"/>
      <c r="AS379" s="370"/>
    </row>
    <row r="380">
      <c r="A380" s="395"/>
      <c r="B380" s="387"/>
      <c r="C380" s="181"/>
      <c r="D380" s="181"/>
      <c r="E380" s="181"/>
      <c r="F380" s="395"/>
      <c r="G380" s="387"/>
      <c r="H380" s="181"/>
      <c r="I380" s="181"/>
      <c r="J380" s="181"/>
      <c r="K380" s="88"/>
      <c r="L380" s="387"/>
      <c r="M380" s="181"/>
      <c r="N380" s="181"/>
      <c r="O380" s="181"/>
      <c r="P380" s="88"/>
      <c r="Q380" s="155"/>
      <c r="R380" s="181"/>
      <c r="S380" s="181"/>
      <c r="T380" s="181"/>
      <c r="U380" s="395"/>
      <c r="V380" s="387"/>
      <c r="W380" s="181"/>
      <c r="X380" s="181"/>
      <c r="Y380" s="181"/>
      <c r="Z380" s="395"/>
      <c r="AA380" s="387"/>
      <c r="AB380" s="181"/>
      <c r="AC380" s="181"/>
      <c r="AD380" s="181"/>
      <c r="AE380" s="395"/>
      <c r="AF380" s="387"/>
      <c r="AG380" s="181"/>
      <c r="AH380" s="181"/>
      <c r="AI380" s="181"/>
      <c r="AJ380" s="395"/>
      <c r="AK380" s="387"/>
      <c r="AL380" s="181"/>
      <c r="AM380" s="181"/>
      <c r="AN380" s="181"/>
      <c r="AO380" s="370"/>
      <c r="AP380" s="370"/>
      <c r="AQ380" s="370"/>
      <c r="AR380" s="370"/>
      <c r="AS380" s="370"/>
    </row>
    <row r="381">
      <c r="A381" s="395"/>
      <c r="B381" s="387"/>
      <c r="C381" s="181"/>
      <c r="D381" s="181"/>
      <c r="E381" s="181"/>
      <c r="F381" s="395"/>
      <c r="G381" s="387"/>
      <c r="H381" s="181"/>
      <c r="I381" s="181"/>
      <c r="J381" s="181"/>
      <c r="K381" s="88"/>
      <c r="L381" s="387"/>
      <c r="M381" s="181"/>
      <c r="N381" s="181"/>
      <c r="O381" s="181"/>
      <c r="P381" s="88"/>
      <c r="Q381" s="155"/>
      <c r="R381" s="181"/>
      <c r="S381" s="181"/>
      <c r="T381" s="181"/>
      <c r="U381" s="395"/>
      <c r="V381" s="387"/>
      <c r="W381" s="181"/>
      <c r="X381" s="181"/>
      <c r="Y381" s="181"/>
      <c r="Z381" s="395"/>
      <c r="AA381" s="387"/>
      <c r="AB381" s="181"/>
      <c r="AC381" s="181"/>
      <c r="AD381" s="181"/>
      <c r="AE381" s="395"/>
      <c r="AF381" s="387"/>
      <c r="AG381" s="181"/>
      <c r="AH381" s="181"/>
      <c r="AI381" s="181"/>
      <c r="AJ381" s="395"/>
      <c r="AK381" s="387"/>
      <c r="AL381" s="181"/>
      <c r="AM381" s="181"/>
      <c r="AN381" s="181"/>
      <c r="AO381" s="370"/>
      <c r="AP381" s="370"/>
      <c r="AQ381" s="370"/>
      <c r="AR381" s="370"/>
      <c r="AS381" s="370"/>
    </row>
    <row r="382">
      <c r="A382" s="395"/>
      <c r="B382" s="387"/>
      <c r="C382" s="181"/>
      <c r="D382" s="181"/>
      <c r="E382" s="181"/>
      <c r="F382" s="395"/>
      <c r="G382" s="387"/>
      <c r="H382" s="181"/>
      <c r="I382" s="181"/>
      <c r="J382" s="181"/>
      <c r="K382" s="88"/>
      <c r="L382" s="387"/>
      <c r="M382" s="181"/>
      <c r="N382" s="181"/>
      <c r="O382" s="181"/>
      <c r="P382" s="88"/>
      <c r="Q382" s="155"/>
      <c r="R382" s="181"/>
      <c r="S382" s="181"/>
      <c r="T382" s="181"/>
      <c r="U382" s="395"/>
      <c r="V382" s="387"/>
      <c r="W382" s="181"/>
      <c r="X382" s="181"/>
      <c r="Y382" s="181"/>
      <c r="Z382" s="395"/>
      <c r="AA382" s="387"/>
      <c r="AB382" s="181"/>
      <c r="AC382" s="181"/>
      <c r="AD382" s="181"/>
      <c r="AE382" s="395"/>
      <c r="AF382" s="387"/>
      <c r="AG382" s="181"/>
      <c r="AH382" s="181"/>
      <c r="AI382" s="181"/>
      <c r="AJ382" s="395"/>
      <c r="AK382" s="387"/>
      <c r="AL382" s="181"/>
      <c r="AM382" s="181"/>
      <c r="AN382" s="181"/>
      <c r="AO382" s="370"/>
      <c r="AP382" s="370"/>
      <c r="AQ382" s="370"/>
      <c r="AR382" s="370"/>
      <c r="AS382" s="370"/>
    </row>
    <row r="383">
      <c r="A383" s="395"/>
      <c r="B383" s="387"/>
      <c r="C383" s="181"/>
      <c r="D383" s="181"/>
      <c r="E383" s="181"/>
      <c r="F383" s="395"/>
      <c r="G383" s="387"/>
      <c r="H383" s="181"/>
      <c r="I383" s="181"/>
      <c r="J383" s="181"/>
      <c r="K383" s="88"/>
      <c r="L383" s="387"/>
      <c r="M383" s="181"/>
      <c r="N383" s="181"/>
      <c r="O383" s="181"/>
      <c r="P383" s="88"/>
      <c r="Q383" s="155"/>
      <c r="R383" s="181"/>
      <c r="S383" s="181"/>
      <c r="T383" s="181"/>
      <c r="U383" s="395"/>
      <c r="V383" s="387"/>
      <c r="W383" s="181"/>
      <c r="X383" s="181"/>
      <c r="Y383" s="181"/>
      <c r="Z383" s="395"/>
      <c r="AA383" s="387"/>
      <c r="AB383" s="181"/>
      <c r="AC383" s="181"/>
      <c r="AD383" s="181"/>
      <c r="AE383" s="395"/>
      <c r="AF383" s="387"/>
      <c r="AG383" s="181"/>
      <c r="AH383" s="181"/>
      <c r="AI383" s="181"/>
      <c r="AJ383" s="395"/>
      <c r="AK383" s="387"/>
      <c r="AL383" s="181"/>
      <c r="AM383" s="181"/>
      <c r="AN383" s="181"/>
      <c r="AO383" s="370"/>
      <c r="AP383" s="370"/>
      <c r="AQ383" s="370"/>
      <c r="AR383" s="370"/>
      <c r="AS383" s="370"/>
    </row>
    <row r="384">
      <c r="A384" s="395"/>
      <c r="B384" s="387"/>
      <c r="C384" s="181"/>
      <c r="D384" s="181"/>
      <c r="E384" s="181"/>
      <c r="F384" s="395"/>
      <c r="G384" s="387"/>
      <c r="H384" s="181"/>
      <c r="I384" s="181"/>
      <c r="J384" s="181"/>
      <c r="K384" s="88"/>
      <c r="L384" s="387"/>
      <c r="M384" s="181"/>
      <c r="N384" s="181"/>
      <c r="O384" s="181"/>
      <c r="P384" s="88"/>
      <c r="Q384" s="155"/>
      <c r="R384" s="181"/>
      <c r="S384" s="181"/>
      <c r="T384" s="181"/>
      <c r="U384" s="395"/>
      <c r="V384" s="387"/>
      <c r="W384" s="181"/>
      <c r="X384" s="181"/>
      <c r="Y384" s="181"/>
      <c r="Z384" s="395"/>
      <c r="AA384" s="387"/>
      <c r="AB384" s="181"/>
      <c r="AC384" s="181"/>
      <c r="AD384" s="181"/>
      <c r="AE384" s="395"/>
      <c r="AF384" s="387"/>
      <c r="AG384" s="181"/>
      <c r="AH384" s="181"/>
      <c r="AI384" s="181"/>
      <c r="AJ384" s="395"/>
      <c r="AK384" s="387"/>
      <c r="AL384" s="181"/>
      <c r="AM384" s="181"/>
      <c r="AN384" s="181"/>
      <c r="AO384" s="370"/>
      <c r="AP384" s="370"/>
      <c r="AQ384" s="370"/>
      <c r="AR384" s="370"/>
      <c r="AS384" s="370"/>
    </row>
    <row r="385">
      <c r="A385" s="395"/>
      <c r="B385" s="387"/>
      <c r="C385" s="181"/>
      <c r="D385" s="181"/>
      <c r="E385" s="181"/>
      <c r="F385" s="395"/>
      <c r="G385" s="387"/>
      <c r="H385" s="181"/>
      <c r="I385" s="181"/>
      <c r="J385" s="181"/>
      <c r="K385" s="88"/>
      <c r="L385" s="387"/>
      <c r="M385" s="181"/>
      <c r="N385" s="181"/>
      <c r="O385" s="181"/>
      <c r="P385" s="88"/>
      <c r="Q385" s="155"/>
      <c r="R385" s="181"/>
      <c r="S385" s="181"/>
      <c r="T385" s="181"/>
      <c r="U385" s="395"/>
      <c r="V385" s="387"/>
      <c r="W385" s="181"/>
      <c r="X385" s="181"/>
      <c r="Y385" s="181"/>
      <c r="Z385" s="395"/>
      <c r="AA385" s="387"/>
      <c r="AB385" s="181"/>
      <c r="AC385" s="181"/>
      <c r="AD385" s="181"/>
      <c r="AE385" s="395"/>
      <c r="AF385" s="387"/>
      <c r="AG385" s="181"/>
      <c r="AH385" s="181"/>
      <c r="AI385" s="181"/>
      <c r="AJ385" s="395"/>
      <c r="AK385" s="387"/>
      <c r="AL385" s="181"/>
      <c r="AM385" s="181"/>
      <c r="AN385" s="181"/>
      <c r="AO385" s="370"/>
      <c r="AP385" s="370"/>
      <c r="AQ385" s="370"/>
      <c r="AR385" s="370"/>
      <c r="AS385" s="370"/>
    </row>
    <row r="386">
      <c r="A386" s="395"/>
      <c r="B386" s="387"/>
      <c r="C386" s="181"/>
      <c r="D386" s="181"/>
      <c r="E386" s="181"/>
      <c r="F386" s="395"/>
      <c r="G386" s="387"/>
      <c r="H386" s="181"/>
      <c r="I386" s="181"/>
      <c r="J386" s="181"/>
      <c r="K386" s="88"/>
      <c r="L386" s="387"/>
      <c r="M386" s="181"/>
      <c r="N386" s="181"/>
      <c r="O386" s="181"/>
      <c r="P386" s="88"/>
      <c r="Q386" s="155"/>
      <c r="R386" s="181"/>
      <c r="S386" s="181"/>
      <c r="T386" s="181"/>
      <c r="U386" s="395"/>
      <c r="V386" s="387"/>
      <c r="W386" s="181"/>
      <c r="X386" s="181"/>
      <c r="Y386" s="181"/>
      <c r="Z386" s="395"/>
      <c r="AA386" s="387"/>
      <c r="AB386" s="181"/>
      <c r="AC386" s="181"/>
      <c r="AD386" s="181"/>
      <c r="AE386" s="395"/>
      <c r="AF386" s="387"/>
      <c r="AG386" s="181"/>
      <c r="AH386" s="181"/>
      <c r="AI386" s="181"/>
      <c r="AJ386" s="395"/>
      <c r="AK386" s="387"/>
      <c r="AL386" s="181"/>
      <c r="AM386" s="181"/>
      <c r="AN386" s="181"/>
      <c r="AO386" s="370"/>
      <c r="AP386" s="370"/>
      <c r="AQ386" s="370"/>
      <c r="AR386" s="370"/>
      <c r="AS386" s="370"/>
    </row>
    <row r="387">
      <c r="A387" s="395"/>
      <c r="B387" s="387"/>
      <c r="C387" s="181"/>
      <c r="D387" s="181"/>
      <c r="E387" s="181"/>
      <c r="F387" s="395"/>
      <c r="G387" s="387"/>
      <c r="H387" s="181"/>
      <c r="I387" s="181"/>
      <c r="J387" s="181"/>
      <c r="K387" s="88"/>
      <c r="L387" s="387"/>
      <c r="M387" s="181"/>
      <c r="N387" s="181"/>
      <c r="O387" s="181"/>
      <c r="P387" s="88"/>
      <c r="Q387" s="155"/>
      <c r="R387" s="181"/>
      <c r="S387" s="181"/>
      <c r="T387" s="181"/>
      <c r="U387" s="395"/>
      <c r="V387" s="387"/>
      <c r="W387" s="181"/>
      <c r="X387" s="181"/>
      <c r="Y387" s="181"/>
      <c r="Z387" s="395"/>
      <c r="AA387" s="387"/>
      <c r="AB387" s="181"/>
      <c r="AC387" s="181"/>
      <c r="AD387" s="181"/>
      <c r="AE387" s="395"/>
      <c r="AF387" s="387"/>
      <c r="AG387" s="181"/>
      <c r="AH387" s="181"/>
      <c r="AI387" s="181"/>
      <c r="AJ387" s="395"/>
      <c r="AK387" s="387"/>
      <c r="AL387" s="181"/>
      <c r="AM387" s="181"/>
      <c r="AN387" s="181"/>
      <c r="AO387" s="370"/>
      <c r="AP387" s="370"/>
      <c r="AQ387" s="370"/>
      <c r="AR387" s="370"/>
      <c r="AS387" s="370"/>
    </row>
    <row r="388">
      <c r="A388" s="395"/>
      <c r="B388" s="387"/>
      <c r="C388" s="181"/>
      <c r="D388" s="181"/>
      <c r="E388" s="181"/>
      <c r="F388" s="395"/>
      <c r="G388" s="387"/>
      <c r="H388" s="181"/>
      <c r="I388" s="181"/>
      <c r="J388" s="181"/>
      <c r="K388" s="88"/>
      <c r="L388" s="387"/>
      <c r="M388" s="181"/>
      <c r="N388" s="181"/>
      <c r="O388" s="181"/>
      <c r="P388" s="88"/>
      <c r="Q388" s="155"/>
      <c r="R388" s="181"/>
      <c r="S388" s="181"/>
      <c r="T388" s="181"/>
      <c r="U388" s="395"/>
      <c r="V388" s="387"/>
      <c r="W388" s="181"/>
      <c r="X388" s="181"/>
      <c r="Y388" s="181"/>
      <c r="Z388" s="395"/>
      <c r="AA388" s="387"/>
      <c r="AB388" s="181"/>
      <c r="AC388" s="181"/>
      <c r="AD388" s="181"/>
      <c r="AE388" s="395"/>
      <c r="AF388" s="387"/>
      <c r="AG388" s="181"/>
      <c r="AH388" s="181"/>
      <c r="AI388" s="181"/>
      <c r="AJ388" s="395"/>
      <c r="AK388" s="387"/>
      <c r="AL388" s="181"/>
      <c r="AM388" s="181"/>
      <c r="AN388" s="181"/>
      <c r="AO388" s="370"/>
      <c r="AP388" s="370"/>
      <c r="AQ388" s="370"/>
      <c r="AR388" s="370"/>
      <c r="AS388" s="370"/>
    </row>
    <row r="389">
      <c r="A389" s="395"/>
      <c r="B389" s="387"/>
      <c r="C389" s="181"/>
      <c r="D389" s="181"/>
      <c r="E389" s="181"/>
      <c r="F389" s="395"/>
      <c r="G389" s="387"/>
      <c r="H389" s="181"/>
      <c r="I389" s="181"/>
      <c r="J389" s="181"/>
      <c r="K389" s="88"/>
      <c r="L389" s="387"/>
      <c r="M389" s="181"/>
      <c r="N389" s="181"/>
      <c r="O389" s="181"/>
      <c r="P389" s="88"/>
      <c r="Q389" s="155"/>
      <c r="R389" s="181"/>
      <c r="S389" s="181"/>
      <c r="T389" s="181"/>
      <c r="U389" s="395"/>
      <c r="V389" s="387"/>
      <c r="W389" s="181"/>
      <c r="X389" s="181"/>
      <c r="Y389" s="181"/>
      <c r="Z389" s="395"/>
      <c r="AA389" s="387"/>
      <c r="AB389" s="181"/>
      <c r="AC389" s="181"/>
      <c r="AD389" s="181"/>
      <c r="AE389" s="395"/>
      <c r="AF389" s="387"/>
      <c r="AG389" s="181"/>
      <c r="AH389" s="181"/>
      <c r="AI389" s="181"/>
      <c r="AJ389" s="395"/>
      <c r="AK389" s="387"/>
      <c r="AL389" s="181"/>
      <c r="AM389" s="181"/>
      <c r="AN389" s="181"/>
      <c r="AO389" s="370"/>
      <c r="AP389" s="370"/>
      <c r="AQ389" s="370"/>
      <c r="AR389" s="370"/>
      <c r="AS389" s="370"/>
    </row>
    <row r="390">
      <c r="A390" s="395"/>
      <c r="B390" s="387"/>
      <c r="C390" s="181"/>
      <c r="D390" s="181"/>
      <c r="E390" s="181"/>
      <c r="F390" s="395"/>
      <c r="G390" s="387"/>
      <c r="H390" s="181"/>
      <c r="I390" s="181"/>
      <c r="J390" s="181"/>
      <c r="K390" s="88"/>
      <c r="L390" s="387"/>
      <c r="M390" s="181"/>
      <c r="N390" s="181"/>
      <c r="O390" s="181"/>
      <c r="P390" s="88"/>
      <c r="Q390" s="155"/>
      <c r="R390" s="181"/>
      <c r="S390" s="181"/>
      <c r="T390" s="181"/>
      <c r="U390" s="395"/>
      <c r="V390" s="387"/>
      <c r="W390" s="181"/>
      <c r="X390" s="181"/>
      <c r="Y390" s="181"/>
      <c r="Z390" s="395"/>
      <c r="AA390" s="387"/>
      <c r="AB390" s="181"/>
      <c r="AC390" s="181"/>
      <c r="AD390" s="181"/>
      <c r="AE390" s="395"/>
      <c r="AF390" s="387"/>
      <c r="AG390" s="181"/>
      <c r="AH390" s="181"/>
      <c r="AI390" s="181"/>
      <c r="AJ390" s="395"/>
      <c r="AK390" s="387"/>
      <c r="AL390" s="181"/>
      <c r="AM390" s="181"/>
      <c r="AN390" s="181"/>
      <c r="AO390" s="370"/>
      <c r="AP390" s="370"/>
      <c r="AQ390" s="370"/>
      <c r="AR390" s="370"/>
      <c r="AS390" s="370"/>
    </row>
    <row r="391">
      <c r="A391" s="395"/>
      <c r="B391" s="387"/>
      <c r="C391" s="181"/>
      <c r="D391" s="181"/>
      <c r="E391" s="181"/>
      <c r="F391" s="395"/>
      <c r="G391" s="387"/>
      <c r="H391" s="181"/>
      <c r="I391" s="181"/>
      <c r="J391" s="181"/>
      <c r="K391" s="88"/>
      <c r="L391" s="387"/>
      <c r="M391" s="181"/>
      <c r="N391" s="181"/>
      <c r="O391" s="181"/>
      <c r="P391" s="88"/>
      <c r="Q391" s="155"/>
      <c r="R391" s="181"/>
      <c r="S391" s="181"/>
      <c r="T391" s="181"/>
      <c r="U391" s="395"/>
      <c r="V391" s="387"/>
      <c r="W391" s="181"/>
      <c r="X391" s="181"/>
      <c r="Y391" s="181"/>
      <c r="Z391" s="395"/>
      <c r="AA391" s="387"/>
      <c r="AB391" s="181"/>
      <c r="AC391" s="181"/>
      <c r="AD391" s="181"/>
      <c r="AE391" s="395"/>
      <c r="AF391" s="387"/>
      <c r="AG391" s="181"/>
      <c r="AH391" s="181"/>
      <c r="AI391" s="181"/>
      <c r="AJ391" s="395"/>
      <c r="AK391" s="387"/>
      <c r="AL391" s="181"/>
      <c r="AM391" s="181"/>
      <c r="AN391" s="181"/>
      <c r="AO391" s="370"/>
      <c r="AP391" s="370"/>
      <c r="AQ391" s="370"/>
      <c r="AR391" s="370"/>
      <c r="AS391" s="370"/>
    </row>
    <row r="392">
      <c r="A392" s="395"/>
      <c r="B392" s="387"/>
      <c r="C392" s="181"/>
      <c r="D392" s="181"/>
      <c r="E392" s="181"/>
      <c r="F392" s="395"/>
      <c r="G392" s="387"/>
      <c r="H392" s="181"/>
      <c r="I392" s="181"/>
      <c r="J392" s="181"/>
      <c r="K392" s="88"/>
      <c r="L392" s="387"/>
      <c r="M392" s="181"/>
      <c r="N392" s="181"/>
      <c r="O392" s="181"/>
      <c r="P392" s="88"/>
      <c r="Q392" s="155"/>
      <c r="R392" s="181"/>
      <c r="S392" s="181"/>
      <c r="T392" s="181"/>
      <c r="U392" s="395"/>
      <c r="V392" s="387"/>
      <c r="W392" s="181"/>
      <c r="X392" s="181"/>
      <c r="Y392" s="181"/>
      <c r="Z392" s="395"/>
      <c r="AA392" s="387"/>
      <c r="AB392" s="181"/>
      <c r="AC392" s="181"/>
      <c r="AD392" s="181"/>
      <c r="AE392" s="395"/>
      <c r="AF392" s="387"/>
      <c r="AG392" s="181"/>
      <c r="AH392" s="181"/>
      <c r="AI392" s="181"/>
      <c r="AJ392" s="395"/>
      <c r="AK392" s="387"/>
      <c r="AL392" s="181"/>
      <c r="AM392" s="181"/>
      <c r="AN392" s="181"/>
      <c r="AO392" s="370"/>
      <c r="AP392" s="370"/>
      <c r="AQ392" s="370"/>
      <c r="AR392" s="370"/>
      <c r="AS392" s="370"/>
    </row>
    <row r="393">
      <c r="A393" s="395"/>
      <c r="B393" s="387"/>
      <c r="C393" s="181"/>
      <c r="D393" s="181"/>
      <c r="E393" s="181"/>
      <c r="F393" s="395"/>
      <c r="G393" s="387"/>
      <c r="H393" s="181"/>
      <c r="I393" s="181"/>
      <c r="J393" s="181"/>
      <c r="K393" s="88"/>
      <c r="L393" s="387"/>
      <c r="M393" s="181"/>
      <c r="N393" s="181"/>
      <c r="O393" s="181"/>
      <c r="P393" s="88"/>
      <c r="Q393" s="155"/>
      <c r="R393" s="181"/>
      <c r="S393" s="181"/>
      <c r="T393" s="181"/>
      <c r="U393" s="395"/>
      <c r="V393" s="387"/>
      <c r="W393" s="181"/>
      <c r="X393" s="181"/>
      <c r="Y393" s="181"/>
      <c r="Z393" s="395"/>
      <c r="AA393" s="387"/>
      <c r="AB393" s="181"/>
      <c r="AC393" s="181"/>
      <c r="AD393" s="181"/>
      <c r="AE393" s="395"/>
      <c r="AF393" s="387"/>
      <c r="AG393" s="181"/>
      <c r="AH393" s="181"/>
      <c r="AI393" s="181"/>
      <c r="AJ393" s="395"/>
      <c r="AK393" s="387"/>
      <c r="AL393" s="181"/>
      <c r="AM393" s="181"/>
      <c r="AN393" s="181"/>
      <c r="AO393" s="370"/>
      <c r="AP393" s="370"/>
      <c r="AQ393" s="370"/>
      <c r="AR393" s="370"/>
      <c r="AS393" s="370"/>
    </row>
    <row r="394">
      <c r="A394" s="395"/>
      <c r="B394" s="387"/>
      <c r="C394" s="181"/>
      <c r="D394" s="181"/>
      <c r="E394" s="181"/>
      <c r="F394" s="395"/>
      <c r="G394" s="387"/>
      <c r="H394" s="181"/>
      <c r="I394" s="181"/>
      <c r="J394" s="181"/>
      <c r="K394" s="88"/>
      <c r="L394" s="387"/>
      <c r="M394" s="181"/>
      <c r="N394" s="181"/>
      <c r="O394" s="181"/>
      <c r="P394" s="88"/>
      <c r="Q394" s="155"/>
      <c r="R394" s="181"/>
      <c r="S394" s="181"/>
      <c r="T394" s="181"/>
      <c r="U394" s="395"/>
      <c r="V394" s="387"/>
      <c r="W394" s="181"/>
      <c r="X394" s="181"/>
      <c r="Y394" s="181"/>
      <c r="Z394" s="395"/>
      <c r="AA394" s="387"/>
      <c r="AB394" s="181"/>
      <c r="AC394" s="181"/>
      <c r="AD394" s="181"/>
      <c r="AE394" s="395"/>
      <c r="AF394" s="387"/>
      <c r="AG394" s="181"/>
      <c r="AH394" s="181"/>
      <c r="AI394" s="181"/>
      <c r="AJ394" s="395"/>
      <c r="AK394" s="387"/>
      <c r="AL394" s="181"/>
      <c r="AM394" s="181"/>
      <c r="AN394" s="181"/>
      <c r="AO394" s="370"/>
      <c r="AP394" s="370"/>
      <c r="AQ394" s="370"/>
      <c r="AR394" s="370"/>
      <c r="AS394" s="370"/>
    </row>
    <row r="395">
      <c r="A395" s="395"/>
      <c r="B395" s="387"/>
      <c r="C395" s="181"/>
      <c r="D395" s="181"/>
      <c r="E395" s="181"/>
      <c r="F395" s="395"/>
      <c r="G395" s="387"/>
      <c r="H395" s="181"/>
      <c r="I395" s="181"/>
      <c r="J395" s="181"/>
      <c r="K395" s="88"/>
      <c r="L395" s="387"/>
      <c r="M395" s="181"/>
      <c r="N395" s="181"/>
      <c r="O395" s="181"/>
      <c r="P395" s="88"/>
      <c r="Q395" s="155"/>
      <c r="R395" s="181"/>
      <c r="S395" s="181"/>
      <c r="T395" s="181"/>
      <c r="U395" s="395"/>
      <c r="V395" s="387"/>
      <c r="W395" s="181"/>
      <c r="X395" s="181"/>
      <c r="Y395" s="181"/>
      <c r="Z395" s="395"/>
      <c r="AA395" s="387"/>
      <c r="AB395" s="181"/>
      <c r="AC395" s="181"/>
      <c r="AD395" s="181"/>
      <c r="AE395" s="395"/>
      <c r="AF395" s="387"/>
      <c r="AG395" s="181"/>
      <c r="AH395" s="181"/>
      <c r="AI395" s="181"/>
      <c r="AJ395" s="395"/>
      <c r="AK395" s="387"/>
      <c r="AL395" s="181"/>
      <c r="AM395" s="181"/>
      <c r="AN395" s="181"/>
      <c r="AO395" s="370"/>
      <c r="AP395" s="370"/>
      <c r="AQ395" s="370"/>
      <c r="AR395" s="370"/>
      <c r="AS395" s="370"/>
    </row>
    <row r="396">
      <c r="A396" s="395"/>
      <c r="B396" s="387"/>
      <c r="C396" s="181"/>
      <c r="D396" s="181"/>
      <c r="E396" s="181"/>
      <c r="F396" s="395"/>
      <c r="G396" s="387"/>
      <c r="H396" s="181"/>
      <c r="I396" s="181"/>
      <c r="J396" s="181"/>
      <c r="K396" s="88"/>
      <c r="L396" s="387"/>
      <c r="M396" s="181"/>
      <c r="N396" s="181"/>
      <c r="O396" s="181"/>
      <c r="P396" s="88"/>
      <c r="Q396" s="155"/>
      <c r="R396" s="181"/>
      <c r="S396" s="181"/>
      <c r="T396" s="181"/>
      <c r="U396" s="395"/>
      <c r="V396" s="387"/>
      <c r="W396" s="181"/>
      <c r="X396" s="181"/>
      <c r="Y396" s="181"/>
      <c r="Z396" s="395"/>
      <c r="AA396" s="387"/>
      <c r="AB396" s="181"/>
      <c r="AC396" s="181"/>
      <c r="AD396" s="181"/>
      <c r="AE396" s="395"/>
      <c r="AF396" s="387"/>
      <c r="AG396" s="181"/>
      <c r="AH396" s="181"/>
      <c r="AI396" s="181"/>
      <c r="AJ396" s="395"/>
      <c r="AK396" s="387"/>
      <c r="AL396" s="181"/>
      <c r="AM396" s="181"/>
      <c r="AN396" s="181"/>
      <c r="AO396" s="370"/>
      <c r="AP396" s="370"/>
      <c r="AQ396" s="370"/>
      <c r="AR396" s="370"/>
      <c r="AS396" s="370"/>
    </row>
    <row r="397">
      <c r="A397" s="395"/>
      <c r="B397" s="387"/>
      <c r="C397" s="181"/>
      <c r="D397" s="181"/>
      <c r="E397" s="181"/>
      <c r="F397" s="395"/>
      <c r="G397" s="387"/>
      <c r="H397" s="181"/>
      <c r="I397" s="181"/>
      <c r="J397" s="181"/>
      <c r="K397" s="88"/>
      <c r="L397" s="387"/>
      <c r="M397" s="181"/>
      <c r="N397" s="181"/>
      <c r="O397" s="181"/>
      <c r="P397" s="88"/>
      <c r="Q397" s="155"/>
      <c r="R397" s="181"/>
      <c r="S397" s="181"/>
      <c r="T397" s="181"/>
      <c r="U397" s="395"/>
      <c r="V397" s="387"/>
      <c r="W397" s="181"/>
      <c r="X397" s="181"/>
      <c r="Y397" s="181"/>
      <c r="Z397" s="395"/>
      <c r="AA397" s="387"/>
      <c r="AB397" s="181"/>
      <c r="AC397" s="181"/>
      <c r="AD397" s="181"/>
      <c r="AE397" s="395"/>
      <c r="AF397" s="387"/>
      <c r="AG397" s="181"/>
      <c r="AH397" s="181"/>
      <c r="AI397" s="181"/>
      <c r="AJ397" s="395"/>
      <c r="AK397" s="387"/>
      <c r="AL397" s="181"/>
      <c r="AM397" s="181"/>
      <c r="AN397" s="181"/>
      <c r="AO397" s="370"/>
      <c r="AP397" s="370"/>
      <c r="AQ397" s="370"/>
      <c r="AR397" s="370"/>
      <c r="AS397" s="370"/>
    </row>
    <row r="398">
      <c r="A398" s="395"/>
      <c r="B398" s="387"/>
      <c r="C398" s="181"/>
      <c r="D398" s="181"/>
      <c r="E398" s="181"/>
      <c r="F398" s="395"/>
      <c r="G398" s="387"/>
      <c r="H398" s="181"/>
      <c r="I398" s="181"/>
      <c r="J398" s="181"/>
      <c r="K398" s="88"/>
      <c r="L398" s="387"/>
      <c r="M398" s="181"/>
      <c r="N398" s="181"/>
      <c r="O398" s="181"/>
      <c r="P398" s="88"/>
      <c r="Q398" s="155"/>
      <c r="R398" s="181"/>
      <c r="S398" s="181"/>
      <c r="T398" s="181"/>
      <c r="U398" s="395"/>
      <c r="V398" s="387"/>
      <c r="W398" s="181"/>
      <c r="X398" s="181"/>
      <c r="Y398" s="181"/>
      <c r="Z398" s="395"/>
      <c r="AA398" s="387"/>
      <c r="AB398" s="181"/>
      <c r="AC398" s="181"/>
      <c r="AD398" s="181"/>
      <c r="AE398" s="395"/>
      <c r="AF398" s="387"/>
      <c r="AG398" s="181"/>
      <c r="AH398" s="181"/>
      <c r="AI398" s="181"/>
      <c r="AJ398" s="395"/>
      <c r="AK398" s="387"/>
      <c r="AL398" s="181"/>
      <c r="AM398" s="181"/>
      <c r="AN398" s="181"/>
      <c r="AO398" s="370"/>
      <c r="AP398" s="370"/>
      <c r="AQ398" s="370"/>
      <c r="AR398" s="370"/>
      <c r="AS398" s="370"/>
    </row>
    <row r="399">
      <c r="A399" s="395"/>
      <c r="B399" s="387"/>
      <c r="C399" s="181"/>
      <c r="D399" s="181"/>
      <c r="E399" s="181"/>
      <c r="F399" s="395"/>
      <c r="G399" s="387"/>
      <c r="H399" s="181"/>
      <c r="I399" s="181"/>
      <c r="J399" s="181"/>
      <c r="K399" s="88"/>
      <c r="L399" s="387"/>
      <c r="M399" s="181"/>
      <c r="N399" s="181"/>
      <c r="O399" s="181"/>
      <c r="P399" s="88"/>
      <c r="Q399" s="155"/>
      <c r="R399" s="181"/>
      <c r="S399" s="181"/>
      <c r="T399" s="181"/>
      <c r="U399" s="395"/>
      <c r="V399" s="387"/>
      <c r="W399" s="181"/>
      <c r="X399" s="181"/>
      <c r="Y399" s="181"/>
      <c r="Z399" s="395"/>
      <c r="AA399" s="387"/>
      <c r="AB399" s="181"/>
      <c r="AC399" s="181"/>
      <c r="AD399" s="181"/>
      <c r="AE399" s="395"/>
      <c r="AF399" s="387"/>
      <c r="AG399" s="181"/>
      <c r="AH399" s="181"/>
      <c r="AI399" s="181"/>
      <c r="AJ399" s="395"/>
      <c r="AK399" s="387"/>
      <c r="AL399" s="181"/>
      <c r="AM399" s="181"/>
      <c r="AN399" s="181"/>
      <c r="AO399" s="370"/>
      <c r="AP399" s="370"/>
      <c r="AQ399" s="370"/>
      <c r="AR399" s="370"/>
      <c r="AS399" s="370"/>
    </row>
    <row r="400">
      <c r="A400" s="395"/>
      <c r="B400" s="387"/>
      <c r="C400" s="181"/>
      <c r="D400" s="181"/>
      <c r="E400" s="181"/>
      <c r="F400" s="395"/>
      <c r="G400" s="387"/>
      <c r="H400" s="181"/>
      <c r="I400" s="181"/>
      <c r="J400" s="181"/>
      <c r="K400" s="88"/>
      <c r="L400" s="387"/>
      <c r="M400" s="181"/>
      <c r="N400" s="181"/>
      <c r="O400" s="181"/>
      <c r="P400" s="88"/>
      <c r="Q400" s="155"/>
      <c r="R400" s="181"/>
      <c r="S400" s="181"/>
      <c r="T400" s="181"/>
      <c r="U400" s="395"/>
      <c r="V400" s="387"/>
      <c r="W400" s="181"/>
      <c r="X400" s="181"/>
      <c r="Y400" s="181"/>
      <c r="Z400" s="395"/>
      <c r="AA400" s="387"/>
      <c r="AB400" s="181"/>
      <c r="AC400" s="181"/>
      <c r="AD400" s="181"/>
      <c r="AE400" s="395"/>
      <c r="AF400" s="387"/>
      <c r="AG400" s="181"/>
      <c r="AH400" s="181"/>
      <c r="AI400" s="181"/>
      <c r="AJ400" s="395"/>
      <c r="AK400" s="387"/>
      <c r="AL400" s="181"/>
      <c r="AM400" s="181"/>
      <c r="AN400" s="181"/>
      <c r="AO400" s="370"/>
      <c r="AP400" s="370"/>
      <c r="AQ400" s="370"/>
      <c r="AR400" s="370"/>
      <c r="AS400" s="370"/>
    </row>
    <row r="401">
      <c r="A401" s="395"/>
      <c r="B401" s="387"/>
      <c r="C401" s="181"/>
      <c r="D401" s="181"/>
      <c r="E401" s="181"/>
      <c r="F401" s="395"/>
      <c r="G401" s="387"/>
      <c r="H401" s="181"/>
      <c r="I401" s="181"/>
      <c r="J401" s="181"/>
      <c r="K401" s="88"/>
      <c r="L401" s="387"/>
      <c r="M401" s="181"/>
      <c r="N401" s="181"/>
      <c r="O401" s="181"/>
      <c r="P401" s="88"/>
      <c r="Q401" s="155"/>
      <c r="R401" s="181"/>
      <c r="S401" s="181"/>
      <c r="T401" s="181"/>
      <c r="U401" s="395"/>
      <c r="V401" s="387"/>
      <c r="W401" s="181"/>
      <c r="X401" s="181"/>
      <c r="Y401" s="181"/>
      <c r="Z401" s="395"/>
      <c r="AA401" s="387"/>
      <c r="AB401" s="181"/>
      <c r="AC401" s="181"/>
      <c r="AD401" s="181"/>
      <c r="AE401" s="395"/>
      <c r="AF401" s="387"/>
      <c r="AG401" s="181"/>
      <c r="AH401" s="181"/>
      <c r="AI401" s="181"/>
      <c r="AJ401" s="395"/>
      <c r="AK401" s="387"/>
      <c r="AL401" s="181"/>
      <c r="AM401" s="181"/>
      <c r="AN401" s="181"/>
      <c r="AO401" s="370"/>
      <c r="AP401" s="370"/>
      <c r="AQ401" s="370"/>
      <c r="AR401" s="370"/>
      <c r="AS401" s="370"/>
    </row>
    <row r="402">
      <c r="A402" s="395"/>
      <c r="B402" s="387"/>
      <c r="C402" s="181"/>
      <c r="D402" s="181"/>
      <c r="E402" s="181"/>
      <c r="F402" s="395"/>
      <c r="G402" s="387"/>
      <c r="H402" s="181"/>
      <c r="I402" s="181"/>
      <c r="J402" s="181"/>
      <c r="K402" s="88"/>
      <c r="L402" s="387"/>
      <c r="M402" s="181"/>
      <c r="N402" s="181"/>
      <c r="O402" s="181"/>
      <c r="P402" s="88"/>
      <c r="Q402" s="155"/>
      <c r="R402" s="181"/>
      <c r="S402" s="181"/>
      <c r="T402" s="181"/>
      <c r="U402" s="395"/>
      <c r="V402" s="387"/>
      <c r="W402" s="181"/>
      <c r="X402" s="181"/>
      <c r="Y402" s="181"/>
      <c r="Z402" s="395"/>
      <c r="AA402" s="387"/>
      <c r="AB402" s="181"/>
      <c r="AC402" s="181"/>
      <c r="AD402" s="181"/>
      <c r="AE402" s="395"/>
      <c r="AF402" s="387"/>
      <c r="AG402" s="181"/>
      <c r="AH402" s="181"/>
      <c r="AI402" s="181"/>
      <c r="AJ402" s="395"/>
      <c r="AK402" s="387"/>
      <c r="AL402" s="181"/>
      <c r="AM402" s="181"/>
      <c r="AN402" s="181"/>
      <c r="AO402" s="370"/>
      <c r="AP402" s="370"/>
      <c r="AQ402" s="370"/>
      <c r="AR402" s="370"/>
      <c r="AS402" s="370"/>
    </row>
    <row r="403">
      <c r="A403" s="395"/>
      <c r="B403" s="387"/>
      <c r="C403" s="181"/>
      <c r="D403" s="181"/>
      <c r="E403" s="181"/>
      <c r="F403" s="395"/>
      <c r="G403" s="387"/>
      <c r="H403" s="181"/>
      <c r="I403" s="181"/>
      <c r="J403" s="181"/>
      <c r="K403" s="88"/>
      <c r="L403" s="387"/>
      <c r="M403" s="181"/>
      <c r="N403" s="181"/>
      <c r="O403" s="181"/>
      <c r="P403" s="88"/>
      <c r="Q403" s="155"/>
      <c r="R403" s="181"/>
      <c r="S403" s="181"/>
      <c r="T403" s="181"/>
      <c r="U403" s="395"/>
      <c r="V403" s="387"/>
      <c r="W403" s="181"/>
      <c r="X403" s="181"/>
      <c r="Y403" s="181"/>
      <c r="Z403" s="395"/>
      <c r="AA403" s="387"/>
      <c r="AB403" s="181"/>
      <c r="AC403" s="181"/>
      <c r="AD403" s="181"/>
      <c r="AE403" s="395"/>
      <c r="AF403" s="387"/>
      <c r="AG403" s="181"/>
      <c r="AH403" s="181"/>
      <c r="AI403" s="181"/>
      <c r="AJ403" s="395"/>
      <c r="AK403" s="387"/>
      <c r="AL403" s="181"/>
      <c r="AM403" s="181"/>
      <c r="AN403" s="181"/>
      <c r="AO403" s="370"/>
      <c r="AP403" s="370"/>
      <c r="AQ403" s="370"/>
      <c r="AR403" s="370"/>
      <c r="AS403" s="370"/>
    </row>
    <row r="404">
      <c r="A404" s="395"/>
      <c r="B404" s="387"/>
      <c r="C404" s="181"/>
      <c r="D404" s="181"/>
      <c r="E404" s="181"/>
      <c r="F404" s="395"/>
      <c r="G404" s="387"/>
      <c r="H404" s="181"/>
      <c r="I404" s="181"/>
      <c r="J404" s="181"/>
      <c r="K404" s="88"/>
      <c r="L404" s="387"/>
      <c r="M404" s="181"/>
      <c r="N404" s="181"/>
      <c r="O404" s="181"/>
      <c r="P404" s="88"/>
      <c r="Q404" s="155"/>
      <c r="R404" s="181"/>
      <c r="S404" s="181"/>
      <c r="T404" s="181"/>
      <c r="U404" s="395"/>
      <c r="V404" s="387"/>
      <c r="W404" s="181"/>
      <c r="X404" s="181"/>
      <c r="Y404" s="181"/>
      <c r="Z404" s="395"/>
      <c r="AA404" s="387"/>
      <c r="AB404" s="181"/>
      <c r="AC404" s="181"/>
      <c r="AD404" s="181"/>
      <c r="AE404" s="395"/>
      <c r="AF404" s="387"/>
      <c r="AG404" s="181"/>
      <c r="AH404" s="181"/>
      <c r="AI404" s="181"/>
      <c r="AJ404" s="395"/>
      <c r="AK404" s="387"/>
      <c r="AL404" s="181"/>
      <c r="AM404" s="181"/>
      <c r="AN404" s="181"/>
      <c r="AO404" s="370"/>
      <c r="AP404" s="370"/>
      <c r="AQ404" s="370"/>
      <c r="AR404" s="370"/>
      <c r="AS404" s="370"/>
    </row>
    <row r="405">
      <c r="A405" s="395"/>
      <c r="B405" s="387"/>
      <c r="C405" s="181"/>
      <c r="D405" s="181"/>
      <c r="E405" s="181"/>
      <c r="F405" s="395"/>
      <c r="G405" s="387"/>
      <c r="H405" s="181"/>
      <c r="I405" s="181"/>
      <c r="J405" s="181"/>
      <c r="K405" s="88"/>
      <c r="L405" s="387"/>
      <c r="M405" s="181"/>
      <c r="N405" s="181"/>
      <c r="O405" s="181"/>
      <c r="P405" s="88"/>
      <c r="Q405" s="155"/>
      <c r="R405" s="181"/>
      <c r="S405" s="181"/>
      <c r="T405" s="181"/>
      <c r="U405" s="395"/>
      <c r="V405" s="387"/>
      <c r="W405" s="181"/>
      <c r="X405" s="181"/>
      <c r="Y405" s="181"/>
      <c r="Z405" s="395"/>
      <c r="AA405" s="387"/>
      <c r="AB405" s="181"/>
      <c r="AC405" s="181"/>
      <c r="AD405" s="181"/>
      <c r="AE405" s="395"/>
      <c r="AF405" s="387"/>
      <c r="AG405" s="181"/>
      <c r="AH405" s="181"/>
      <c r="AI405" s="181"/>
      <c r="AJ405" s="395"/>
      <c r="AK405" s="387"/>
      <c r="AL405" s="181"/>
      <c r="AM405" s="181"/>
      <c r="AN405" s="181"/>
      <c r="AO405" s="370"/>
      <c r="AP405" s="370"/>
      <c r="AQ405" s="370"/>
      <c r="AR405" s="370"/>
      <c r="AS405" s="370"/>
    </row>
    <row r="406">
      <c r="A406" s="395"/>
      <c r="B406" s="387"/>
      <c r="C406" s="181"/>
      <c r="D406" s="181"/>
      <c r="E406" s="181"/>
      <c r="F406" s="395"/>
      <c r="G406" s="387"/>
      <c r="H406" s="181"/>
      <c r="I406" s="181"/>
      <c r="J406" s="181"/>
      <c r="K406" s="88"/>
      <c r="L406" s="387"/>
      <c r="M406" s="181"/>
      <c r="N406" s="181"/>
      <c r="O406" s="181"/>
      <c r="P406" s="88"/>
      <c r="Q406" s="155"/>
      <c r="R406" s="181"/>
      <c r="S406" s="181"/>
      <c r="T406" s="181"/>
      <c r="U406" s="395"/>
      <c r="V406" s="387"/>
      <c r="W406" s="181"/>
      <c r="X406" s="181"/>
      <c r="Y406" s="181"/>
      <c r="Z406" s="395"/>
      <c r="AA406" s="387"/>
      <c r="AB406" s="181"/>
      <c r="AC406" s="181"/>
      <c r="AD406" s="181"/>
      <c r="AE406" s="395"/>
      <c r="AF406" s="387"/>
      <c r="AG406" s="181"/>
      <c r="AH406" s="181"/>
      <c r="AI406" s="181"/>
      <c r="AJ406" s="395"/>
      <c r="AK406" s="387"/>
      <c r="AL406" s="181"/>
      <c r="AM406" s="181"/>
      <c r="AN406" s="181"/>
      <c r="AO406" s="370"/>
      <c r="AP406" s="370"/>
      <c r="AQ406" s="370"/>
      <c r="AR406" s="370"/>
      <c r="AS406" s="370"/>
    </row>
    <row r="407">
      <c r="A407" s="395"/>
      <c r="B407" s="387"/>
      <c r="C407" s="181"/>
      <c r="D407" s="181"/>
      <c r="E407" s="181"/>
      <c r="F407" s="395"/>
      <c r="G407" s="387"/>
      <c r="H407" s="181"/>
      <c r="I407" s="181"/>
      <c r="J407" s="181"/>
      <c r="K407" s="88"/>
      <c r="L407" s="387"/>
      <c r="M407" s="181"/>
      <c r="N407" s="181"/>
      <c r="O407" s="181"/>
      <c r="P407" s="88"/>
      <c r="Q407" s="155"/>
      <c r="R407" s="181"/>
      <c r="S407" s="181"/>
      <c r="T407" s="181"/>
      <c r="U407" s="395"/>
      <c r="V407" s="387"/>
      <c r="W407" s="181"/>
      <c r="X407" s="181"/>
      <c r="Y407" s="181"/>
      <c r="Z407" s="395"/>
      <c r="AA407" s="387"/>
      <c r="AB407" s="181"/>
      <c r="AC407" s="181"/>
      <c r="AD407" s="181"/>
      <c r="AE407" s="395"/>
      <c r="AF407" s="387"/>
      <c r="AG407" s="181"/>
      <c r="AH407" s="181"/>
      <c r="AI407" s="181"/>
      <c r="AJ407" s="395"/>
      <c r="AK407" s="387"/>
      <c r="AL407" s="181"/>
      <c r="AM407" s="181"/>
      <c r="AN407" s="181"/>
      <c r="AO407" s="370"/>
      <c r="AP407" s="370"/>
      <c r="AQ407" s="370"/>
      <c r="AR407" s="370"/>
      <c r="AS407" s="370"/>
    </row>
    <row r="408">
      <c r="A408" s="395"/>
      <c r="B408" s="387"/>
      <c r="C408" s="181"/>
      <c r="D408" s="181"/>
      <c r="E408" s="181"/>
      <c r="F408" s="395"/>
      <c r="G408" s="387"/>
      <c r="H408" s="181"/>
      <c r="I408" s="181"/>
      <c r="J408" s="181"/>
      <c r="K408" s="88"/>
      <c r="L408" s="387"/>
      <c r="M408" s="181"/>
      <c r="N408" s="181"/>
      <c r="O408" s="181"/>
      <c r="P408" s="88"/>
      <c r="Q408" s="155"/>
      <c r="R408" s="181"/>
      <c r="S408" s="181"/>
      <c r="T408" s="181"/>
      <c r="U408" s="395"/>
      <c r="V408" s="387"/>
      <c r="W408" s="181"/>
      <c r="X408" s="181"/>
      <c r="Y408" s="181"/>
      <c r="Z408" s="395"/>
      <c r="AA408" s="387"/>
      <c r="AB408" s="181"/>
      <c r="AC408" s="181"/>
      <c r="AD408" s="181"/>
      <c r="AE408" s="395"/>
      <c r="AF408" s="387"/>
      <c r="AG408" s="181"/>
      <c r="AH408" s="181"/>
      <c r="AI408" s="181"/>
      <c r="AJ408" s="395"/>
      <c r="AK408" s="387"/>
      <c r="AL408" s="181"/>
      <c r="AM408" s="181"/>
      <c r="AN408" s="181"/>
      <c r="AO408" s="370"/>
      <c r="AP408" s="370"/>
      <c r="AQ408" s="370"/>
      <c r="AR408" s="370"/>
      <c r="AS408" s="370"/>
    </row>
    <row r="409">
      <c r="A409" s="395"/>
      <c r="B409" s="387"/>
      <c r="C409" s="181"/>
      <c r="D409" s="181"/>
      <c r="E409" s="181"/>
      <c r="F409" s="395"/>
      <c r="G409" s="387"/>
      <c r="H409" s="181"/>
      <c r="I409" s="181"/>
      <c r="J409" s="181"/>
      <c r="K409" s="88"/>
      <c r="L409" s="387"/>
      <c r="M409" s="181"/>
      <c r="N409" s="181"/>
      <c r="O409" s="181"/>
      <c r="P409" s="88"/>
      <c r="Q409" s="155"/>
      <c r="R409" s="181"/>
      <c r="S409" s="181"/>
      <c r="T409" s="181"/>
      <c r="U409" s="395"/>
      <c r="V409" s="387"/>
      <c r="W409" s="181"/>
      <c r="X409" s="181"/>
      <c r="Y409" s="181"/>
      <c r="Z409" s="395"/>
      <c r="AA409" s="387"/>
      <c r="AB409" s="181"/>
      <c r="AC409" s="181"/>
      <c r="AD409" s="181"/>
      <c r="AE409" s="395"/>
      <c r="AF409" s="387"/>
      <c r="AG409" s="181"/>
      <c r="AH409" s="181"/>
      <c r="AI409" s="181"/>
      <c r="AJ409" s="395"/>
      <c r="AK409" s="387"/>
      <c r="AL409" s="181"/>
      <c r="AM409" s="181"/>
      <c r="AN409" s="181"/>
      <c r="AO409" s="370"/>
      <c r="AP409" s="370"/>
      <c r="AQ409" s="370"/>
      <c r="AR409" s="370"/>
      <c r="AS409" s="370"/>
    </row>
    <row r="410">
      <c r="A410" s="395"/>
      <c r="B410" s="387"/>
      <c r="C410" s="181"/>
      <c r="D410" s="181"/>
      <c r="E410" s="181"/>
      <c r="F410" s="395"/>
      <c r="G410" s="387"/>
      <c r="H410" s="181"/>
      <c r="I410" s="181"/>
      <c r="J410" s="181"/>
      <c r="K410" s="88"/>
      <c r="L410" s="387"/>
      <c r="M410" s="181"/>
      <c r="N410" s="181"/>
      <c r="O410" s="181"/>
      <c r="P410" s="88"/>
      <c r="Q410" s="155"/>
      <c r="R410" s="181"/>
      <c r="S410" s="181"/>
      <c r="T410" s="181"/>
      <c r="U410" s="395"/>
      <c r="V410" s="387"/>
      <c r="W410" s="181"/>
      <c r="X410" s="181"/>
      <c r="Y410" s="181"/>
      <c r="Z410" s="395"/>
      <c r="AA410" s="387"/>
      <c r="AB410" s="181"/>
      <c r="AC410" s="181"/>
      <c r="AD410" s="181"/>
      <c r="AE410" s="395"/>
      <c r="AF410" s="387"/>
      <c r="AG410" s="181"/>
      <c r="AH410" s="181"/>
      <c r="AI410" s="181"/>
      <c r="AJ410" s="395"/>
      <c r="AK410" s="387"/>
      <c r="AL410" s="181"/>
      <c r="AM410" s="181"/>
      <c r="AN410" s="181"/>
      <c r="AO410" s="370"/>
      <c r="AP410" s="370"/>
      <c r="AQ410" s="370"/>
      <c r="AR410" s="370"/>
      <c r="AS410" s="370"/>
    </row>
    <row r="411">
      <c r="A411" s="395"/>
      <c r="B411" s="387"/>
      <c r="C411" s="181"/>
      <c r="D411" s="181"/>
      <c r="E411" s="181"/>
      <c r="F411" s="395"/>
      <c r="G411" s="387"/>
      <c r="H411" s="181"/>
      <c r="I411" s="181"/>
      <c r="J411" s="181"/>
      <c r="K411" s="88"/>
      <c r="L411" s="387"/>
      <c r="M411" s="181"/>
      <c r="N411" s="181"/>
      <c r="O411" s="181"/>
      <c r="P411" s="88"/>
      <c r="Q411" s="155"/>
      <c r="R411" s="181"/>
      <c r="S411" s="181"/>
      <c r="T411" s="181"/>
      <c r="U411" s="395"/>
      <c r="V411" s="387"/>
      <c r="W411" s="181"/>
      <c r="X411" s="181"/>
      <c r="Y411" s="181"/>
      <c r="Z411" s="395"/>
      <c r="AA411" s="387"/>
      <c r="AB411" s="181"/>
      <c r="AC411" s="181"/>
      <c r="AD411" s="181"/>
      <c r="AE411" s="395"/>
      <c r="AF411" s="387"/>
      <c r="AG411" s="181"/>
      <c r="AH411" s="181"/>
      <c r="AI411" s="181"/>
      <c r="AJ411" s="395"/>
      <c r="AK411" s="387"/>
      <c r="AL411" s="181"/>
      <c r="AM411" s="181"/>
      <c r="AN411" s="181"/>
      <c r="AO411" s="370"/>
      <c r="AP411" s="370"/>
      <c r="AQ411" s="370"/>
      <c r="AR411" s="370"/>
      <c r="AS411" s="370"/>
    </row>
    <row r="412">
      <c r="A412" s="395"/>
      <c r="B412" s="387"/>
      <c r="C412" s="181"/>
      <c r="D412" s="181"/>
      <c r="E412" s="181"/>
      <c r="F412" s="395"/>
      <c r="G412" s="387"/>
      <c r="H412" s="181"/>
      <c r="I412" s="181"/>
      <c r="J412" s="181"/>
      <c r="K412" s="88"/>
      <c r="L412" s="387"/>
      <c r="M412" s="181"/>
      <c r="N412" s="181"/>
      <c r="O412" s="181"/>
      <c r="P412" s="88"/>
      <c r="Q412" s="155"/>
      <c r="R412" s="181"/>
      <c r="S412" s="181"/>
      <c r="T412" s="181"/>
      <c r="U412" s="395"/>
      <c r="V412" s="387"/>
      <c r="W412" s="181"/>
      <c r="X412" s="181"/>
      <c r="Y412" s="181"/>
      <c r="Z412" s="395"/>
      <c r="AA412" s="387"/>
      <c r="AB412" s="181"/>
      <c r="AC412" s="181"/>
      <c r="AD412" s="181"/>
      <c r="AE412" s="395"/>
      <c r="AF412" s="387"/>
      <c r="AG412" s="181"/>
      <c r="AH412" s="181"/>
      <c r="AI412" s="181"/>
      <c r="AJ412" s="395"/>
      <c r="AK412" s="387"/>
      <c r="AL412" s="181"/>
      <c r="AM412" s="181"/>
      <c r="AN412" s="181"/>
      <c r="AO412" s="370"/>
      <c r="AP412" s="370"/>
      <c r="AQ412" s="370"/>
      <c r="AR412" s="370"/>
      <c r="AS412" s="370"/>
    </row>
    <row r="413">
      <c r="A413" s="395"/>
      <c r="B413" s="387"/>
      <c r="C413" s="181"/>
      <c r="D413" s="181"/>
      <c r="E413" s="181"/>
      <c r="F413" s="395"/>
      <c r="G413" s="387"/>
      <c r="H413" s="181"/>
      <c r="I413" s="181"/>
      <c r="J413" s="181"/>
      <c r="K413" s="88"/>
      <c r="L413" s="387"/>
      <c r="M413" s="181"/>
      <c r="N413" s="181"/>
      <c r="O413" s="181"/>
      <c r="P413" s="88"/>
      <c r="Q413" s="155"/>
      <c r="R413" s="181"/>
      <c r="S413" s="181"/>
      <c r="T413" s="181"/>
      <c r="U413" s="395"/>
      <c r="V413" s="387"/>
      <c r="W413" s="181"/>
      <c r="X413" s="181"/>
      <c r="Y413" s="181"/>
      <c r="Z413" s="395"/>
      <c r="AA413" s="387"/>
      <c r="AB413" s="181"/>
      <c r="AC413" s="181"/>
      <c r="AD413" s="181"/>
      <c r="AE413" s="395"/>
      <c r="AF413" s="387"/>
      <c r="AG413" s="181"/>
      <c r="AH413" s="181"/>
      <c r="AI413" s="181"/>
      <c r="AJ413" s="395"/>
      <c r="AK413" s="387"/>
      <c r="AL413" s="181"/>
      <c r="AM413" s="181"/>
      <c r="AN413" s="181"/>
      <c r="AO413" s="370"/>
      <c r="AP413" s="370"/>
      <c r="AQ413" s="370"/>
      <c r="AR413" s="370"/>
      <c r="AS413" s="370"/>
    </row>
    <row r="414">
      <c r="A414" s="395"/>
      <c r="B414" s="387"/>
      <c r="C414" s="181"/>
      <c r="D414" s="181"/>
      <c r="E414" s="181"/>
      <c r="F414" s="395"/>
      <c r="G414" s="387"/>
      <c r="H414" s="181"/>
      <c r="I414" s="181"/>
      <c r="J414" s="181"/>
      <c r="K414" s="88"/>
      <c r="L414" s="387"/>
      <c r="M414" s="181"/>
      <c r="N414" s="181"/>
      <c r="O414" s="181"/>
      <c r="P414" s="88"/>
      <c r="Q414" s="155"/>
      <c r="R414" s="181"/>
      <c r="S414" s="181"/>
      <c r="T414" s="181"/>
      <c r="U414" s="395"/>
      <c r="V414" s="387"/>
      <c r="W414" s="181"/>
      <c r="X414" s="181"/>
      <c r="Y414" s="181"/>
      <c r="Z414" s="395"/>
      <c r="AA414" s="387"/>
      <c r="AB414" s="181"/>
      <c r="AC414" s="181"/>
      <c r="AD414" s="181"/>
      <c r="AE414" s="395"/>
      <c r="AF414" s="387"/>
      <c r="AG414" s="181"/>
      <c r="AH414" s="181"/>
      <c r="AI414" s="181"/>
      <c r="AJ414" s="395"/>
      <c r="AK414" s="387"/>
      <c r="AL414" s="181"/>
      <c r="AM414" s="181"/>
      <c r="AN414" s="181"/>
      <c r="AO414" s="370"/>
      <c r="AP414" s="370"/>
      <c r="AQ414" s="370"/>
      <c r="AR414" s="370"/>
      <c r="AS414" s="370"/>
    </row>
    <row r="415">
      <c r="A415" s="395"/>
      <c r="B415" s="387"/>
      <c r="C415" s="181"/>
      <c r="D415" s="181"/>
      <c r="E415" s="181"/>
      <c r="F415" s="395"/>
      <c r="G415" s="387"/>
      <c r="H415" s="181"/>
      <c r="I415" s="181"/>
      <c r="J415" s="181"/>
      <c r="K415" s="88"/>
      <c r="L415" s="387"/>
      <c r="M415" s="181"/>
      <c r="N415" s="181"/>
      <c r="O415" s="181"/>
      <c r="P415" s="88"/>
      <c r="Q415" s="155"/>
      <c r="R415" s="181"/>
      <c r="S415" s="181"/>
      <c r="T415" s="181"/>
      <c r="U415" s="395"/>
      <c r="V415" s="387"/>
      <c r="W415" s="181"/>
      <c r="X415" s="181"/>
      <c r="Y415" s="181"/>
      <c r="Z415" s="395"/>
      <c r="AA415" s="387"/>
      <c r="AB415" s="181"/>
      <c r="AC415" s="181"/>
      <c r="AD415" s="181"/>
      <c r="AE415" s="395"/>
      <c r="AF415" s="387"/>
      <c r="AG415" s="181"/>
      <c r="AH415" s="181"/>
      <c r="AI415" s="181"/>
      <c r="AJ415" s="395"/>
      <c r="AK415" s="387"/>
      <c r="AL415" s="181"/>
      <c r="AM415" s="181"/>
      <c r="AN415" s="181"/>
      <c r="AO415" s="370"/>
      <c r="AP415" s="370"/>
      <c r="AQ415" s="370"/>
      <c r="AR415" s="370"/>
      <c r="AS415" s="370"/>
    </row>
    <row r="416">
      <c r="A416" s="395"/>
      <c r="B416" s="387"/>
      <c r="C416" s="181"/>
      <c r="D416" s="181"/>
      <c r="E416" s="181"/>
      <c r="F416" s="395"/>
      <c r="G416" s="387"/>
      <c r="H416" s="181"/>
      <c r="I416" s="181"/>
      <c r="J416" s="181"/>
      <c r="K416" s="88"/>
      <c r="L416" s="387"/>
      <c r="M416" s="181"/>
      <c r="N416" s="181"/>
      <c r="O416" s="181"/>
      <c r="P416" s="88"/>
      <c r="Q416" s="155"/>
      <c r="R416" s="181"/>
      <c r="S416" s="181"/>
      <c r="T416" s="181"/>
      <c r="U416" s="395"/>
      <c r="V416" s="387"/>
      <c r="W416" s="181"/>
      <c r="X416" s="181"/>
      <c r="Y416" s="181"/>
      <c r="Z416" s="395"/>
      <c r="AA416" s="387"/>
      <c r="AB416" s="181"/>
      <c r="AC416" s="181"/>
      <c r="AD416" s="181"/>
      <c r="AE416" s="395"/>
      <c r="AF416" s="387"/>
      <c r="AG416" s="181"/>
      <c r="AH416" s="181"/>
      <c r="AI416" s="181"/>
      <c r="AJ416" s="395"/>
      <c r="AK416" s="387"/>
      <c r="AL416" s="181"/>
      <c r="AM416" s="181"/>
      <c r="AN416" s="181"/>
      <c r="AO416" s="370"/>
      <c r="AP416" s="370"/>
      <c r="AQ416" s="370"/>
      <c r="AR416" s="370"/>
      <c r="AS416" s="370"/>
    </row>
    <row r="417">
      <c r="A417" s="395"/>
      <c r="B417" s="387"/>
      <c r="C417" s="181"/>
      <c r="D417" s="181"/>
      <c r="E417" s="181"/>
      <c r="F417" s="395"/>
      <c r="G417" s="387"/>
      <c r="H417" s="181"/>
      <c r="I417" s="181"/>
      <c r="J417" s="181"/>
      <c r="K417" s="88"/>
      <c r="L417" s="387"/>
      <c r="M417" s="181"/>
      <c r="N417" s="181"/>
      <c r="O417" s="181"/>
      <c r="P417" s="88"/>
      <c r="Q417" s="155"/>
      <c r="R417" s="181"/>
      <c r="S417" s="181"/>
      <c r="T417" s="181"/>
      <c r="U417" s="395"/>
      <c r="V417" s="387"/>
      <c r="W417" s="181"/>
      <c r="X417" s="181"/>
      <c r="Y417" s="181"/>
      <c r="Z417" s="395"/>
      <c r="AA417" s="387"/>
      <c r="AB417" s="181"/>
      <c r="AC417" s="181"/>
      <c r="AD417" s="181"/>
      <c r="AE417" s="395"/>
      <c r="AF417" s="387"/>
      <c r="AG417" s="181"/>
      <c r="AH417" s="181"/>
      <c r="AI417" s="181"/>
      <c r="AJ417" s="395"/>
      <c r="AK417" s="387"/>
      <c r="AL417" s="181"/>
      <c r="AM417" s="181"/>
      <c r="AN417" s="181"/>
      <c r="AO417" s="370"/>
      <c r="AP417" s="370"/>
      <c r="AQ417" s="370"/>
      <c r="AR417" s="370"/>
      <c r="AS417" s="370"/>
    </row>
    <row r="418">
      <c r="A418" s="395"/>
      <c r="B418" s="387"/>
      <c r="C418" s="181"/>
      <c r="D418" s="181"/>
      <c r="E418" s="181"/>
      <c r="F418" s="395"/>
      <c r="G418" s="387"/>
      <c r="H418" s="181"/>
      <c r="I418" s="181"/>
      <c r="J418" s="181"/>
      <c r="K418" s="88"/>
      <c r="L418" s="387"/>
      <c r="M418" s="181"/>
      <c r="N418" s="181"/>
      <c r="O418" s="181"/>
      <c r="P418" s="88"/>
      <c r="Q418" s="155"/>
      <c r="R418" s="181"/>
      <c r="S418" s="181"/>
      <c r="T418" s="181"/>
      <c r="U418" s="395"/>
      <c r="V418" s="387"/>
      <c r="W418" s="181"/>
      <c r="X418" s="181"/>
      <c r="Y418" s="181"/>
      <c r="Z418" s="395"/>
      <c r="AA418" s="387"/>
      <c r="AB418" s="181"/>
      <c r="AC418" s="181"/>
      <c r="AD418" s="181"/>
      <c r="AE418" s="395"/>
      <c r="AF418" s="387"/>
      <c r="AG418" s="181"/>
      <c r="AH418" s="181"/>
      <c r="AI418" s="181"/>
      <c r="AJ418" s="395"/>
      <c r="AK418" s="387"/>
      <c r="AL418" s="181"/>
      <c r="AM418" s="181"/>
      <c r="AN418" s="181"/>
      <c r="AO418" s="370"/>
      <c r="AP418" s="370"/>
      <c r="AQ418" s="370"/>
      <c r="AR418" s="370"/>
      <c r="AS418" s="370"/>
    </row>
    <row r="419">
      <c r="A419" s="395"/>
      <c r="B419" s="387"/>
      <c r="C419" s="181"/>
      <c r="D419" s="181"/>
      <c r="E419" s="181"/>
      <c r="F419" s="395"/>
      <c r="G419" s="387"/>
      <c r="H419" s="181"/>
      <c r="I419" s="181"/>
      <c r="J419" s="181"/>
      <c r="K419" s="88"/>
      <c r="L419" s="387"/>
      <c r="M419" s="181"/>
      <c r="N419" s="181"/>
      <c r="O419" s="181"/>
      <c r="P419" s="88"/>
      <c r="Q419" s="155"/>
      <c r="R419" s="181"/>
      <c r="S419" s="181"/>
      <c r="T419" s="181"/>
      <c r="U419" s="395"/>
      <c r="V419" s="387"/>
      <c r="W419" s="181"/>
      <c r="X419" s="181"/>
      <c r="Y419" s="181"/>
      <c r="Z419" s="395"/>
      <c r="AA419" s="387"/>
      <c r="AB419" s="181"/>
      <c r="AC419" s="181"/>
      <c r="AD419" s="181"/>
      <c r="AE419" s="395"/>
      <c r="AF419" s="387"/>
      <c r="AG419" s="181"/>
      <c r="AH419" s="181"/>
      <c r="AI419" s="181"/>
      <c r="AJ419" s="395"/>
      <c r="AK419" s="387"/>
      <c r="AL419" s="181"/>
      <c r="AM419" s="181"/>
      <c r="AN419" s="181"/>
      <c r="AO419" s="370"/>
      <c r="AP419" s="370"/>
      <c r="AQ419" s="370"/>
      <c r="AR419" s="370"/>
      <c r="AS419" s="370"/>
    </row>
    <row r="420">
      <c r="A420" s="395"/>
      <c r="B420" s="387"/>
      <c r="C420" s="181"/>
      <c r="D420" s="181"/>
      <c r="E420" s="181"/>
      <c r="F420" s="395"/>
      <c r="G420" s="387"/>
      <c r="H420" s="181"/>
      <c r="I420" s="181"/>
      <c r="J420" s="181"/>
      <c r="K420" s="88"/>
      <c r="L420" s="387"/>
      <c r="M420" s="181"/>
      <c r="N420" s="181"/>
      <c r="O420" s="181"/>
      <c r="P420" s="88"/>
      <c r="Q420" s="155"/>
      <c r="R420" s="181"/>
      <c r="S420" s="181"/>
      <c r="T420" s="181"/>
      <c r="U420" s="395"/>
      <c r="V420" s="387"/>
      <c r="W420" s="181"/>
      <c r="X420" s="181"/>
      <c r="Y420" s="181"/>
      <c r="Z420" s="395"/>
      <c r="AA420" s="387"/>
      <c r="AB420" s="181"/>
      <c r="AC420" s="181"/>
      <c r="AD420" s="181"/>
      <c r="AE420" s="395"/>
      <c r="AF420" s="387"/>
      <c r="AG420" s="181"/>
      <c r="AH420" s="181"/>
      <c r="AI420" s="181"/>
      <c r="AJ420" s="395"/>
      <c r="AK420" s="387"/>
      <c r="AL420" s="181"/>
      <c r="AM420" s="181"/>
      <c r="AN420" s="181"/>
      <c r="AO420" s="370"/>
      <c r="AP420" s="370"/>
      <c r="AQ420" s="370"/>
      <c r="AR420" s="370"/>
      <c r="AS420" s="370"/>
    </row>
    <row r="421">
      <c r="A421" s="395"/>
      <c r="B421" s="387"/>
      <c r="C421" s="181"/>
      <c r="D421" s="181"/>
      <c r="E421" s="181"/>
      <c r="F421" s="395"/>
      <c r="G421" s="387"/>
      <c r="H421" s="181"/>
      <c r="I421" s="181"/>
      <c r="J421" s="181"/>
      <c r="K421" s="88"/>
      <c r="L421" s="387"/>
      <c r="M421" s="181"/>
      <c r="N421" s="181"/>
      <c r="O421" s="181"/>
      <c r="P421" s="88"/>
      <c r="Q421" s="155"/>
      <c r="R421" s="181"/>
      <c r="S421" s="181"/>
      <c r="T421" s="181"/>
      <c r="U421" s="395"/>
      <c r="V421" s="387"/>
      <c r="W421" s="181"/>
      <c r="X421" s="181"/>
      <c r="Y421" s="181"/>
      <c r="Z421" s="395"/>
      <c r="AA421" s="387"/>
      <c r="AB421" s="181"/>
      <c r="AC421" s="181"/>
      <c r="AD421" s="181"/>
      <c r="AE421" s="395"/>
      <c r="AF421" s="387"/>
      <c r="AG421" s="181"/>
      <c r="AH421" s="181"/>
      <c r="AI421" s="181"/>
      <c r="AJ421" s="395"/>
      <c r="AK421" s="387"/>
      <c r="AL421" s="181"/>
      <c r="AM421" s="181"/>
      <c r="AN421" s="181"/>
      <c r="AO421" s="370"/>
      <c r="AP421" s="370"/>
      <c r="AQ421" s="370"/>
      <c r="AR421" s="370"/>
      <c r="AS421" s="370"/>
    </row>
    <row r="422">
      <c r="A422" s="395"/>
      <c r="B422" s="387"/>
      <c r="C422" s="181"/>
      <c r="D422" s="181"/>
      <c r="E422" s="181"/>
      <c r="F422" s="395"/>
      <c r="G422" s="387"/>
      <c r="H422" s="181"/>
      <c r="I422" s="181"/>
      <c r="J422" s="181"/>
      <c r="K422" s="88"/>
      <c r="L422" s="387"/>
      <c r="M422" s="181"/>
      <c r="N422" s="181"/>
      <c r="O422" s="181"/>
      <c r="P422" s="88"/>
      <c r="Q422" s="155"/>
      <c r="R422" s="181"/>
      <c r="S422" s="181"/>
      <c r="T422" s="181"/>
      <c r="U422" s="395"/>
      <c r="V422" s="387"/>
      <c r="W422" s="181"/>
      <c r="X422" s="181"/>
      <c r="Y422" s="181"/>
      <c r="Z422" s="395"/>
      <c r="AA422" s="387"/>
      <c r="AB422" s="181"/>
      <c r="AC422" s="181"/>
      <c r="AD422" s="181"/>
      <c r="AE422" s="395"/>
      <c r="AF422" s="387"/>
      <c r="AG422" s="181"/>
      <c r="AH422" s="181"/>
      <c r="AI422" s="181"/>
      <c r="AJ422" s="395"/>
      <c r="AK422" s="387"/>
      <c r="AL422" s="181"/>
      <c r="AM422" s="181"/>
      <c r="AN422" s="181"/>
      <c r="AO422" s="370"/>
      <c r="AP422" s="370"/>
      <c r="AQ422" s="370"/>
      <c r="AR422" s="370"/>
      <c r="AS422" s="370"/>
    </row>
    <row r="423">
      <c r="A423" s="395"/>
      <c r="B423" s="387"/>
      <c r="C423" s="181"/>
      <c r="D423" s="181"/>
      <c r="E423" s="181"/>
      <c r="F423" s="395"/>
      <c r="G423" s="387"/>
      <c r="H423" s="181"/>
      <c r="I423" s="181"/>
      <c r="J423" s="181"/>
      <c r="K423" s="88"/>
      <c r="L423" s="387"/>
      <c r="M423" s="181"/>
      <c r="N423" s="181"/>
      <c r="O423" s="181"/>
      <c r="P423" s="88"/>
      <c r="Q423" s="155"/>
      <c r="R423" s="181"/>
      <c r="S423" s="181"/>
      <c r="T423" s="181"/>
      <c r="U423" s="395"/>
      <c r="V423" s="387"/>
      <c r="W423" s="181"/>
      <c r="X423" s="181"/>
      <c r="Y423" s="181"/>
      <c r="Z423" s="395"/>
      <c r="AA423" s="387"/>
      <c r="AB423" s="181"/>
      <c r="AC423" s="181"/>
      <c r="AD423" s="181"/>
      <c r="AE423" s="395"/>
      <c r="AF423" s="387"/>
      <c r="AG423" s="181"/>
      <c r="AH423" s="181"/>
      <c r="AI423" s="181"/>
      <c r="AJ423" s="395"/>
      <c r="AK423" s="387"/>
      <c r="AL423" s="181"/>
      <c r="AM423" s="181"/>
      <c r="AN423" s="181"/>
      <c r="AO423" s="370"/>
      <c r="AP423" s="370"/>
      <c r="AQ423" s="370"/>
      <c r="AR423" s="370"/>
      <c r="AS423" s="370"/>
    </row>
    <row r="424">
      <c r="A424" s="395"/>
      <c r="B424" s="387"/>
      <c r="C424" s="181"/>
      <c r="D424" s="181"/>
      <c r="E424" s="181"/>
      <c r="F424" s="395"/>
      <c r="G424" s="387"/>
      <c r="H424" s="181"/>
      <c r="I424" s="181"/>
      <c r="J424" s="181"/>
      <c r="K424" s="88"/>
      <c r="L424" s="387"/>
      <c r="M424" s="181"/>
      <c r="N424" s="181"/>
      <c r="O424" s="181"/>
      <c r="P424" s="88"/>
      <c r="Q424" s="155"/>
      <c r="R424" s="181"/>
      <c r="S424" s="181"/>
      <c r="T424" s="181"/>
      <c r="U424" s="395"/>
      <c r="V424" s="387"/>
      <c r="W424" s="181"/>
      <c r="X424" s="181"/>
      <c r="Y424" s="181"/>
      <c r="Z424" s="395"/>
      <c r="AA424" s="387"/>
      <c r="AB424" s="181"/>
      <c r="AC424" s="181"/>
      <c r="AD424" s="181"/>
      <c r="AE424" s="395"/>
      <c r="AF424" s="387"/>
      <c r="AG424" s="181"/>
      <c r="AH424" s="181"/>
      <c r="AI424" s="181"/>
      <c r="AJ424" s="395"/>
      <c r="AK424" s="387"/>
      <c r="AL424" s="181"/>
      <c r="AM424" s="181"/>
      <c r="AN424" s="181"/>
      <c r="AO424" s="370"/>
      <c r="AP424" s="370"/>
      <c r="AQ424" s="370"/>
      <c r="AR424" s="370"/>
      <c r="AS424" s="370"/>
    </row>
    <row r="425">
      <c r="A425" s="395"/>
      <c r="B425" s="387"/>
      <c r="C425" s="181"/>
      <c r="D425" s="181"/>
      <c r="E425" s="181"/>
      <c r="F425" s="395"/>
      <c r="G425" s="387"/>
      <c r="H425" s="181"/>
      <c r="I425" s="181"/>
      <c r="J425" s="181"/>
      <c r="K425" s="88"/>
      <c r="L425" s="387"/>
      <c r="M425" s="181"/>
      <c r="N425" s="181"/>
      <c r="O425" s="181"/>
      <c r="P425" s="88"/>
      <c r="Q425" s="155"/>
      <c r="R425" s="181"/>
      <c r="S425" s="181"/>
      <c r="T425" s="181"/>
      <c r="U425" s="395"/>
      <c r="V425" s="387"/>
      <c r="W425" s="181"/>
      <c r="X425" s="181"/>
      <c r="Y425" s="181"/>
      <c r="Z425" s="395"/>
      <c r="AA425" s="387"/>
      <c r="AB425" s="181"/>
      <c r="AC425" s="181"/>
      <c r="AD425" s="181"/>
      <c r="AE425" s="395"/>
      <c r="AF425" s="387"/>
      <c r="AG425" s="181"/>
      <c r="AH425" s="181"/>
      <c r="AI425" s="181"/>
      <c r="AJ425" s="395"/>
      <c r="AK425" s="387"/>
      <c r="AL425" s="181"/>
      <c r="AM425" s="181"/>
      <c r="AN425" s="181"/>
      <c r="AO425" s="370"/>
      <c r="AP425" s="370"/>
      <c r="AQ425" s="370"/>
      <c r="AR425" s="370"/>
      <c r="AS425" s="370"/>
    </row>
    <row r="426">
      <c r="A426" s="395"/>
      <c r="B426" s="387"/>
      <c r="C426" s="181"/>
      <c r="D426" s="181"/>
      <c r="E426" s="181"/>
      <c r="F426" s="395"/>
      <c r="G426" s="387"/>
      <c r="H426" s="181"/>
      <c r="I426" s="181"/>
      <c r="J426" s="181"/>
      <c r="K426" s="88"/>
      <c r="L426" s="387"/>
      <c r="M426" s="181"/>
      <c r="N426" s="181"/>
      <c r="O426" s="181"/>
      <c r="P426" s="88"/>
      <c r="Q426" s="155"/>
      <c r="R426" s="181"/>
      <c r="S426" s="181"/>
      <c r="T426" s="181"/>
      <c r="U426" s="395"/>
      <c r="V426" s="387"/>
      <c r="W426" s="181"/>
      <c r="X426" s="181"/>
      <c r="Y426" s="181"/>
      <c r="Z426" s="395"/>
      <c r="AA426" s="387"/>
      <c r="AB426" s="181"/>
      <c r="AC426" s="181"/>
      <c r="AD426" s="181"/>
      <c r="AE426" s="395"/>
      <c r="AF426" s="387"/>
      <c r="AG426" s="181"/>
      <c r="AH426" s="181"/>
      <c r="AI426" s="181"/>
      <c r="AJ426" s="395"/>
      <c r="AK426" s="387"/>
      <c r="AL426" s="181"/>
      <c r="AM426" s="181"/>
      <c r="AN426" s="181"/>
      <c r="AO426" s="370"/>
      <c r="AP426" s="370"/>
      <c r="AQ426" s="370"/>
      <c r="AR426" s="370"/>
      <c r="AS426" s="370"/>
    </row>
    <row r="427">
      <c r="A427" s="395"/>
      <c r="B427" s="387"/>
      <c r="C427" s="181"/>
      <c r="D427" s="181"/>
      <c r="E427" s="181"/>
      <c r="F427" s="395"/>
      <c r="G427" s="387"/>
      <c r="H427" s="181"/>
      <c r="I427" s="181"/>
      <c r="J427" s="181"/>
      <c r="K427" s="88"/>
      <c r="L427" s="387"/>
      <c r="M427" s="181"/>
      <c r="N427" s="181"/>
      <c r="O427" s="181"/>
      <c r="P427" s="88"/>
      <c r="Q427" s="155"/>
      <c r="R427" s="181"/>
      <c r="S427" s="181"/>
      <c r="T427" s="181"/>
      <c r="U427" s="395"/>
      <c r="V427" s="387"/>
      <c r="W427" s="181"/>
      <c r="X427" s="181"/>
      <c r="Y427" s="181"/>
      <c r="Z427" s="395"/>
      <c r="AA427" s="387"/>
      <c r="AB427" s="181"/>
      <c r="AC427" s="181"/>
      <c r="AD427" s="181"/>
      <c r="AE427" s="395"/>
      <c r="AF427" s="387"/>
      <c r="AG427" s="181"/>
      <c r="AH427" s="181"/>
      <c r="AI427" s="181"/>
      <c r="AJ427" s="395"/>
      <c r="AK427" s="387"/>
      <c r="AL427" s="181"/>
      <c r="AM427" s="181"/>
      <c r="AN427" s="181"/>
      <c r="AO427" s="370"/>
      <c r="AP427" s="370"/>
      <c r="AQ427" s="370"/>
      <c r="AR427" s="370"/>
      <c r="AS427" s="370"/>
    </row>
    <row r="428">
      <c r="A428" s="395"/>
      <c r="B428" s="387"/>
      <c r="C428" s="181"/>
      <c r="D428" s="181"/>
      <c r="E428" s="181"/>
      <c r="F428" s="395"/>
      <c r="G428" s="387"/>
      <c r="H428" s="181"/>
      <c r="I428" s="181"/>
      <c r="J428" s="181"/>
      <c r="K428" s="88"/>
      <c r="L428" s="387"/>
      <c r="M428" s="181"/>
      <c r="N428" s="181"/>
      <c r="O428" s="181"/>
      <c r="P428" s="88"/>
      <c r="Q428" s="155"/>
      <c r="R428" s="181"/>
      <c r="S428" s="181"/>
      <c r="T428" s="181"/>
      <c r="U428" s="395"/>
      <c r="V428" s="387"/>
      <c r="W428" s="181"/>
      <c r="X428" s="181"/>
      <c r="Y428" s="181"/>
      <c r="Z428" s="395"/>
      <c r="AA428" s="387"/>
      <c r="AB428" s="181"/>
      <c r="AC428" s="181"/>
      <c r="AD428" s="181"/>
      <c r="AE428" s="395"/>
      <c r="AF428" s="387"/>
      <c r="AG428" s="181"/>
      <c r="AH428" s="181"/>
      <c r="AI428" s="181"/>
      <c r="AJ428" s="395"/>
      <c r="AK428" s="387"/>
      <c r="AL428" s="181"/>
      <c r="AM428" s="181"/>
      <c r="AN428" s="181"/>
      <c r="AO428" s="370"/>
      <c r="AP428" s="370"/>
      <c r="AQ428" s="370"/>
      <c r="AR428" s="370"/>
      <c r="AS428" s="370"/>
    </row>
    <row r="429">
      <c r="A429" s="395"/>
      <c r="B429" s="387"/>
      <c r="C429" s="181"/>
      <c r="D429" s="181"/>
      <c r="E429" s="181"/>
      <c r="F429" s="395"/>
      <c r="G429" s="387"/>
      <c r="H429" s="181"/>
      <c r="I429" s="181"/>
      <c r="J429" s="181"/>
      <c r="K429" s="88"/>
      <c r="L429" s="387"/>
      <c r="M429" s="181"/>
      <c r="N429" s="181"/>
      <c r="O429" s="181"/>
      <c r="P429" s="88"/>
      <c r="Q429" s="155"/>
      <c r="R429" s="181"/>
      <c r="S429" s="181"/>
      <c r="T429" s="181"/>
      <c r="U429" s="395"/>
      <c r="V429" s="387"/>
      <c r="W429" s="181"/>
      <c r="X429" s="181"/>
      <c r="Y429" s="181"/>
      <c r="Z429" s="395"/>
      <c r="AA429" s="387"/>
      <c r="AB429" s="181"/>
      <c r="AC429" s="181"/>
      <c r="AD429" s="181"/>
      <c r="AE429" s="395"/>
      <c r="AF429" s="387"/>
      <c r="AG429" s="181"/>
      <c r="AH429" s="181"/>
      <c r="AI429" s="181"/>
      <c r="AJ429" s="395"/>
      <c r="AK429" s="387"/>
      <c r="AL429" s="181"/>
      <c r="AM429" s="181"/>
      <c r="AN429" s="181"/>
      <c r="AO429" s="370"/>
      <c r="AP429" s="370"/>
      <c r="AQ429" s="370"/>
      <c r="AR429" s="370"/>
      <c r="AS429" s="370"/>
    </row>
    <row r="430">
      <c r="A430" s="395"/>
      <c r="B430" s="387"/>
      <c r="C430" s="181"/>
      <c r="D430" s="181"/>
      <c r="E430" s="181"/>
      <c r="F430" s="395"/>
      <c r="G430" s="387"/>
      <c r="H430" s="181"/>
      <c r="I430" s="181"/>
      <c r="J430" s="181"/>
      <c r="K430" s="88"/>
      <c r="L430" s="387"/>
      <c r="M430" s="181"/>
      <c r="N430" s="181"/>
      <c r="O430" s="181"/>
      <c r="P430" s="88"/>
      <c r="Q430" s="155"/>
      <c r="R430" s="181"/>
      <c r="S430" s="181"/>
      <c r="T430" s="181"/>
      <c r="U430" s="395"/>
      <c r="V430" s="387"/>
      <c r="W430" s="181"/>
      <c r="X430" s="181"/>
      <c r="Y430" s="181"/>
      <c r="Z430" s="395"/>
      <c r="AA430" s="387"/>
      <c r="AB430" s="181"/>
      <c r="AC430" s="181"/>
      <c r="AD430" s="181"/>
      <c r="AE430" s="395"/>
      <c r="AF430" s="387"/>
      <c r="AG430" s="181"/>
      <c r="AH430" s="181"/>
      <c r="AI430" s="181"/>
      <c r="AJ430" s="395"/>
      <c r="AK430" s="387"/>
      <c r="AL430" s="181"/>
      <c r="AM430" s="181"/>
      <c r="AN430" s="181"/>
      <c r="AO430" s="370"/>
      <c r="AP430" s="370"/>
      <c r="AQ430" s="370"/>
      <c r="AR430" s="370"/>
      <c r="AS430" s="370"/>
    </row>
    <row r="431">
      <c r="A431" s="395"/>
      <c r="B431" s="387"/>
      <c r="C431" s="181"/>
      <c r="D431" s="181"/>
      <c r="E431" s="181"/>
      <c r="F431" s="395"/>
      <c r="G431" s="387"/>
      <c r="H431" s="181"/>
      <c r="I431" s="181"/>
      <c r="J431" s="181"/>
      <c r="K431" s="88"/>
      <c r="L431" s="387"/>
      <c r="M431" s="181"/>
      <c r="N431" s="181"/>
      <c r="O431" s="181"/>
      <c r="P431" s="88"/>
      <c r="Q431" s="155"/>
      <c r="R431" s="181"/>
      <c r="S431" s="181"/>
      <c r="T431" s="181"/>
      <c r="U431" s="395"/>
      <c r="V431" s="387"/>
      <c r="W431" s="181"/>
      <c r="X431" s="181"/>
      <c r="Y431" s="181"/>
      <c r="Z431" s="395"/>
      <c r="AA431" s="387"/>
      <c r="AB431" s="181"/>
      <c r="AC431" s="181"/>
      <c r="AD431" s="181"/>
      <c r="AE431" s="395"/>
      <c r="AF431" s="387"/>
      <c r="AG431" s="181"/>
      <c r="AH431" s="181"/>
      <c r="AI431" s="181"/>
      <c r="AJ431" s="395"/>
      <c r="AK431" s="387"/>
      <c r="AL431" s="181"/>
      <c r="AM431" s="181"/>
      <c r="AN431" s="181"/>
      <c r="AO431" s="370"/>
      <c r="AP431" s="370"/>
      <c r="AQ431" s="370"/>
      <c r="AR431" s="370"/>
      <c r="AS431" s="370"/>
    </row>
    <row r="432">
      <c r="A432" s="395"/>
      <c r="B432" s="387"/>
      <c r="C432" s="181"/>
      <c r="D432" s="181"/>
      <c r="E432" s="181"/>
      <c r="F432" s="395"/>
      <c r="G432" s="387"/>
      <c r="H432" s="181"/>
      <c r="I432" s="181"/>
      <c r="J432" s="181"/>
      <c r="K432" s="88"/>
      <c r="L432" s="387"/>
      <c r="M432" s="181"/>
      <c r="N432" s="181"/>
      <c r="O432" s="181"/>
      <c r="P432" s="88"/>
      <c r="Q432" s="155"/>
      <c r="R432" s="181"/>
      <c r="S432" s="181"/>
      <c r="T432" s="181"/>
      <c r="U432" s="395"/>
      <c r="V432" s="387"/>
      <c r="W432" s="181"/>
      <c r="X432" s="181"/>
      <c r="Y432" s="181"/>
      <c r="Z432" s="395"/>
      <c r="AA432" s="387"/>
      <c r="AB432" s="181"/>
      <c r="AC432" s="181"/>
      <c r="AD432" s="181"/>
      <c r="AE432" s="395"/>
      <c r="AF432" s="387"/>
      <c r="AG432" s="181"/>
      <c r="AH432" s="181"/>
      <c r="AI432" s="181"/>
      <c r="AJ432" s="395"/>
      <c r="AK432" s="387"/>
      <c r="AL432" s="181"/>
      <c r="AM432" s="181"/>
      <c r="AN432" s="181"/>
      <c r="AO432" s="370"/>
      <c r="AP432" s="370"/>
      <c r="AQ432" s="370"/>
      <c r="AR432" s="370"/>
      <c r="AS432" s="370"/>
    </row>
    <row r="433">
      <c r="A433" s="395"/>
      <c r="B433" s="387"/>
      <c r="C433" s="181"/>
      <c r="D433" s="181"/>
      <c r="E433" s="181"/>
      <c r="F433" s="395"/>
      <c r="G433" s="387"/>
      <c r="H433" s="181"/>
      <c r="I433" s="181"/>
      <c r="J433" s="181"/>
      <c r="K433" s="88"/>
      <c r="L433" s="387"/>
      <c r="M433" s="181"/>
      <c r="N433" s="181"/>
      <c r="O433" s="181"/>
      <c r="P433" s="88"/>
      <c r="Q433" s="155"/>
      <c r="R433" s="181"/>
      <c r="S433" s="181"/>
      <c r="T433" s="181"/>
      <c r="U433" s="395"/>
      <c r="V433" s="387"/>
      <c r="W433" s="181"/>
      <c r="X433" s="181"/>
      <c r="Y433" s="181"/>
      <c r="Z433" s="395"/>
      <c r="AA433" s="387"/>
      <c r="AB433" s="181"/>
      <c r="AC433" s="181"/>
      <c r="AD433" s="181"/>
      <c r="AE433" s="395"/>
      <c r="AF433" s="387"/>
      <c r="AG433" s="181"/>
      <c r="AH433" s="181"/>
      <c r="AI433" s="181"/>
      <c r="AJ433" s="395"/>
      <c r="AK433" s="387"/>
      <c r="AL433" s="181"/>
      <c r="AM433" s="181"/>
      <c r="AN433" s="181"/>
      <c r="AO433" s="370"/>
      <c r="AP433" s="370"/>
      <c r="AQ433" s="370"/>
      <c r="AR433" s="370"/>
      <c r="AS433" s="370"/>
    </row>
    <row r="434">
      <c r="A434" s="395"/>
      <c r="B434" s="387"/>
      <c r="C434" s="181"/>
      <c r="D434" s="181"/>
      <c r="E434" s="181"/>
      <c r="F434" s="395"/>
      <c r="G434" s="387"/>
      <c r="H434" s="181"/>
      <c r="I434" s="181"/>
      <c r="J434" s="181"/>
      <c r="K434" s="88"/>
      <c r="L434" s="387"/>
      <c r="M434" s="181"/>
      <c r="N434" s="181"/>
      <c r="O434" s="181"/>
      <c r="P434" s="88"/>
      <c r="Q434" s="155"/>
      <c r="R434" s="181"/>
      <c r="S434" s="181"/>
      <c r="T434" s="181"/>
      <c r="U434" s="395"/>
      <c r="V434" s="387"/>
      <c r="W434" s="181"/>
      <c r="X434" s="181"/>
      <c r="Y434" s="181"/>
      <c r="Z434" s="395"/>
      <c r="AA434" s="387"/>
      <c r="AB434" s="181"/>
      <c r="AC434" s="181"/>
      <c r="AD434" s="181"/>
      <c r="AE434" s="395"/>
      <c r="AF434" s="387"/>
      <c r="AG434" s="181"/>
      <c r="AH434" s="181"/>
      <c r="AI434" s="181"/>
      <c r="AJ434" s="395"/>
      <c r="AK434" s="387"/>
      <c r="AL434" s="181"/>
      <c r="AM434" s="181"/>
      <c r="AN434" s="181"/>
      <c r="AO434" s="370"/>
      <c r="AP434" s="370"/>
      <c r="AQ434" s="370"/>
      <c r="AR434" s="370"/>
      <c r="AS434" s="370"/>
    </row>
    <row r="435">
      <c r="A435" s="395"/>
      <c r="B435" s="387"/>
      <c r="C435" s="181"/>
      <c r="D435" s="181"/>
      <c r="E435" s="181"/>
      <c r="F435" s="395"/>
      <c r="G435" s="387"/>
      <c r="H435" s="181"/>
      <c r="I435" s="181"/>
      <c r="J435" s="181"/>
      <c r="K435" s="88"/>
      <c r="L435" s="387"/>
      <c r="M435" s="181"/>
      <c r="N435" s="181"/>
      <c r="O435" s="181"/>
      <c r="P435" s="88"/>
      <c r="Q435" s="155"/>
      <c r="R435" s="181"/>
      <c r="S435" s="181"/>
      <c r="T435" s="181"/>
      <c r="U435" s="395"/>
      <c r="V435" s="387"/>
      <c r="W435" s="181"/>
      <c r="X435" s="181"/>
      <c r="Y435" s="181"/>
      <c r="Z435" s="395"/>
      <c r="AA435" s="387"/>
      <c r="AB435" s="181"/>
      <c r="AC435" s="181"/>
      <c r="AD435" s="181"/>
      <c r="AE435" s="395"/>
      <c r="AF435" s="387"/>
      <c r="AG435" s="181"/>
      <c r="AH435" s="181"/>
      <c r="AI435" s="181"/>
      <c r="AJ435" s="395"/>
      <c r="AK435" s="387"/>
      <c r="AL435" s="181"/>
      <c r="AM435" s="181"/>
      <c r="AN435" s="181"/>
      <c r="AO435" s="370"/>
      <c r="AP435" s="370"/>
      <c r="AQ435" s="370"/>
      <c r="AR435" s="370"/>
      <c r="AS435" s="370"/>
    </row>
    <row r="436">
      <c r="A436" s="395"/>
      <c r="B436" s="387"/>
      <c r="C436" s="181"/>
      <c r="D436" s="181"/>
      <c r="E436" s="181"/>
      <c r="F436" s="395"/>
      <c r="G436" s="387"/>
      <c r="H436" s="181"/>
      <c r="I436" s="181"/>
      <c r="J436" s="181"/>
      <c r="K436" s="88"/>
      <c r="L436" s="387"/>
      <c r="M436" s="181"/>
      <c r="N436" s="181"/>
      <c r="O436" s="181"/>
      <c r="P436" s="88"/>
      <c r="Q436" s="155"/>
      <c r="R436" s="181"/>
      <c r="S436" s="181"/>
      <c r="T436" s="181"/>
      <c r="U436" s="395"/>
      <c r="V436" s="387"/>
      <c r="W436" s="181"/>
      <c r="X436" s="181"/>
      <c r="Y436" s="181"/>
      <c r="Z436" s="395"/>
      <c r="AA436" s="387"/>
      <c r="AB436" s="181"/>
      <c r="AC436" s="181"/>
      <c r="AD436" s="181"/>
      <c r="AE436" s="395"/>
      <c r="AF436" s="387"/>
      <c r="AG436" s="181"/>
      <c r="AH436" s="181"/>
      <c r="AI436" s="181"/>
      <c r="AJ436" s="395"/>
      <c r="AK436" s="387"/>
      <c r="AL436" s="181"/>
      <c r="AM436" s="181"/>
      <c r="AN436" s="181"/>
      <c r="AO436" s="370"/>
      <c r="AP436" s="370"/>
      <c r="AQ436" s="370"/>
      <c r="AR436" s="370"/>
      <c r="AS436" s="370"/>
    </row>
    <row r="437">
      <c r="A437" s="395"/>
      <c r="B437" s="387"/>
      <c r="C437" s="181"/>
      <c r="D437" s="181"/>
      <c r="E437" s="181"/>
      <c r="F437" s="395"/>
      <c r="G437" s="387"/>
      <c r="H437" s="181"/>
      <c r="I437" s="181"/>
      <c r="J437" s="181"/>
      <c r="K437" s="88"/>
      <c r="L437" s="387"/>
      <c r="M437" s="181"/>
      <c r="N437" s="181"/>
      <c r="O437" s="181"/>
      <c r="P437" s="88"/>
      <c r="Q437" s="155"/>
      <c r="R437" s="181"/>
      <c r="S437" s="181"/>
      <c r="T437" s="181"/>
      <c r="U437" s="395"/>
      <c r="V437" s="387"/>
      <c r="W437" s="181"/>
      <c r="X437" s="181"/>
      <c r="Y437" s="181"/>
      <c r="Z437" s="395"/>
      <c r="AA437" s="387"/>
      <c r="AB437" s="181"/>
      <c r="AC437" s="181"/>
      <c r="AD437" s="181"/>
      <c r="AE437" s="395"/>
      <c r="AF437" s="387"/>
      <c r="AG437" s="181"/>
      <c r="AH437" s="181"/>
      <c r="AI437" s="181"/>
      <c r="AJ437" s="395"/>
      <c r="AK437" s="387"/>
      <c r="AL437" s="181"/>
      <c r="AM437" s="181"/>
      <c r="AN437" s="181"/>
      <c r="AO437" s="370"/>
      <c r="AP437" s="370"/>
      <c r="AQ437" s="370"/>
      <c r="AR437" s="370"/>
      <c r="AS437" s="370"/>
    </row>
    <row r="438">
      <c r="A438" s="395"/>
      <c r="B438" s="387"/>
      <c r="C438" s="181"/>
      <c r="D438" s="181"/>
      <c r="E438" s="181"/>
      <c r="F438" s="395"/>
      <c r="G438" s="387"/>
      <c r="H438" s="181"/>
      <c r="I438" s="181"/>
      <c r="J438" s="181"/>
      <c r="K438" s="88"/>
      <c r="L438" s="387"/>
      <c r="M438" s="181"/>
      <c r="N438" s="181"/>
      <c r="O438" s="181"/>
      <c r="P438" s="88"/>
      <c r="Q438" s="155"/>
      <c r="R438" s="181"/>
      <c r="S438" s="181"/>
      <c r="T438" s="181"/>
      <c r="U438" s="395"/>
      <c r="V438" s="387"/>
      <c r="W438" s="181"/>
      <c r="X438" s="181"/>
      <c r="Y438" s="181"/>
      <c r="Z438" s="395"/>
      <c r="AA438" s="387"/>
      <c r="AB438" s="181"/>
      <c r="AC438" s="181"/>
      <c r="AD438" s="181"/>
      <c r="AE438" s="395"/>
      <c r="AF438" s="387"/>
      <c r="AG438" s="181"/>
      <c r="AH438" s="181"/>
      <c r="AI438" s="181"/>
      <c r="AJ438" s="395"/>
      <c r="AK438" s="387"/>
      <c r="AL438" s="181"/>
      <c r="AM438" s="181"/>
      <c r="AN438" s="181"/>
      <c r="AO438" s="370"/>
      <c r="AP438" s="370"/>
      <c r="AQ438" s="370"/>
      <c r="AR438" s="370"/>
      <c r="AS438" s="370"/>
    </row>
    <row r="439">
      <c r="A439" s="395"/>
      <c r="B439" s="387"/>
      <c r="C439" s="181"/>
      <c r="D439" s="181"/>
      <c r="E439" s="181"/>
      <c r="F439" s="395"/>
      <c r="G439" s="387"/>
      <c r="H439" s="181"/>
      <c r="I439" s="181"/>
      <c r="J439" s="181"/>
      <c r="K439" s="88"/>
      <c r="L439" s="387"/>
      <c r="M439" s="181"/>
      <c r="N439" s="181"/>
      <c r="O439" s="181"/>
      <c r="P439" s="88"/>
      <c r="Q439" s="155"/>
      <c r="R439" s="181"/>
      <c r="S439" s="181"/>
      <c r="T439" s="181"/>
      <c r="U439" s="395"/>
      <c r="V439" s="387"/>
      <c r="W439" s="181"/>
      <c r="X439" s="181"/>
      <c r="Y439" s="181"/>
      <c r="Z439" s="395"/>
      <c r="AA439" s="387"/>
      <c r="AB439" s="181"/>
      <c r="AC439" s="181"/>
      <c r="AD439" s="181"/>
      <c r="AE439" s="395"/>
      <c r="AF439" s="387"/>
      <c r="AG439" s="181"/>
      <c r="AH439" s="181"/>
      <c r="AI439" s="181"/>
      <c r="AJ439" s="395"/>
      <c r="AK439" s="387"/>
      <c r="AL439" s="181"/>
      <c r="AM439" s="181"/>
      <c r="AN439" s="181"/>
      <c r="AO439" s="370"/>
      <c r="AP439" s="370"/>
      <c r="AQ439" s="370"/>
      <c r="AR439" s="370"/>
      <c r="AS439" s="370"/>
    </row>
    <row r="440">
      <c r="A440" s="395"/>
      <c r="B440" s="387"/>
      <c r="C440" s="181"/>
      <c r="D440" s="181"/>
      <c r="E440" s="181"/>
      <c r="F440" s="395"/>
      <c r="G440" s="387"/>
      <c r="H440" s="181"/>
      <c r="I440" s="181"/>
      <c r="J440" s="181"/>
      <c r="K440" s="88"/>
      <c r="L440" s="387"/>
      <c r="M440" s="181"/>
      <c r="N440" s="181"/>
      <c r="O440" s="181"/>
      <c r="P440" s="88"/>
      <c r="Q440" s="155"/>
      <c r="R440" s="181"/>
      <c r="S440" s="181"/>
      <c r="T440" s="181"/>
      <c r="U440" s="395"/>
      <c r="V440" s="387"/>
      <c r="W440" s="181"/>
      <c r="X440" s="181"/>
      <c r="Y440" s="181"/>
      <c r="Z440" s="395"/>
      <c r="AA440" s="387"/>
      <c r="AB440" s="181"/>
      <c r="AC440" s="181"/>
      <c r="AD440" s="181"/>
      <c r="AE440" s="395"/>
      <c r="AF440" s="387"/>
      <c r="AG440" s="181"/>
      <c r="AH440" s="181"/>
      <c r="AI440" s="181"/>
      <c r="AJ440" s="395"/>
      <c r="AK440" s="387"/>
      <c r="AL440" s="181"/>
      <c r="AM440" s="181"/>
      <c r="AN440" s="181"/>
      <c r="AO440" s="370"/>
      <c r="AP440" s="370"/>
      <c r="AQ440" s="370"/>
      <c r="AR440" s="370"/>
      <c r="AS440" s="370"/>
    </row>
    <row r="441">
      <c r="A441" s="395"/>
      <c r="B441" s="387"/>
      <c r="C441" s="181"/>
      <c r="D441" s="181"/>
      <c r="E441" s="181"/>
      <c r="F441" s="395"/>
      <c r="G441" s="387"/>
      <c r="H441" s="181"/>
      <c r="I441" s="181"/>
      <c r="J441" s="181"/>
      <c r="K441" s="88"/>
      <c r="L441" s="387"/>
      <c r="M441" s="181"/>
      <c r="N441" s="181"/>
      <c r="O441" s="181"/>
      <c r="P441" s="88"/>
      <c r="Q441" s="155"/>
      <c r="R441" s="181"/>
      <c r="S441" s="181"/>
      <c r="T441" s="181"/>
      <c r="U441" s="395"/>
      <c r="V441" s="387"/>
      <c r="W441" s="181"/>
      <c r="X441" s="181"/>
      <c r="Y441" s="181"/>
      <c r="Z441" s="395"/>
      <c r="AA441" s="387"/>
      <c r="AB441" s="181"/>
      <c r="AC441" s="181"/>
      <c r="AD441" s="181"/>
      <c r="AE441" s="395"/>
      <c r="AF441" s="387"/>
      <c r="AG441" s="181"/>
      <c r="AH441" s="181"/>
      <c r="AI441" s="181"/>
      <c r="AJ441" s="395"/>
      <c r="AK441" s="387"/>
      <c r="AL441" s="181"/>
      <c r="AM441" s="181"/>
      <c r="AN441" s="181"/>
      <c r="AO441" s="370"/>
      <c r="AP441" s="370"/>
      <c r="AQ441" s="370"/>
      <c r="AR441" s="370"/>
      <c r="AS441" s="370"/>
    </row>
    <row r="442">
      <c r="A442" s="395"/>
      <c r="B442" s="387"/>
      <c r="C442" s="181"/>
      <c r="D442" s="181"/>
      <c r="E442" s="181"/>
      <c r="F442" s="395"/>
      <c r="G442" s="387"/>
      <c r="H442" s="181"/>
      <c r="I442" s="181"/>
      <c r="J442" s="181"/>
      <c r="K442" s="88"/>
      <c r="L442" s="387"/>
      <c r="M442" s="181"/>
      <c r="N442" s="181"/>
      <c r="O442" s="181"/>
      <c r="P442" s="88"/>
      <c r="Q442" s="155"/>
      <c r="R442" s="181"/>
      <c r="S442" s="181"/>
      <c r="T442" s="181"/>
      <c r="U442" s="395"/>
      <c r="V442" s="387"/>
      <c r="W442" s="181"/>
      <c r="X442" s="181"/>
      <c r="Y442" s="181"/>
      <c r="Z442" s="395"/>
      <c r="AA442" s="387"/>
      <c r="AB442" s="181"/>
      <c r="AC442" s="181"/>
      <c r="AD442" s="181"/>
      <c r="AE442" s="395"/>
      <c r="AF442" s="387"/>
      <c r="AG442" s="181"/>
      <c r="AH442" s="181"/>
      <c r="AI442" s="181"/>
      <c r="AJ442" s="395"/>
      <c r="AK442" s="387"/>
      <c r="AL442" s="181"/>
      <c r="AM442" s="181"/>
      <c r="AN442" s="181"/>
      <c r="AO442" s="370"/>
      <c r="AP442" s="370"/>
      <c r="AQ442" s="370"/>
      <c r="AR442" s="370"/>
      <c r="AS442" s="370"/>
    </row>
    <row r="443">
      <c r="A443" s="395"/>
      <c r="B443" s="387"/>
      <c r="C443" s="181"/>
      <c r="D443" s="181"/>
      <c r="E443" s="181"/>
      <c r="F443" s="395"/>
      <c r="G443" s="387"/>
      <c r="H443" s="181"/>
      <c r="I443" s="181"/>
      <c r="J443" s="181"/>
      <c r="K443" s="88"/>
      <c r="L443" s="387"/>
      <c r="M443" s="181"/>
      <c r="N443" s="181"/>
      <c r="O443" s="181"/>
      <c r="P443" s="88"/>
      <c r="Q443" s="155"/>
      <c r="R443" s="181"/>
      <c r="S443" s="181"/>
      <c r="T443" s="181"/>
      <c r="U443" s="395"/>
      <c r="V443" s="387"/>
      <c r="W443" s="181"/>
      <c r="X443" s="181"/>
      <c r="Y443" s="181"/>
      <c r="Z443" s="395"/>
      <c r="AA443" s="387"/>
      <c r="AB443" s="181"/>
      <c r="AC443" s="181"/>
      <c r="AD443" s="181"/>
      <c r="AE443" s="395"/>
      <c r="AF443" s="387"/>
      <c r="AG443" s="181"/>
      <c r="AH443" s="181"/>
      <c r="AI443" s="181"/>
      <c r="AJ443" s="395"/>
      <c r="AK443" s="387"/>
      <c r="AL443" s="181"/>
      <c r="AM443" s="181"/>
      <c r="AN443" s="181"/>
      <c r="AO443" s="370"/>
      <c r="AP443" s="370"/>
      <c r="AQ443" s="370"/>
      <c r="AR443" s="370"/>
      <c r="AS443" s="370"/>
    </row>
    <row r="444">
      <c r="A444" s="395"/>
      <c r="B444" s="387"/>
      <c r="C444" s="181"/>
      <c r="D444" s="181"/>
      <c r="E444" s="181"/>
      <c r="F444" s="395"/>
      <c r="G444" s="387"/>
      <c r="H444" s="181"/>
      <c r="I444" s="181"/>
      <c r="J444" s="181"/>
      <c r="K444" s="88"/>
      <c r="L444" s="387"/>
      <c r="M444" s="181"/>
      <c r="N444" s="181"/>
      <c r="O444" s="181"/>
      <c r="P444" s="88"/>
      <c r="Q444" s="155"/>
      <c r="R444" s="181"/>
      <c r="S444" s="181"/>
      <c r="T444" s="181"/>
      <c r="U444" s="395"/>
      <c r="V444" s="387"/>
      <c r="W444" s="181"/>
      <c r="X444" s="181"/>
      <c r="Y444" s="181"/>
      <c r="Z444" s="395"/>
      <c r="AA444" s="387"/>
      <c r="AB444" s="181"/>
      <c r="AC444" s="181"/>
      <c r="AD444" s="181"/>
      <c r="AE444" s="395"/>
      <c r="AF444" s="387"/>
      <c r="AG444" s="181"/>
      <c r="AH444" s="181"/>
      <c r="AI444" s="181"/>
      <c r="AJ444" s="395"/>
      <c r="AK444" s="387"/>
      <c r="AL444" s="181"/>
      <c r="AM444" s="181"/>
      <c r="AN444" s="181"/>
      <c r="AO444" s="370"/>
      <c r="AP444" s="370"/>
      <c r="AQ444" s="370"/>
      <c r="AR444" s="370"/>
      <c r="AS444" s="370"/>
    </row>
    <row r="445">
      <c r="A445" s="395"/>
      <c r="B445" s="387"/>
      <c r="C445" s="181"/>
      <c r="D445" s="181"/>
      <c r="E445" s="181"/>
      <c r="F445" s="395"/>
      <c r="G445" s="387"/>
      <c r="H445" s="181"/>
      <c r="I445" s="181"/>
      <c r="J445" s="181"/>
      <c r="K445" s="88"/>
      <c r="L445" s="387"/>
      <c r="M445" s="181"/>
      <c r="N445" s="181"/>
      <c r="O445" s="181"/>
      <c r="P445" s="88"/>
      <c r="Q445" s="155"/>
      <c r="R445" s="181"/>
      <c r="S445" s="181"/>
      <c r="T445" s="181"/>
      <c r="U445" s="395"/>
      <c r="V445" s="387"/>
      <c r="W445" s="181"/>
      <c r="X445" s="181"/>
      <c r="Y445" s="181"/>
      <c r="Z445" s="395"/>
      <c r="AA445" s="387"/>
      <c r="AB445" s="181"/>
      <c r="AC445" s="181"/>
      <c r="AD445" s="181"/>
      <c r="AE445" s="395"/>
      <c r="AF445" s="387"/>
      <c r="AG445" s="181"/>
      <c r="AH445" s="181"/>
      <c r="AI445" s="181"/>
      <c r="AJ445" s="395"/>
      <c r="AK445" s="387"/>
      <c r="AL445" s="181"/>
      <c r="AM445" s="181"/>
      <c r="AN445" s="181"/>
      <c r="AO445" s="370"/>
      <c r="AP445" s="370"/>
      <c r="AQ445" s="370"/>
      <c r="AR445" s="370"/>
      <c r="AS445" s="370"/>
    </row>
    <row r="446">
      <c r="A446" s="395"/>
      <c r="B446" s="387"/>
      <c r="C446" s="181"/>
      <c r="D446" s="181"/>
      <c r="E446" s="181"/>
      <c r="F446" s="395"/>
      <c r="G446" s="387"/>
      <c r="H446" s="181"/>
      <c r="I446" s="181"/>
      <c r="J446" s="181"/>
      <c r="K446" s="88"/>
      <c r="L446" s="387"/>
      <c r="M446" s="181"/>
      <c r="N446" s="181"/>
      <c r="O446" s="181"/>
      <c r="P446" s="88"/>
      <c r="Q446" s="155"/>
      <c r="R446" s="181"/>
      <c r="S446" s="181"/>
      <c r="T446" s="181"/>
      <c r="U446" s="395"/>
      <c r="V446" s="387"/>
      <c r="W446" s="181"/>
      <c r="X446" s="181"/>
      <c r="Y446" s="181"/>
      <c r="Z446" s="395"/>
      <c r="AA446" s="387"/>
      <c r="AB446" s="181"/>
      <c r="AC446" s="181"/>
      <c r="AD446" s="181"/>
      <c r="AE446" s="395"/>
      <c r="AF446" s="387"/>
      <c r="AG446" s="181"/>
      <c r="AH446" s="181"/>
      <c r="AI446" s="181"/>
      <c r="AJ446" s="395"/>
      <c r="AK446" s="387"/>
      <c r="AL446" s="181"/>
      <c r="AM446" s="181"/>
      <c r="AN446" s="181"/>
      <c r="AO446" s="370"/>
      <c r="AP446" s="370"/>
      <c r="AQ446" s="370"/>
      <c r="AR446" s="370"/>
      <c r="AS446" s="370"/>
    </row>
    <row r="447">
      <c r="A447" s="395"/>
      <c r="B447" s="387"/>
      <c r="C447" s="181"/>
      <c r="D447" s="181"/>
      <c r="E447" s="181"/>
      <c r="F447" s="395"/>
      <c r="G447" s="387"/>
      <c r="H447" s="181"/>
      <c r="I447" s="181"/>
      <c r="J447" s="181"/>
      <c r="K447" s="88"/>
      <c r="L447" s="387"/>
      <c r="M447" s="181"/>
      <c r="N447" s="181"/>
      <c r="O447" s="181"/>
      <c r="P447" s="88"/>
      <c r="Q447" s="155"/>
      <c r="R447" s="181"/>
      <c r="S447" s="181"/>
      <c r="T447" s="181"/>
      <c r="U447" s="395"/>
      <c r="V447" s="387"/>
      <c r="W447" s="181"/>
      <c r="X447" s="181"/>
      <c r="Y447" s="181"/>
      <c r="Z447" s="395"/>
      <c r="AA447" s="387"/>
      <c r="AB447" s="181"/>
      <c r="AC447" s="181"/>
      <c r="AD447" s="181"/>
      <c r="AE447" s="395"/>
      <c r="AF447" s="387"/>
      <c r="AG447" s="181"/>
      <c r="AH447" s="181"/>
      <c r="AI447" s="181"/>
      <c r="AJ447" s="395"/>
      <c r="AK447" s="387"/>
      <c r="AL447" s="181"/>
      <c r="AM447" s="181"/>
      <c r="AN447" s="181"/>
      <c r="AO447" s="370"/>
      <c r="AP447" s="370"/>
      <c r="AQ447" s="370"/>
      <c r="AR447" s="370"/>
      <c r="AS447" s="370"/>
    </row>
    <row r="448">
      <c r="A448" s="395"/>
      <c r="B448" s="387"/>
      <c r="C448" s="181"/>
      <c r="D448" s="181"/>
      <c r="E448" s="181"/>
      <c r="F448" s="395"/>
      <c r="G448" s="387"/>
      <c r="H448" s="181"/>
      <c r="I448" s="181"/>
      <c r="J448" s="181"/>
      <c r="K448" s="88"/>
      <c r="L448" s="387"/>
      <c r="M448" s="181"/>
      <c r="N448" s="181"/>
      <c r="O448" s="181"/>
      <c r="P448" s="88"/>
      <c r="Q448" s="155"/>
      <c r="R448" s="181"/>
      <c r="S448" s="181"/>
      <c r="T448" s="181"/>
      <c r="U448" s="395"/>
      <c r="V448" s="387"/>
      <c r="W448" s="181"/>
      <c r="X448" s="181"/>
      <c r="Y448" s="181"/>
      <c r="Z448" s="395"/>
      <c r="AA448" s="387"/>
      <c r="AB448" s="181"/>
      <c r="AC448" s="181"/>
      <c r="AD448" s="181"/>
      <c r="AE448" s="395"/>
      <c r="AF448" s="387"/>
      <c r="AG448" s="181"/>
      <c r="AH448" s="181"/>
      <c r="AI448" s="181"/>
      <c r="AJ448" s="395"/>
      <c r="AK448" s="387"/>
      <c r="AL448" s="181"/>
      <c r="AM448" s="181"/>
      <c r="AN448" s="181"/>
      <c r="AO448" s="370"/>
      <c r="AP448" s="370"/>
      <c r="AQ448" s="370"/>
      <c r="AR448" s="370"/>
      <c r="AS448" s="370"/>
    </row>
    <row r="449">
      <c r="A449" s="395"/>
      <c r="B449" s="387"/>
      <c r="C449" s="181"/>
      <c r="D449" s="181"/>
      <c r="E449" s="181"/>
      <c r="F449" s="395"/>
      <c r="G449" s="387"/>
      <c r="H449" s="181"/>
      <c r="I449" s="181"/>
      <c r="J449" s="181"/>
      <c r="K449" s="88"/>
      <c r="L449" s="387"/>
      <c r="M449" s="181"/>
      <c r="N449" s="181"/>
      <c r="O449" s="181"/>
      <c r="P449" s="88"/>
      <c r="Q449" s="155"/>
      <c r="R449" s="181"/>
      <c r="S449" s="181"/>
      <c r="T449" s="181"/>
      <c r="U449" s="395"/>
      <c r="V449" s="387"/>
      <c r="W449" s="181"/>
      <c r="X449" s="181"/>
      <c r="Y449" s="181"/>
      <c r="Z449" s="395"/>
      <c r="AA449" s="387"/>
      <c r="AB449" s="181"/>
      <c r="AC449" s="181"/>
      <c r="AD449" s="181"/>
      <c r="AE449" s="395"/>
      <c r="AF449" s="387"/>
      <c r="AG449" s="181"/>
      <c r="AH449" s="181"/>
      <c r="AI449" s="181"/>
      <c r="AJ449" s="395"/>
      <c r="AK449" s="387"/>
      <c r="AL449" s="181"/>
      <c r="AM449" s="181"/>
      <c r="AN449" s="181"/>
      <c r="AO449" s="370"/>
      <c r="AP449" s="370"/>
      <c r="AQ449" s="370"/>
      <c r="AR449" s="370"/>
      <c r="AS449" s="370"/>
    </row>
    <row r="450">
      <c r="A450" s="395"/>
      <c r="B450" s="387"/>
      <c r="C450" s="181"/>
      <c r="D450" s="181"/>
      <c r="E450" s="181"/>
      <c r="F450" s="395"/>
      <c r="G450" s="387"/>
      <c r="H450" s="181"/>
      <c r="I450" s="181"/>
      <c r="J450" s="181"/>
      <c r="K450" s="88"/>
      <c r="L450" s="387"/>
      <c r="M450" s="181"/>
      <c r="N450" s="181"/>
      <c r="O450" s="181"/>
      <c r="P450" s="88"/>
      <c r="Q450" s="155"/>
      <c r="R450" s="181"/>
      <c r="S450" s="181"/>
      <c r="T450" s="181"/>
      <c r="U450" s="395"/>
      <c r="V450" s="387"/>
      <c r="W450" s="181"/>
      <c r="X450" s="181"/>
      <c r="Y450" s="181"/>
      <c r="Z450" s="395"/>
      <c r="AA450" s="387"/>
      <c r="AB450" s="181"/>
      <c r="AC450" s="181"/>
      <c r="AD450" s="181"/>
      <c r="AE450" s="395"/>
      <c r="AF450" s="387"/>
      <c r="AG450" s="181"/>
      <c r="AH450" s="181"/>
      <c r="AI450" s="181"/>
      <c r="AJ450" s="395"/>
      <c r="AK450" s="387"/>
      <c r="AL450" s="181"/>
      <c r="AM450" s="181"/>
      <c r="AN450" s="181"/>
      <c r="AO450" s="370"/>
      <c r="AP450" s="370"/>
      <c r="AQ450" s="370"/>
      <c r="AR450" s="370"/>
      <c r="AS450" s="370"/>
    </row>
    <row r="451">
      <c r="A451" s="395"/>
      <c r="B451" s="387"/>
      <c r="C451" s="181"/>
      <c r="D451" s="181"/>
      <c r="E451" s="181"/>
      <c r="F451" s="395"/>
      <c r="G451" s="387"/>
      <c r="H451" s="181"/>
      <c r="I451" s="181"/>
      <c r="J451" s="181"/>
      <c r="K451" s="88"/>
      <c r="L451" s="387"/>
      <c r="M451" s="181"/>
      <c r="N451" s="181"/>
      <c r="O451" s="181"/>
      <c r="P451" s="88"/>
      <c r="Q451" s="155"/>
      <c r="R451" s="181"/>
      <c r="S451" s="181"/>
      <c r="T451" s="181"/>
      <c r="U451" s="395"/>
      <c r="V451" s="387"/>
      <c r="W451" s="181"/>
      <c r="X451" s="181"/>
      <c r="Y451" s="181"/>
      <c r="Z451" s="395"/>
      <c r="AA451" s="387"/>
      <c r="AB451" s="181"/>
      <c r="AC451" s="181"/>
      <c r="AD451" s="181"/>
      <c r="AE451" s="395"/>
      <c r="AF451" s="387"/>
      <c r="AG451" s="181"/>
      <c r="AH451" s="181"/>
      <c r="AI451" s="181"/>
      <c r="AJ451" s="395"/>
      <c r="AK451" s="387"/>
      <c r="AL451" s="181"/>
      <c r="AM451" s="181"/>
      <c r="AN451" s="181"/>
      <c r="AO451" s="370"/>
      <c r="AP451" s="370"/>
      <c r="AQ451" s="370"/>
      <c r="AR451" s="370"/>
      <c r="AS451" s="370"/>
    </row>
    <row r="452">
      <c r="A452" s="395"/>
      <c r="B452" s="387"/>
      <c r="C452" s="181"/>
      <c r="D452" s="181"/>
      <c r="E452" s="181"/>
      <c r="F452" s="395"/>
      <c r="G452" s="387"/>
      <c r="H452" s="181"/>
      <c r="I452" s="181"/>
      <c r="J452" s="181"/>
      <c r="K452" s="88"/>
      <c r="L452" s="387"/>
      <c r="M452" s="181"/>
      <c r="N452" s="181"/>
      <c r="O452" s="181"/>
      <c r="P452" s="88"/>
      <c r="Q452" s="155"/>
      <c r="R452" s="181"/>
      <c r="S452" s="181"/>
      <c r="T452" s="181"/>
      <c r="U452" s="395"/>
      <c r="V452" s="387"/>
      <c r="W452" s="181"/>
      <c r="X452" s="181"/>
      <c r="Y452" s="181"/>
      <c r="Z452" s="395"/>
      <c r="AA452" s="387"/>
      <c r="AB452" s="181"/>
      <c r="AC452" s="181"/>
      <c r="AD452" s="181"/>
      <c r="AE452" s="395"/>
      <c r="AF452" s="387"/>
      <c r="AG452" s="181"/>
      <c r="AH452" s="181"/>
      <c r="AI452" s="181"/>
      <c r="AJ452" s="395"/>
      <c r="AK452" s="387"/>
      <c r="AL452" s="181"/>
      <c r="AM452" s="181"/>
      <c r="AN452" s="181"/>
      <c r="AO452" s="370"/>
      <c r="AP452" s="370"/>
      <c r="AQ452" s="370"/>
      <c r="AR452" s="370"/>
      <c r="AS452" s="370"/>
    </row>
    <row r="453">
      <c r="A453" s="395"/>
      <c r="B453" s="387"/>
      <c r="C453" s="181"/>
      <c r="D453" s="181"/>
      <c r="E453" s="181"/>
      <c r="F453" s="395"/>
      <c r="G453" s="387"/>
      <c r="H453" s="181"/>
      <c r="I453" s="181"/>
      <c r="J453" s="181"/>
      <c r="K453" s="88"/>
      <c r="L453" s="387"/>
      <c r="M453" s="181"/>
      <c r="N453" s="181"/>
      <c r="O453" s="181"/>
      <c r="P453" s="88"/>
      <c r="Q453" s="155"/>
      <c r="R453" s="181"/>
      <c r="S453" s="181"/>
      <c r="T453" s="181"/>
      <c r="U453" s="395"/>
      <c r="V453" s="387"/>
      <c r="W453" s="181"/>
      <c r="X453" s="181"/>
      <c r="Y453" s="181"/>
      <c r="Z453" s="395"/>
      <c r="AA453" s="387"/>
      <c r="AB453" s="181"/>
      <c r="AC453" s="181"/>
      <c r="AD453" s="181"/>
      <c r="AE453" s="395"/>
      <c r="AF453" s="387"/>
      <c r="AG453" s="181"/>
      <c r="AH453" s="181"/>
      <c r="AI453" s="181"/>
      <c r="AJ453" s="395"/>
      <c r="AK453" s="387"/>
      <c r="AL453" s="181"/>
      <c r="AM453" s="181"/>
      <c r="AN453" s="181"/>
      <c r="AO453" s="370"/>
      <c r="AP453" s="370"/>
      <c r="AQ453" s="370"/>
      <c r="AR453" s="370"/>
      <c r="AS453" s="370"/>
    </row>
    <row r="454">
      <c r="A454" s="395"/>
      <c r="B454" s="387"/>
      <c r="C454" s="181"/>
      <c r="D454" s="181"/>
      <c r="E454" s="181"/>
      <c r="F454" s="395"/>
      <c r="G454" s="387"/>
      <c r="H454" s="181"/>
      <c r="I454" s="181"/>
      <c r="J454" s="181"/>
      <c r="K454" s="88"/>
      <c r="L454" s="387"/>
      <c r="M454" s="181"/>
      <c r="N454" s="181"/>
      <c r="O454" s="181"/>
      <c r="P454" s="88"/>
      <c r="Q454" s="155"/>
      <c r="R454" s="181"/>
      <c r="S454" s="181"/>
      <c r="T454" s="181"/>
      <c r="U454" s="395"/>
      <c r="V454" s="387"/>
      <c r="W454" s="181"/>
      <c r="X454" s="181"/>
      <c r="Y454" s="181"/>
      <c r="Z454" s="395"/>
      <c r="AA454" s="387"/>
      <c r="AB454" s="181"/>
      <c r="AC454" s="181"/>
      <c r="AD454" s="181"/>
      <c r="AE454" s="395"/>
      <c r="AF454" s="387"/>
      <c r="AG454" s="181"/>
      <c r="AH454" s="181"/>
      <c r="AI454" s="181"/>
      <c r="AJ454" s="395"/>
      <c r="AK454" s="387"/>
      <c r="AL454" s="181"/>
      <c r="AM454" s="181"/>
      <c r="AN454" s="181"/>
      <c r="AO454" s="370"/>
      <c r="AP454" s="370"/>
      <c r="AQ454" s="370"/>
      <c r="AR454" s="370"/>
      <c r="AS454" s="370"/>
    </row>
    <row r="455">
      <c r="A455" s="395"/>
      <c r="B455" s="387"/>
      <c r="C455" s="181"/>
      <c r="D455" s="181"/>
      <c r="E455" s="181"/>
      <c r="F455" s="395"/>
      <c r="G455" s="387"/>
      <c r="H455" s="181"/>
      <c r="I455" s="181"/>
      <c r="J455" s="181"/>
      <c r="K455" s="88"/>
      <c r="L455" s="387"/>
      <c r="M455" s="181"/>
      <c r="N455" s="181"/>
      <c r="O455" s="181"/>
      <c r="P455" s="88"/>
      <c r="Q455" s="155"/>
      <c r="R455" s="181"/>
      <c r="S455" s="181"/>
      <c r="T455" s="181"/>
      <c r="U455" s="395"/>
      <c r="V455" s="387"/>
      <c r="W455" s="181"/>
      <c r="X455" s="181"/>
      <c r="Y455" s="181"/>
      <c r="Z455" s="395"/>
      <c r="AA455" s="387"/>
      <c r="AB455" s="181"/>
      <c r="AC455" s="181"/>
      <c r="AD455" s="181"/>
      <c r="AE455" s="395"/>
      <c r="AF455" s="387"/>
      <c r="AG455" s="181"/>
      <c r="AH455" s="181"/>
      <c r="AI455" s="181"/>
      <c r="AJ455" s="395"/>
      <c r="AK455" s="387"/>
      <c r="AL455" s="181"/>
      <c r="AM455" s="181"/>
      <c r="AN455" s="181"/>
      <c r="AO455" s="370"/>
      <c r="AP455" s="370"/>
      <c r="AQ455" s="370"/>
      <c r="AR455" s="370"/>
      <c r="AS455" s="370"/>
    </row>
    <row r="456">
      <c r="A456" s="395"/>
      <c r="B456" s="387"/>
      <c r="C456" s="181"/>
      <c r="D456" s="181"/>
      <c r="E456" s="181"/>
      <c r="F456" s="395"/>
      <c r="G456" s="387"/>
      <c r="H456" s="181"/>
      <c r="I456" s="181"/>
      <c r="J456" s="181"/>
      <c r="K456" s="88"/>
      <c r="L456" s="387"/>
      <c r="M456" s="181"/>
      <c r="N456" s="181"/>
      <c r="O456" s="181"/>
      <c r="P456" s="88"/>
      <c r="Q456" s="155"/>
      <c r="R456" s="181"/>
      <c r="S456" s="181"/>
      <c r="T456" s="181"/>
      <c r="U456" s="395"/>
      <c r="V456" s="387"/>
      <c r="W456" s="181"/>
      <c r="X456" s="181"/>
      <c r="Y456" s="181"/>
      <c r="Z456" s="395"/>
      <c r="AA456" s="387"/>
      <c r="AB456" s="181"/>
      <c r="AC456" s="181"/>
      <c r="AD456" s="181"/>
      <c r="AE456" s="395"/>
      <c r="AF456" s="387"/>
      <c r="AG456" s="181"/>
      <c r="AH456" s="181"/>
      <c r="AI456" s="181"/>
      <c r="AJ456" s="395"/>
      <c r="AK456" s="387"/>
      <c r="AL456" s="181"/>
      <c r="AM456" s="181"/>
      <c r="AN456" s="181"/>
      <c r="AO456" s="370"/>
      <c r="AP456" s="370"/>
      <c r="AQ456" s="370"/>
      <c r="AR456" s="370"/>
      <c r="AS456" s="370"/>
    </row>
    <row r="457">
      <c r="A457" s="395"/>
      <c r="B457" s="387"/>
      <c r="C457" s="181"/>
      <c r="D457" s="181"/>
      <c r="E457" s="181"/>
      <c r="F457" s="395"/>
      <c r="G457" s="387"/>
      <c r="H457" s="181"/>
      <c r="I457" s="181"/>
      <c r="J457" s="181"/>
      <c r="K457" s="88"/>
      <c r="L457" s="387"/>
      <c r="M457" s="181"/>
      <c r="N457" s="181"/>
      <c r="O457" s="181"/>
      <c r="P457" s="88"/>
      <c r="Q457" s="155"/>
      <c r="R457" s="181"/>
      <c r="S457" s="181"/>
      <c r="T457" s="181"/>
      <c r="U457" s="395"/>
      <c r="V457" s="387"/>
      <c r="W457" s="181"/>
      <c r="X457" s="181"/>
      <c r="Y457" s="181"/>
      <c r="Z457" s="395"/>
      <c r="AA457" s="387"/>
      <c r="AB457" s="181"/>
      <c r="AC457" s="181"/>
      <c r="AD457" s="181"/>
      <c r="AE457" s="395"/>
      <c r="AF457" s="387"/>
      <c r="AG457" s="181"/>
      <c r="AH457" s="181"/>
      <c r="AI457" s="181"/>
      <c r="AJ457" s="395"/>
      <c r="AK457" s="387"/>
      <c r="AL457" s="181"/>
      <c r="AM457" s="181"/>
      <c r="AN457" s="181"/>
      <c r="AO457" s="370"/>
      <c r="AP457" s="370"/>
      <c r="AQ457" s="370"/>
      <c r="AR457" s="370"/>
      <c r="AS457" s="370"/>
    </row>
    <row r="458">
      <c r="A458" s="395"/>
      <c r="B458" s="387"/>
      <c r="C458" s="181"/>
      <c r="D458" s="181"/>
      <c r="E458" s="181"/>
      <c r="F458" s="395"/>
      <c r="G458" s="387"/>
      <c r="H458" s="181"/>
      <c r="I458" s="181"/>
      <c r="J458" s="181"/>
      <c r="K458" s="88"/>
      <c r="L458" s="387"/>
      <c r="M458" s="181"/>
      <c r="N458" s="181"/>
      <c r="O458" s="181"/>
      <c r="P458" s="88"/>
      <c r="Q458" s="155"/>
      <c r="R458" s="181"/>
      <c r="S458" s="181"/>
      <c r="T458" s="181"/>
      <c r="U458" s="395"/>
      <c r="V458" s="387"/>
      <c r="W458" s="181"/>
      <c r="X458" s="181"/>
      <c r="Y458" s="181"/>
      <c r="Z458" s="395"/>
      <c r="AA458" s="387"/>
      <c r="AB458" s="181"/>
      <c r="AC458" s="181"/>
      <c r="AD458" s="181"/>
      <c r="AE458" s="395"/>
      <c r="AF458" s="387"/>
      <c r="AG458" s="181"/>
      <c r="AH458" s="181"/>
      <c r="AI458" s="181"/>
      <c r="AJ458" s="395"/>
      <c r="AK458" s="387"/>
      <c r="AL458" s="181"/>
      <c r="AM458" s="181"/>
      <c r="AN458" s="181"/>
      <c r="AO458" s="370"/>
      <c r="AP458" s="370"/>
      <c r="AQ458" s="370"/>
      <c r="AR458" s="370"/>
      <c r="AS458" s="370"/>
    </row>
    <row r="459">
      <c r="A459" s="395"/>
      <c r="B459" s="387"/>
      <c r="C459" s="181"/>
      <c r="D459" s="181"/>
      <c r="E459" s="181"/>
      <c r="F459" s="395"/>
      <c r="G459" s="387"/>
      <c r="H459" s="181"/>
      <c r="I459" s="181"/>
      <c r="J459" s="181"/>
      <c r="K459" s="88"/>
      <c r="L459" s="387"/>
      <c r="M459" s="181"/>
      <c r="N459" s="181"/>
      <c r="O459" s="181"/>
      <c r="P459" s="88"/>
      <c r="Q459" s="155"/>
      <c r="R459" s="181"/>
      <c r="S459" s="181"/>
      <c r="T459" s="181"/>
      <c r="U459" s="395"/>
      <c r="V459" s="387"/>
      <c r="W459" s="181"/>
      <c r="X459" s="181"/>
      <c r="Y459" s="181"/>
      <c r="Z459" s="395"/>
      <c r="AA459" s="387"/>
      <c r="AB459" s="181"/>
      <c r="AC459" s="181"/>
      <c r="AD459" s="181"/>
      <c r="AE459" s="395"/>
      <c r="AF459" s="387"/>
      <c r="AG459" s="181"/>
      <c r="AH459" s="181"/>
      <c r="AI459" s="181"/>
      <c r="AJ459" s="395"/>
      <c r="AK459" s="387"/>
      <c r="AL459" s="181"/>
      <c r="AM459" s="181"/>
      <c r="AN459" s="181"/>
      <c r="AO459" s="370"/>
      <c r="AP459" s="370"/>
      <c r="AQ459" s="370"/>
      <c r="AR459" s="370"/>
      <c r="AS459" s="370"/>
    </row>
    <row r="460">
      <c r="A460" s="395"/>
      <c r="B460" s="387"/>
      <c r="C460" s="181"/>
      <c r="D460" s="181"/>
      <c r="E460" s="181"/>
      <c r="F460" s="395"/>
      <c r="G460" s="387"/>
      <c r="H460" s="181"/>
      <c r="I460" s="181"/>
      <c r="J460" s="181"/>
      <c r="K460" s="88"/>
      <c r="L460" s="387"/>
      <c r="M460" s="181"/>
      <c r="N460" s="181"/>
      <c r="O460" s="181"/>
      <c r="P460" s="88"/>
      <c r="Q460" s="155"/>
      <c r="R460" s="181"/>
      <c r="S460" s="181"/>
      <c r="T460" s="181"/>
      <c r="U460" s="395"/>
      <c r="V460" s="387"/>
      <c r="W460" s="181"/>
      <c r="X460" s="181"/>
      <c r="Y460" s="181"/>
      <c r="Z460" s="395"/>
      <c r="AA460" s="387"/>
      <c r="AB460" s="181"/>
      <c r="AC460" s="181"/>
      <c r="AD460" s="181"/>
      <c r="AE460" s="395"/>
      <c r="AF460" s="387"/>
      <c r="AG460" s="181"/>
      <c r="AH460" s="181"/>
      <c r="AI460" s="181"/>
      <c r="AJ460" s="395"/>
      <c r="AK460" s="387"/>
      <c r="AL460" s="181"/>
      <c r="AM460" s="181"/>
      <c r="AN460" s="181"/>
      <c r="AO460" s="370"/>
      <c r="AP460" s="370"/>
      <c r="AQ460" s="370"/>
      <c r="AR460" s="370"/>
      <c r="AS460" s="370"/>
    </row>
    <row r="461">
      <c r="A461" s="395"/>
      <c r="B461" s="387"/>
      <c r="C461" s="181"/>
      <c r="D461" s="181"/>
      <c r="E461" s="181"/>
      <c r="F461" s="395"/>
      <c r="G461" s="387"/>
      <c r="H461" s="181"/>
      <c r="I461" s="181"/>
      <c r="J461" s="181"/>
      <c r="K461" s="88"/>
      <c r="L461" s="387"/>
      <c r="M461" s="181"/>
      <c r="N461" s="181"/>
      <c r="O461" s="181"/>
      <c r="P461" s="88"/>
      <c r="Q461" s="155"/>
      <c r="R461" s="181"/>
      <c r="S461" s="181"/>
      <c r="T461" s="181"/>
      <c r="U461" s="395"/>
      <c r="V461" s="387"/>
      <c r="W461" s="181"/>
      <c r="X461" s="181"/>
      <c r="Y461" s="181"/>
      <c r="Z461" s="395"/>
      <c r="AA461" s="387"/>
      <c r="AB461" s="181"/>
      <c r="AC461" s="181"/>
      <c r="AD461" s="181"/>
      <c r="AE461" s="395"/>
      <c r="AF461" s="387"/>
      <c r="AG461" s="181"/>
      <c r="AH461" s="181"/>
      <c r="AI461" s="181"/>
      <c r="AJ461" s="395"/>
      <c r="AK461" s="387"/>
      <c r="AL461" s="181"/>
      <c r="AM461" s="181"/>
      <c r="AN461" s="181"/>
      <c r="AO461" s="370"/>
      <c r="AP461" s="370"/>
      <c r="AQ461" s="370"/>
      <c r="AR461" s="370"/>
      <c r="AS461" s="370"/>
    </row>
    <row r="462">
      <c r="A462" s="395"/>
      <c r="B462" s="387"/>
      <c r="C462" s="181"/>
      <c r="D462" s="181"/>
      <c r="E462" s="181"/>
      <c r="F462" s="395"/>
      <c r="G462" s="387"/>
      <c r="H462" s="181"/>
      <c r="I462" s="181"/>
      <c r="J462" s="181"/>
      <c r="K462" s="88"/>
      <c r="L462" s="387"/>
      <c r="M462" s="181"/>
      <c r="N462" s="181"/>
      <c r="O462" s="181"/>
      <c r="P462" s="88"/>
      <c r="Q462" s="155"/>
      <c r="R462" s="181"/>
      <c r="S462" s="181"/>
      <c r="T462" s="181"/>
      <c r="U462" s="395"/>
      <c r="V462" s="387"/>
      <c r="W462" s="181"/>
      <c r="X462" s="181"/>
      <c r="Y462" s="181"/>
      <c r="Z462" s="395"/>
      <c r="AA462" s="387"/>
      <c r="AB462" s="181"/>
      <c r="AC462" s="181"/>
      <c r="AD462" s="181"/>
      <c r="AE462" s="395"/>
      <c r="AF462" s="387"/>
      <c r="AG462" s="181"/>
      <c r="AH462" s="181"/>
      <c r="AI462" s="181"/>
      <c r="AJ462" s="395"/>
      <c r="AK462" s="387"/>
      <c r="AL462" s="181"/>
      <c r="AM462" s="181"/>
      <c r="AN462" s="181"/>
      <c r="AO462" s="370"/>
      <c r="AP462" s="370"/>
      <c r="AQ462" s="370"/>
      <c r="AR462" s="370"/>
      <c r="AS462" s="370"/>
    </row>
    <row r="463">
      <c r="A463" s="395"/>
      <c r="B463" s="387"/>
      <c r="C463" s="181"/>
      <c r="D463" s="181"/>
      <c r="E463" s="181"/>
      <c r="F463" s="395"/>
      <c r="G463" s="387"/>
      <c r="H463" s="181"/>
      <c r="I463" s="181"/>
      <c r="J463" s="181"/>
      <c r="K463" s="88"/>
      <c r="L463" s="387"/>
      <c r="M463" s="181"/>
      <c r="N463" s="181"/>
      <c r="O463" s="181"/>
      <c r="P463" s="88"/>
      <c r="Q463" s="155"/>
      <c r="R463" s="181"/>
      <c r="S463" s="181"/>
      <c r="T463" s="181"/>
      <c r="U463" s="395"/>
      <c r="V463" s="387"/>
      <c r="W463" s="181"/>
      <c r="X463" s="181"/>
      <c r="Y463" s="181"/>
      <c r="Z463" s="395"/>
      <c r="AA463" s="387"/>
      <c r="AB463" s="181"/>
      <c r="AC463" s="181"/>
      <c r="AD463" s="181"/>
      <c r="AE463" s="395"/>
      <c r="AF463" s="387"/>
      <c r="AG463" s="181"/>
      <c r="AH463" s="181"/>
      <c r="AI463" s="181"/>
      <c r="AJ463" s="395"/>
      <c r="AK463" s="387"/>
      <c r="AL463" s="181"/>
      <c r="AM463" s="181"/>
      <c r="AN463" s="181"/>
      <c r="AO463" s="370"/>
      <c r="AP463" s="370"/>
      <c r="AQ463" s="370"/>
      <c r="AR463" s="370"/>
      <c r="AS463" s="370"/>
    </row>
    <row r="464">
      <c r="A464" s="395"/>
      <c r="B464" s="387"/>
      <c r="C464" s="181"/>
      <c r="D464" s="181"/>
      <c r="E464" s="181"/>
      <c r="F464" s="395"/>
      <c r="G464" s="387"/>
      <c r="H464" s="181"/>
      <c r="I464" s="181"/>
      <c r="J464" s="181"/>
      <c r="K464" s="88"/>
      <c r="L464" s="387"/>
      <c r="M464" s="181"/>
      <c r="N464" s="181"/>
      <c r="O464" s="181"/>
      <c r="P464" s="88"/>
      <c r="Q464" s="155"/>
      <c r="R464" s="181"/>
      <c r="S464" s="181"/>
      <c r="T464" s="181"/>
      <c r="U464" s="395"/>
      <c r="V464" s="387"/>
      <c r="W464" s="181"/>
      <c r="X464" s="181"/>
      <c r="Y464" s="181"/>
      <c r="Z464" s="395"/>
      <c r="AA464" s="387"/>
      <c r="AB464" s="181"/>
      <c r="AC464" s="181"/>
      <c r="AD464" s="181"/>
      <c r="AE464" s="395"/>
      <c r="AF464" s="387"/>
      <c r="AG464" s="181"/>
      <c r="AH464" s="181"/>
      <c r="AI464" s="181"/>
      <c r="AJ464" s="395"/>
      <c r="AK464" s="387"/>
      <c r="AL464" s="181"/>
      <c r="AM464" s="181"/>
      <c r="AN464" s="181"/>
      <c r="AO464" s="370"/>
      <c r="AP464" s="370"/>
      <c r="AQ464" s="370"/>
      <c r="AR464" s="370"/>
      <c r="AS464" s="370"/>
    </row>
    <row r="465">
      <c r="A465" s="395"/>
      <c r="B465" s="387"/>
      <c r="C465" s="181"/>
      <c r="D465" s="181"/>
      <c r="E465" s="181"/>
      <c r="F465" s="395"/>
      <c r="G465" s="387"/>
      <c r="H465" s="181"/>
      <c r="I465" s="181"/>
      <c r="J465" s="181"/>
      <c r="K465" s="88"/>
      <c r="L465" s="387"/>
      <c r="M465" s="181"/>
      <c r="N465" s="181"/>
      <c r="O465" s="181"/>
      <c r="P465" s="88"/>
      <c r="Q465" s="155"/>
      <c r="R465" s="181"/>
      <c r="S465" s="181"/>
      <c r="T465" s="181"/>
      <c r="U465" s="395"/>
      <c r="V465" s="387"/>
      <c r="W465" s="181"/>
      <c r="X465" s="181"/>
      <c r="Y465" s="181"/>
      <c r="Z465" s="395"/>
      <c r="AA465" s="387"/>
      <c r="AB465" s="181"/>
      <c r="AC465" s="181"/>
      <c r="AD465" s="181"/>
      <c r="AE465" s="395"/>
      <c r="AF465" s="387"/>
      <c r="AG465" s="181"/>
      <c r="AH465" s="181"/>
      <c r="AI465" s="181"/>
      <c r="AJ465" s="395"/>
      <c r="AK465" s="387"/>
      <c r="AL465" s="181"/>
      <c r="AM465" s="181"/>
      <c r="AN465" s="181"/>
      <c r="AO465" s="370"/>
      <c r="AP465" s="370"/>
      <c r="AQ465" s="370"/>
      <c r="AR465" s="370"/>
      <c r="AS465" s="370"/>
    </row>
    <row r="466">
      <c r="A466" s="395"/>
      <c r="B466" s="387"/>
      <c r="C466" s="181"/>
      <c r="D466" s="181"/>
      <c r="E466" s="181"/>
      <c r="F466" s="395"/>
      <c r="G466" s="387"/>
      <c r="H466" s="181"/>
      <c r="I466" s="181"/>
      <c r="J466" s="181"/>
      <c r="K466" s="88"/>
      <c r="L466" s="387"/>
      <c r="M466" s="181"/>
      <c r="N466" s="181"/>
      <c r="O466" s="181"/>
      <c r="P466" s="88"/>
      <c r="Q466" s="155"/>
      <c r="R466" s="181"/>
      <c r="S466" s="181"/>
      <c r="T466" s="181"/>
      <c r="U466" s="395"/>
      <c r="V466" s="387"/>
      <c r="W466" s="181"/>
      <c r="X466" s="181"/>
      <c r="Y466" s="181"/>
      <c r="Z466" s="395"/>
      <c r="AA466" s="387"/>
      <c r="AB466" s="181"/>
      <c r="AC466" s="181"/>
      <c r="AD466" s="181"/>
      <c r="AE466" s="395"/>
      <c r="AF466" s="387"/>
      <c r="AG466" s="181"/>
      <c r="AH466" s="181"/>
      <c r="AI466" s="181"/>
      <c r="AJ466" s="395"/>
      <c r="AK466" s="387"/>
      <c r="AL466" s="181"/>
      <c r="AM466" s="181"/>
      <c r="AN466" s="181"/>
      <c r="AO466" s="370"/>
      <c r="AP466" s="370"/>
      <c r="AQ466" s="370"/>
      <c r="AR466" s="370"/>
      <c r="AS466" s="370"/>
    </row>
    <row r="467">
      <c r="A467" s="395"/>
      <c r="B467" s="387"/>
      <c r="C467" s="181"/>
      <c r="D467" s="181"/>
      <c r="E467" s="181"/>
      <c r="F467" s="395"/>
      <c r="G467" s="387"/>
      <c r="H467" s="181"/>
      <c r="I467" s="181"/>
      <c r="J467" s="181"/>
      <c r="K467" s="88"/>
      <c r="L467" s="387"/>
      <c r="M467" s="181"/>
      <c r="N467" s="181"/>
      <c r="O467" s="181"/>
      <c r="P467" s="88"/>
      <c r="Q467" s="155"/>
      <c r="R467" s="181"/>
      <c r="S467" s="181"/>
      <c r="T467" s="181"/>
      <c r="U467" s="395"/>
      <c r="V467" s="387"/>
      <c r="W467" s="181"/>
      <c r="X467" s="181"/>
      <c r="Y467" s="181"/>
      <c r="Z467" s="395"/>
      <c r="AA467" s="387"/>
      <c r="AB467" s="181"/>
      <c r="AC467" s="181"/>
      <c r="AD467" s="181"/>
      <c r="AE467" s="395"/>
      <c r="AF467" s="387"/>
      <c r="AG467" s="181"/>
      <c r="AH467" s="181"/>
      <c r="AI467" s="181"/>
      <c r="AJ467" s="395"/>
      <c r="AK467" s="387"/>
      <c r="AL467" s="181"/>
      <c r="AM467" s="181"/>
      <c r="AN467" s="181"/>
      <c r="AO467" s="370"/>
      <c r="AP467" s="370"/>
      <c r="AQ467" s="370"/>
      <c r="AR467" s="370"/>
      <c r="AS467" s="370"/>
    </row>
    <row r="468">
      <c r="A468" s="395"/>
      <c r="B468" s="387"/>
      <c r="C468" s="181"/>
      <c r="D468" s="181"/>
      <c r="E468" s="181"/>
      <c r="F468" s="395"/>
      <c r="G468" s="387"/>
      <c r="H468" s="181"/>
      <c r="I468" s="181"/>
      <c r="J468" s="181"/>
      <c r="K468" s="88"/>
      <c r="L468" s="387"/>
      <c r="M468" s="181"/>
      <c r="N468" s="181"/>
      <c r="O468" s="181"/>
      <c r="P468" s="88"/>
      <c r="Q468" s="155"/>
      <c r="R468" s="181"/>
      <c r="S468" s="181"/>
      <c r="T468" s="181"/>
      <c r="U468" s="395"/>
      <c r="V468" s="387"/>
      <c r="W468" s="181"/>
      <c r="X468" s="181"/>
      <c r="Y468" s="181"/>
      <c r="Z468" s="395"/>
      <c r="AA468" s="387"/>
      <c r="AB468" s="181"/>
      <c r="AC468" s="181"/>
      <c r="AD468" s="181"/>
      <c r="AE468" s="395"/>
      <c r="AF468" s="387"/>
      <c r="AG468" s="181"/>
      <c r="AH468" s="181"/>
      <c r="AI468" s="181"/>
      <c r="AJ468" s="395"/>
      <c r="AK468" s="387"/>
      <c r="AL468" s="181"/>
      <c r="AM468" s="181"/>
      <c r="AN468" s="181"/>
      <c r="AO468" s="370"/>
      <c r="AP468" s="370"/>
      <c r="AQ468" s="370"/>
      <c r="AR468" s="370"/>
      <c r="AS468" s="370"/>
    </row>
    <row r="469">
      <c r="A469" s="395"/>
      <c r="B469" s="387"/>
      <c r="C469" s="181"/>
      <c r="D469" s="181"/>
      <c r="E469" s="181"/>
      <c r="F469" s="395"/>
      <c r="G469" s="387"/>
      <c r="H469" s="181"/>
      <c r="I469" s="181"/>
      <c r="J469" s="181"/>
      <c r="K469" s="88"/>
      <c r="L469" s="387"/>
      <c r="M469" s="181"/>
      <c r="N469" s="181"/>
      <c r="O469" s="181"/>
      <c r="P469" s="88"/>
      <c r="Q469" s="155"/>
      <c r="R469" s="181"/>
      <c r="S469" s="181"/>
      <c r="T469" s="181"/>
      <c r="U469" s="395"/>
      <c r="V469" s="387"/>
      <c r="W469" s="181"/>
      <c r="X469" s="181"/>
      <c r="Y469" s="181"/>
      <c r="Z469" s="395"/>
      <c r="AA469" s="387"/>
      <c r="AB469" s="181"/>
      <c r="AC469" s="181"/>
      <c r="AD469" s="181"/>
      <c r="AE469" s="395"/>
      <c r="AF469" s="387"/>
      <c r="AG469" s="181"/>
      <c r="AH469" s="181"/>
      <c r="AI469" s="181"/>
      <c r="AJ469" s="395"/>
      <c r="AK469" s="387"/>
      <c r="AL469" s="181"/>
      <c r="AM469" s="181"/>
      <c r="AN469" s="181"/>
      <c r="AO469" s="370"/>
      <c r="AP469" s="370"/>
      <c r="AQ469" s="370"/>
      <c r="AR469" s="370"/>
      <c r="AS469" s="370"/>
    </row>
    <row r="470">
      <c r="A470" s="395"/>
      <c r="B470" s="387"/>
      <c r="C470" s="181"/>
      <c r="D470" s="181"/>
      <c r="E470" s="181"/>
      <c r="F470" s="395"/>
      <c r="G470" s="387"/>
      <c r="H470" s="181"/>
      <c r="I470" s="181"/>
      <c r="J470" s="181"/>
      <c r="K470" s="88"/>
      <c r="L470" s="387"/>
      <c r="M470" s="181"/>
      <c r="N470" s="181"/>
      <c r="O470" s="181"/>
      <c r="P470" s="88"/>
      <c r="Q470" s="155"/>
      <c r="R470" s="181"/>
      <c r="S470" s="181"/>
      <c r="T470" s="181"/>
      <c r="U470" s="395"/>
      <c r="V470" s="387"/>
      <c r="W470" s="181"/>
      <c r="X470" s="181"/>
      <c r="Y470" s="181"/>
      <c r="Z470" s="395"/>
      <c r="AA470" s="387"/>
      <c r="AB470" s="181"/>
      <c r="AC470" s="181"/>
      <c r="AD470" s="181"/>
      <c r="AE470" s="395"/>
      <c r="AF470" s="387"/>
      <c r="AG470" s="181"/>
      <c r="AH470" s="181"/>
      <c r="AI470" s="181"/>
      <c r="AJ470" s="395"/>
      <c r="AK470" s="387"/>
      <c r="AL470" s="181"/>
      <c r="AM470" s="181"/>
      <c r="AN470" s="181"/>
      <c r="AO470" s="370"/>
      <c r="AP470" s="370"/>
      <c r="AQ470" s="370"/>
      <c r="AR470" s="370"/>
      <c r="AS470" s="370"/>
    </row>
    <row r="471">
      <c r="A471" s="395"/>
      <c r="B471" s="387"/>
      <c r="C471" s="181"/>
      <c r="D471" s="181"/>
      <c r="E471" s="181"/>
      <c r="F471" s="395"/>
      <c r="G471" s="387"/>
      <c r="H471" s="181"/>
      <c r="I471" s="181"/>
      <c r="J471" s="181"/>
      <c r="K471" s="88"/>
      <c r="L471" s="387"/>
      <c r="M471" s="181"/>
      <c r="N471" s="181"/>
      <c r="O471" s="181"/>
      <c r="P471" s="88"/>
      <c r="Q471" s="155"/>
      <c r="R471" s="181"/>
      <c r="S471" s="181"/>
      <c r="T471" s="181"/>
      <c r="U471" s="395"/>
      <c r="V471" s="387"/>
      <c r="W471" s="181"/>
      <c r="X471" s="181"/>
      <c r="Y471" s="181"/>
      <c r="Z471" s="395"/>
      <c r="AA471" s="387"/>
      <c r="AB471" s="181"/>
      <c r="AC471" s="181"/>
      <c r="AD471" s="181"/>
      <c r="AE471" s="395"/>
      <c r="AF471" s="387"/>
      <c r="AG471" s="181"/>
      <c r="AH471" s="181"/>
      <c r="AI471" s="181"/>
      <c r="AJ471" s="395"/>
      <c r="AK471" s="387"/>
      <c r="AL471" s="181"/>
      <c r="AM471" s="181"/>
      <c r="AN471" s="181"/>
      <c r="AO471" s="370"/>
      <c r="AP471" s="370"/>
      <c r="AQ471" s="370"/>
      <c r="AR471" s="370"/>
      <c r="AS471" s="370"/>
    </row>
    <row r="472">
      <c r="A472" s="395"/>
      <c r="B472" s="387"/>
      <c r="C472" s="181"/>
      <c r="D472" s="181"/>
      <c r="E472" s="181"/>
      <c r="F472" s="395"/>
      <c r="G472" s="387"/>
      <c r="H472" s="181"/>
      <c r="I472" s="181"/>
      <c r="J472" s="181"/>
      <c r="K472" s="88"/>
      <c r="L472" s="387"/>
      <c r="M472" s="181"/>
      <c r="N472" s="181"/>
      <c r="O472" s="181"/>
      <c r="P472" s="88"/>
      <c r="Q472" s="155"/>
      <c r="R472" s="181"/>
      <c r="S472" s="181"/>
      <c r="T472" s="181"/>
      <c r="U472" s="395"/>
      <c r="V472" s="387"/>
      <c r="W472" s="181"/>
      <c r="X472" s="181"/>
      <c r="Y472" s="181"/>
      <c r="Z472" s="395"/>
      <c r="AA472" s="387"/>
      <c r="AB472" s="181"/>
      <c r="AC472" s="181"/>
      <c r="AD472" s="181"/>
      <c r="AE472" s="395"/>
      <c r="AF472" s="387"/>
      <c r="AG472" s="181"/>
      <c r="AH472" s="181"/>
      <c r="AI472" s="181"/>
      <c r="AJ472" s="395"/>
      <c r="AK472" s="387"/>
      <c r="AL472" s="181"/>
      <c r="AM472" s="181"/>
      <c r="AN472" s="181"/>
      <c r="AO472" s="370"/>
      <c r="AP472" s="370"/>
      <c r="AQ472" s="370"/>
      <c r="AR472" s="370"/>
      <c r="AS472" s="370"/>
    </row>
    <row r="473">
      <c r="A473" s="395"/>
      <c r="B473" s="387"/>
      <c r="C473" s="181"/>
      <c r="D473" s="181"/>
      <c r="E473" s="181"/>
      <c r="F473" s="395"/>
      <c r="G473" s="387"/>
      <c r="H473" s="181"/>
      <c r="I473" s="181"/>
      <c r="J473" s="181"/>
      <c r="K473" s="88"/>
      <c r="L473" s="387"/>
      <c r="M473" s="181"/>
      <c r="N473" s="181"/>
      <c r="O473" s="181"/>
      <c r="P473" s="88"/>
      <c r="Q473" s="155"/>
      <c r="R473" s="181"/>
      <c r="S473" s="181"/>
      <c r="T473" s="181"/>
      <c r="U473" s="395"/>
      <c r="V473" s="387"/>
      <c r="W473" s="181"/>
      <c r="X473" s="181"/>
      <c r="Y473" s="181"/>
      <c r="Z473" s="395"/>
      <c r="AA473" s="387"/>
      <c r="AB473" s="181"/>
      <c r="AC473" s="181"/>
      <c r="AD473" s="181"/>
      <c r="AE473" s="395"/>
      <c r="AF473" s="387"/>
      <c r="AG473" s="181"/>
      <c r="AH473" s="181"/>
      <c r="AI473" s="181"/>
      <c r="AJ473" s="395"/>
      <c r="AK473" s="387"/>
      <c r="AL473" s="181"/>
      <c r="AM473" s="181"/>
      <c r="AN473" s="181"/>
      <c r="AO473" s="370"/>
      <c r="AP473" s="370"/>
      <c r="AQ473" s="370"/>
      <c r="AR473" s="370"/>
      <c r="AS473" s="370"/>
    </row>
    <row r="474">
      <c r="A474" s="395"/>
      <c r="B474" s="387"/>
      <c r="C474" s="181"/>
      <c r="D474" s="181"/>
      <c r="E474" s="181"/>
      <c r="F474" s="395"/>
      <c r="G474" s="387"/>
      <c r="H474" s="181"/>
      <c r="I474" s="181"/>
      <c r="J474" s="181"/>
      <c r="K474" s="88"/>
      <c r="L474" s="387"/>
      <c r="M474" s="181"/>
      <c r="N474" s="181"/>
      <c r="O474" s="181"/>
      <c r="P474" s="88"/>
      <c r="Q474" s="155"/>
      <c r="R474" s="181"/>
      <c r="S474" s="181"/>
      <c r="T474" s="181"/>
      <c r="U474" s="395"/>
      <c r="V474" s="387"/>
      <c r="W474" s="181"/>
      <c r="X474" s="181"/>
      <c r="Y474" s="181"/>
      <c r="Z474" s="395"/>
      <c r="AA474" s="387"/>
      <c r="AB474" s="181"/>
      <c r="AC474" s="181"/>
      <c r="AD474" s="181"/>
      <c r="AE474" s="395"/>
      <c r="AF474" s="387"/>
      <c r="AG474" s="181"/>
      <c r="AH474" s="181"/>
      <c r="AI474" s="181"/>
      <c r="AJ474" s="395"/>
      <c r="AK474" s="387"/>
      <c r="AL474" s="181"/>
      <c r="AM474" s="181"/>
      <c r="AN474" s="181"/>
      <c r="AO474" s="370"/>
      <c r="AP474" s="370"/>
      <c r="AQ474" s="370"/>
      <c r="AR474" s="370"/>
      <c r="AS474" s="370"/>
    </row>
    <row r="475">
      <c r="A475" s="395"/>
      <c r="B475" s="387"/>
      <c r="C475" s="181"/>
      <c r="D475" s="181"/>
      <c r="E475" s="181"/>
      <c r="F475" s="395"/>
      <c r="G475" s="387"/>
      <c r="H475" s="181"/>
      <c r="I475" s="181"/>
      <c r="J475" s="181"/>
      <c r="K475" s="88"/>
      <c r="L475" s="387"/>
      <c r="M475" s="181"/>
      <c r="N475" s="181"/>
      <c r="O475" s="181"/>
      <c r="P475" s="88"/>
      <c r="Q475" s="155"/>
      <c r="R475" s="181"/>
      <c r="S475" s="181"/>
      <c r="T475" s="181"/>
      <c r="U475" s="395"/>
      <c r="V475" s="387"/>
      <c r="W475" s="181"/>
      <c r="X475" s="181"/>
      <c r="Y475" s="181"/>
      <c r="Z475" s="395"/>
      <c r="AA475" s="387"/>
      <c r="AB475" s="181"/>
      <c r="AC475" s="181"/>
      <c r="AD475" s="181"/>
      <c r="AE475" s="395"/>
      <c r="AF475" s="387"/>
      <c r="AG475" s="181"/>
      <c r="AH475" s="181"/>
      <c r="AI475" s="181"/>
      <c r="AJ475" s="395"/>
      <c r="AK475" s="387"/>
      <c r="AL475" s="181"/>
      <c r="AM475" s="181"/>
      <c r="AN475" s="181"/>
      <c r="AO475" s="370"/>
      <c r="AP475" s="370"/>
      <c r="AQ475" s="370"/>
      <c r="AR475" s="370"/>
      <c r="AS475" s="370"/>
    </row>
    <row r="476">
      <c r="A476" s="395"/>
      <c r="B476" s="387"/>
      <c r="C476" s="181"/>
      <c r="D476" s="181"/>
      <c r="E476" s="181"/>
      <c r="F476" s="395"/>
      <c r="G476" s="387"/>
      <c r="H476" s="181"/>
      <c r="I476" s="181"/>
      <c r="J476" s="181"/>
      <c r="K476" s="88"/>
      <c r="L476" s="387"/>
      <c r="M476" s="181"/>
      <c r="N476" s="181"/>
      <c r="O476" s="181"/>
      <c r="P476" s="88"/>
      <c r="Q476" s="155"/>
      <c r="R476" s="181"/>
      <c r="S476" s="181"/>
      <c r="T476" s="181"/>
      <c r="U476" s="395"/>
      <c r="V476" s="387"/>
      <c r="W476" s="181"/>
      <c r="X476" s="181"/>
      <c r="Y476" s="181"/>
      <c r="Z476" s="395"/>
      <c r="AA476" s="387"/>
      <c r="AB476" s="181"/>
      <c r="AC476" s="181"/>
      <c r="AD476" s="181"/>
      <c r="AE476" s="395"/>
      <c r="AF476" s="387"/>
      <c r="AG476" s="181"/>
      <c r="AH476" s="181"/>
      <c r="AI476" s="181"/>
      <c r="AJ476" s="395"/>
      <c r="AK476" s="387"/>
      <c r="AL476" s="181"/>
      <c r="AM476" s="181"/>
      <c r="AN476" s="181"/>
      <c r="AO476" s="370"/>
      <c r="AP476" s="370"/>
      <c r="AQ476" s="370"/>
      <c r="AR476" s="370"/>
      <c r="AS476" s="370"/>
    </row>
    <row r="477">
      <c r="A477" s="395"/>
      <c r="B477" s="387"/>
      <c r="C477" s="181"/>
      <c r="D477" s="181"/>
      <c r="E477" s="181"/>
      <c r="F477" s="395"/>
      <c r="G477" s="387"/>
      <c r="H477" s="181"/>
      <c r="I477" s="181"/>
      <c r="J477" s="181"/>
      <c r="K477" s="88"/>
      <c r="L477" s="387"/>
      <c r="M477" s="181"/>
      <c r="N477" s="181"/>
      <c r="O477" s="181"/>
      <c r="P477" s="88"/>
      <c r="Q477" s="155"/>
      <c r="R477" s="181"/>
      <c r="S477" s="181"/>
      <c r="T477" s="181"/>
      <c r="U477" s="395"/>
      <c r="V477" s="387"/>
      <c r="W477" s="181"/>
      <c r="X477" s="181"/>
      <c r="Y477" s="181"/>
      <c r="Z477" s="395"/>
      <c r="AA477" s="387"/>
      <c r="AB477" s="181"/>
      <c r="AC477" s="181"/>
      <c r="AD477" s="181"/>
      <c r="AE477" s="395"/>
      <c r="AF477" s="387"/>
      <c r="AG477" s="181"/>
      <c r="AH477" s="181"/>
      <c r="AI477" s="181"/>
      <c r="AJ477" s="395"/>
      <c r="AK477" s="387"/>
      <c r="AL477" s="181"/>
      <c r="AM477" s="181"/>
      <c r="AN477" s="181"/>
      <c r="AO477" s="370"/>
      <c r="AP477" s="370"/>
      <c r="AQ477" s="370"/>
      <c r="AR477" s="370"/>
      <c r="AS477" s="370"/>
    </row>
    <row r="478">
      <c r="A478" s="395"/>
      <c r="B478" s="387"/>
      <c r="C478" s="181"/>
      <c r="D478" s="181"/>
      <c r="E478" s="181"/>
      <c r="F478" s="395"/>
      <c r="G478" s="387"/>
      <c r="H478" s="181"/>
      <c r="I478" s="181"/>
      <c r="J478" s="181"/>
      <c r="K478" s="88"/>
      <c r="L478" s="387"/>
      <c r="M478" s="181"/>
      <c r="N478" s="181"/>
      <c r="O478" s="181"/>
      <c r="P478" s="88"/>
      <c r="Q478" s="155"/>
      <c r="R478" s="181"/>
      <c r="S478" s="181"/>
      <c r="T478" s="181"/>
      <c r="U478" s="395"/>
      <c r="V478" s="387"/>
      <c r="W478" s="181"/>
      <c r="X478" s="181"/>
      <c r="Y478" s="181"/>
      <c r="Z478" s="395"/>
      <c r="AA478" s="387"/>
      <c r="AB478" s="181"/>
      <c r="AC478" s="181"/>
      <c r="AD478" s="181"/>
      <c r="AE478" s="395"/>
      <c r="AF478" s="387"/>
      <c r="AG478" s="181"/>
      <c r="AH478" s="181"/>
      <c r="AI478" s="181"/>
      <c r="AJ478" s="395"/>
      <c r="AK478" s="387"/>
      <c r="AL478" s="181"/>
      <c r="AM478" s="181"/>
      <c r="AN478" s="181"/>
      <c r="AO478" s="370"/>
      <c r="AP478" s="370"/>
      <c r="AQ478" s="370"/>
      <c r="AR478" s="370"/>
      <c r="AS478" s="370"/>
    </row>
    <row r="479">
      <c r="A479" s="395"/>
      <c r="B479" s="387"/>
      <c r="C479" s="181"/>
      <c r="D479" s="181"/>
      <c r="E479" s="181"/>
      <c r="F479" s="395"/>
      <c r="G479" s="387"/>
      <c r="H479" s="181"/>
      <c r="I479" s="181"/>
      <c r="J479" s="181"/>
      <c r="K479" s="88"/>
      <c r="L479" s="387"/>
      <c r="M479" s="181"/>
      <c r="N479" s="181"/>
      <c r="O479" s="181"/>
      <c r="P479" s="88"/>
      <c r="Q479" s="155"/>
      <c r="R479" s="181"/>
      <c r="S479" s="181"/>
      <c r="T479" s="181"/>
      <c r="U479" s="395"/>
      <c r="V479" s="387"/>
      <c r="W479" s="181"/>
      <c r="X479" s="181"/>
      <c r="Y479" s="181"/>
      <c r="Z479" s="395"/>
      <c r="AA479" s="387"/>
      <c r="AB479" s="181"/>
      <c r="AC479" s="181"/>
      <c r="AD479" s="181"/>
      <c r="AE479" s="395"/>
      <c r="AF479" s="387"/>
      <c r="AG479" s="181"/>
      <c r="AH479" s="181"/>
      <c r="AI479" s="181"/>
      <c r="AJ479" s="395"/>
      <c r="AK479" s="387"/>
      <c r="AL479" s="181"/>
      <c r="AM479" s="181"/>
      <c r="AN479" s="181"/>
      <c r="AO479" s="370"/>
      <c r="AP479" s="370"/>
      <c r="AQ479" s="370"/>
      <c r="AR479" s="370"/>
      <c r="AS479" s="370"/>
    </row>
    <row r="480">
      <c r="A480" s="395"/>
      <c r="B480" s="387"/>
      <c r="C480" s="181"/>
      <c r="D480" s="181"/>
      <c r="E480" s="181"/>
      <c r="F480" s="395"/>
      <c r="G480" s="387"/>
      <c r="H480" s="181"/>
      <c r="I480" s="181"/>
      <c r="J480" s="181"/>
      <c r="K480" s="88"/>
      <c r="L480" s="387"/>
      <c r="M480" s="181"/>
      <c r="N480" s="181"/>
      <c r="O480" s="181"/>
      <c r="P480" s="88"/>
      <c r="Q480" s="155"/>
      <c r="R480" s="181"/>
      <c r="S480" s="181"/>
      <c r="T480" s="181"/>
      <c r="U480" s="395"/>
      <c r="V480" s="387"/>
      <c r="W480" s="181"/>
      <c r="X480" s="181"/>
      <c r="Y480" s="181"/>
      <c r="Z480" s="395"/>
      <c r="AA480" s="387"/>
      <c r="AB480" s="181"/>
      <c r="AC480" s="181"/>
      <c r="AD480" s="181"/>
      <c r="AE480" s="395"/>
      <c r="AF480" s="387"/>
      <c r="AG480" s="181"/>
      <c r="AH480" s="181"/>
      <c r="AI480" s="181"/>
      <c r="AJ480" s="395"/>
      <c r="AK480" s="387"/>
      <c r="AL480" s="181"/>
      <c r="AM480" s="181"/>
      <c r="AN480" s="181"/>
      <c r="AO480" s="370"/>
      <c r="AP480" s="370"/>
      <c r="AQ480" s="370"/>
      <c r="AR480" s="370"/>
      <c r="AS480" s="370"/>
    </row>
    <row r="481">
      <c r="A481" s="395"/>
      <c r="B481" s="387"/>
      <c r="C481" s="181"/>
      <c r="D481" s="181"/>
      <c r="E481" s="181"/>
      <c r="F481" s="395"/>
      <c r="G481" s="387"/>
      <c r="H481" s="181"/>
      <c r="I481" s="181"/>
      <c r="J481" s="181"/>
      <c r="K481" s="88"/>
      <c r="L481" s="387"/>
      <c r="M481" s="181"/>
      <c r="N481" s="181"/>
      <c r="O481" s="181"/>
      <c r="P481" s="88"/>
      <c r="Q481" s="155"/>
      <c r="R481" s="181"/>
      <c r="S481" s="181"/>
      <c r="T481" s="181"/>
      <c r="U481" s="395"/>
      <c r="V481" s="387"/>
      <c r="W481" s="181"/>
      <c r="X481" s="181"/>
      <c r="Y481" s="181"/>
      <c r="Z481" s="395"/>
      <c r="AA481" s="387"/>
      <c r="AB481" s="181"/>
      <c r="AC481" s="181"/>
      <c r="AD481" s="181"/>
      <c r="AE481" s="395"/>
      <c r="AF481" s="387"/>
      <c r="AG481" s="181"/>
      <c r="AH481" s="181"/>
      <c r="AI481" s="181"/>
      <c r="AJ481" s="395"/>
      <c r="AK481" s="387"/>
      <c r="AL481" s="181"/>
      <c r="AM481" s="181"/>
      <c r="AN481" s="181"/>
      <c r="AO481" s="370"/>
      <c r="AP481" s="370"/>
      <c r="AQ481" s="370"/>
      <c r="AR481" s="370"/>
      <c r="AS481" s="370"/>
    </row>
    <row r="482">
      <c r="A482" s="395"/>
      <c r="B482" s="387"/>
      <c r="C482" s="181"/>
      <c r="D482" s="181"/>
      <c r="E482" s="181"/>
      <c r="F482" s="395"/>
      <c r="G482" s="387"/>
      <c r="H482" s="181"/>
      <c r="I482" s="181"/>
      <c r="J482" s="181"/>
      <c r="K482" s="88"/>
      <c r="L482" s="387"/>
      <c r="M482" s="181"/>
      <c r="N482" s="181"/>
      <c r="O482" s="181"/>
      <c r="P482" s="88"/>
      <c r="Q482" s="155"/>
      <c r="R482" s="181"/>
      <c r="S482" s="181"/>
      <c r="T482" s="181"/>
      <c r="U482" s="395"/>
      <c r="V482" s="387"/>
      <c r="W482" s="181"/>
      <c r="X482" s="181"/>
      <c r="Y482" s="181"/>
      <c r="Z482" s="395"/>
      <c r="AA482" s="387"/>
      <c r="AB482" s="181"/>
      <c r="AC482" s="181"/>
      <c r="AD482" s="181"/>
      <c r="AE482" s="395"/>
      <c r="AF482" s="387"/>
      <c r="AG482" s="181"/>
      <c r="AH482" s="181"/>
      <c r="AI482" s="181"/>
      <c r="AJ482" s="395"/>
      <c r="AK482" s="387"/>
      <c r="AL482" s="181"/>
      <c r="AM482" s="181"/>
      <c r="AN482" s="181"/>
      <c r="AO482" s="370"/>
      <c r="AP482" s="370"/>
      <c r="AQ482" s="370"/>
      <c r="AR482" s="370"/>
      <c r="AS482" s="370"/>
    </row>
    <row r="483">
      <c r="A483" s="395"/>
      <c r="B483" s="387"/>
      <c r="C483" s="181"/>
      <c r="D483" s="181"/>
      <c r="E483" s="181"/>
      <c r="F483" s="395"/>
      <c r="G483" s="387"/>
      <c r="H483" s="181"/>
      <c r="I483" s="181"/>
      <c r="J483" s="181"/>
      <c r="K483" s="88"/>
      <c r="L483" s="387"/>
      <c r="M483" s="181"/>
      <c r="N483" s="181"/>
      <c r="O483" s="181"/>
      <c r="P483" s="88"/>
      <c r="Q483" s="155"/>
      <c r="R483" s="181"/>
      <c r="S483" s="181"/>
      <c r="T483" s="181"/>
      <c r="U483" s="395"/>
      <c r="V483" s="387"/>
      <c r="W483" s="181"/>
      <c r="X483" s="181"/>
      <c r="Y483" s="181"/>
      <c r="Z483" s="395"/>
      <c r="AA483" s="387"/>
      <c r="AB483" s="181"/>
      <c r="AC483" s="181"/>
      <c r="AD483" s="181"/>
      <c r="AE483" s="395"/>
      <c r="AF483" s="387"/>
      <c r="AG483" s="181"/>
      <c r="AH483" s="181"/>
      <c r="AI483" s="181"/>
      <c r="AJ483" s="395"/>
      <c r="AK483" s="387"/>
      <c r="AL483" s="181"/>
      <c r="AM483" s="181"/>
      <c r="AN483" s="181"/>
      <c r="AO483" s="370"/>
      <c r="AP483" s="370"/>
      <c r="AQ483" s="370"/>
      <c r="AR483" s="370"/>
      <c r="AS483" s="370"/>
    </row>
    <row r="484">
      <c r="A484" s="395"/>
      <c r="B484" s="387"/>
      <c r="C484" s="181"/>
      <c r="D484" s="181"/>
      <c r="E484" s="181"/>
      <c r="F484" s="395"/>
      <c r="G484" s="387"/>
      <c r="H484" s="181"/>
      <c r="I484" s="181"/>
      <c r="J484" s="181"/>
      <c r="K484" s="88"/>
      <c r="L484" s="387"/>
      <c r="M484" s="181"/>
      <c r="N484" s="181"/>
      <c r="O484" s="181"/>
      <c r="P484" s="88"/>
      <c r="Q484" s="155"/>
      <c r="R484" s="181"/>
      <c r="S484" s="181"/>
      <c r="T484" s="181"/>
      <c r="U484" s="395"/>
      <c r="V484" s="387"/>
      <c r="W484" s="181"/>
      <c r="X484" s="181"/>
      <c r="Y484" s="181"/>
      <c r="Z484" s="395"/>
      <c r="AA484" s="387"/>
      <c r="AB484" s="181"/>
      <c r="AC484" s="181"/>
      <c r="AD484" s="181"/>
      <c r="AE484" s="395"/>
      <c r="AF484" s="387"/>
      <c r="AG484" s="181"/>
      <c r="AH484" s="181"/>
      <c r="AI484" s="181"/>
      <c r="AJ484" s="395"/>
      <c r="AK484" s="387"/>
      <c r="AL484" s="181"/>
      <c r="AM484" s="181"/>
      <c r="AN484" s="181"/>
      <c r="AO484" s="370"/>
      <c r="AP484" s="370"/>
      <c r="AQ484" s="370"/>
      <c r="AR484" s="370"/>
      <c r="AS484" s="370"/>
    </row>
    <row r="485">
      <c r="A485" s="395"/>
      <c r="B485" s="387"/>
      <c r="C485" s="181"/>
      <c r="D485" s="181"/>
      <c r="E485" s="181"/>
      <c r="F485" s="395"/>
      <c r="G485" s="387"/>
      <c r="H485" s="181"/>
      <c r="I485" s="181"/>
      <c r="J485" s="181"/>
      <c r="K485" s="88"/>
      <c r="L485" s="387"/>
      <c r="M485" s="181"/>
      <c r="N485" s="181"/>
      <c r="O485" s="181"/>
      <c r="P485" s="88"/>
      <c r="Q485" s="155"/>
      <c r="R485" s="181"/>
      <c r="S485" s="181"/>
      <c r="T485" s="181"/>
      <c r="U485" s="395"/>
      <c r="V485" s="387"/>
      <c r="W485" s="181"/>
      <c r="X485" s="181"/>
      <c r="Y485" s="181"/>
      <c r="Z485" s="395"/>
      <c r="AA485" s="387"/>
      <c r="AB485" s="181"/>
      <c r="AC485" s="181"/>
      <c r="AD485" s="181"/>
      <c r="AE485" s="395"/>
      <c r="AF485" s="387"/>
      <c r="AG485" s="181"/>
      <c r="AH485" s="181"/>
      <c r="AI485" s="181"/>
      <c r="AJ485" s="395"/>
      <c r="AK485" s="387"/>
      <c r="AL485" s="181"/>
      <c r="AM485" s="181"/>
      <c r="AN485" s="181"/>
      <c r="AO485" s="370"/>
      <c r="AP485" s="370"/>
      <c r="AQ485" s="370"/>
      <c r="AR485" s="370"/>
      <c r="AS485" s="370"/>
    </row>
    <row r="486">
      <c r="A486" s="395"/>
      <c r="B486" s="387"/>
      <c r="C486" s="181"/>
      <c r="D486" s="181"/>
      <c r="E486" s="181"/>
      <c r="F486" s="395"/>
      <c r="G486" s="387"/>
      <c r="H486" s="181"/>
      <c r="I486" s="181"/>
      <c r="J486" s="181"/>
      <c r="K486" s="88"/>
      <c r="L486" s="387"/>
      <c r="M486" s="181"/>
      <c r="N486" s="181"/>
      <c r="O486" s="181"/>
      <c r="P486" s="88"/>
      <c r="Q486" s="155"/>
      <c r="R486" s="181"/>
      <c r="S486" s="181"/>
      <c r="T486" s="181"/>
      <c r="U486" s="395"/>
      <c r="V486" s="387"/>
      <c r="W486" s="181"/>
      <c r="X486" s="181"/>
      <c r="Y486" s="181"/>
      <c r="Z486" s="395"/>
      <c r="AA486" s="387"/>
      <c r="AB486" s="181"/>
      <c r="AC486" s="181"/>
      <c r="AD486" s="181"/>
      <c r="AE486" s="395"/>
      <c r="AF486" s="387"/>
      <c r="AG486" s="181"/>
      <c r="AH486" s="181"/>
      <c r="AI486" s="181"/>
      <c r="AJ486" s="395"/>
      <c r="AK486" s="387"/>
      <c r="AL486" s="181"/>
      <c r="AM486" s="181"/>
      <c r="AN486" s="181"/>
      <c r="AO486" s="370"/>
      <c r="AP486" s="370"/>
      <c r="AQ486" s="370"/>
      <c r="AR486" s="370"/>
      <c r="AS486" s="370"/>
    </row>
    <row r="487">
      <c r="A487" s="395"/>
      <c r="B487" s="387"/>
      <c r="C487" s="181"/>
      <c r="D487" s="181"/>
      <c r="E487" s="181"/>
      <c r="F487" s="395"/>
      <c r="G487" s="387"/>
      <c r="H487" s="181"/>
      <c r="I487" s="181"/>
      <c r="J487" s="181"/>
      <c r="K487" s="88"/>
      <c r="L487" s="387"/>
      <c r="M487" s="181"/>
      <c r="N487" s="181"/>
      <c r="O487" s="181"/>
      <c r="P487" s="88"/>
      <c r="Q487" s="155"/>
      <c r="R487" s="181"/>
      <c r="S487" s="181"/>
      <c r="T487" s="181"/>
      <c r="U487" s="395"/>
      <c r="V487" s="387"/>
      <c r="W487" s="181"/>
      <c r="X487" s="181"/>
      <c r="Y487" s="181"/>
      <c r="Z487" s="395"/>
      <c r="AA487" s="387"/>
      <c r="AB487" s="181"/>
      <c r="AC487" s="181"/>
      <c r="AD487" s="181"/>
      <c r="AE487" s="395"/>
      <c r="AF487" s="387"/>
      <c r="AG487" s="181"/>
      <c r="AH487" s="181"/>
      <c r="AI487" s="181"/>
      <c r="AJ487" s="395"/>
      <c r="AK487" s="387"/>
      <c r="AL487" s="181"/>
      <c r="AM487" s="181"/>
      <c r="AN487" s="181"/>
      <c r="AO487" s="370"/>
      <c r="AP487" s="370"/>
      <c r="AQ487" s="370"/>
      <c r="AR487" s="370"/>
      <c r="AS487" s="370"/>
    </row>
    <row r="488">
      <c r="A488" s="395"/>
      <c r="B488" s="387"/>
      <c r="C488" s="181"/>
      <c r="D488" s="181"/>
      <c r="E488" s="181"/>
      <c r="F488" s="395"/>
      <c r="G488" s="387"/>
      <c r="H488" s="181"/>
      <c r="I488" s="181"/>
      <c r="J488" s="181"/>
      <c r="K488" s="88"/>
      <c r="L488" s="387"/>
      <c r="M488" s="181"/>
      <c r="N488" s="181"/>
      <c r="O488" s="181"/>
      <c r="P488" s="88"/>
      <c r="Q488" s="155"/>
      <c r="R488" s="181"/>
      <c r="S488" s="181"/>
      <c r="T488" s="181"/>
      <c r="U488" s="395"/>
      <c r="V488" s="387"/>
      <c r="W488" s="181"/>
      <c r="X488" s="181"/>
      <c r="Y488" s="181"/>
      <c r="Z488" s="395"/>
      <c r="AA488" s="387"/>
      <c r="AB488" s="181"/>
      <c r="AC488" s="181"/>
      <c r="AD488" s="181"/>
      <c r="AE488" s="395"/>
      <c r="AF488" s="387"/>
      <c r="AG488" s="181"/>
      <c r="AH488" s="181"/>
      <c r="AI488" s="181"/>
      <c r="AJ488" s="395"/>
      <c r="AK488" s="387"/>
      <c r="AL488" s="181"/>
      <c r="AM488" s="181"/>
      <c r="AN488" s="181"/>
      <c r="AO488" s="370"/>
      <c r="AP488" s="370"/>
      <c r="AQ488" s="370"/>
      <c r="AR488" s="370"/>
      <c r="AS488" s="370"/>
    </row>
    <row r="489">
      <c r="A489" s="395"/>
      <c r="B489" s="387"/>
      <c r="C489" s="181"/>
      <c r="D489" s="181"/>
      <c r="E489" s="181"/>
      <c r="F489" s="395"/>
      <c r="G489" s="387"/>
      <c r="H489" s="181"/>
      <c r="I489" s="181"/>
      <c r="J489" s="181"/>
      <c r="K489" s="88"/>
      <c r="L489" s="387"/>
      <c r="M489" s="181"/>
      <c r="N489" s="181"/>
      <c r="O489" s="181"/>
      <c r="P489" s="88"/>
      <c r="Q489" s="155"/>
      <c r="R489" s="181"/>
      <c r="S489" s="181"/>
      <c r="T489" s="181"/>
      <c r="U489" s="395"/>
      <c r="V489" s="387"/>
      <c r="W489" s="181"/>
      <c r="X489" s="181"/>
      <c r="Y489" s="181"/>
      <c r="Z489" s="395"/>
      <c r="AA489" s="387"/>
      <c r="AB489" s="181"/>
      <c r="AC489" s="181"/>
      <c r="AD489" s="181"/>
      <c r="AE489" s="395"/>
      <c r="AF489" s="387"/>
      <c r="AG489" s="181"/>
      <c r="AH489" s="181"/>
      <c r="AI489" s="181"/>
      <c r="AJ489" s="395"/>
      <c r="AK489" s="387"/>
      <c r="AL489" s="181"/>
      <c r="AM489" s="181"/>
      <c r="AN489" s="181"/>
      <c r="AO489" s="370"/>
      <c r="AP489" s="370"/>
      <c r="AQ489" s="370"/>
      <c r="AR489" s="370"/>
      <c r="AS489" s="370"/>
    </row>
    <row r="490">
      <c r="A490" s="395"/>
      <c r="B490" s="387"/>
      <c r="C490" s="181"/>
      <c r="D490" s="181"/>
      <c r="E490" s="181"/>
      <c r="F490" s="395"/>
      <c r="G490" s="387"/>
      <c r="H490" s="181"/>
      <c r="I490" s="181"/>
      <c r="J490" s="181"/>
      <c r="K490" s="88"/>
      <c r="L490" s="387"/>
      <c r="M490" s="181"/>
      <c r="N490" s="181"/>
      <c r="O490" s="181"/>
      <c r="P490" s="88"/>
      <c r="Q490" s="155"/>
      <c r="R490" s="181"/>
      <c r="S490" s="181"/>
      <c r="T490" s="181"/>
      <c r="U490" s="395"/>
      <c r="V490" s="387"/>
      <c r="W490" s="181"/>
      <c r="X490" s="181"/>
      <c r="Y490" s="181"/>
      <c r="Z490" s="395"/>
      <c r="AA490" s="387"/>
      <c r="AB490" s="181"/>
      <c r="AC490" s="181"/>
      <c r="AD490" s="181"/>
      <c r="AE490" s="395"/>
      <c r="AF490" s="387"/>
      <c r="AG490" s="181"/>
      <c r="AH490" s="181"/>
      <c r="AI490" s="181"/>
      <c r="AJ490" s="395"/>
      <c r="AK490" s="387"/>
      <c r="AL490" s="181"/>
      <c r="AM490" s="181"/>
      <c r="AN490" s="181"/>
      <c r="AO490" s="370"/>
      <c r="AP490" s="370"/>
      <c r="AQ490" s="370"/>
      <c r="AR490" s="370"/>
      <c r="AS490" s="370"/>
    </row>
    <row r="491">
      <c r="A491" s="395"/>
      <c r="B491" s="387"/>
      <c r="C491" s="181"/>
      <c r="D491" s="181"/>
      <c r="E491" s="181"/>
      <c r="F491" s="395"/>
      <c r="G491" s="387"/>
      <c r="H491" s="181"/>
      <c r="I491" s="181"/>
      <c r="J491" s="181"/>
      <c r="K491" s="88"/>
      <c r="L491" s="387"/>
      <c r="M491" s="181"/>
      <c r="N491" s="181"/>
      <c r="O491" s="181"/>
      <c r="P491" s="88"/>
      <c r="Q491" s="155"/>
      <c r="R491" s="181"/>
      <c r="S491" s="181"/>
      <c r="T491" s="181"/>
      <c r="U491" s="395"/>
      <c r="V491" s="387"/>
      <c r="W491" s="181"/>
      <c r="X491" s="181"/>
      <c r="Y491" s="181"/>
      <c r="Z491" s="395"/>
      <c r="AA491" s="387"/>
      <c r="AB491" s="181"/>
      <c r="AC491" s="181"/>
      <c r="AD491" s="181"/>
      <c r="AE491" s="395"/>
      <c r="AF491" s="387"/>
      <c r="AG491" s="181"/>
      <c r="AH491" s="181"/>
      <c r="AI491" s="181"/>
      <c r="AJ491" s="395"/>
      <c r="AK491" s="387"/>
      <c r="AL491" s="181"/>
      <c r="AM491" s="181"/>
      <c r="AN491" s="181"/>
      <c r="AO491" s="370"/>
      <c r="AP491" s="370"/>
      <c r="AQ491" s="370"/>
      <c r="AR491" s="370"/>
      <c r="AS491" s="370"/>
    </row>
    <row r="492">
      <c r="A492" s="395"/>
      <c r="B492" s="387"/>
      <c r="C492" s="181"/>
      <c r="D492" s="181"/>
      <c r="E492" s="181"/>
      <c r="F492" s="395"/>
      <c r="G492" s="387"/>
      <c r="H492" s="181"/>
      <c r="I492" s="181"/>
      <c r="J492" s="181"/>
      <c r="K492" s="88"/>
      <c r="L492" s="387"/>
      <c r="M492" s="181"/>
      <c r="N492" s="181"/>
      <c r="O492" s="181"/>
      <c r="P492" s="88"/>
      <c r="Q492" s="155"/>
      <c r="R492" s="181"/>
      <c r="S492" s="181"/>
      <c r="T492" s="181"/>
      <c r="U492" s="395"/>
      <c r="V492" s="387"/>
      <c r="W492" s="181"/>
      <c r="X492" s="181"/>
      <c r="Y492" s="181"/>
      <c r="Z492" s="395"/>
      <c r="AA492" s="387"/>
      <c r="AB492" s="181"/>
      <c r="AC492" s="181"/>
      <c r="AD492" s="181"/>
      <c r="AE492" s="395"/>
      <c r="AF492" s="387"/>
      <c r="AG492" s="181"/>
      <c r="AH492" s="181"/>
      <c r="AI492" s="181"/>
      <c r="AJ492" s="395"/>
      <c r="AK492" s="387"/>
      <c r="AL492" s="181"/>
      <c r="AM492" s="181"/>
      <c r="AN492" s="181"/>
      <c r="AO492" s="370"/>
      <c r="AP492" s="370"/>
      <c r="AQ492" s="370"/>
      <c r="AR492" s="370"/>
      <c r="AS492" s="370"/>
    </row>
    <row r="493">
      <c r="A493" s="395"/>
      <c r="B493" s="387"/>
      <c r="C493" s="181"/>
      <c r="D493" s="181"/>
      <c r="E493" s="181"/>
      <c r="F493" s="395"/>
      <c r="G493" s="387"/>
      <c r="H493" s="181"/>
      <c r="I493" s="181"/>
      <c r="J493" s="181"/>
      <c r="K493" s="88"/>
      <c r="L493" s="387"/>
      <c r="M493" s="181"/>
      <c r="N493" s="181"/>
      <c r="O493" s="181"/>
      <c r="P493" s="88"/>
      <c r="Q493" s="155"/>
      <c r="R493" s="181"/>
      <c r="S493" s="181"/>
      <c r="T493" s="181"/>
      <c r="U493" s="395"/>
      <c r="V493" s="387"/>
      <c r="W493" s="181"/>
      <c r="X493" s="181"/>
      <c r="Y493" s="181"/>
      <c r="Z493" s="395"/>
      <c r="AA493" s="387"/>
      <c r="AB493" s="181"/>
      <c r="AC493" s="181"/>
      <c r="AD493" s="181"/>
      <c r="AE493" s="395"/>
      <c r="AF493" s="387"/>
      <c r="AG493" s="181"/>
      <c r="AH493" s="181"/>
      <c r="AI493" s="181"/>
      <c r="AJ493" s="395"/>
      <c r="AK493" s="387"/>
      <c r="AL493" s="181"/>
      <c r="AM493" s="181"/>
      <c r="AN493" s="181"/>
      <c r="AO493" s="370"/>
      <c r="AP493" s="370"/>
      <c r="AQ493" s="370"/>
      <c r="AR493" s="370"/>
      <c r="AS493" s="370"/>
    </row>
    <row r="494">
      <c r="A494" s="395"/>
      <c r="B494" s="387"/>
      <c r="C494" s="181"/>
      <c r="D494" s="181"/>
      <c r="E494" s="181"/>
      <c r="F494" s="395"/>
      <c r="G494" s="387"/>
      <c r="H494" s="181"/>
      <c r="I494" s="181"/>
      <c r="J494" s="181"/>
      <c r="K494" s="88"/>
      <c r="L494" s="387"/>
      <c r="M494" s="181"/>
      <c r="N494" s="181"/>
      <c r="O494" s="181"/>
      <c r="P494" s="88"/>
      <c r="Q494" s="155"/>
      <c r="R494" s="181"/>
      <c r="S494" s="181"/>
      <c r="T494" s="181"/>
      <c r="U494" s="395"/>
      <c r="V494" s="387"/>
      <c r="W494" s="181"/>
      <c r="X494" s="181"/>
      <c r="Y494" s="181"/>
      <c r="Z494" s="395"/>
      <c r="AA494" s="387"/>
      <c r="AB494" s="181"/>
      <c r="AC494" s="181"/>
      <c r="AD494" s="181"/>
      <c r="AE494" s="395"/>
      <c r="AF494" s="387"/>
      <c r="AG494" s="181"/>
      <c r="AH494" s="181"/>
      <c r="AI494" s="181"/>
      <c r="AJ494" s="395"/>
      <c r="AK494" s="387"/>
      <c r="AL494" s="181"/>
      <c r="AM494" s="181"/>
      <c r="AN494" s="181"/>
      <c r="AO494" s="370"/>
      <c r="AP494" s="370"/>
      <c r="AQ494" s="370"/>
      <c r="AR494" s="370"/>
      <c r="AS494" s="370"/>
    </row>
    <row r="495">
      <c r="A495" s="395"/>
      <c r="B495" s="387"/>
      <c r="C495" s="181"/>
      <c r="D495" s="181"/>
      <c r="E495" s="181"/>
      <c r="F495" s="395"/>
      <c r="G495" s="387"/>
      <c r="H495" s="181"/>
      <c r="I495" s="181"/>
      <c r="J495" s="181"/>
      <c r="K495" s="88"/>
      <c r="L495" s="387"/>
      <c r="M495" s="181"/>
      <c r="N495" s="181"/>
      <c r="O495" s="181"/>
      <c r="P495" s="88"/>
      <c r="Q495" s="155"/>
      <c r="R495" s="181"/>
      <c r="S495" s="181"/>
      <c r="T495" s="181"/>
      <c r="U495" s="395"/>
      <c r="V495" s="387"/>
      <c r="W495" s="181"/>
      <c r="X495" s="181"/>
      <c r="Y495" s="181"/>
      <c r="Z495" s="395"/>
      <c r="AA495" s="387"/>
      <c r="AB495" s="181"/>
      <c r="AC495" s="181"/>
      <c r="AD495" s="181"/>
      <c r="AE495" s="395"/>
      <c r="AF495" s="387"/>
      <c r="AG495" s="181"/>
      <c r="AH495" s="181"/>
      <c r="AI495" s="181"/>
      <c r="AJ495" s="395"/>
      <c r="AK495" s="387"/>
      <c r="AL495" s="181"/>
      <c r="AM495" s="181"/>
      <c r="AN495" s="181"/>
      <c r="AO495" s="370"/>
      <c r="AP495" s="370"/>
      <c r="AQ495" s="370"/>
      <c r="AR495" s="370"/>
      <c r="AS495" s="370"/>
    </row>
    <row r="496">
      <c r="A496" s="395"/>
      <c r="B496" s="387"/>
      <c r="C496" s="181"/>
      <c r="D496" s="181"/>
      <c r="E496" s="181"/>
      <c r="F496" s="395"/>
      <c r="G496" s="387"/>
      <c r="H496" s="181"/>
      <c r="I496" s="181"/>
      <c r="J496" s="181"/>
      <c r="K496" s="88"/>
      <c r="L496" s="387"/>
      <c r="M496" s="181"/>
      <c r="N496" s="181"/>
      <c r="O496" s="181"/>
      <c r="P496" s="88"/>
      <c r="Q496" s="155"/>
      <c r="R496" s="181"/>
      <c r="S496" s="181"/>
      <c r="T496" s="181"/>
      <c r="U496" s="395"/>
      <c r="V496" s="387"/>
      <c r="W496" s="181"/>
      <c r="X496" s="181"/>
      <c r="Y496" s="181"/>
      <c r="Z496" s="395"/>
      <c r="AA496" s="387"/>
      <c r="AB496" s="181"/>
      <c r="AC496" s="181"/>
      <c r="AD496" s="181"/>
      <c r="AE496" s="395"/>
      <c r="AF496" s="387"/>
      <c r="AG496" s="181"/>
      <c r="AH496" s="181"/>
      <c r="AI496" s="181"/>
      <c r="AJ496" s="395"/>
      <c r="AK496" s="387"/>
      <c r="AL496" s="181"/>
      <c r="AM496" s="181"/>
      <c r="AN496" s="181"/>
      <c r="AO496" s="370"/>
      <c r="AP496" s="370"/>
      <c r="AQ496" s="370"/>
      <c r="AR496" s="370"/>
      <c r="AS496" s="370"/>
    </row>
    <row r="497">
      <c r="A497" s="395"/>
      <c r="B497" s="387"/>
      <c r="C497" s="181"/>
      <c r="D497" s="181"/>
      <c r="E497" s="181"/>
      <c r="F497" s="395"/>
      <c r="G497" s="387"/>
      <c r="H497" s="181"/>
      <c r="I497" s="181"/>
      <c r="J497" s="181"/>
      <c r="K497" s="88"/>
      <c r="L497" s="387"/>
      <c r="M497" s="181"/>
      <c r="N497" s="181"/>
      <c r="O497" s="181"/>
      <c r="P497" s="88"/>
      <c r="Q497" s="155"/>
      <c r="R497" s="181"/>
      <c r="S497" s="181"/>
      <c r="T497" s="181"/>
      <c r="U497" s="395"/>
      <c r="V497" s="387"/>
      <c r="W497" s="181"/>
      <c r="X497" s="181"/>
      <c r="Y497" s="181"/>
      <c r="Z497" s="395"/>
      <c r="AA497" s="387"/>
      <c r="AB497" s="181"/>
      <c r="AC497" s="181"/>
      <c r="AD497" s="181"/>
      <c r="AE497" s="395"/>
      <c r="AF497" s="387"/>
      <c r="AG497" s="181"/>
      <c r="AH497" s="181"/>
      <c r="AI497" s="181"/>
      <c r="AJ497" s="395"/>
      <c r="AK497" s="387"/>
      <c r="AL497" s="181"/>
      <c r="AM497" s="181"/>
      <c r="AN497" s="181"/>
      <c r="AO497" s="370"/>
      <c r="AP497" s="370"/>
      <c r="AQ497" s="370"/>
      <c r="AR497" s="370"/>
      <c r="AS497" s="370"/>
    </row>
    <row r="498">
      <c r="A498" s="395"/>
      <c r="B498" s="387"/>
      <c r="C498" s="181"/>
      <c r="D498" s="181"/>
      <c r="E498" s="181"/>
      <c r="F498" s="395"/>
      <c r="G498" s="387"/>
      <c r="H498" s="181"/>
      <c r="I498" s="181"/>
      <c r="J498" s="181"/>
      <c r="K498" s="88"/>
      <c r="L498" s="387"/>
      <c r="M498" s="181"/>
      <c r="N498" s="181"/>
      <c r="O498" s="181"/>
      <c r="P498" s="88"/>
      <c r="Q498" s="155"/>
      <c r="R498" s="181"/>
      <c r="S498" s="181"/>
      <c r="T498" s="181"/>
      <c r="U498" s="395"/>
      <c r="V498" s="387"/>
      <c r="W498" s="181"/>
      <c r="X498" s="181"/>
      <c r="Y498" s="181"/>
      <c r="Z498" s="395"/>
      <c r="AA498" s="387"/>
      <c r="AB498" s="181"/>
      <c r="AC498" s="181"/>
      <c r="AD498" s="181"/>
      <c r="AE498" s="395"/>
      <c r="AF498" s="387"/>
      <c r="AG498" s="181"/>
      <c r="AH498" s="181"/>
      <c r="AI498" s="181"/>
      <c r="AJ498" s="395"/>
      <c r="AK498" s="387"/>
      <c r="AL498" s="181"/>
      <c r="AM498" s="181"/>
      <c r="AN498" s="181"/>
      <c r="AO498" s="370"/>
      <c r="AP498" s="370"/>
      <c r="AQ498" s="370"/>
      <c r="AR498" s="370"/>
      <c r="AS498" s="370"/>
    </row>
    <row r="499">
      <c r="A499" s="395"/>
      <c r="B499" s="387"/>
      <c r="C499" s="181"/>
      <c r="D499" s="181"/>
      <c r="E499" s="181"/>
      <c r="F499" s="395"/>
      <c r="G499" s="387"/>
      <c r="H499" s="181"/>
      <c r="I499" s="181"/>
      <c r="J499" s="181"/>
      <c r="K499" s="88"/>
      <c r="L499" s="387"/>
      <c r="M499" s="181"/>
      <c r="N499" s="181"/>
      <c r="O499" s="181"/>
      <c r="P499" s="88"/>
      <c r="Q499" s="155"/>
      <c r="R499" s="181"/>
      <c r="S499" s="181"/>
      <c r="T499" s="181"/>
      <c r="U499" s="395"/>
      <c r="V499" s="387"/>
      <c r="W499" s="181"/>
      <c r="X499" s="181"/>
      <c r="Y499" s="181"/>
      <c r="Z499" s="395"/>
      <c r="AA499" s="387"/>
      <c r="AB499" s="181"/>
      <c r="AC499" s="181"/>
      <c r="AD499" s="181"/>
      <c r="AE499" s="395"/>
      <c r="AF499" s="387"/>
      <c r="AG499" s="181"/>
      <c r="AH499" s="181"/>
      <c r="AI499" s="181"/>
      <c r="AJ499" s="395"/>
      <c r="AK499" s="387"/>
      <c r="AL499" s="181"/>
      <c r="AM499" s="181"/>
      <c r="AN499" s="181"/>
      <c r="AO499" s="370"/>
      <c r="AP499" s="370"/>
      <c r="AQ499" s="370"/>
      <c r="AR499" s="370"/>
      <c r="AS499" s="370"/>
    </row>
    <row r="500">
      <c r="A500" s="395"/>
      <c r="B500" s="387"/>
      <c r="C500" s="181"/>
      <c r="D500" s="181"/>
      <c r="E500" s="181"/>
      <c r="F500" s="395"/>
      <c r="G500" s="387"/>
      <c r="H500" s="181"/>
      <c r="I500" s="181"/>
      <c r="J500" s="181"/>
      <c r="K500" s="88"/>
      <c r="L500" s="387"/>
      <c r="M500" s="181"/>
      <c r="N500" s="181"/>
      <c r="O500" s="181"/>
      <c r="P500" s="88"/>
      <c r="Q500" s="155"/>
      <c r="R500" s="181"/>
      <c r="S500" s="181"/>
      <c r="T500" s="181"/>
      <c r="U500" s="395"/>
      <c r="V500" s="387"/>
      <c r="W500" s="181"/>
      <c r="X500" s="181"/>
      <c r="Y500" s="181"/>
      <c r="Z500" s="395"/>
      <c r="AA500" s="387"/>
      <c r="AB500" s="181"/>
      <c r="AC500" s="181"/>
      <c r="AD500" s="181"/>
      <c r="AE500" s="395"/>
      <c r="AF500" s="387"/>
      <c r="AG500" s="181"/>
      <c r="AH500" s="181"/>
      <c r="AI500" s="181"/>
      <c r="AJ500" s="395"/>
      <c r="AK500" s="387"/>
      <c r="AL500" s="181"/>
      <c r="AM500" s="181"/>
      <c r="AN500" s="181"/>
      <c r="AO500" s="370"/>
      <c r="AP500" s="370"/>
      <c r="AQ500" s="370"/>
      <c r="AR500" s="370"/>
      <c r="AS500" s="370"/>
    </row>
    <row r="501">
      <c r="A501" s="395"/>
      <c r="B501" s="387"/>
      <c r="C501" s="181"/>
      <c r="D501" s="181"/>
      <c r="E501" s="181"/>
      <c r="F501" s="395"/>
      <c r="G501" s="387"/>
      <c r="H501" s="181"/>
      <c r="I501" s="181"/>
      <c r="J501" s="181"/>
      <c r="K501" s="88"/>
      <c r="L501" s="387"/>
      <c r="M501" s="181"/>
      <c r="N501" s="181"/>
      <c r="O501" s="181"/>
      <c r="P501" s="88"/>
      <c r="Q501" s="155"/>
      <c r="R501" s="181"/>
      <c r="S501" s="181"/>
      <c r="T501" s="181"/>
      <c r="U501" s="395"/>
      <c r="V501" s="387"/>
      <c r="W501" s="181"/>
      <c r="X501" s="181"/>
      <c r="Y501" s="181"/>
      <c r="Z501" s="395"/>
      <c r="AA501" s="387"/>
      <c r="AB501" s="181"/>
      <c r="AC501" s="181"/>
      <c r="AD501" s="181"/>
      <c r="AE501" s="395"/>
      <c r="AF501" s="387"/>
      <c r="AG501" s="181"/>
      <c r="AH501" s="181"/>
      <c r="AI501" s="181"/>
      <c r="AJ501" s="395"/>
      <c r="AK501" s="387"/>
      <c r="AL501" s="181"/>
      <c r="AM501" s="181"/>
      <c r="AN501" s="181"/>
      <c r="AO501" s="370"/>
      <c r="AP501" s="370"/>
      <c r="AQ501" s="370"/>
      <c r="AR501" s="370"/>
      <c r="AS501" s="370"/>
    </row>
    <row r="502">
      <c r="A502" s="395"/>
      <c r="B502" s="387"/>
      <c r="C502" s="181"/>
      <c r="D502" s="181"/>
      <c r="E502" s="181"/>
      <c r="F502" s="395"/>
      <c r="G502" s="387"/>
      <c r="H502" s="181"/>
      <c r="I502" s="181"/>
      <c r="J502" s="181"/>
      <c r="K502" s="88"/>
      <c r="L502" s="387"/>
      <c r="M502" s="181"/>
      <c r="N502" s="181"/>
      <c r="O502" s="181"/>
      <c r="P502" s="88"/>
      <c r="Q502" s="155"/>
      <c r="R502" s="181"/>
      <c r="S502" s="181"/>
      <c r="T502" s="181"/>
      <c r="U502" s="395"/>
      <c r="V502" s="387"/>
      <c r="W502" s="181"/>
      <c r="X502" s="181"/>
      <c r="Y502" s="181"/>
      <c r="Z502" s="395"/>
      <c r="AA502" s="387"/>
      <c r="AB502" s="181"/>
      <c r="AC502" s="181"/>
      <c r="AD502" s="181"/>
      <c r="AE502" s="395"/>
      <c r="AF502" s="387"/>
      <c r="AG502" s="181"/>
      <c r="AH502" s="181"/>
      <c r="AI502" s="181"/>
      <c r="AJ502" s="395"/>
      <c r="AK502" s="387"/>
      <c r="AL502" s="181"/>
      <c r="AM502" s="181"/>
      <c r="AN502" s="181"/>
      <c r="AO502" s="370"/>
      <c r="AP502" s="370"/>
      <c r="AQ502" s="370"/>
      <c r="AR502" s="370"/>
      <c r="AS502" s="370"/>
    </row>
    <row r="503">
      <c r="A503" s="395"/>
      <c r="B503" s="387"/>
      <c r="C503" s="181"/>
      <c r="D503" s="181"/>
      <c r="E503" s="181"/>
      <c r="F503" s="395"/>
      <c r="G503" s="387"/>
      <c r="H503" s="181"/>
      <c r="I503" s="181"/>
      <c r="J503" s="181"/>
      <c r="K503" s="88"/>
      <c r="L503" s="387"/>
      <c r="M503" s="181"/>
      <c r="N503" s="181"/>
      <c r="O503" s="181"/>
      <c r="P503" s="88"/>
      <c r="Q503" s="155"/>
      <c r="R503" s="181"/>
      <c r="S503" s="181"/>
      <c r="T503" s="181"/>
      <c r="U503" s="395"/>
      <c r="V503" s="387"/>
      <c r="W503" s="181"/>
      <c r="X503" s="181"/>
      <c r="Y503" s="181"/>
      <c r="Z503" s="395"/>
      <c r="AA503" s="387"/>
      <c r="AB503" s="181"/>
      <c r="AC503" s="181"/>
      <c r="AD503" s="181"/>
      <c r="AE503" s="395"/>
      <c r="AF503" s="387"/>
      <c r="AG503" s="181"/>
      <c r="AH503" s="181"/>
      <c r="AI503" s="181"/>
      <c r="AJ503" s="395"/>
      <c r="AK503" s="387"/>
      <c r="AL503" s="181"/>
      <c r="AM503" s="181"/>
      <c r="AN503" s="181"/>
      <c r="AO503" s="370"/>
      <c r="AP503" s="370"/>
      <c r="AQ503" s="370"/>
      <c r="AR503" s="370"/>
      <c r="AS503" s="370"/>
    </row>
    <row r="504">
      <c r="A504" s="395"/>
      <c r="B504" s="387"/>
      <c r="C504" s="181"/>
      <c r="D504" s="181"/>
      <c r="E504" s="181"/>
      <c r="F504" s="395"/>
      <c r="G504" s="387"/>
      <c r="H504" s="181"/>
      <c r="I504" s="181"/>
      <c r="J504" s="181"/>
      <c r="K504" s="88"/>
      <c r="L504" s="387"/>
      <c r="M504" s="181"/>
      <c r="N504" s="181"/>
      <c r="O504" s="181"/>
      <c r="P504" s="88"/>
      <c r="Q504" s="155"/>
      <c r="R504" s="181"/>
      <c r="S504" s="181"/>
      <c r="T504" s="181"/>
      <c r="U504" s="395"/>
      <c r="V504" s="387"/>
      <c r="W504" s="181"/>
      <c r="X504" s="181"/>
      <c r="Y504" s="181"/>
      <c r="Z504" s="395"/>
      <c r="AA504" s="387"/>
      <c r="AB504" s="181"/>
      <c r="AC504" s="181"/>
      <c r="AD504" s="181"/>
      <c r="AE504" s="395"/>
      <c r="AF504" s="387"/>
      <c r="AG504" s="181"/>
      <c r="AH504" s="181"/>
      <c r="AI504" s="181"/>
      <c r="AJ504" s="395"/>
      <c r="AK504" s="387"/>
      <c r="AL504" s="181"/>
      <c r="AM504" s="181"/>
      <c r="AN504" s="181"/>
      <c r="AO504" s="370"/>
      <c r="AP504" s="370"/>
      <c r="AQ504" s="370"/>
      <c r="AR504" s="370"/>
      <c r="AS504" s="370"/>
    </row>
    <row r="505">
      <c r="A505" s="395"/>
      <c r="B505" s="387"/>
      <c r="C505" s="181"/>
      <c r="D505" s="181"/>
      <c r="E505" s="181"/>
      <c r="F505" s="395"/>
      <c r="G505" s="387"/>
      <c r="H505" s="181"/>
      <c r="I505" s="181"/>
      <c r="J505" s="181"/>
      <c r="K505" s="88"/>
      <c r="L505" s="387"/>
      <c r="M505" s="181"/>
      <c r="N505" s="181"/>
      <c r="O505" s="181"/>
      <c r="P505" s="88"/>
      <c r="Q505" s="155"/>
      <c r="R505" s="181"/>
      <c r="S505" s="181"/>
      <c r="T505" s="181"/>
      <c r="U505" s="395"/>
      <c r="V505" s="387"/>
      <c r="W505" s="181"/>
      <c r="X505" s="181"/>
      <c r="Y505" s="181"/>
      <c r="Z505" s="395"/>
      <c r="AA505" s="387"/>
      <c r="AB505" s="181"/>
      <c r="AC505" s="181"/>
      <c r="AD505" s="181"/>
      <c r="AE505" s="395"/>
      <c r="AF505" s="387"/>
      <c r="AG505" s="181"/>
      <c r="AH505" s="181"/>
      <c r="AI505" s="181"/>
      <c r="AJ505" s="395"/>
      <c r="AK505" s="387"/>
      <c r="AL505" s="181"/>
      <c r="AM505" s="181"/>
      <c r="AN505" s="181"/>
      <c r="AO505" s="370"/>
      <c r="AP505" s="370"/>
      <c r="AQ505" s="370"/>
      <c r="AR505" s="370"/>
      <c r="AS505" s="370"/>
    </row>
    <row r="506">
      <c r="A506" s="395"/>
      <c r="B506" s="387"/>
      <c r="C506" s="181"/>
      <c r="D506" s="181"/>
      <c r="E506" s="181"/>
      <c r="F506" s="395"/>
      <c r="G506" s="387"/>
      <c r="H506" s="181"/>
      <c r="I506" s="181"/>
      <c r="J506" s="181"/>
      <c r="K506" s="88"/>
      <c r="L506" s="387"/>
      <c r="M506" s="181"/>
      <c r="N506" s="181"/>
      <c r="O506" s="181"/>
      <c r="P506" s="88"/>
      <c r="Q506" s="155"/>
      <c r="R506" s="181"/>
      <c r="S506" s="181"/>
      <c r="T506" s="181"/>
      <c r="U506" s="395"/>
      <c r="V506" s="387"/>
      <c r="W506" s="181"/>
      <c r="X506" s="181"/>
      <c r="Y506" s="181"/>
      <c r="Z506" s="395"/>
      <c r="AA506" s="387"/>
      <c r="AB506" s="181"/>
      <c r="AC506" s="181"/>
      <c r="AD506" s="181"/>
      <c r="AE506" s="395"/>
      <c r="AF506" s="387"/>
      <c r="AG506" s="181"/>
      <c r="AH506" s="181"/>
      <c r="AI506" s="181"/>
      <c r="AJ506" s="395"/>
      <c r="AK506" s="387"/>
      <c r="AL506" s="181"/>
      <c r="AM506" s="181"/>
      <c r="AN506" s="181"/>
      <c r="AO506" s="370"/>
      <c r="AP506" s="370"/>
      <c r="AQ506" s="370"/>
      <c r="AR506" s="370"/>
      <c r="AS506" s="370"/>
    </row>
    <row r="507">
      <c r="A507" s="395"/>
      <c r="B507" s="387"/>
      <c r="C507" s="181"/>
      <c r="D507" s="181"/>
      <c r="E507" s="181"/>
      <c r="F507" s="395"/>
      <c r="G507" s="387"/>
      <c r="H507" s="181"/>
      <c r="I507" s="181"/>
      <c r="J507" s="181"/>
      <c r="K507" s="88"/>
      <c r="L507" s="387"/>
      <c r="M507" s="181"/>
      <c r="N507" s="181"/>
      <c r="O507" s="181"/>
      <c r="P507" s="88"/>
      <c r="Q507" s="155"/>
      <c r="R507" s="181"/>
      <c r="S507" s="181"/>
      <c r="T507" s="181"/>
      <c r="U507" s="395"/>
      <c r="V507" s="387"/>
      <c r="W507" s="181"/>
      <c r="X507" s="181"/>
      <c r="Y507" s="181"/>
      <c r="Z507" s="395"/>
      <c r="AA507" s="387"/>
      <c r="AB507" s="181"/>
      <c r="AC507" s="181"/>
      <c r="AD507" s="181"/>
      <c r="AE507" s="395"/>
      <c r="AF507" s="387"/>
      <c r="AG507" s="181"/>
      <c r="AH507" s="181"/>
      <c r="AI507" s="181"/>
      <c r="AJ507" s="395"/>
      <c r="AK507" s="387"/>
      <c r="AL507" s="181"/>
      <c r="AM507" s="181"/>
      <c r="AN507" s="181"/>
      <c r="AO507" s="370"/>
      <c r="AP507" s="370"/>
      <c r="AQ507" s="370"/>
      <c r="AR507" s="370"/>
      <c r="AS507" s="370"/>
    </row>
    <row r="508">
      <c r="A508" s="395"/>
      <c r="B508" s="387"/>
      <c r="C508" s="181"/>
      <c r="D508" s="181"/>
      <c r="E508" s="181"/>
      <c r="F508" s="395"/>
      <c r="G508" s="387"/>
      <c r="H508" s="181"/>
      <c r="I508" s="181"/>
      <c r="J508" s="181"/>
      <c r="K508" s="88"/>
      <c r="L508" s="387"/>
      <c r="M508" s="181"/>
      <c r="N508" s="181"/>
      <c r="O508" s="181"/>
      <c r="P508" s="88"/>
      <c r="Q508" s="155"/>
      <c r="R508" s="181"/>
      <c r="S508" s="181"/>
      <c r="T508" s="181"/>
      <c r="U508" s="395"/>
      <c r="V508" s="387"/>
      <c r="W508" s="181"/>
      <c r="X508" s="181"/>
      <c r="Y508" s="181"/>
      <c r="Z508" s="395"/>
      <c r="AA508" s="387"/>
      <c r="AB508" s="181"/>
      <c r="AC508" s="181"/>
      <c r="AD508" s="181"/>
      <c r="AE508" s="395"/>
      <c r="AF508" s="387"/>
      <c r="AG508" s="181"/>
      <c r="AH508" s="181"/>
      <c r="AI508" s="181"/>
      <c r="AJ508" s="395"/>
      <c r="AK508" s="387"/>
      <c r="AL508" s="181"/>
      <c r="AM508" s="181"/>
      <c r="AN508" s="181"/>
      <c r="AO508" s="370"/>
      <c r="AP508" s="370"/>
      <c r="AQ508" s="370"/>
      <c r="AR508" s="370"/>
      <c r="AS508" s="370"/>
    </row>
    <row r="509">
      <c r="A509" s="395"/>
      <c r="B509" s="387"/>
      <c r="C509" s="181"/>
      <c r="D509" s="181"/>
      <c r="E509" s="181"/>
      <c r="F509" s="395"/>
      <c r="G509" s="387"/>
      <c r="H509" s="181"/>
      <c r="I509" s="181"/>
      <c r="J509" s="181"/>
      <c r="K509" s="88"/>
      <c r="L509" s="387"/>
      <c r="M509" s="181"/>
      <c r="N509" s="181"/>
      <c r="O509" s="181"/>
      <c r="P509" s="88"/>
      <c r="Q509" s="155"/>
      <c r="R509" s="181"/>
      <c r="S509" s="181"/>
      <c r="T509" s="181"/>
      <c r="U509" s="395"/>
      <c r="V509" s="387"/>
      <c r="W509" s="181"/>
      <c r="X509" s="181"/>
      <c r="Y509" s="181"/>
      <c r="Z509" s="395"/>
      <c r="AA509" s="387"/>
      <c r="AB509" s="181"/>
      <c r="AC509" s="181"/>
      <c r="AD509" s="181"/>
      <c r="AE509" s="395"/>
      <c r="AF509" s="387"/>
      <c r="AG509" s="181"/>
      <c r="AH509" s="181"/>
      <c r="AI509" s="181"/>
      <c r="AJ509" s="395"/>
      <c r="AK509" s="387"/>
      <c r="AL509" s="181"/>
      <c r="AM509" s="181"/>
      <c r="AN509" s="181"/>
      <c r="AO509" s="370"/>
      <c r="AP509" s="370"/>
      <c r="AQ509" s="370"/>
      <c r="AR509" s="370"/>
      <c r="AS509" s="370"/>
    </row>
    <row r="510">
      <c r="A510" s="395"/>
      <c r="B510" s="387"/>
      <c r="C510" s="181"/>
      <c r="D510" s="181"/>
      <c r="E510" s="181"/>
      <c r="F510" s="395"/>
      <c r="G510" s="387"/>
      <c r="H510" s="181"/>
      <c r="I510" s="181"/>
      <c r="J510" s="181"/>
      <c r="K510" s="88"/>
      <c r="L510" s="387"/>
      <c r="M510" s="181"/>
      <c r="N510" s="181"/>
      <c r="O510" s="181"/>
      <c r="P510" s="88"/>
      <c r="Q510" s="155"/>
      <c r="R510" s="181"/>
      <c r="S510" s="181"/>
      <c r="T510" s="181"/>
      <c r="U510" s="395"/>
      <c r="V510" s="387"/>
      <c r="W510" s="181"/>
      <c r="X510" s="181"/>
      <c r="Y510" s="181"/>
      <c r="Z510" s="395"/>
      <c r="AA510" s="387"/>
      <c r="AB510" s="181"/>
      <c r="AC510" s="181"/>
      <c r="AD510" s="181"/>
      <c r="AE510" s="395"/>
      <c r="AF510" s="387"/>
      <c r="AG510" s="181"/>
      <c r="AH510" s="181"/>
      <c r="AI510" s="181"/>
      <c r="AJ510" s="395"/>
      <c r="AK510" s="387"/>
      <c r="AL510" s="181"/>
      <c r="AM510" s="181"/>
      <c r="AN510" s="181"/>
      <c r="AO510" s="370"/>
      <c r="AP510" s="370"/>
      <c r="AQ510" s="370"/>
      <c r="AR510" s="370"/>
      <c r="AS510" s="370"/>
    </row>
    <row r="511">
      <c r="A511" s="395"/>
      <c r="B511" s="387"/>
      <c r="C511" s="181"/>
      <c r="D511" s="181"/>
      <c r="E511" s="181"/>
      <c r="F511" s="395"/>
      <c r="G511" s="387"/>
      <c r="H511" s="181"/>
      <c r="I511" s="181"/>
      <c r="J511" s="181"/>
      <c r="K511" s="88"/>
      <c r="L511" s="387"/>
      <c r="M511" s="181"/>
      <c r="N511" s="181"/>
      <c r="O511" s="181"/>
      <c r="P511" s="88"/>
      <c r="Q511" s="155"/>
      <c r="R511" s="181"/>
      <c r="S511" s="181"/>
      <c r="T511" s="181"/>
      <c r="U511" s="395"/>
      <c r="V511" s="387"/>
      <c r="W511" s="181"/>
      <c r="X511" s="181"/>
      <c r="Y511" s="181"/>
      <c r="Z511" s="395"/>
      <c r="AA511" s="387"/>
      <c r="AB511" s="181"/>
      <c r="AC511" s="181"/>
      <c r="AD511" s="181"/>
      <c r="AE511" s="395"/>
      <c r="AF511" s="387"/>
      <c r="AG511" s="181"/>
      <c r="AH511" s="181"/>
      <c r="AI511" s="181"/>
      <c r="AJ511" s="395"/>
      <c r="AK511" s="387"/>
      <c r="AL511" s="181"/>
      <c r="AM511" s="181"/>
      <c r="AN511" s="181"/>
      <c r="AO511" s="370"/>
      <c r="AP511" s="370"/>
      <c r="AQ511" s="370"/>
      <c r="AR511" s="370"/>
      <c r="AS511" s="370"/>
    </row>
    <row r="512">
      <c r="A512" s="395"/>
      <c r="B512" s="387"/>
      <c r="C512" s="181"/>
      <c r="D512" s="181"/>
      <c r="E512" s="181"/>
      <c r="F512" s="395"/>
      <c r="G512" s="387"/>
      <c r="H512" s="181"/>
      <c r="I512" s="181"/>
      <c r="J512" s="181"/>
      <c r="K512" s="88"/>
      <c r="L512" s="387"/>
      <c r="M512" s="181"/>
      <c r="N512" s="181"/>
      <c r="O512" s="181"/>
      <c r="P512" s="88"/>
      <c r="Q512" s="155"/>
      <c r="R512" s="181"/>
      <c r="S512" s="181"/>
      <c r="T512" s="181"/>
      <c r="U512" s="395"/>
      <c r="V512" s="387"/>
      <c r="W512" s="181"/>
      <c r="X512" s="181"/>
      <c r="Y512" s="181"/>
      <c r="Z512" s="395"/>
      <c r="AA512" s="387"/>
      <c r="AB512" s="181"/>
      <c r="AC512" s="181"/>
      <c r="AD512" s="181"/>
      <c r="AE512" s="395"/>
      <c r="AF512" s="387"/>
      <c r="AG512" s="181"/>
      <c r="AH512" s="181"/>
      <c r="AI512" s="181"/>
      <c r="AJ512" s="395"/>
      <c r="AK512" s="387"/>
      <c r="AL512" s="181"/>
      <c r="AM512" s="181"/>
      <c r="AN512" s="181"/>
      <c r="AO512" s="370"/>
      <c r="AP512" s="370"/>
      <c r="AQ512" s="370"/>
      <c r="AR512" s="370"/>
      <c r="AS512" s="370"/>
    </row>
    <row r="513">
      <c r="A513" s="395"/>
      <c r="B513" s="387"/>
      <c r="C513" s="181"/>
      <c r="D513" s="181"/>
      <c r="E513" s="181"/>
      <c r="F513" s="395"/>
      <c r="G513" s="387"/>
      <c r="H513" s="181"/>
      <c r="I513" s="181"/>
      <c r="J513" s="181"/>
      <c r="K513" s="88"/>
      <c r="L513" s="387"/>
      <c r="M513" s="181"/>
      <c r="N513" s="181"/>
      <c r="O513" s="181"/>
      <c r="P513" s="88"/>
      <c r="Q513" s="155"/>
      <c r="R513" s="181"/>
      <c r="S513" s="181"/>
      <c r="T513" s="181"/>
      <c r="U513" s="395"/>
      <c r="V513" s="387"/>
      <c r="W513" s="181"/>
      <c r="X513" s="181"/>
      <c r="Y513" s="181"/>
      <c r="Z513" s="395"/>
      <c r="AA513" s="387"/>
      <c r="AB513" s="181"/>
      <c r="AC513" s="181"/>
      <c r="AD513" s="181"/>
      <c r="AE513" s="395"/>
      <c r="AF513" s="387"/>
      <c r="AG513" s="181"/>
      <c r="AH513" s="181"/>
      <c r="AI513" s="181"/>
      <c r="AJ513" s="395"/>
      <c r="AK513" s="387"/>
      <c r="AL513" s="181"/>
      <c r="AM513" s="181"/>
      <c r="AN513" s="181"/>
      <c r="AO513" s="370"/>
      <c r="AP513" s="370"/>
      <c r="AQ513" s="370"/>
      <c r="AR513" s="370"/>
      <c r="AS513" s="370"/>
    </row>
    <row r="514">
      <c r="A514" s="395"/>
      <c r="B514" s="387"/>
      <c r="C514" s="181"/>
      <c r="D514" s="181"/>
      <c r="E514" s="181"/>
      <c r="F514" s="395"/>
      <c r="G514" s="387"/>
      <c r="H514" s="181"/>
      <c r="I514" s="181"/>
      <c r="J514" s="181"/>
      <c r="K514" s="88"/>
      <c r="L514" s="387"/>
      <c r="M514" s="181"/>
      <c r="N514" s="181"/>
      <c r="O514" s="181"/>
      <c r="P514" s="88"/>
      <c r="Q514" s="155"/>
      <c r="R514" s="181"/>
      <c r="S514" s="181"/>
      <c r="T514" s="181"/>
      <c r="U514" s="395"/>
      <c r="V514" s="387"/>
      <c r="W514" s="181"/>
      <c r="X514" s="181"/>
      <c r="Y514" s="181"/>
      <c r="Z514" s="395"/>
      <c r="AA514" s="387"/>
      <c r="AB514" s="181"/>
      <c r="AC514" s="181"/>
      <c r="AD514" s="181"/>
      <c r="AE514" s="395"/>
      <c r="AF514" s="387"/>
      <c r="AG514" s="181"/>
      <c r="AH514" s="181"/>
      <c r="AI514" s="181"/>
      <c r="AJ514" s="395"/>
      <c r="AK514" s="387"/>
      <c r="AL514" s="181"/>
      <c r="AM514" s="181"/>
      <c r="AN514" s="181"/>
      <c r="AO514" s="370"/>
      <c r="AP514" s="370"/>
      <c r="AQ514" s="370"/>
      <c r="AR514" s="370"/>
      <c r="AS514" s="370"/>
    </row>
    <row r="515">
      <c r="A515" s="395"/>
      <c r="B515" s="387"/>
      <c r="C515" s="181"/>
      <c r="D515" s="181"/>
      <c r="E515" s="181"/>
      <c r="F515" s="395"/>
      <c r="G515" s="387"/>
      <c r="H515" s="181"/>
      <c r="I515" s="181"/>
      <c r="J515" s="181"/>
      <c r="K515" s="88"/>
      <c r="L515" s="387"/>
      <c r="M515" s="181"/>
      <c r="N515" s="181"/>
      <c r="O515" s="181"/>
      <c r="P515" s="88"/>
      <c r="Q515" s="155"/>
      <c r="R515" s="181"/>
      <c r="S515" s="181"/>
      <c r="T515" s="181"/>
      <c r="U515" s="395"/>
      <c r="V515" s="387"/>
      <c r="W515" s="181"/>
      <c r="X515" s="181"/>
      <c r="Y515" s="181"/>
      <c r="Z515" s="395"/>
      <c r="AA515" s="387"/>
      <c r="AB515" s="181"/>
      <c r="AC515" s="181"/>
      <c r="AD515" s="181"/>
      <c r="AE515" s="395"/>
      <c r="AF515" s="387"/>
      <c r="AG515" s="181"/>
      <c r="AH515" s="181"/>
      <c r="AI515" s="181"/>
      <c r="AJ515" s="395"/>
      <c r="AK515" s="387"/>
      <c r="AL515" s="181"/>
      <c r="AM515" s="181"/>
      <c r="AN515" s="181"/>
      <c r="AO515" s="370"/>
      <c r="AP515" s="370"/>
      <c r="AQ515" s="370"/>
      <c r="AR515" s="370"/>
      <c r="AS515" s="370"/>
    </row>
    <row r="516">
      <c r="A516" s="395"/>
      <c r="B516" s="387"/>
      <c r="C516" s="181"/>
      <c r="D516" s="181"/>
      <c r="E516" s="181"/>
      <c r="F516" s="395"/>
      <c r="G516" s="387"/>
      <c r="H516" s="181"/>
      <c r="I516" s="181"/>
      <c r="J516" s="181"/>
      <c r="K516" s="88"/>
      <c r="L516" s="387"/>
      <c r="M516" s="181"/>
      <c r="N516" s="181"/>
      <c r="O516" s="181"/>
      <c r="P516" s="88"/>
      <c r="Q516" s="155"/>
      <c r="R516" s="181"/>
      <c r="S516" s="181"/>
      <c r="T516" s="181"/>
      <c r="U516" s="395"/>
      <c r="V516" s="387"/>
      <c r="W516" s="181"/>
      <c r="X516" s="181"/>
      <c r="Y516" s="181"/>
      <c r="Z516" s="395"/>
      <c r="AA516" s="387"/>
      <c r="AB516" s="181"/>
      <c r="AC516" s="181"/>
      <c r="AD516" s="181"/>
      <c r="AE516" s="395"/>
      <c r="AF516" s="387"/>
      <c r="AG516" s="181"/>
      <c r="AH516" s="181"/>
      <c r="AI516" s="181"/>
      <c r="AJ516" s="395"/>
      <c r="AK516" s="387"/>
      <c r="AL516" s="181"/>
      <c r="AM516" s="181"/>
      <c r="AN516" s="181"/>
      <c r="AO516" s="370"/>
      <c r="AP516" s="370"/>
      <c r="AQ516" s="370"/>
      <c r="AR516" s="370"/>
      <c r="AS516" s="370"/>
    </row>
    <row r="517">
      <c r="A517" s="395"/>
      <c r="B517" s="387"/>
      <c r="C517" s="181"/>
      <c r="D517" s="181"/>
      <c r="E517" s="181"/>
      <c r="F517" s="395"/>
      <c r="G517" s="387"/>
      <c r="H517" s="181"/>
      <c r="I517" s="181"/>
      <c r="J517" s="181"/>
      <c r="K517" s="88"/>
      <c r="L517" s="387"/>
      <c r="M517" s="181"/>
      <c r="N517" s="181"/>
      <c r="O517" s="181"/>
      <c r="P517" s="88"/>
      <c r="Q517" s="155"/>
      <c r="R517" s="181"/>
      <c r="S517" s="181"/>
      <c r="T517" s="181"/>
      <c r="U517" s="395"/>
      <c r="V517" s="387"/>
      <c r="W517" s="181"/>
      <c r="X517" s="181"/>
      <c r="Y517" s="181"/>
      <c r="Z517" s="395"/>
      <c r="AA517" s="387"/>
      <c r="AB517" s="181"/>
      <c r="AC517" s="181"/>
      <c r="AD517" s="181"/>
      <c r="AE517" s="395"/>
      <c r="AF517" s="387"/>
      <c r="AG517" s="181"/>
      <c r="AH517" s="181"/>
      <c r="AI517" s="181"/>
      <c r="AJ517" s="395"/>
      <c r="AK517" s="387"/>
      <c r="AL517" s="181"/>
      <c r="AM517" s="181"/>
      <c r="AN517" s="181"/>
      <c r="AO517" s="370"/>
      <c r="AP517" s="370"/>
      <c r="AQ517" s="370"/>
      <c r="AR517" s="370"/>
      <c r="AS517" s="370"/>
    </row>
    <row r="518">
      <c r="A518" s="395"/>
      <c r="B518" s="387"/>
      <c r="C518" s="181"/>
      <c r="D518" s="181"/>
      <c r="E518" s="181"/>
      <c r="F518" s="395"/>
      <c r="G518" s="387"/>
      <c r="H518" s="181"/>
      <c r="I518" s="181"/>
      <c r="J518" s="181"/>
      <c r="K518" s="88"/>
      <c r="L518" s="387"/>
      <c r="M518" s="181"/>
      <c r="N518" s="181"/>
      <c r="O518" s="181"/>
      <c r="P518" s="88"/>
      <c r="Q518" s="155"/>
      <c r="R518" s="181"/>
      <c r="S518" s="181"/>
      <c r="T518" s="181"/>
      <c r="U518" s="395"/>
      <c r="V518" s="387"/>
      <c r="W518" s="181"/>
      <c r="X518" s="181"/>
      <c r="Y518" s="181"/>
      <c r="Z518" s="395"/>
      <c r="AA518" s="387"/>
      <c r="AB518" s="181"/>
      <c r="AC518" s="181"/>
      <c r="AD518" s="181"/>
      <c r="AE518" s="395"/>
      <c r="AF518" s="387"/>
      <c r="AG518" s="181"/>
      <c r="AH518" s="181"/>
      <c r="AI518" s="181"/>
      <c r="AJ518" s="395"/>
      <c r="AK518" s="387"/>
      <c r="AL518" s="181"/>
      <c r="AM518" s="181"/>
      <c r="AN518" s="181"/>
      <c r="AO518" s="370"/>
      <c r="AP518" s="370"/>
      <c r="AQ518" s="370"/>
      <c r="AR518" s="370"/>
      <c r="AS518" s="370"/>
    </row>
    <row r="519">
      <c r="A519" s="395"/>
      <c r="B519" s="387"/>
      <c r="C519" s="181"/>
      <c r="D519" s="181"/>
      <c r="E519" s="181"/>
      <c r="F519" s="395"/>
      <c r="G519" s="387"/>
      <c r="H519" s="181"/>
      <c r="I519" s="181"/>
      <c r="J519" s="181"/>
      <c r="K519" s="88"/>
      <c r="L519" s="387"/>
      <c r="M519" s="181"/>
      <c r="N519" s="181"/>
      <c r="O519" s="181"/>
      <c r="P519" s="88"/>
      <c r="Q519" s="155"/>
      <c r="R519" s="181"/>
      <c r="S519" s="181"/>
      <c r="T519" s="181"/>
      <c r="U519" s="395"/>
      <c r="V519" s="387"/>
      <c r="W519" s="181"/>
      <c r="X519" s="181"/>
      <c r="Y519" s="181"/>
      <c r="Z519" s="395"/>
      <c r="AA519" s="387"/>
      <c r="AB519" s="181"/>
      <c r="AC519" s="181"/>
      <c r="AD519" s="181"/>
      <c r="AE519" s="395"/>
      <c r="AF519" s="387"/>
      <c r="AG519" s="181"/>
      <c r="AH519" s="181"/>
      <c r="AI519" s="181"/>
      <c r="AJ519" s="395"/>
      <c r="AK519" s="387"/>
      <c r="AL519" s="181"/>
      <c r="AM519" s="181"/>
      <c r="AN519" s="181"/>
      <c r="AO519" s="370"/>
      <c r="AP519" s="370"/>
      <c r="AQ519" s="370"/>
      <c r="AR519" s="370"/>
      <c r="AS519" s="370"/>
    </row>
    <row r="520">
      <c r="A520" s="395"/>
      <c r="B520" s="387"/>
      <c r="C520" s="181"/>
      <c r="D520" s="181"/>
      <c r="E520" s="181"/>
      <c r="F520" s="395"/>
      <c r="G520" s="387"/>
      <c r="H520" s="181"/>
      <c r="I520" s="181"/>
      <c r="J520" s="181"/>
      <c r="K520" s="88"/>
      <c r="L520" s="387"/>
      <c r="M520" s="181"/>
      <c r="N520" s="181"/>
      <c r="O520" s="181"/>
      <c r="P520" s="88"/>
      <c r="Q520" s="155"/>
      <c r="R520" s="181"/>
      <c r="S520" s="181"/>
      <c r="T520" s="181"/>
      <c r="U520" s="395"/>
      <c r="V520" s="387"/>
      <c r="W520" s="181"/>
      <c r="X520" s="181"/>
      <c r="Y520" s="181"/>
      <c r="Z520" s="395"/>
      <c r="AA520" s="387"/>
      <c r="AB520" s="181"/>
      <c r="AC520" s="181"/>
      <c r="AD520" s="181"/>
      <c r="AE520" s="395"/>
      <c r="AF520" s="387"/>
      <c r="AG520" s="181"/>
      <c r="AH520" s="181"/>
      <c r="AI520" s="181"/>
      <c r="AJ520" s="395"/>
      <c r="AK520" s="387"/>
      <c r="AL520" s="181"/>
      <c r="AM520" s="181"/>
      <c r="AN520" s="181"/>
      <c r="AO520" s="370"/>
      <c r="AP520" s="370"/>
      <c r="AQ520" s="370"/>
      <c r="AR520" s="370"/>
      <c r="AS520" s="370"/>
    </row>
    <row r="521">
      <c r="A521" s="395"/>
      <c r="B521" s="387"/>
      <c r="C521" s="181"/>
      <c r="D521" s="181"/>
      <c r="E521" s="181"/>
      <c r="F521" s="395"/>
      <c r="G521" s="387"/>
      <c r="H521" s="181"/>
      <c r="I521" s="181"/>
      <c r="J521" s="181"/>
      <c r="K521" s="88"/>
      <c r="L521" s="387"/>
      <c r="M521" s="181"/>
      <c r="N521" s="181"/>
      <c r="O521" s="181"/>
      <c r="P521" s="88"/>
      <c r="Q521" s="155"/>
      <c r="R521" s="181"/>
      <c r="S521" s="181"/>
      <c r="T521" s="181"/>
      <c r="U521" s="395"/>
      <c r="V521" s="387"/>
      <c r="W521" s="181"/>
      <c r="X521" s="181"/>
      <c r="Y521" s="181"/>
      <c r="Z521" s="395"/>
      <c r="AA521" s="387"/>
      <c r="AB521" s="181"/>
      <c r="AC521" s="181"/>
      <c r="AD521" s="181"/>
      <c r="AE521" s="395"/>
      <c r="AF521" s="387"/>
      <c r="AG521" s="181"/>
      <c r="AH521" s="181"/>
      <c r="AI521" s="181"/>
      <c r="AJ521" s="395"/>
      <c r="AK521" s="387"/>
      <c r="AL521" s="181"/>
      <c r="AM521" s="181"/>
      <c r="AN521" s="181"/>
      <c r="AO521" s="370"/>
      <c r="AP521" s="370"/>
      <c r="AQ521" s="370"/>
      <c r="AR521" s="370"/>
      <c r="AS521" s="370"/>
    </row>
    <row r="522">
      <c r="A522" s="395"/>
      <c r="B522" s="387"/>
      <c r="C522" s="181"/>
      <c r="D522" s="181"/>
      <c r="E522" s="181"/>
      <c r="F522" s="395"/>
      <c r="G522" s="387"/>
      <c r="H522" s="181"/>
      <c r="I522" s="181"/>
      <c r="J522" s="181"/>
      <c r="K522" s="88"/>
      <c r="L522" s="387"/>
      <c r="M522" s="181"/>
      <c r="N522" s="181"/>
      <c r="O522" s="181"/>
      <c r="P522" s="88"/>
      <c r="Q522" s="155"/>
      <c r="R522" s="181"/>
      <c r="S522" s="181"/>
      <c r="T522" s="181"/>
      <c r="U522" s="395"/>
      <c r="V522" s="387"/>
      <c r="W522" s="181"/>
      <c r="X522" s="181"/>
      <c r="Y522" s="181"/>
      <c r="Z522" s="395"/>
      <c r="AA522" s="387"/>
      <c r="AB522" s="181"/>
      <c r="AC522" s="181"/>
      <c r="AD522" s="181"/>
      <c r="AE522" s="395"/>
      <c r="AF522" s="387"/>
      <c r="AG522" s="181"/>
      <c r="AH522" s="181"/>
      <c r="AI522" s="181"/>
      <c r="AJ522" s="395"/>
      <c r="AK522" s="387"/>
      <c r="AL522" s="181"/>
      <c r="AM522" s="181"/>
      <c r="AN522" s="181"/>
      <c r="AO522" s="370"/>
      <c r="AP522" s="370"/>
      <c r="AQ522" s="370"/>
      <c r="AR522" s="370"/>
      <c r="AS522" s="370"/>
    </row>
    <row r="523">
      <c r="A523" s="395"/>
      <c r="B523" s="387"/>
      <c r="C523" s="181"/>
      <c r="D523" s="181"/>
      <c r="E523" s="181"/>
      <c r="F523" s="395"/>
      <c r="G523" s="387"/>
      <c r="H523" s="181"/>
      <c r="I523" s="181"/>
      <c r="J523" s="181"/>
      <c r="K523" s="88"/>
      <c r="L523" s="387"/>
      <c r="M523" s="181"/>
      <c r="N523" s="181"/>
      <c r="O523" s="181"/>
      <c r="P523" s="88"/>
      <c r="Q523" s="155"/>
      <c r="R523" s="181"/>
      <c r="S523" s="181"/>
      <c r="T523" s="181"/>
      <c r="U523" s="395"/>
      <c r="V523" s="387"/>
      <c r="W523" s="181"/>
      <c r="X523" s="181"/>
      <c r="Y523" s="181"/>
      <c r="Z523" s="395"/>
      <c r="AA523" s="387"/>
      <c r="AB523" s="181"/>
      <c r="AC523" s="181"/>
      <c r="AD523" s="181"/>
      <c r="AE523" s="395"/>
      <c r="AF523" s="387"/>
      <c r="AG523" s="181"/>
      <c r="AH523" s="181"/>
      <c r="AI523" s="181"/>
      <c r="AJ523" s="395"/>
      <c r="AK523" s="387"/>
      <c r="AL523" s="181"/>
      <c r="AM523" s="181"/>
      <c r="AN523" s="181"/>
      <c r="AO523" s="370"/>
      <c r="AP523" s="370"/>
      <c r="AQ523" s="370"/>
      <c r="AR523" s="370"/>
      <c r="AS523" s="370"/>
    </row>
    <row r="524">
      <c r="A524" s="395"/>
      <c r="B524" s="387"/>
      <c r="C524" s="181"/>
      <c r="D524" s="181"/>
      <c r="E524" s="181"/>
      <c r="F524" s="395"/>
      <c r="G524" s="387"/>
      <c r="H524" s="181"/>
      <c r="I524" s="181"/>
      <c r="J524" s="181"/>
      <c r="K524" s="88"/>
      <c r="L524" s="387"/>
      <c r="M524" s="181"/>
      <c r="N524" s="181"/>
      <c r="O524" s="181"/>
      <c r="P524" s="88"/>
      <c r="Q524" s="155"/>
      <c r="R524" s="181"/>
      <c r="S524" s="181"/>
      <c r="T524" s="181"/>
      <c r="U524" s="395"/>
      <c r="V524" s="387"/>
      <c r="W524" s="181"/>
      <c r="X524" s="181"/>
      <c r="Y524" s="181"/>
      <c r="Z524" s="395"/>
      <c r="AA524" s="387"/>
      <c r="AB524" s="181"/>
      <c r="AC524" s="181"/>
      <c r="AD524" s="181"/>
      <c r="AE524" s="395"/>
      <c r="AF524" s="387"/>
      <c r="AG524" s="181"/>
      <c r="AH524" s="181"/>
      <c r="AI524" s="181"/>
      <c r="AJ524" s="395"/>
      <c r="AK524" s="387"/>
      <c r="AL524" s="181"/>
      <c r="AM524" s="181"/>
      <c r="AN524" s="181"/>
      <c r="AO524" s="370"/>
      <c r="AP524" s="370"/>
      <c r="AQ524" s="370"/>
      <c r="AR524" s="370"/>
      <c r="AS524" s="370"/>
    </row>
    <row r="525">
      <c r="A525" s="395"/>
      <c r="B525" s="387"/>
      <c r="C525" s="181"/>
      <c r="D525" s="181"/>
      <c r="E525" s="181"/>
      <c r="F525" s="395"/>
      <c r="G525" s="387"/>
      <c r="H525" s="181"/>
      <c r="I525" s="181"/>
      <c r="J525" s="181"/>
      <c r="K525" s="88"/>
      <c r="L525" s="387"/>
      <c r="M525" s="181"/>
      <c r="N525" s="181"/>
      <c r="O525" s="181"/>
      <c r="P525" s="88"/>
      <c r="Q525" s="155"/>
      <c r="R525" s="181"/>
      <c r="S525" s="181"/>
      <c r="T525" s="181"/>
      <c r="U525" s="395"/>
      <c r="V525" s="387"/>
      <c r="W525" s="181"/>
      <c r="X525" s="181"/>
      <c r="Y525" s="181"/>
      <c r="Z525" s="395"/>
      <c r="AA525" s="387"/>
      <c r="AB525" s="181"/>
      <c r="AC525" s="181"/>
      <c r="AD525" s="181"/>
      <c r="AE525" s="395"/>
      <c r="AF525" s="387"/>
      <c r="AG525" s="181"/>
      <c r="AH525" s="181"/>
      <c r="AI525" s="181"/>
      <c r="AJ525" s="395"/>
      <c r="AK525" s="387"/>
      <c r="AL525" s="181"/>
      <c r="AM525" s="181"/>
      <c r="AN525" s="181"/>
      <c r="AO525" s="370"/>
      <c r="AP525" s="370"/>
      <c r="AQ525" s="370"/>
      <c r="AR525" s="370"/>
      <c r="AS525" s="370"/>
    </row>
    <row r="526">
      <c r="A526" s="395"/>
      <c r="B526" s="387"/>
      <c r="C526" s="181"/>
      <c r="D526" s="181"/>
      <c r="E526" s="181"/>
      <c r="F526" s="395"/>
      <c r="G526" s="387"/>
      <c r="H526" s="181"/>
      <c r="I526" s="181"/>
      <c r="J526" s="181"/>
      <c r="K526" s="88"/>
      <c r="L526" s="387"/>
      <c r="M526" s="181"/>
      <c r="N526" s="181"/>
      <c r="O526" s="181"/>
      <c r="P526" s="88"/>
      <c r="Q526" s="155"/>
      <c r="R526" s="181"/>
      <c r="S526" s="181"/>
      <c r="T526" s="181"/>
      <c r="U526" s="395"/>
      <c r="V526" s="387"/>
      <c r="W526" s="181"/>
      <c r="X526" s="181"/>
      <c r="Y526" s="181"/>
      <c r="Z526" s="395"/>
      <c r="AA526" s="387"/>
      <c r="AB526" s="181"/>
      <c r="AC526" s="181"/>
      <c r="AD526" s="181"/>
      <c r="AE526" s="395"/>
      <c r="AF526" s="387"/>
      <c r="AG526" s="181"/>
      <c r="AH526" s="181"/>
      <c r="AI526" s="181"/>
      <c r="AJ526" s="395"/>
      <c r="AK526" s="387"/>
      <c r="AL526" s="181"/>
      <c r="AM526" s="181"/>
      <c r="AN526" s="181"/>
      <c r="AO526" s="370"/>
      <c r="AP526" s="370"/>
      <c r="AQ526" s="370"/>
      <c r="AR526" s="370"/>
      <c r="AS526" s="370"/>
    </row>
    <row r="527">
      <c r="A527" s="395"/>
      <c r="B527" s="387"/>
      <c r="C527" s="181"/>
      <c r="D527" s="181"/>
      <c r="E527" s="181"/>
      <c r="F527" s="395"/>
      <c r="G527" s="387"/>
      <c r="H527" s="181"/>
      <c r="I527" s="181"/>
      <c r="J527" s="181"/>
      <c r="K527" s="88"/>
      <c r="L527" s="387"/>
      <c r="M527" s="181"/>
      <c r="N527" s="181"/>
      <c r="O527" s="181"/>
      <c r="P527" s="88"/>
      <c r="Q527" s="155"/>
      <c r="R527" s="181"/>
      <c r="S527" s="181"/>
      <c r="T527" s="181"/>
      <c r="U527" s="395"/>
      <c r="V527" s="387"/>
      <c r="W527" s="181"/>
      <c r="X527" s="181"/>
      <c r="Y527" s="181"/>
      <c r="Z527" s="395"/>
      <c r="AA527" s="387"/>
      <c r="AB527" s="181"/>
      <c r="AC527" s="181"/>
      <c r="AD527" s="181"/>
      <c r="AE527" s="395"/>
      <c r="AF527" s="387"/>
      <c r="AG527" s="181"/>
      <c r="AH527" s="181"/>
      <c r="AI527" s="181"/>
      <c r="AJ527" s="395"/>
      <c r="AK527" s="387"/>
      <c r="AL527" s="181"/>
      <c r="AM527" s="181"/>
      <c r="AN527" s="181"/>
      <c r="AO527" s="370"/>
      <c r="AP527" s="370"/>
      <c r="AQ527" s="370"/>
      <c r="AR527" s="370"/>
      <c r="AS527" s="370"/>
    </row>
    <row r="528">
      <c r="A528" s="395"/>
      <c r="B528" s="387"/>
      <c r="C528" s="181"/>
      <c r="D528" s="181"/>
      <c r="E528" s="181"/>
      <c r="F528" s="395"/>
      <c r="G528" s="387"/>
      <c r="H528" s="181"/>
      <c r="I528" s="181"/>
      <c r="J528" s="181"/>
      <c r="K528" s="88"/>
      <c r="L528" s="387"/>
      <c r="M528" s="181"/>
      <c r="N528" s="181"/>
      <c r="O528" s="181"/>
      <c r="P528" s="88"/>
      <c r="Q528" s="155"/>
      <c r="R528" s="181"/>
      <c r="S528" s="181"/>
      <c r="T528" s="181"/>
      <c r="U528" s="395"/>
      <c r="V528" s="387"/>
      <c r="W528" s="181"/>
      <c r="X528" s="181"/>
      <c r="Y528" s="181"/>
      <c r="Z528" s="395"/>
      <c r="AA528" s="387"/>
      <c r="AB528" s="181"/>
      <c r="AC528" s="181"/>
      <c r="AD528" s="181"/>
      <c r="AE528" s="395"/>
      <c r="AF528" s="387"/>
      <c r="AG528" s="181"/>
      <c r="AH528" s="181"/>
      <c r="AI528" s="181"/>
      <c r="AJ528" s="395"/>
      <c r="AK528" s="387"/>
      <c r="AL528" s="181"/>
      <c r="AM528" s="181"/>
      <c r="AN528" s="181"/>
      <c r="AO528" s="370"/>
      <c r="AP528" s="370"/>
      <c r="AQ528" s="370"/>
      <c r="AR528" s="370"/>
      <c r="AS528" s="370"/>
    </row>
    <row r="529">
      <c r="A529" s="395"/>
      <c r="B529" s="387"/>
      <c r="C529" s="181"/>
      <c r="D529" s="181"/>
      <c r="E529" s="181"/>
      <c r="F529" s="395"/>
      <c r="G529" s="387"/>
      <c r="H529" s="181"/>
      <c r="I529" s="181"/>
      <c r="J529" s="181"/>
      <c r="K529" s="88"/>
      <c r="L529" s="387"/>
      <c r="M529" s="181"/>
      <c r="N529" s="181"/>
      <c r="O529" s="181"/>
      <c r="P529" s="88"/>
      <c r="Q529" s="155"/>
      <c r="R529" s="181"/>
      <c r="S529" s="181"/>
      <c r="T529" s="181"/>
      <c r="U529" s="395"/>
      <c r="V529" s="387"/>
      <c r="W529" s="181"/>
      <c r="X529" s="181"/>
      <c r="Y529" s="181"/>
      <c r="Z529" s="395"/>
      <c r="AA529" s="387"/>
      <c r="AB529" s="181"/>
      <c r="AC529" s="181"/>
      <c r="AD529" s="181"/>
      <c r="AE529" s="395"/>
      <c r="AF529" s="387"/>
      <c r="AG529" s="181"/>
      <c r="AH529" s="181"/>
      <c r="AI529" s="181"/>
      <c r="AJ529" s="395"/>
      <c r="AK529" s="387"/>
      <c r="AL529" s="181"/>
      <c r="AM529" s="181"/>
      <c r="AN529" s="181"/>
      <c r="AO529" s="370"/>
      <c r="AP529" s="370"/>
      <c r="AQ529" s="370"/>
      <c r="AR529" s="370"/>
      <c r="AS529" s="370"/>
    </row>
    <row r="530">
      <c r="A530" s="395"/>
      <c r="B530" s="387"/>
      <c r="C530" s="181"/>
      <c r="D530" s="181"/>
      <c r="E530" s="181"/>
      <c r="F530" s="395"/>
      <c r="G530" s="387"/>
      <c r="H530" s="181"/>
      <c r="I530" s="181"/>
      <c r="J530" s="181"/>
      <c r="K530" s="88"/>
      <c r="L530" s="387"/>
      <c r="M530" s="181"/>
      <c r="N530" s="181"/>
      <c r="O530" s="181"/>
      <c r="P530" s="88"/>
      <c r="Q530" s="155"/>
      <c r="R530" s="181"/>
      <c r="S530" s="181"/>
      <c r="T530" s="181"/>
      <c r="U530" s="395"/>
      <c r="V530" s="387"/>
      <c r="W530" s="181"/>
      <c r="X530" s="181"/>
      <c r="Y530" s="181"/>
      <c r="Z530" s="395"/>
      <c r="AA530" s="387"/>
      <c r="AB530" s="181"/>
      <c r="AC530" s="181"/>
      <c r="AD530" s="181"/>
      <c r="AE530" s="395"/>
      <c r="AF530" s="387"/>
      <c r="AG530" s="181"/>
      <c r="AH530" s="181"/>
      <c r="AI530" s="181"/>
      <c r="AJ530" s="395"/>
      <c r="AK530" s="387"/>
      <c r="AL530" s="181"/>
      <c r="AM530" s="181"/>
      <c r="AN530" s="181"/>
      <c r="AO530" s="370"/>
      <c r="AP530" s="370"/>
      <c r="AQ530" s="370"/>
      <c r="AR530" s="370"/>
      <c r="AS530" s="370"/>
    </row>
    <row r="531">
      <c r="A531" s="395"/>
      <c r="B531" s="387"/>
      <c r="C531" s="181"/>
      <c r="D531" s="181"/>
      <c r="E531" s="181"/>
      <c r="F531" s="395"/>
      <c r="G531" s="387"/>
      <c r="H531" s="181"/>
      <c r="I531" s="181"/>
      <c r="J531" s="181"/>
      <c r="K531" s="88"/>
      <c r="L531" s="387"/>
      <c r="M531" s="181"/>
      <c r="N531" s="181"/>
      <c r="O531" s="181"/>
      <c r="P531" s="88"/>
      <c r="Q531" s="155"/>
      <c r="R531" s="181"/>
      <c r="S531" s="181"/>
      <c r="T531" s="181"/>
      <c r="U531" s="395"/>
      <c r="V531" s="387"/>
      <c r="W531" s="181"/>
      <c r="X531" s="181"/>
      <c r="Y531" s="181"/>
      <c r="Z531" s="395"/>
      <c r="AA531" s="387"/>
      <c r="AB531" s="181"/>
      <c r="AC531" s="181"/>
      <c r="AD531" s="181"/>
      <c r="AE531" s="395"/>
      <c r="AF531" s="387"/>
      <c r="AG531" s="181"/>
      <c r="AH531" s="181"/>
      <c r="AI531" s="181"/>
      <c r="AJ531" s="395"/>
      <c r="AK531" s="387"/>
      <c r="AL531" s="181"/>
      <c r="AM531" s="181"/>
      <c r="AN531" s="181"/>
      <c r="AO531" s="370"/>
      <c r="AP531" s="370"/>
      <c r="AQ531" s="370"/>
      <c r="AR531" s="370"/>
      <c r="AS531" s="370"/>
    </row>
    <row r="532">
      <c r="A532" s="395"/>
      <c r="B532" s="387"/>
      <c r="C532" s="181"/>
      <c r="D532" s="181"/>
      <c r="E532" s="181"/>
      <c r="F532" s="395"/>
      <c r="G532" s="387"/>
      <c r="H532" s="181"/>
      <c r="I532" s="181"/>
      <c r="J532" s="181"/>
      <c r="K532" s="88"/>
      <c r="L532" s="387"/>
      <c r="M532" s="181"/>
      <c r="N532" s="181"/>
      <c r="O532" s="181"/>
      <c r="P532" s="88"/>
      <c r="Q532" s="155"/>
      <c r="R532" s="181"/>
      <c r="S532" s="181"/>
      <c r="T532" s="181"/>
      <c r="U532" s="395"/>
      <c r="V532" s="387"/>
      <c r="W532" s="181"/>
      <c r="X532" s="181"/>
      <c r="Y532" s="181"/>
      <c r="Z532" s="395"/>
      <c r="AA532" s="387"/>
      <c r="AB532" s="181"/>
      <c r="AC532" s="181"/>
      <c r="AD532" s="181"/>
      <c r="AE532" s="395"/>
      <c r="AF532" s="387"/>
      <c r="AG532" s="181"/>
      <c r="AH532" s="181"/>
      <c r="AI532" s="181"/>
      <c r="AJ532" s="395"/>
      <c r="AK532" s="387"/>
      <c r="AL532" s="181"/>
      <c r="AM532" s="181"/>
      <c r="AN532" s="181"/>
      <c r="AO532" s="370"/>
      <c r="AP532" s="370"/>
      <c r="AQ532" s="370"/>
      <c r="AR532" s="370"/>
      <c r="AS532" s="370"/>
    </row>
    <row r="533">
      <c r="A533" s="395"/>
      <c r="B533" s="387"/>
      <c r="C533" s="181"/>
      <c r="D533" s="181"/>
      <c r="E533" s="181"/>
      <c r="F533" s="395"/>
      <c r="G533" s="387"/>
      <c r="H533" s="181"/>
      <c r="I533" s="181"/>
      <c r="J533" s="181"/>
      <c r="K533" s="88"/>
      <c r="L533" s="387"/>
      <c r="M533" s="181"/>
      <c r="N533" s="181"/>
      <c r="O533" s="181"/>
      <c r="P533" s="88"/>
      <c r="Q533" s="155"/>
      <c r="R533" s="181"/>
      <c r="S533" s="181"/>
      <c r="T533" s="181"/>
      <c r="U533" s="395"/>
      <c r="V533" s="387"/>
      <c r="W533" s="181"/>
      <c r="X533" s="181"/>
      <c r="Y533" s="181"/>
      <c r="Z533" s="395"/>
      <c r="AA533" s="387"/>
      <c r="AB533" s="181"/>
      <c r="AC533" s="181"/>
      <c r="AD533" s="181"/>
      <c r="AE533" s="395"/>
      <c r="AF533" s="387"/>
      <c r="AG533" s="181"/>
      <c r="AH533" s="181"/>
      <c r="AI533" s="181"/>
      <c r="AJ533" s="395"/>
      <c r="AK533" s="387"/>
      <c r="AL533" s="181"/>
      <c r="AM533" s="181"/>
      <c r="AN533" s="181"/>
      <c r="AO533" s="370"/>
      <c r="AP533" s="370"/>
      <c r="AQ533" s="370"/>
      <c r="AR533" s="370"/>
      <c r="AS533" s="370"/>
    </row>
    <row r="534">
      <c r="A534" s="395"/>
      <c r="B534" s="387"/>
      <c r="C534" s="181"/>
      <c r="D534" s="181"/>
      <c r="E534" s="181"/>
      <c r="F534" s="395"/>
      <c r="G534" s="387"/>
      <c r="H534" s="181"/>
      <c r="I534" s="181"/>
      <c r="J534" s="181"/>
      <c r="K534" s="88"/>
      <c r="L534" s="387"/>
      <c r="M534" s="181"/>
      <c r="N534" s="181"/>
      <c r="O534" s="181"/>
      <c r="P534" s="88"/>
      <c r="Q534" s="155"/>
      <c r="R534" s="181"/>
      <c r="S534" s="181"/>
      <c r="T534" s="181"/>
      <c r="U534" s="395"/>
      <c r="V534" s="387"/>
      <c r="W534" s="181"/>
      <c r="X534" s="181"/>
      <c r="Y534" s="181"/>
      <c r="Z534" s="395"/>
      <c r="AA534" s="387"/>
      <c r="AB534" s="181"/>
      <c r="AC534" s="181"/>
      <c r="AD534" s="181"/>
      <c r="AE534" s="395"/>
      <c r="AF534" s="387"/>
      <c r="AG534" s="181"/>
      <c r="AH534" s="181"/>
      <c r="AI534" s="181"/>
      <c r="AJ534" s="395"/>
      <c r="AK534" s="387"/>
      <c r="AL534" s="181"/>
      <c r="AM534" s="181"/>
      <c r="AN534" s="181"/>
      <c r="AO534" s="370"/>
      <c r="AP534" s="370"/>
      <c r="AQ534" s="370"/>
      <c r="AR534" s="370"/>
      <c r="AS534" s="370"/>
    </row>
    <row r="535">
      <c r="A535" s="395"/>
      <c r="B535" s="387"/>
      <c r="C535" s="181"/>
      <c r="D535" s="181"/>
      <c r="E535" s="181"/>
      <c r="F535" s="395"/>
      <c r="G535" s="387"/>
      <c r="H535" s="181"/>
      <c r="I535" s="181"/>
      <c r="J535" s="181"/>
      <c r="K535" s="88"/>
      <c r="L535" s="387"/>
      <c r="M535" s="181"/>
      <c r="N535" s="181"/>
      <c r="O535" s="181"/>
      <c r="P535" s="88"/>
      <c r="Q535" s="155"/>
      <c r="R535" s="181"/>
      <c r="S535" s="181"/>
      <c r="T535" s="181"/>
      <c r="U535" s="395"/>
      <c r="V535" s="387"/>
      <c r="W535" s="181"/>
      <c r="X535" s="181"/>
      <c r="Y535" s="181"/>
      <c r="Z535" s="395"/>
      <c r="AA535" s="387"/>
      <c r="AB535" s="181"/>
      <c r="AC535" s="181"/>
      <c r="AD535" s="181"/>
      <c r="AE535" s="395"/>
      <c r="AF535" s="387"/>
      <c r="AG535" s="181"/>
      <c r="AH535" s="181"/>
      <c r="AI535" s="181"/>
      <c r="AJ535" s="395"/>
      <c r="AK535" s="387"/>
      <c r="AL535" s="181"/>
      <c r="AM535" s="181"/>
      <c r="AN535" s="181"/>
      <c r="AO535" s="370"/>
      <c r="AP535" s="370"/>
      <c r="AQ535" s="370"/>
      <c r="AR535" s="370"/>
      <c r="AS535" s="370"/>
    </row>
    <row r="536">
      <c r="A536" s="395"/>
      <c r="B536" s="387"/>
      <c r="C536" s="181"/>
      <c r="D536" s="181"/>
      <c r="E536" s="181"/>
      <c r="F536" s="395"/>
      <c r="G536" s="387"/>
      <c r="H536" s="181"/>
      <c r="I536" s="181"/>
      <c r="J536" s="181"/>
      <c r="K536" s="88"/>
      <c r="L536" s="387"/>
      <c r="M536" s="181"/>
      <c r="N536" s="181"/>
      <c r="O536" s="181"/>
      <c r="P536" s="88"/>
      <c r="Q536" s="155"/>
      <c r="R536" s="181"/>
      <c r="S536" s="181"/>
      <c r="T536" s="181"/>
      <c r="U536" s="395"/>
      <c r="V536" s="387"/>
      <c r="W536" s="181"/>
      <c r="X536" s="181"/>
      <c r="Y536" s="181"/>
      <c r="Z536" s="395"/>
      <c r="AA536" s="387"/>
      <c r="AB536" s="181"/>
      <c r="AC536" s="181"/>
      <c r="AD536" s="181"/>
      <c r="AE536" s="395"/>
      <c r="AF536" s="387"/>
      <c r="AG536" s="181"/>
      <c r="AH536" s="181"/>
      <c r="AI536" s="181"/>
      <c r="AJ536" s="395"/>
      <c r="AK536" s="387"/>
      <c r="AL536" s="181"/>
      <c r="AM536" s="181"/>
      <c r="AN536" s="181"/>
      <c r="AO536" s="370"/>
      <c r="AP536" s="370"/>
      <c r="AQ536" s="370"/>
      <c r="AR536" s="370"/>
      <c r="AS536" s="370"/>
    </row>
    <row r="537">
      <c r="A537" s="395"/>
      <c r="B537" s="387"/>
      <c r="C537" s="181"/>
      <c r="D537" s="181"/>
      <c r="E537" s="181"/>
      <c r="F537" s="395"/>
      <c r="G537" s="387"/>
      <c r="H537" s="181"/>
      <c r="I537" s="181"/>
      <c r="J537" s="181"/>
      <c r="K537" s="88"/>
      <c r="L537" s="387"/>
      <c r="M537" s="181"/>
      <c r="N537" s="181"/>
      <c r="O537" s="181"/>
      <c r="P537" s="88"/>
      <c r="Q537" s="155"/>
      <c r="R537" s="181"/>
      <c r="S537" s="181"/>
      <c r="T537" s="181"/>
      <c r="U537" s="395"/>
      <c r="V537" s="387"/>
      <c r="W537" s="181"/>
      <c r="X537" s="181"/>
      <c r="Y537" s="181"/>
      <c r="Z537" s="395"/>
      <c r="AA537" s="387"/>
      <c r="AB537" s="181"/>
      <c r="AC537" s="181"/>
      <c r="AD537" s="181"/>
      <c r="AE537" s="395"/>
      <c r="AF537" s="387"/>
      <c r="AG537" s="181"/>
      <c r="AH537" s="181"/>
      <c r="AI537" s="181"/>
      <c r="AJ537" s="395"/>
      <c r="AK537" s="387"/>
      <c r="AL537" s="181"/>
      <c r="AM537" s="181"/>
      <c r="AN537" s="181"/>
      <c r="AO537" s="370"/>
      <c r="AP537" s="370"/>
      <c r="AQ537" s="370"/>
      <c r="AR537" s="370"/>
      <c r="AS537" s="370"/>
    </row>
    <row r="538">
      <c r="A538" s="395"/>
      <c r="B538" s="387"/>
      <c r="C538" s="181"/>
      <c r="D538" s="181"/>
      <c r="E538" s="181"/>
      <c r="F538" s="395"/>
      <c r="G538" s="387"/>
      <c r="H538" s="181"/>
      <c r="I538" s="181"/>
      <c r="J538" s="181"/>
      <c r="K538" s="88"/>
      <c r="L538" s="387"/>
      <c r="M538" s="181"/>
      <c r="N538" s="181"/>
      <c r="O538" s="181"/>
      <c r="P538" s="88"/>
      <c r="Q538" s="155"/>
      <c r="R538" s="181"/>
      <c r="S538" s="181"/>
      <c r="T538" s="181"/>
      <c r="U538" s="395"/>
      <c r="V538" s="387"/>
      <c r="W538" s="181"/>
      <c r="X538" s="181"/>
      <c r="Y538" s="181"/>
      <c r="Z538" s="395"/>
      <c r="AA538" s="387"/>
      <c r="AB538" s="181"/>
      <c r="AC538" s="181"/>
      <c r="AD538" s="181"/>
      <c r="AE538" s="395"/>
      <c r="AF538" s="387"/>
      <c r="AG538" s="181"/>
      <c r="AH538" s="181"/>
      <c r="AI538" s="181"/>
      <c r="AJ538" s="395"/>
      <c r="AK538" s="387"/>
      <c r="AL538" s="181"/>
      <c r="AM538" s="181"/>
      <c r="AN538" s="181"/>
      <c r="AO538" s="370"/>
      <c r="AP538" s="370"/>
      <c r="AQ538" s="370"/>
      <c r="AR538" s="370"/>
      <c r="AS538" s="370"/>
    </row>
    <row r="539">
      <c r="A539" s="395"/>
      <c r="B539" s="387"/>
      <c r="C539" s="181"/>
      <c r="D539" s="181"/>
      <c r="E539" s="181"/>
      <c r="F539" s="395"/>
      <c r="G539" s="387"/>
      <c r="H539" s="181"/>
      <c r="I539" s="181"/>
      <c r="J539" s="181"/>
      <c r="K539" s="88"/>
      <c r="L539" s="387"/>
      <c r="M539" s="181"/>
      <c r="N539" s="181"/>
      <c r="O539" s="181"/>
      <c r="P539" s="88"/>
      <c r="Q539" s="155"/>
      <c r="R539" s="181"/>
      <c r="S539" s="181"/>
      <c r="T539" s="181"/>
      <c r="U539" s="395"/>
      <c r="V539" s="387"/>
      <c r="W539" s="181"/>
      <c r="X539" s="181"/>
      <c r="Y539" s="181"/>
      <c r="Z539" s="395"/>
      <c r="AA539" s="387"/>
      <c r="AB539" s="181"/>
      <c r="AC539" s="181"/>
      <c r="AD539" s="181"/>
      <c r="AE539" s="395"/>
      <c r="AF539" s="387"/>
      <c r="AG539" s="181"/>
      <c r="AH539" s="181"/>
      <c r="AI539" s="181"/>
      <c r="AJ539" s="395"/>
      <c r="AK539" s="387"/>
      <c r="AL539" s="181"/>
      <c r="AM539" s="181"/>
      <c r="AN539" s="181"/>
      <c r="AO539" s="370"/>
      <c r="AP539" s="370"/>
      <c r="AQ539" s="370"/>
      <c r="AR539" s="370"/>
      <c r="AS539" s="370"/>
    </row>
    <row r="540">
      <c r="A540" s="395"/>
      <c r="B540" s="387"/>
      <c r="C540" s="181"/>
      <c r="D540" s="181"/>
      <c r="E540" s="181"/>
      <c r="F540" s="395"/>
      <c r="G540" s="387"/>
      <c r="H540" s="181"/>
      <c r="I540" s="181"/>
      <c r="J540" s="181"/>
      <c r="K540" s="88"/>
      <c r="L540" s="387"/>
      <c r="M540" s="181"/>
      <c r="N540" s="181"/>
      <c r="O540" s="181"/>
      <c r="P540" s="88"/>
      <c r="Q540" s="155"/>
      <c r="R540" s="181"/>
      <c r="S540" s="181"/>
      <c r="T540" s="181"/>
      <c r="U540" s="395"/>
      <c r="V540" s="387"/>
      <c r="W540" s="181"/>
      <c r="X540" s="181"/>
      <c r="Y540" s="181"/>
      <c r="Z540" s="395"/>
      <c r="AA540" s="387"/>
      <c r="AB540" s="181"/>
      <c r="AC540" s="181"/>
      <c r="AD540" s="181"/>
      <c r="AE540" s="395"/>
      <c r="AF540" s="387"/>
      <c r="AG540" s="181"/>
      <c r="AH540" s="181"/>
      <c r="AI540" s="181"/>
      <c r="AJ540" s="395"/>
      <c r="AK540" s="387"/>
      <c r="AL540" s="181"/>
      <c r="AM540" s="181"/>
      <c r="AN540" s="181"/>
      <c r="AO540" s="370"/>
      <c r="AP540" s="370"/>
      <c r="AQ540" s="370"/>
      <c r="AR540" s="370"/>
      <c r="AS540" s="370"/>
    </row>
    <row r="541">
      <c r="A541" s="395"/>
      <c r="B541" s="387"/>
      <c r="C541" s="181"/>
      <c r="D541" s="181"/>
      <c r="E541" s="181"/>
      <c r="F541" s="395"/>
      <c r="G541" s="387"/>
      <c r="H541" s="181"/>
      <c r="I541" s="181"/>
      <c r="J541" s="181"/>
      <c r="K541" s="88"/>
      <c r="L541" s="387"/>
      <c r="M541" s="181"/>
      <c r="N541" s="181"/>
      <c r="O541" s="181"/>
      <c r="P541" s="88"/>
      <c r="Q541" s="155"/>
      <c r="R541" s="181"/>
      <c r="S541" s="181"/>
      <c r="T541" s="181"/>
      <c r="U541" s="395"/>
      <c r="V541" s="387"/>
      <c r="W541" s="181"/>
      <c r="X541" s="181"/>
      <c r="Y541" s="181"/>
      <c r="Z541" s="395"/>
      <c r="AA541" s="387"/>
      <c r="AB541" s="181"/>
      <c r="AC541" s="181"/>
      <c r="AD541" s="181"/>
      <c r="AE541" s="395"/>
      <c r="AF541" s="387"/>
      <c r="AG541" s="181"/>
      <c r="AH541" s="181"/>
      <c r="AI541" s="181"/>
      <c r="AJ541" s="395"/>
      <c r="AK541" s="387"/>
      <c r="AL541" s="181"/>
      <c r="AM541" s="181"/>
      <c r="AN541" s="181"/>
      <c r="AO541" s="370"/>
      <c r="AP541" s="370"/>
      <c r="AQ541" s="370"/>
      <c r="AR541" s="370"/>
      <c r="AS541" s="370"/>
    </row>
    <row r="542">
      <c r="A542" s="395"/>
      <c r="B542" s="387"/>
      <c r="C542" s="181"/>
      <c r="D542" s="181"/>
      <c r="E542" s="181"/>
      <c r="F542" s="395"/>
      <c r="G542" s="387"/>
      <c r="H542" s="181"/>
      <c r="I542" s="181"/>
      <c r="J542" s="181"/>
      <c r="K542" s="88"/>
      <c r="L542" s="387"/>
      <c r="M542" s="181"/>
      <c r="N542" s="181"/>
      <c r="O542" s="181"/>
      <c r="P542" s="88"/>
      <c r="Q542" s="155"/>
      <c r="R542" s="181"/>
      <c r="S542" s="181"/>
      <c r="T542" s="181"/>
      <c r="U542" s="395"/>
      <c r="V542" s="387"/>
      <c r="W542" s="181"/>
      <c r="X542" s="181"/>
      <c r="Y542" s="181"/>
      <c r="Z542" s="395"/>
      <c r="AA542" s="387"/>
      <c r="AB542" s="181"/>
      <c r="AC542" s="181"/>
      <c r="AD542" s="181"/>
      <c r="AE542" s="395"/>
      <c r="AF542" s="387"/>
      <c r="AG542" s="181"/>
      <c r="AH542" s="181"/>
      <c r="AI542" s="181"/>
      <c r="AJ542" s="395"/>
      <c r="AK542" s="387"/>
      <c r="AL542" s="181"/>
      <c r="AM542" s="181"/>
      <c r="AN542" s="181"/>
      <c r="AO542" s="370"/>
      <c r="AP542" s="370"/>
      <c r="AQ542" s="370"/>
      <c r="AR542" s="370"/>
      <c r="AS542" s="370"/>
    </row>
    <row r="543">
      <c r="A543" s="395"/>
      <c r="B543" s="387"/>
      <c r="C543" s="181"/>
      <c r="D543" s="181"/>
      <c r="E543" s="181"/>
      <c r="F543" s="395"/>
      <c r="G543" s="387"/>
      <c r="H543" s="181"/>
      <c r="I543" s="181"/>
      <c r="J543" s="181"/>
      <c r="K543" s="88"/>
      <c r="L543" s="387"/>
      <c r="M543" s="181"/>
      <c r="N543" s="181"/>
      <c r="O543" s="181"/>
      <c r="P543" s="88"/>
      <c r="Q543" s="155"/>
      <c r="R543" s="181"/>
      <c r="S543" s="181"/>
      <c r="T543" s="181"/>
      <c r="U543" s="395"/>
      <c r="V543" s="387"/>
      <c r="W543" s="181"/>
      <c r="X543" s="181"/>
      <c r="Y543" s="181"/>
      <c r="Z543" s="395"/>
      <c r="AA543" s="387"/>
      <c r="AB543" s="181"/>
      <c r="AC543" s="181"/>
      <c r="AD543" s="181"/>
      <c r="AE543" s="395"/>
      <c r="AF543" s="387"/>
      <c r="AG543" s="181"/>
      <c r="AH543" s="181"/>
      <c r="AI543" s="181"/>
      <c r="AJ543" s="395"/>
      <c r="AK543" s="387"/>
      <c r="AL543" s="181"/>
      <c r="AM543" s="181"/>
      <c r="AN543" s="181"/>
      <c r="AO543" s="370"/>
      <c r="AP543" s="370"/>
      <c r="AQ543" s="370"/>
      <c r="AR543" s="370"/>
      <c r="AS543" s="370"/>
    </row>
    <row r="544">
      <c r="A544" s="395"/>
      <c r="B544" s="387"/>
      <c r="C544" s="181"/>
      <c r="D544" s="181"/>
      <c r="E544" s="181"/>
      <c r="F544" s="395"/>
      <c r="G544" s="387"/>
      <c r="H544" s="181"/>
      <c r="I544" s="181"/>
      <c r="J544" s="181"/>
      <c r="K544" s="88"/>
      <c r="L544" s="387"/>
      <c r="M544" s="181"/>
      <c r="N544" s="181"/>
      <c r="O544" s="181"/>
      <c r="P544" s="88"/>
      <c r="Q544" s="155"/>
      <c r="R544" s="181"/>
      <c r="S544" s="181"/>
      <c r="T544" s="181"/>
      <c r="U544" s="395"/>
      <c r="V544" s="387"/>
      <c r="W544" s="181"/>
      <c r="X544" s="181"/>
      <c r="Y544" s="181"/>
      <c r="Z544" s="395"/>
      <c r="AA544" s="387"/>
      <c r="AB544" s="181"/>
      <c r="AC544" s="181"/>
      <c r="AD544" s="181"/>
      <c r="AE544" s="395"/>
      <c r="AF544" s="387"/>
      <c r="AG544" s="181"/>
      <c r="AH544" s="181"/>
      <c r="AI544" s="181"/>
      <c r="AJ544" s="395"/>
      <c r="AK544" s="387"/>
      <c r="AL544" s="181"/>
      <c r="AM544" s="181"/>
      <c r="AN544" s="181"/>
      <c r="AO544" s="370"/>
      <c r="AP544" s="370"/>
      <c r="AQ544" s="370"/>
      <c r="AR544" s="370"/>
      <c r="AS544" s="370"/>
    </row>
    <row r="545">
      <c r="A545" s="395"/>
      <c r="B545" s="387"/>
      <c r="C545" s="181"/>
      <c r="D545" s="181"/>
      <c r="E545" s="181"/>
      <c r="F545" s="395"/>
      <c r="G545" s="387"/>
      <c r="H545" s="181"/>
      <c r="I545" s="181"/>
      <c r="J545" s="181"/>
      <c r="K545" s="88"/>
      <c r="L545" s="387"/>
      <c r="M545" s="181"/>
      <c r="N545" s="181"/>
      <c r="O545" s="181"/>
      <c r="P545" s="88"/>
      <c r="Q545" s="155"/>
      <c r="R545" s="181"/>
      <c r="S545" s="181"/>
      <c r="T545" s="181"/>
      <c r="U545" s="395"/>
      <c r="V545" s="387"/>
      <c r="W545" s="181"/>
      <c r="X545" s="181"/>
      <c r="Y545" s="181"/>
      <c r="Z545" s="395"/>
      <c r="AA545" s="387"/>
      <c r="AB545" s="181"/>
      <c r="AC545" s="181"/>
      <c r="AD545" s="181"/>
      <c r="AE545" s="395"/>
      <c r="AF545" s="387"/>
      <c r="AG545" s="181"/>
      <c r="AH545" s="181"/>
      <c r="AI545" s="181"/>
      <c r="AJ545" s="395"/>
      <c r="AK545" s="387"/>
      <c r="AL545" s="181"/>
      <c r="AM545" s="181"/>
      <c r="AN545" s="181"/>
      <c r="AO545" s="370"/>
      <c r="AP545" s="370"/>
      <c r="AQ545" s="370"/>
      <c r="AR545" s="370"/>
      <c r="AS545" s="370"/>
    </row>
    <row r="546">
      <c r="A546" s="395"/>
      <c r="B546" s="387"/>
      <c r="C546" s="181"/>
      <c r="D546" s="181"/>
      <c r="E546" s="181"/>
      <c r="F546" s="395"/>
      <c r="G546" s="387"/>
      <c r="H546" s="181"/>
      <c r="I546" s="181"/>
      <c r="J546" s="181"/>
      <c r="K546" s="88"/>
      <c r="L546" s="387"/>
      <c r="M546" s="181"/>
      <c r="N546" s="181"/>
      <c r="O546" s="181"/>
      <c r="P546" s="88"/>
      <c r="Q546" s="155"/>
      <c r="R546" s="181"/>
      <c r="S546" s="181"/>
      <c r="T546" s="181"/>
      <c r="U546" s="395"/>
      <c r="V546" s="387"/>
      <c r="W546" s="181"/>
      <c r="X546" s="181"/>
      <c r="Y546" s="181"/>
      <c r="Z546" s="395"/>
      <c r="AA546" s="387"/>
      <c r="AB546" s="181"/>
      <c r="AC546" s="181"/>
      <c r="AD546" s="181"/>
      <c r="AE546" s="395"/>
      <c r="AF546" s="387"/>
      <c r="AG546" s="181"/>
      <c r="AH546" s="181"/>
      <c r="AI546" s="181"/>
      <c r="AJ546" s="395"/>
      <c r="AK546" s="387"/>
      <c r="AL546" s="181"/>
      <c r="AM546" s="181"/>
      <c r="AN546" s="181"/>
      <c r="AO546" s="370"/>
      <c r="AP546" s="370"/>
      <c r="AQ546" s="370"/>
      <c r="AR546" s="370"/>
      <c r="AS546" s="370"/>
    </row>
    <row r="547">
      <c r="A547" s="395"/>
      <c r="B547" s="387"/>
      <c r="C547" s="181"/>
      <c r="D547" s="181"/>
      <c r="E547" s="181"/>
      <c r="F547" s="395"/>
      <c r="G547" s="387"/>
      <c r="H547" s="181"/>
      <c r="I547" s="181"/>
      <c r="J547" s="181"/>
      <c r="K547" s="88"/>
      <c r="L547" s="387"/>
      <c r="M547" s="181"/>
      <c r="N547" s="181"/>
      <c r="O547" s="181"/>
      <c r="P547" s="88"/>
      <c r="Q547" s="155"/>
      <c r="R547" s="181"/>
      <c r="S547" s="181"/>
      <c r="T547" s="181"/>
      <c r="U547" s="395"/>
      <c r="V547" s="387"/>
      <c r="W547" s="181"/>
      <c r="X547" s="181"/>
      <c r="Y547" s="181"/>
      <c r="Z547" s="395"/>
      <c r="AA547" s="387"/>
      <c r="AB547" s="181"/>
      <c r="AC547" s="181"/>
      <c r="AD547" s="181"/>
      <c r="AE547" s="395"/>
      <c r="AF547" s="387"/>
      <c r="AG547" s="181"/>
      <c r="AH547" s="181"/>
      <c r="AI547" s="181"/>
      <c r="AJ547" s="395"/>
      <c r="AK547" s="387"/>
      <c r="AL547" s="181"/>
      <c r="AM547" s="181"/>
      <c r="AN547" s="181"/>
      <c r="AO547" s="370"/>
      <c r="AP547" s="370"/>
      <c r="AQ547" s="370"/>
      <c r="AR547" s="370"/>
      <c r="AS547" s="370"/>
    </row>
    <row r="548">
      <c r="A548" s="395"/>
      <c r="B548" s="387"/>
      <c r="C548" s="181"/>
      <c r="D548" s="181"/>
      <c r="E548" s="181"/>
      <c r="F548" s="395"/>
      <c r="G548" s="387"/>
      <c r="H548" s="181"/>
      <c r="I548" s="181"/>
      <c r="J548" s="181"/>
      <c r="K548" s="88"/>
      <c r="L548" s="387"/>
      <c r="M548" s="181"/>
      <c r="N548" s="181"/>
      <c r="O548" s="181"/>
      <c r="P548" s="88"/>
      <c r="Q548" s="155"/>
      <c r="R548" s="181"/>
      <c r="S548" s="181"/>
      <c r="T548" s="181"/>
      <c r="U548" s="395"/>
      <c r="V548" s="387"/>
      <c r="W548" s="181"/>
      <c r="X548" s="181"/>
      <c r="Y548" s="181"/>
      <c r="Z548" s="395"/>
      <c r="AA548" s="387"/>
      <c r="AB548" s="181"/>
      <c r="AC548" s="181"/>
      <c r="AD548" s="181"/>
      <c r="AE548" s="395"/>
      <c r="AF548" s="387"/>
      <c r="AG548" s="181"/>
      <c r="AH548" s="181"/>
      <c r="AI548" s="181"/>
      <c r="AJ548" s="395"/>
      <c r="AK548" s="387"/>
      <c r="AL548" s="181"/>
      <c r="AM548" s="181"/>
      <c r="AN548" s="181"/>
      <c r="AO548" s="370"/>
      <c r="AP548" s="370"/>
      <c r="AQ548" s="370"/>
      <c r="AR548" s="370"/>
      <c r="AS548" s="370"/>
    </row>
    <row r="549">
      <c r="A549" s="395"/>
      <c r="B549" s="387"/>
      <c r="C549" s="181"/>
      <c r="D549" s="181"/>
      <c r="E549" s="181"/>
      <c r="F549" s="395"/>
      <c r="G549" s="387"/>
      <c r="H549" s="181"/>
      <c r="I549" s="181"/>
      <c r="J549" s="181"/>
      <c r="K549" s="88"/>
      <c r="L549" s="387"/>
      <c r="M549" s="181"/>
      <c r="N549" s="181"/>
      <c r="O549" s="181"/>
      <c r="P549" s="88"/>
      <c r="Q549" s="155"/>
      <c r="R549" s="181"/>
      <c r="S549" s="181"/>
      <c r="T549" s="181"/>
      <c r="U549" s="395"/>
      <c r="V549" s="387"/>
      <c r="W549" s="181"/>
      <c r="X549" s="181"/>
      <c r="Y549" s="181"/>
      <c r="Z549" s="395"/>
      <c r="AA549" s="387"/>
      <c r="AB549" s="181"/>
      <c r="AC549" s="181"/>
      <c r="AD549" s="181"/>
      <c r="AE549" s="395"/>
      <c r="AF549" s="387"/>
      <c r="AG549" s="181"/>
      <c r="AH549" s="181"/>
      <c r="AI549" s="181"/>
      <c r="AJ549" s="395"/>
      <c r="AK549" s="387"/>
      <c r="AL549" s="181"/>
      <c r="AM549" s="181"/>
      <c r="AN549" s="181"/>
      <c r="AO549" s="370"/>
      <c r="AP549" s="370"/>
      <c r="AQ549" s="370"/>
      <c r="AR549" s="370"/>
      <c r="AS549" s="370"/>
    </row>
    <row r="550">
      <c r="A550" s="395"/>
      <c r="B550" s="387"/>
      <c r="C550" s="181"/>
      <c r="D550" s="181"/>
      <c r="E550" s="181"/>
      <c r="F550" s="395"/>
      <c r="G550" s="387"/>
      <c r="H550" s="181"/>
      <c r="I550" s="181"/>
      <c r="J550" s="181"/>
      <c r="K550" s="88"/>
      <c r="L550" s="387"/>
      <c r="M550" s="181"/>
      <c r="N550" s="181"/>
      <c r="O550" s="181"/>
      <c r="P550" s="88"/>
      <c r="Q550" s="155"/>
      <c r="R550" s="181"/>
      <c r="S550" s="181"/>
      <c r="T550" s="181"/>
      <c r="U550" s="395"/>
      <c r="V550" s="387"/>
      <c r="W550" s="181"/>
      <c r="X550" s="181"/>
      <c r="Y550" s="181"/>
      <c r="Z550" s="395"/>
      <c r="AA550" s="387"/>
      <c r="AB550" s="181"/>
      <c r="AC550" s="181"/>
      <c r="AD550" s="181"/>
      <c r="AE550" s="395"/>
      <c r="AF550" s="387"/>
      <c r="AG550" s="181"/>
      <c r="AH550" s="181"/>
      <c r="AI550" s="181"/>
      <c r="AJ550" s="395"/>
      <c r="AK550" s="387"/>
      <c r="AL550" s="181"/>
      <c r="AM550" s="181"/>
      <c r="AN550" s="181"/>
      <c r="AO550" s="370"/>
      <c r="AP550" s="370"/>
      <c r="AQ550" s="370"/>
      <c r="AR550" s="370"/>
      <c r="AS550" s="370"/>
    </row>
    <row r="551">
      <c r="A551" s="395"/>
      <c r="B551" s="387"/>
      <c r="C551" s="181"/>
      <c r="D551" s="181"/>
      <c r="E551" s="181"/>
      <c r="F551" s="395"/>
      <c r="G551" s="387"/>
      <c r="H551" s="181"/>
      <c r="I551" s="181"/>
      <c r="J551" s="181"/>
      <c r="K551" s="88"/>
      <c r="L551" s="387"/>
      <c r="M551" s="181"/>
      <c r="N551" s="181"/>
      <c r="O551" s="181"/>
      <c r="P551" s="88"/>
      <c r="Q551" s="155"/>
      <c r="R551" s="181"/>
      <c r="S551" s="181"/>
      <c r="T551" s="181"/>
      <c r="U551" s="395"/>
      <c r="V551" s="387"/>
      <c r="W551" s="181"/>
      <c r="X551" s="181"/>
      <c r="Y551" s="181"/>
      <c r="Z551" s="395"/>
      <c r="AA551" s="387"/>
      <c r="AB551" s="181"/>
      <c r="AC551" s="181"/>
      <c r="AD551" s="181"/>
      <c r="AE551" s="395"/>
      <c r="AF551" s="387"/>
      <c r="AG551" s="181"/>
      <c r="AH551" s="181"/>
      <c r="AI551" s="181"/>
      <c r="AJ551" s="395"/>
      <c r="AK551" s="387"/>
      <c r="AL551" s="181"/>
      <c r="AM551" s="181"/>
      <c r="AN551" s="181"/>
      <c r="AO551" s="370"/>
      <c r="AP551" s="370"/>
      <c r="AQ551" s="370"/>
      <c r="AR551" s="370"/>
      <c r="AS551" s="370"/>
    </row>
    <row r="552">
      <c r="A552" s="395"/>
      <c r="B552" s="387"/>
      <c r="C552" s="181"/>
      <c r="D552" s="181"/>
      <c r="E552" s="181"/>
      <c r="F552" s="395"/>
      <c r="G552" s="387"/>
      <c r="H552" s="181"/>
      <c r="I552" s="181"/>
      <c r="J552" s="181"/>
      <c r="K552" s="88"/>
      <c r="L552" s="387"/>
      <c r="M552" s="181"/>
      <c r="N552" s="181"/>
      <c r="O552" s="181"/>
      <c r="P552" s="88"/>
      <c r="Q552" s="155"/>
      <c r="R552" s="181"/>
      <c r="S552" s="181"/>
      <c r="T552" s="181"/>
      <c r="U552" s="395"/>
      <c r="V552" s="387"/>
      <c r="W552" s="181"/>
      <c r="X552" s="181"/>
      <c r="Y552" s="181"/>
      <c r="Z552" s="395"/>
      <c r="AA552" s="387"/>
      <c r="AB552" s="181"/>
      <c r="AC552" s="181"/>
      <c r="AD552" s="181"/>
      <c r="AE552" s="395"/>
      <c r="AF552" s="387"/>
      <c r="AG552" s="181"/>
      <c r="AH552" s="181"/>
      <c r="AI552" s="181"/>
      <c r="AJ552" s="395"/>
      <c r="AK552" s="387"/>
      <c r="AL552" s="181"/>
      <c r="AM552" s="181"/>
      <c r="AN552" s="181"/>
      <c r="AO552" s="370"/>
      <c r="AP552" s="370"/>
      <c r="AQ552" s="370"/>
      <c r="AR552" s="370"/>
      <c r="AS552" s="370"/>
    </row>
    <row r="553">
      <c r="A553" s="395"/>
      <c r="B553" s="387"/>
      <c r="C553" s="181"/>
      <c r="D553" s="181"/>
      <c r="E553" s="181"/>
      <c r="F553" s="395"/>
      <c r="G553" s="387"/>
      <c r="H553" s="181"/>
      <c r="I553" s="181"/>
      <c r="J553" s="181"/>
      <c r="K553" s="88"/>
      <c r="L553" s="387"/>
      <c r="M553" s="181"/>
      <c r="N553" s="181"/>
      <c r="O553" s="181"/>
      <c r="P553" s="88"/>
      <c r="Q553" s="155"/>
      <c r="R553" s="181"/>
      <c r="S553" s="181"/>
      <c r="T553" s="181"/>
      <c r="U553" s="395"/>
      <c r="V553" s="387"/>
      <c r="W553" s="181"/>
      <c r="X553" s="181"/>
      <c r="Y553" s="181"/>
      <c r="Z553" s="395"/>
      <c r="AA553" s="387"/>
      <c r="AB553" s="181"/>
      <c r="AC553" s="181"/>
      <c r="AD553" s="181"/>
      <c r="AE553" s="395"/>
      <c r="AF553" s="387"/>
      <c r="AG553" s="181"/>
      <c r="AH553" s="181"/>
      <c r="AI553" s="181"/>
      <c r="AJ553" s="395"/>
      <c r="AK553" s="387"/>
      <c r="AL553" s="181"/>
      <c r="AM553" s="181"/>
      <c r="AN553" s="181"/>
      <c r="AO553" s="370"/>
      <c r="AP553" s="370"/>
      <c r="AQ553" s="370"/>
      <c r="AR553" s="370"/>
      <c r="AS553" s="370"/>
    </row>
    <row r="554">
      <c r="A554" s="395"/>
      <c r="B554" s="387"/>
      <c r="C554" s="181"/>
      <c r="D554" s="181"/>
      <c r="E554" s="181"/>
      <c r="F554" s="395"/>
      <c r="G554" s="387"/>
      <c r="H554" s="181"/>
      <c r="I554" s="181"/>
      <c r="J554" s="181"/>
      <c r="K554" s="88"/>
      <c r="L554" s="387"/>
      <c r="M554" s="181"/>
      <c r="N554" s="181"/>
      <c r="O554" s="181"/>
      <c r="P554" s="88"/>
      <c r="Q554" s="155"/>
      <c r="R554" s="181"/>
      <c r="S554" s="181"/>
      <c r="T554" s="181"/>
      <c r="U554" s="395"/>
      <c r="V554" s="387"/>
      <c r="W554" s="181"/>
      <c r="X554" s="181"/>
      <c r="Y554" s="181"/>
      <c r="Z554" s="395"/>
      <c r="AA554" s="387"/>
      <c r="AB554" s="181"/>
      <c r="AC554" s="181"/>
      <c r="AD554" s="181"/>
      <c r="AE554" s="395"/>
      <c r="AF554" s="387"/>
      <c r="AG554" s="181"/>
      <c r="AH554" s="181"/>
      <c r="AI554" s="181"/>
      <c r="AJ554" s="395"/>
      <c r="AK554" s="387"/>
      <c r="AL554" s="181"/>
      <c r="AM554" s="181"/>
      <c r="AN554" s="181"/>
      <c r="AO554" s="370"/>
      <c r="AP554" s="370"/>
      <c r="AQ554" s="370"/>
      <c r="AR554" s="370"/>
      <c r="AS554" s="370"/>
    </row>
    <row r="555">
      <c r="A555" s="395"/>
      <c r="B555" s="387"/>
      <c r="C555" s="181"/>
      <c r="D555" s="181"/>
      <c r="E555" s="181"/>
      <c r="F555" s="395"/>
      <c r="G555" s="387"/>
      <c r="H555" s="181"/>
      <c r="I555" s="181"/>
      <c r="J555" s="181"/>
      <c r="K555" s="88"/>
      <c r="L555" s="387"/>
      <c r="M555" s="181"/>
      <c r="N555" s="181"/>
      <c r="O555" s="181"/>
      <c r="P555" s="88"/>
      <c r="Q555" s="155"/>
      <c r="R555" s="181"/>
      <c r="S555" s="181"/>
      <c r="T555" s="181"/>
      <c r="U555" s="395"/>
      <c r="V555" s="387"/>
      <c r="W555" s="181"/>
      <c r="X555" s="181"/>
      <c r="Y555" s="181"/>
      <c r="Z555" s="395"/>
      <c r="AA555" s="387"/>
      <c r="AB555" s="181"/>
      <c r="AC555" s="181"/>
      <c r="AD555" s="181"/>
      <c r="AE555" s="395"/>
      <c r="AF555" s="387"/>
      <c r="AG555" s="181"/>
      <c r="AH555" s="181"/>
      <c r="AI555" s="181"/>
      <c r="AJ555" s="395"/>
      <c r="AK555" s="387"/>
      <c r="AL555" s="181"/>
      <c r="AM555" s="181"/>
      <c r="AN555" s="181"/>
      <c r="AO555" s="370"/>
      <c r="AP555" s="370"/>
      <c r="AQ555" s="370"/>
      <c r="AR555" s="370"/>
      <c r="AS555" s="370"/>
    </row>
    <row r="556">
      <c r="A556" s="395"/>
      <c r="B556" s="387"/>
      <c r="C556" s="181"/>
      <c r="D556" s="181"/>
      <c r="E556" s="181"/>
      <c r="F556" s="395"/>
      <c r="G556" s="387"/>
      <c r="H556" s="181"/>
      <c r="I556" s="181"/>
      <c r="J556" s="181"/>
      <c r="K556" s="88"/>
      <c r="L556" s="387"/>
      <c r="M556" s="181"/>
      <c r="N556" s="181"/>
      <c r="O556" s="181"/>
      <c r="P556" s="88"/>
      <c r="Q556" s="155"/>
      <c r="R556" s="181"/>
      <c r="S556" s="181"/>
      <c r="T556" s="181"/>
      <c r="U556" s="395"/>
      <c r="V556" s="387"/>
      <c r="W556" s="181"/>
      <c r="X556" s="181"/>
      <c r="Y556" s="181"/>
      <c r="Z556" s="395"/>
      <c r="AA556" s="387"/>
      <c r="AB556" s="181"/>
      <c r="AC556" s="181"/>
      <c r="AD556" s="181"/>
      <c r="AE556" s="395"/>
      <c r="AF556" s="387"/>
      <c r="AG556" s="181"/>
      <c r="AH556" s="181"/>
      <c r="AI556" s="181"/>
      <c r="AJ556" s="395"/>
      <c r="AK556" s="387"/>
      <c r="AL556" s="181"/>
      <c r="AM556" s="181"/>
      <c r="AN556" s="181"/>
      <c r="AO556" s="370"/>
      <c r="AP556" s="370"/>
      <c r="AQ556" s="370"/>
      <c r="AR556" s="370"/>
      <c r="AS556" s="370"/>
    </row>
    <row r="557">
      <c r="A557" s="395"/>
      <c r="B557" s="387"/>
      <c r="C557" s="181"/>
      <c r="D557" s="181"/>
      <c r="E557" s="181"/>
      <c r="F557" s="395"/>
      <c r="G557" s="387"/>
      <c r="H557" s="181"/>
      <c r="I557" s="181"/>
      <c r="J557" s="181"/>
      <c r="K557" s="88"/>
      <c r="L557" s="387"/>
      <c r="M557" s="181"/>
      <c r="N557" s="181"/>
      <c r="O557" s="181"/>
      <c r="P557" s="88"/>
      <c r="Q557" s="155"/>
      <c r="R557" s="181"/>
      <c r="S557" s="181"/>
      <c r="T557" s="181"/>
      <c r="U557" s="395"/>
      <c r="V557" s="387"/>
      <c r="W557" s="181"/>
      <c r="X557" s="181"/>
      <c r="Y557" s="181"/>
      <c r="Z557" s="395"/>
      <c r="AA557" s="387"/>
      <c r="AB557" s="181"/>
      <c r="AC557" s="181"/>
      <c r="AD557" s="181"/>
      <c r="AE557" s="395"/>
      <c r="AF557" s="387"/>
      <c r="AG557" s="181"/>
      <c r="AH557" s="181"/>
      <c r="AI557" s="181"/>
      <c r="AJ557" s="395"/>
      <c r="AK557" s="387"/>
      <c r="AL557" s="181"/>
      <c r="AM557" s="181"/>
      <c r="AN557" s="181"/>
      <c r="AO557" s="370"/>
      <c r="AP557" s="370"/>
      <c r="AQ557" s="370"/>
      <c r="AR557" s="370"/>
      <c r="AS557" s="370"/>
    </row>
    <row r="558">
      <c r="A558" s="395"/>
      <c r="B558" s="387"/>
      <c r="C558" s="181"/>
      <c r="D558" s="181"/>
      <c r="E558" s="181"/>
      <c r="F558" s="395"/>
      <c r="G558" s="387"/>
      <c r="H558" s="181"/>
      <c r="I558" s="181"/>
      <c r="J558" s="181"/>
      <c r="K558" s="88"/>
      <c r="L558" s="387"/>
      <c r="M558" s="181"/>
      <c r="N558" s="181"/>
      <c r="O558" s="181"/>
      <c r="P558" s="88"/>
      <c r="Q558" s="155"/>
      <c r="R558" s="181"/>
      <c r="S558" s="181"/>
      <c r="T558" s="181"/>
      <c r="U558" s="395"/>
      <c r="V558" s="387"/>
      <c r="W558" s="181"/>
      <c r="X558" s="181"/>
      <c r="Y558" s="181"/>
      <c r="Z558" s="395"/>
      <c r="AA558" s="387"/>
      <c r="AB558" s="181"/>
      <c r="AC558" s="181"/>
      <c r="AD558" s="181"/>
      <c r="AE558" s="395"/>
      <c r="AF558" s="387"/>
      <c r="AG558" s="181"/>
      <c r="AH558" s="181"/>
      <c r="AI558" s="181"/>
      <c r="AJ558" s="395"/>
      <c r="AK558" s="387"/>
      <c r="AL558" s="181"/>
      <c r="AM558" s="181"/>
      <c r="AN558" s="181"/>
      <c r="AO558" s="370"/>
      <c r="AP558" s="370"/>
      <c r="AQ558" s="370"/>
      <c r="AR558" s="370"/>
      <c r="AS558" s="370"/>
    </row>
    <row r="559">
      <c r="A559" s="395"/>
      <c r="B559" s="387"/>
      <c r="C559" s="181"/>
      <c r="D559" s="181"/>
      <c r="E559" s="181"/>
      <c r="F559" s="395"/>
      <c r="G559" s="387"/>
      <c r="H559" s="181"/>
      <c r="I559" s="181"/>
      <c r="J559" s="181"/>
      <c r="K559" s="88"/>
      <c r="L559" s="387"/>
      <c r="M559" s="181"/>
      <c r="N559" s="181"/>
      <c r="O559" s="181"/>
      <c r="P559" s="88"/>
      <c r="Q559" s="155"/>
      <c r="R559" s="181"/>
      <c r="S559" s="181"/>
      <c r="T559" s="181"/>
      <c r="U559" s="395"/>
      <c r="V559" s="387"/>
      <c r="W559" s="181"/>
      <c r="X559" s="181"/>
      <c r="Y559" s="181"/>
      <c r="Z559" s="395"/>
      <c r="AA559" s="387"/>
      <c r="AB559" s="181"/>
      <c r="AC559" s="181"/>
      <c r="AD559" s="181"/>
      <c r="AE559" s="395"/>
      <c r="AF559" s="387"/>
      <c r="AG559" s="181"/>
      <c r="AH559" s="181"/>
      <c r="AI559" s="181"/>
      <c r="AJ559" s="395"/>
      <c r="AK559" s="387"/>
      <c r="AL559" s="181"/>
      <c r="AM559" s="181"/>
      <c r="AN559" s="181"/>
      <c r="AO559" s="370"/>
      <c r="AP559" s="370"/>
      <c r="AQ559" s="370"/>
      <c r="AR559" s="370"/>
      <c r="AS559" s="370"/>
    </row>
    <row r="560">
      <c r="A560" s="395"/>
      <c r="B560" s="387"/>
      <c r="C560" s="181"/>
      <c r="D560" s="181"/>
      <c r="E560" s="181"/>
      <c r="F560" s="395"/>
      <c r="G560" s="387"/>
      <c r="H560" s="181"/>
      <c r="I560" s="181"/>
      <c r="J560" s="181"/>
      <c r="K560" s="88"/>
      <c r="L560" s="387"/>
      <c r="M560" s="181"/>
      <c r="N560" s="181"/>
      <c r="O560" s="181"/>
      <c r="P560" s="88"/>
      <c r="Q560" s="155"/>
      <c r="R560" s="181"/>
      <c r="S560" s="181"/>
      <c r="T560" s="181"/>
      <c r="U560" s="395"/>
      <c r="V560" s="387"/>
      <c r="W560" s="181"/>
      <c r="X560" s="181"/>
      <c r="Y560" s="181"/>
      <c r="Z560" s="395"/>
      <c r="AA560" s="387"/>
      <c r="AB560" s="181"/>
      <c r="AC560" s="181"/>
      <c r="AD560" s="181"/>
      <c r="AE560" s="395"/>
      <c r="AF560" s="387"/>
      <c r="AG560" s="181"/>
      <c r="AH560" s="181"/>
      <c r="AI560" s="181"/>
      <c r="AJ560" s="395"/>
      <c r="AK560" s="387"/>
      <c r="AL560" s="181"/>
      <c r="AM560" s="181"/>
      <c r="AN560" s="181"/>
      <c r="AO560" s="370"/>
      <c r="AP560" s="370"/>
      <c r="AQ560" s="370"/>
      <c r="AR560" s="370"/>
      <c r="AS560" s="370"/>
    </row>
    <row r="561">
      <c r="A561" s="395"/>
      <c r="B561" s="387"/>
      <c r="C561" s="181"/>
      <c r="D561" s="181"/>
      <c r="E561" s="181"/>
      <c r="F561" s="395"/>
      <c r="G561" s="387"/>
      <c r="H561" s="181"/>
      <c r="I561" s="181"/>
      <c r="J561" s="181"/>
      <c r="K561" s="88"/>
      <c r="L561" s="387"/>
      <c r="M561" s="181"/>
      <c r="N561" s="181"/>
      <c r="O561" s="181"/>
      <c r="P561" s="88"/>
      <c r="Q561" s="155"/>
      <c r="R561" s="181"/>
      <c r="S561" s="181"/>
      <c r="T561" s="181"/>
      <c r="U561" s="395"/>
      <c r="V561" s="387"/>
      <c r="W561" s="181"/>
      <c r="X561" s="181"/>
      <c r="Y561" s="181"/>
      <c r="Z561" s="395"/>
      <c r="AA561" s="387"/>
      <c r="AB561" s="181"/>
      <c r="AC561" s="181"/>
      <c r="AD561" s="181"/>
      <c r="AE561" s="395"/>
      <c r="AF561" s="387"/>
      <c r="AG561" s="181"/>
      <c r="AH561" s="181"/>
      <c r="AI561" s="181"/>
      <c r="AJ561" s="395"/>
      <c r="AK561" s="387"/>
      <c r="AL561" s="181"/>
      <c r="AM561" s="181"/>
      <c r="AN561" s="181"/>
      <c r="AO561" s="370"/>
      <c r="AP561" s="370"/>
      <c r="AQ561" s="370"/>
      <c r="AR561" s="370"/>
      <c r="AS561" s="370"/>
    </row>
    <row r="562">
      <c r="A562" s="395"/>
      <c r="B562" s="387"/>
      <c r="C562" s="181"/>
      <c r="D562" s="181"/>
      <c r="E562" s="181"/>
      <c r="F562" s="395"/>
      <c r="G562" s="387"/>
      <c r="H562" s="181"/>
      <c r="I562" s="181"/>
      <c r="J562" s="181"/>
      <c r="K562" s="88"/>
      <c r="L562" s="387"/>
      <c r="M562" s="181"/>
      <c r="N562" s="181"/>
      <c r="O562" s="181"/>
      <c r="P562" s="88"/>
      <c r="Q562" s="155"/>
      <c r="R562" s="181"/>
      <c r="S562" s="181"/>
      <c r="T562" s="181"/>
      <c r="U562" s="395"/>
      <c r="V562" s="387"/>
      <c r="W562" s="181"/>
      <c r="X562" s="181"/>
      <c r="Y562" s="181"/>
      <c r="Z562" s="395"/>
      <c r="AA562" s="387"/>
      <c r="AB562" s="181"/>
      <c r="AC562" s="181"/>
      <c r="AD562" s="181"/>
      <c r="AE562" s="395"/>
      <c r="AF562" s="387"/>
      <c r="AG562" s="181"/>
      <c r="AH562" s="181"/>
      <c r="AI562" s="181"/>
      <c r="AJ562" s="395"/>
      <c r="AK562" s="387"/>
      <c r="AL562" s="181"/>
      <c r="AM562" s="181"/>
      <c r="AN562" s="181"/>
      <c r="AO562" s="370"/>
      <c r="AP562" s="370"/>
      <c r="AQ562" s="370"/>
      <c r="AR562" s="370"/>
      <c r="AS562" s="370"/>
    </row>
    <row r="563">
      <c r="A563" s="395"/>
      <c r="B563" s="387"/>
      <c r="C563" s="181"/>
      <c r="D563" s="181"/>
      <c r="E563" s="181"/>
      <c r="F563" s="395"/>
      <c r="G563" s="387"/>
      <c r="H563" s="181"/>
      <c r="I563" s="181"/>
      <c r="J563" s="181"/>
      <c r="K563" s="88"/>
      <c r="L563" s="387"/>
      <c r="M563" s="181"/>
      <c r="N563" s="181"/>
      <c r="O563" s="181"/>
      <c r="P563" s="88"/>
      <c r="Q563" s="155"/>
      <c r="R563" s="181"/>
      <c r="S563" s="181"/>
      <c r="T563" s="181"/>
      <c r="U563" s="395"/>
      <c r="V563" s="387"/>
      <c r="W563" s="181"/>
      <c r="X563" s="181"/>
      <c r="Y563" s="181"/>
      <c r="Z563" s="395"/>
      <c r="AA563" s="387"/>
      <c r="AB563" s="181"/>
      <c r="AC563" s="181"/>
      <c r="AD563" s="181"/>
      <c r="AE563" s="395"/>
      <c r="AF563" s="387"/>
      <c r="AG563" s="181"/>
      <c r="AH563" s="181"/>
      <c r="AI563" s="181"/>
      <c r="AJ563" s="395"/>
      <c r="AK563" s="387"/>
      <c r="AL563" s="181"/>
      <c r="AM563" s="181"/>
      <c r="AN563" s="181"/>
      <c r="AO563" s="370"/>
      <c r="AP563" s="370"/>
      <c r="AQ563" s="370"/>
      <c r="AR563" s="370"/>
      <c r="AS563" s="370"/>
    </row>
    <row r="564">
      <c r="A564" s="395"/>
      <c r="B564" s="387"/>
      <c r="C564" s="181"/>
      <c r="D564" s="181"/>
      <c r="E564" s="181"/>
      <c r="F564" s="395"/>
      <c r="G564" s="387"/>
      <c r="H564" s="181"/>
      <c r="I564" s="181"/>
      <c r="J564" s="181"/>
      <c r="K564" s="88"/>
      <c r="L564" s="387"/>
      <c r="M564" s="181"/>
      <c r="N564" s="181"/>
      <c r="O564" s="181"/>
      <c r="P564" s="88"/>
      <c r="Q564" s="155"/>
      <c r="R564" s="181"/>
      <c r="S564" s="181"/>
      <c r="T564" s="181"/>
      <c r="U564" s="395"/>
      <c r="V564" s="387"/>
      <c r="W564" s="181"/>
      <c r="X564" s="181"/>
      <c r="Y564" s="181"/>
      <c r="Z564" s="395"/>
      <c r="AA564" s="387"/>
      <c r="AB564" s="181"/>
      <c r="AC564" s="181"/>
      <c r="AD564" s="181"/>
      <c r="AE564" s="395"/>
      <c r="AF564" s="387"/>
      <c r="AG564" s="181"/>
      <c r="AH564" s="181"/>
      <c r="AI564" s="181"/>
      <c r="AJ564" s="395"/>
      <c r="AK564" s="387"/>
      <c r="AL564" s="181"/>
      <c r="AM564" s="181"/>
      <c r="AN564" s="181"/>
      <c r="AO564" s="370"/>
      <c r="AP564" s="370"/>
      <c r="AQ564" s="370"/>
      <c r="AR564" s="370"/>
      <c r="AS564" s="370"/>
    </row>
    <row r="565">
      <c r="A565" s="395"/>
      <c r="B565" s="387"/>
      <c r="C565" s="181"/>
      <c r="D565" s="181"/>
      <c r="E565" s="181"/>
      <c r="F565" s="395"/>
      <c r="G565" s="387"/>
      <c r="H565" s="181"/>
      <c r="I565" s="181"/>
      <c r="J565" s="181"/>
      <c r="K565" s="88"/>
      <c r="L565" s="387"/>
      <c r="M565" s="181"/>
      <c r="N565" s="181"/>
      <c r="O565" s="181"/>
      <c r="P565" s="88"/>
      <c r="Q565" s="155"/>
      <c r="R565" s="181"/>
      <c r="S565" s="181"/>
      <c r="T565" s="181"/>
      <c r="U565" s="395"/>
      <c r="V565" s="387"/>
      <c r="W565" s="181"/>
      <c r="X565" s="181"/>
      <c r="Y565" s="181"/>
      <c r="Z565" s="395"/>
      <c r="AA565" s="387"/>
      <c r="AB565" s="181"/>
      <c r="AC565" s="181"/>
      <c r="AD565" s="181"/>
      <c r="AE565" s="395"/>
      <c r="AF565" s="387"/>
      <c r="AG565" s="181"/>
      <c r="AH565" s="181"/>
      <c r="AI565" s="181"/>
      <c r="AJ565" s="395"/>
      <c r="AK565" s="387"/>
      <c r="AL565" s="181"/>
      <c r="AM565" s="181"/>
      <c r="AN565" s="181"/>
      <c r="AO565" s="370"/>
      <c r="AP565" s="370"/>
      <c r="AQ565" s="370"/>
      <c r="AR565" s="370"/>
      <c r="AS565" s="370"/>
    </row>
    <row r="566">
      <c r="A566" s="395"/>
      <c r="B566" s="387"/>
      <c r="C566" s="181"/>
      <c r="D566" s="181"/>
      <c r="E566" s="181"/>
      <c r="F566" s="395"/>
      <c r="G566" s="387"/>
      <c r="H566" s="181"/>
      <c r="I566" s="181"/>
      <c r="J566" s="181"/>
      <c r="K566" s="88"/>
      <c r="L566" s="387"/>
      <c r="M566" s="181"/>
      <c r="N566" s="181"/>
      <c r="O566" s="181"/>
      <c r="P566" s="88"/>
      <c r="Q566" s="155"/>
      <c r="R566" s="181"/>
      <c r="S566" s="181"/>
      <c r="T566" s="181"/>
      <c r="U566" s="395"/>
      <c r="V566" s="387"/>
      <c r="W566" s="181"/>
      <c r="X566" s="181"/>
      <c r="Y566" s="181"/>
      <c r="Z566" s="395"/>
      <c r="AA566" s="387"/>
      <c r="AB566" s="181"/>
      <c r="AC566" s="181"/>
      <c r="AD566" s="181"/>
      <c r="AE566" s="395"/>
      <c r="AF566" s="387"/>
      <c r="AG566" s="181"/>
      <c r="AH566" s="181"/>
      <c r="AI566" s="181"/>
      <c r="AJ566" s="395"/>
      <c r="AK566" s="387"/>
      <c r="AL566" s="181"/>
      <c r="AM566" s="181"/>
      <c r="AN566" s="181"/>
      <c r="AO566" s="370"/>
      <c r="AP566" s="370"/>
      <c r="AQ566" s="370"/>
      <c r="AR566" s="370"/>
      <c r="AS566" s="370"/>
    </row>
    <row r="567">
      <c r="A567" s="395"/>
      <c r="B567" s="387"/>
      <c r="C567" s="181"/>
      <c r="D567" s="181"/>
      <c r="E567" s="181"/>
      <c r="F567" s="395"/>
      <c r="G567" s="387"/>
      <c r="H567" s="181"/>
      <c r="I567" s="181"/>
      <c r="J567" s="181"/>
      <c r="K567" s="88"/>
      <c r="L567" s="387"/>
      <c r="M567" s="181"/>
      <c r="N567" s="181"/>
      <c r="O567" s="181"/>
      <c r="P567" s="88"/>
      <c r="Q567" s="155"/>
      <c r="R567" s="181"/>
      <c r="S567" s="181"/>
      <c r="T567" s="181"/>
      <c r="U567" s="395"/>
      <c r="V567" s="387"/>
      <c r="W567" s="181"/>
      <c r="X567" s="181"/>
      <c r="Y567" s="181"/>
      <c r="Z567" s="395"/>
      <c r="AA567" s="387"/>
      <c r="AB567" s="181"/>
      <c r="AC567" s="181"/>
      <c r="AD567" s="181"/>
      <c r="AE567" s="395"/>
      <c r="AF567" s="387"/>
      <c r="AG567" s="181"/>
      <c r="AH567" s="181"/>
      <c r="AI567" s="181"/>
      <c r="AJ567" s="395"/>
      <c r="AK567" s="387"/>
      <c r="AL567" s="181"/>
      <c r="AM567" s="181"/>
      <c r="AN567" s="181"/>
      <c r="AO567" s="370"/>
      <c r="AP567" s="370"/>
      <c r="AQ567" s="370"/>
      <c r="AR567" s="370"/>
      <c r="AS567" s="370"/>
    </row>
    <row r="568">
      <c r="A568" s="395"/>
      <c r="B568" s="387"/>
      <c r="C568" s="181"/>
      <c r="D568" s="181"/>
      <c r="E568" s="181"/>
      <c r="F568" s="395"/>
      <c r="G568" s="387"/>
      <c r="H568" s="181"/>
      <c r="I568" s="181"/>
      <c r="J568" s="181"/>
      <c r="K568" s="88"/>
      <c r="L568" s="387"/>
      <c r="M568" s="181"/>
      <c r="N568" s="181"/>
      <c r="O568" s="181"/>
      <c r="P568" s="88"/>
      <c r="Q568" s="155"/>
      <c r="R568" s="181"/>
      <c r="S568" s="181"/>
      <c r="T568" s="181"/>
      <c r="U568" s="395"/>
      <c r="V568" s="387"/>
      <c r="W568" s="181"/>
      <c r="X568" s="181"/>
      <c r="Y568" s="181"/>
      <c r="Z568" s="395"/>
      <c r="AA568" s="387"/>
      <c r="AB568" s="181"/>
      <c r="AC568" s="181"/>
      <c r="AD568" s="181"/>
      <c r="AE568" s="395"/>
      <c r="AF568" s="387"/>
      <c r="AG568" s="181"/>
      <c r="AH568" s="181"/>
      <c r="AI568" s="181"/>
      <c r="AJ568" s="395"/>
      <c r="AK568" s="387"/>
      <c r="AL568" s="181"/>
      <c r="AM568" s="181"/>
      <c r="AN568" s="181"/>
      <c r="AO568" s="370"/>
      <c r="AP568" s="370"/>
      <c r="AQ568" s="370"/>
      <c r="AR568" s="370"/>
      <c r="AS568" s="370"/>
    </row>
    <row r="569">
      <c r="A569" s="395"/>
      <c r="B569" s="387"/>
      <c r="C569" s="181"/>
      <c r="D569" s="181"/>
      <c r="E569" s="181"/>
      <c r="F569" s="395"/>
      <c r="G569" s="387"/>
      <c r="H569" s="181"/>
      <c r="I569" s="181"/>
      <c r="J569" s="181"/>
      <c r="K569" s="88"/>
      <c r="L569" s="387"/>
      <c r="M569" s="181"/>
      <c r="N569" s="181"/>
      <c r="O569" s="181"/>
      <c r="P569" s="88"/>
      <c r="Q569" s="155"/>
      <c r="R569" s="181"/>
      <c r="S569" s="181"/>
      <c r="T569" s="181"/>
      <c r="U569" s="395"/>
      <c r="V569" s="387"/>
      <c r="W569" s="181"/>
      <c r="X569" s="181"/>
      <c r="Y569" s="181"/>
      <c r="Z569" s="395"/>
      <c r="AA569" s="387"/>
      <c r="AB569" s="181"/>
      <c r="AC569" s="181"/>
      <c r="AD569" s="181"/>
      <c r="AE569" s="395"/>
      <c r="AF569" s="387"/>
      <c r="AG569" s="181"/>
      <c r="AH569" s="181"/>
      <c r="AI569" s="181"/>
      <c r="AJ569" s="395"/>
      <c r="AK569" s="387"/>
      <c r="AL569" s="181"/>
      <c r="AM569" s="181"/>
      <c r="AN569" s="181"/>
      <c r="AO569" s="370"/>
      <c r="AP569" s="370"/>
      <c r="AQ569" s="370"/>
      <c r="AR569" s="370"/>
      <c r="AS569" s="370"/>
    </row>
    <row r="570">
      <c r="A570" s="395"/>
      <c r="B570" s="387"/>
      <c r="C570" s="181"/>
      <c r="D570" s="181"/>
      <c r="E570" s="181"/>
      <c r="F570" s="395"/>
      <c r="G570" s="387"/>
      <c r="H570" s="181"/>
      <c r="I570" s="181"/>
      <c r="J570" s="181"/>
      <c r="K570" s="88"/>
      <c r="L570" s="387"/>
      <c r="M570" s="181"/>
      <c r="N570" s="181"/>
      <c r="O570" s="181"/>
      <c r="P570" s="88"/>
      <c r="Q570" s="155"/>
      <c r="R570" s="181"/>
      <c r="S570" s="181"/>
      <c r="T570" s="181"/>
      <c r="U570" s="395"/>
      <c r="V570" s="387"/>
      <c r="W570" s="181"/>
      <c r="X570" s="181"/>
      <c r="Y570" s="181"/>
      <c r="Z570" s="395"/>
      <c r="AA570" s="387"/>
      <c r="AB570" s="181"/>
      <c r="AC570" s="181"/>
      <c r="AD570" s="181"/>
      <c r="AE570" s="395"/>
      <c r="AF570" s="387"/>
      <c r="AG570" s="181"/>
      <c r="AH570" s="181"/>
      <c r="AI570" s="181"/>
      <c r="AJ570" s="395"/>
      <c r="AK570" s="387"/>
      <c r="AL570" s="181"/>
      <c r="AM570" s="181"/>
      <c r="AN570" s="181"/>
      <c r="AO570" s="370"/>
      <c r="AP570" s="370"/>
      <c r="AQ570" s="370"/>
      <c r="AR570" s="370"/>
      <c r="AS570" s="370"/>
    </row>
    <row r="571">
      <c r="A571" s="395"/>
      <c r="B571" s="387"/>
      <c r="C571" s="181"/>
      <c r="D571" s="181"/>
      <c r="E571" s="181"/>
      <c r="F571" s="395"/>
      <c r="G571" s="387"/>
      <c r="H571" s="181"/>
      <c r="I571" s="181"/>
      <c r="J571" s="181"/>
      <c r="K571" s="88"/>
      <c r="L571" s="387"/>
      <c r="M571" s="181"/>
      <c r="N571" s="181"/>
      <c r="O571" s="181"/>
      <c r="P571" s="88"/>
      <c r="Q571" s="155"/>
      <c r="R571" s="181"/>
      <c r="S571" s="181"/>
      <c r="T571" s="181"/>
      <c r="U571" s="395"/>
      <c r="V571" s="387"/>
      <c r="W571" s="181"/>
      <c r="X571" s="181"/>
      <c r="Y571" s="181"/>
      <c r="Z571" s="395"/>
      <c r="AA571" s="387"/>
      <c r="AB571" s="181"/>
      <c r="AC571" s="181"/>
      <c r="AD571" s="181"/>
      <c r="AE571" s="395"/>
      <c r="AF571" s="387"/>
      <c r="AG571" s="181"/>
      <c r="AH571" s="181"/>
      <c r="AI571" s="181"/>
      <c r="AJ571" s="395"/>
      <c r="AK571" s="387"/>
      <c r="AL571" s="181"/>
      <c r="AM571" s="181"/>
      <c r="AN571" s="181"/>
      <c r="AO571" s="370"/>
      <c r="AP571" s="370"/>
      <c r="AQ571" s="370"/>
      <c r="AR571" s="370"/>
      <c r="AS571" s="370"/>
    </row>
    <row r="572">
      <c r="A572" s="395"/>
      <c r="B572" s="387"/>
      <c r="C572" s="181"/>
      <c r="D572" s="181"/>
      <c r="E572" s="181"/>
      <c r="F572" s="395"/>
      <c r="G572" s="387"/>
      <c r="H572" s="181"/>
      <c r="I572" s="181"/>
      <c r="J572" s="181"/>
      <c r="K572" s="88"/>
      <c r="L572" s="387"/>
      <c r="M572" s="181"/>
      <c r="N572" s="181"/>
      <c r="O572" s="181"/>
      <c r="P572" s="88"/>
      <c r="Q572" s="155"/>
      <c r="R572" s="181"/>
      <c r="S572" s="181"/>
      <c r="T572" s="181"/>
      <c r="U572" s="395"/>
      <c r="V572" s="387"/>
      <c r="W572" s="181"/>
      <c r="X572" s="181"/>
      <c r="Y572" s="181"/>
      <c r="Z572" s="395"/>
      <c r="AA572" s="387"/>
      <c r="AB572" s="181"/>
      <c r="AC572" s="181"/>
      <c r="AD572" s="181"/>
      <c r="AE572" s="395"/>
      <c r="AF572" s="387"/>
      <c r="AG572" s="181"/>
      <c r="AH572" s="181"/>
      <c r="AI572" s="181"/>
      <c r="AJ572" s="395"/>
      <c r="AK572" s="387"/>
      <c r="AL572" s="181"/>
      <c r="AM572" s="181"/>
      <c r="AN572" s="181"/>
      <c r="AO572" s="370"/>
      <c r="AP572" s="370"/>
      <c r="AQ572" s="370"/>
      <c r="AR572" s="370"/>
      <c r="AS572" s="370"/>
    </row>
    <row r="573">
      <c r="A573" s="395"/>
      <c r="B573" s="387"/>
      <c r="C573" s="181"/>
      <c r="D573" s="181"/>
      <c r="E573" s="181"/>
      <c r="F573" s="395"/>
      <c r="G573" s="387"/>
      <c r="H573" s="181"/>
      <c r="I573" s="181"/>
      <c r="J573" s="181"/>
      <c r="K573" s="88"/>
      <c r="L573" s="387"/>
      <c r="M573" s="181"/>
      <c r="N573" s="181"/>
      <c r="O573" s="181"/>
      <c r="P573" s="88"/>
      <c r="Q573" s="155"/>
      <c r="R573" s="181"/>
      <c r="S573" s="181"/>
      <c r="T573" s="181"/>
      <c r="U573" s="395"/>
      <c r="V573" s="387"/>
      <c r="W573" s="181"/>
      <c r="X573" s="181"/>
      <c r="Y573" s="181"/>
      <c r="Z573" s="395"/>
      <c r="AA573" s="387"/>
      <c r="AB573" s="181"/>
      <c r="AC573" s="181"/>
      <c r="AD573" s="181"/>
      <c r="AE573" s="395"/>
      <c r="AF573" s="387"/>
      <c r="AG573" s="181"/>
      <c r="AH573" s="181"/>
      <c r="AI573" s="181"/>
      <c r="AJ573" s="395"/>
      <c r="AK573" s="387"/>
      <c r="AL573" s="181"/>
      <c r="AM573" s="181"/>
      <c r="AN573" s="181"/>
      <c r="AO573" s="370"/>
      <c r="AP573" s="370"/>
      <c r="AQ573" s="370"/>
      <c r="AR573" s="370"/>
      <c r="AS573" s="370"/>
    </row>
    <row r="574">
      <c r="A574" s="395"/>
      <c r="B574" s="387"/>
      <c r="C574" s="181"/>
      <c r="D574" s="181"/>
      <c r="E574" s="181"/>
      <c r="F574" s="395"/>
      <c r="G574" s="387"/>
      <c r="H574" s="181"/>
      <c r="I574" s="181"/>
      <c r="J574" s="181"/>
      <c r="K574" s="88"/>
      <c r="L574" s="387"/>
      <c r="M574" s="181"/>
      <c r="N574" s="181"/>
      <c r="O574" s="181"/>
      <c r="P574" s="88"/>
      <c r="Q574" s="155"/>
      <c r="R574" s="181"/>
      <c r="S574" s="181"/>
      <c r="T574" s="181"/>
      <c r="U574" s="395"/>
      <c r="V574" s="387"/>
      <c r="W574" s="181"/>
      <c r="X574" s="181"/>
      <c r="Y574" s="181"/>
      <c r="Z574" s="395"/>
      <c r="AA574" s="387"/>
      <c r="AB574" s="181"/>
      <c r="AC574" s="181"/>
      <c r="AD574" s="181"/>
      <c r="AE574" s="395"/>
      <c r="AF574" s="387"/>
      <c r="AG574" s="181"/>
      <c r="AH574" s="181"/>
      <c r="AI574" s="181"/>
      <c r="AJ574" s="395"/>
      <c r="AK574" s="387"/>
      <c r="AL574" s="181"/>
      <c r="AM574" s="181"/>
      <c r="AN574" s="181"/>
      <c r="AO574" s="370"/>
      <c r="AP574" s="370"/>
      <c r="AQ574" s="370"/>
      <c r="AR574" s="370"/>
      <c r="AS574" s="370"/>
    </row>
    <row r="575">
      <c r="A575" s="395"/>
      <c r="B575" s="387"/>
      <c r="C575" s="181"/>
      <c r="D575" s="181"/>
      <c r="E575" s="181"/>
      <c r="F575" s="395"/>
      <c r="G575" s="387"/>
      <c r="H575" s="181"/>
      <c r="I575" s="181"/>
      <c r="J575" s="181"/>
      <c r="K575" s="88"/>
      <c r="L575" s="387"/>
      <c r="M575" s="181"/>
      <c r="N575" s="181"/>
      <c r="O575" s="181"/>
      <c r="P575" s="88"/>
      <c r="Q575" s="155"/>
      <c r="R575" s="181"/>
      <c r="S575" s="181"/>
      <c r="T575" s="181"/>
      <c r="U575" s="395"/>
      <c r="V575" s="387"/>
      <c r="W575" s="181"/>
      <c r="X575" s="181"/>
      <c r="Y575" s="181"/>
      <c r="Z575" s="395"/>
      <c r="AA575" s="387"/>
      <c r="AB575" s="181"/>
      <c r="AC575" s="181"/>
      <c r="AD575" s="181"/>
      <c r="AE575" s="395"/>
      <c r="AF575" s="387"/>
      <c r="AG575" s="181"/>
      <c r="AH575" s="181"/>
      <c r="AI575" s="181"/>
      <c r="AJ575" s="395"/>
      <c r="AK575" s="387"/>
      <c r="AL575" s="181"/>
      <c r="AM575" s="181"/>
      <c r="AN575" s="181"/>
      <c r="AO575" s="370"/>
      <c r="AP575" s="370"/>
      <c r="AQ575" s="370"/>
      <c r="AR575" s="370"/>
      <c r="AS575" s="370"/>
    </row>
    <row r="576">
      <c r="A576" s="395"/>
      <c r="B576" s="387"/>
      <c r="C576" s="181"/>
      <c r="D576" s="181"/>
      <c r="E576" s="181"/>
      <c r="F576" s="395"/>
      <c r="G576" s="387"/>
      <c r="H576" s="181"/>
      <c r="I576" s="181"/>
      <c r="J576" s="181"/>
      <c r="K576" s="88"/>
      <c r="L576" s="387"/>
      <c r="M576" s="181"/>
      <c r="N576" s="181"/>
      <c r="O576" s="181"/>
      <c r="P576" s="88"/>
      <c r="Q576" s="155"/>
      <c r="R576" s="181"/>
      <c r="S576" s="181"/>
      <c r="T576" s="181"/>
      <c r="U576" s="395"/>
      <c r="V576" s="387"/>
      <c r="W576" s="181"/>
      <c r="X576" s="181"/>
      <c r="Y576" s="181"/>
      <c r="Z576" s="395"/>
      <c r="AA576" s="387"/>
      <c r="AB576" s="181"/>
      <c r="AC576" s="181"/>
      <c r="AD576" s="181"/>
      <c r="AE576" s="395"/>
      <c r="AF576" s="387"/>
      <c r="AG576" s="181"/>
      <c r="AH576" s="181"/>
      <c r="AI576" s="181"/>
      <c r="AJ576" s="395"/>
      <c r="AK576" s="387"/>
      <c r="AL576" s="181"/>
      <c r="AM576" s="181"/>
      <c r="AN576" s="181"/>
      <c r="AO576" s="370"/>
      <c r="AP576" s="370"/>
      <c r="AQ576" s="370"/>
      <c r="AR576" s="370"/>
      <c r="AS576" s="370"/>
    </row>
    <row r="577">
      <c r="A577" s="395"/>
      <c r="B577" s="387"/>
      <c r="C577" s="181"/>
      <c r="D577" s="181"/>
      <c r="E577" s="181"/>
      <c r="F577" s="395"/>
      <c r="G577" s="387"/>
      <c r="H577" s="181"/>
      <c r="I577" s="181"/>
      <c r="J577" s="181"/>
      <c r="K577" s="88"/>
      <c r="L577" s="387"/>
      <c r="M577" s="181"/>
      <c r="N577" s="181"/>
      <c r="O577" s="181"/>
      <c r="P577" s="88"/>
      <c r="Q577" s="155"/>
      <c r="R577" s="181"/>
      <c r="S577" s="181"/>
      <c r="T577" s="181"/>
      <c r="U577" s="395"/>
      <c r="V577" s="387"/>
      <c r="W577" s="181"/>
      <c r="X577" s="181"/>
      <c r="Y577" s="181"/>
      <c r="Z577" s="395"/>
      <c r="AA577" s="387"/>
      <c r="AB577" s="181"/>
      <c r="AC577" s="181"/>
      <c r="AD577" s="181"/>
      <c r="AE577" s="395"/>
      <c r="AF577" s="387"/>
      <c r="AG577" s="181"/>
      <c r="AH577" s="181"/>
      <c r="AI577" s="181"/>
      <c r="AJ577" s="395"/>
      <c r="AK577" s="387"/>
      <c r="AL577" s="181"/>
      <c r="AM577" s="181"/>
      <c r="AN577" s="181"/>
      <c r="AO577" s="370"/>
      <c r="AP577" s="370"/>
      <c r="AQ577" s="370"/>
      <c r="AR577" s="370"/>
      <c r="AS577" s="370"/>
    </row>
    <row r="578">
      <c r="A578" s="395"/>
      <c r="B578" s="387"/>
      <c r="C578" s="181"/>
      <c r="D578" s="181"/>
      <c r="E578" s="181"/>
      <c r="F578" s="395"/>
      <c r="G578" s="387"/>
      <c r="H578" s="181"/>
      <c r="I578" s="181"/>
      <c r="J578" s="181"/>
      <c r="K578" s="88"/>
      <c r="L578" s="387"/>
      <c r="M578" s="181"/>
      <c r="N578" s="181"/>
      <c r="O578" s="181"/>
      <c r="P578" s="88"/>
      <c r="Q578" s="155"/>
      <c r="R578" s="181"/>
      <c r="S578" s="181"/>
      <c r="T578" s="181"/>
      <c r="U578" s="395"/>
      <c r="V578" s="387"/>
      <c r="W578" s="181"/>
      <c r="X578" s="181"/>
      <c r="Y578" s="181"/>
      <c r="Z578" s="395"/>
      <c r="AA578" s="387"/>
      <c r="AB578" s="181"/>
      <c r="AC578" s="181"/>
      <c r="AD578" s="181"/>
      <c r="AE578" s="395"/>
      <c r="AF578" s="387"/>
      <c r="AG578" s="181"/>
      <c r="AH578" s="181"/>
      <c r="AI578" s="181"/>
      <c r="AJ578" s="395"/>
      <c r="AK578" s="387"/>
      <c r="AL578" s="181"/>
      <c r="AM578" s="181"/>
      <c r="AN578" s="181"/>
      <c r="AO578" s="370"/>
      <c r="AP578" s="370"/>
      <c r="AQ578" s="370"/>
      <c r="AR578" s="370"/>
      <c r="AS578" s="370"/>
    </row>
    <row r="579">
      <c r="A579" s="395"/>
      <c r="B579" s="387"/>
      <c r="C579" s="181"/>
      <c r="D579" s="181"/>
      <c r="E579" s="181"/>
      <c r="F579" s="395"/>
      <c r="G579" s="387"/>
      <c r="H579" s="181"/>
      <c r="I579" s="181"/>
      <c r="J579" s="181"/>
      <c r="K579" s="88"/>
      <c r="L579" s="387"/>
      <c r="M579" s="181"/>
      <c r="N579" s="181"/>
      <c r="O579" s="181"/>
      <c r="P579" s="88"/>
      <c r="Q579" s="155"/>
      <c r="R579" s="181"/>
      <c r="S579" s="181"/>
      <c r="T579" s="181"/>
      <c r="U579" s="395"/>
      <c r="V579" s="387"/>
      <c r="W579" s="181"/>
      <c r="X579" s="181"/>
      <c r="Y579" s="181"/>
      <c r="Z579" s="395"/>
      <c r="AA579" s="387"/>
      <c r="AB579" s="181"/>
      <c r="AC579" s="181"/>
      <c r="AD579" s="181"/>
      <c r="AE579" s="395"/>
      <c r="AF579" s="387"/>
      <c r="AG579" s="181"/>
      <c r="AH579" s="181"/>
      <c r="AI579" s="181"/>
      <c r="AJ579" s="395"/>
      <c r="AK579" s="387"/>
      <c r="AL579" s="181"/>
      <c r="AM579" s="181"/>
      <c r="AN579" s="181"/>
      <c r="AO579" s="370"/>
      <c r="AP579" s="370"/>
      <c r="AQ579" s="370"/>
      <c r="AR579" s="370"/>
      <c r="AS579" s="370"/>
    </row>
    <row r="580">
      <c r="A580" s="395"/>
      <c r="B580" s="387"/>
      <c r="C580" s="181"/>
      <c r="D580" s="181"/>
      <c r="E580" s="181"/>
      <c r="F580" s="395"/>
      <c r="G580" s="387"/>
      <c r="H580" s="181"/>
      <c r="I580" s="181"/>
      <c r="J580" s="181"/>
      <c r="K580" s="88"/>
      <c r="L580" s="387"/>
      <c r="M580" s="181"/>
      <c r="N580" s="181"/>
      <c r="O580" s="181"/>
      <c r="P580" s="88"/>
      <c r="Q580" s="155"/>
      <c r="R580" s="181"/>
      <c r="S580" s="181"/>
      <c r="T580" s="181"/>
      <c r="U580" s="395"/>
      <c r="V580" s="387"/>
      <c r="W580" s="181"/>
      <c r="X580" s="181"/>
      <c r="Y580" s="181"/>
      <c r="Z580" s="395"/>
      <c r="AA580" s="387"/>
      <c r="AB580" s="181"/>
      <c r="AC580" s="181"/>
      <c r="AD580" s="181"/>
      <c r="AE580" s="395"/>
      <c r="AF580" s="387"/>
      <c r="AG580" s="181"/>
      <c r="AH580" s="181"/>
      <c r="AI580" s="181"/>
      <c r="AJ580" s="395"/>
      <c r="AK580" s="387"/>
      <c r="AL580" s="181"/>
      <c r="AM580" s="181"/>
      <c r="AN580" s="181"/>
      <c r="AO580" s="370"/>
      <c r="AP580" s="370"/>
      <c r="AQ580" s="370"/>
      <c r="AR580" s="370"/>
      <c r="AS580" s="370"/>
    </row>
    <row r="581">
      <c r="A581" s="395"/>
      <c r="B581" s="387"/>
      <c r="C581" s="181"/>
      <c r="D581" s="181"/>
      <c r="E581" s="181"/>
      <c r="F581" s="395"/>
      <c r="G581" s="387"/>
      <c r="H581" s="181"/>
      <c r="I581" s="181"/>
      <c r="J581" s="181"/>
      <c r="K581" s="88"/>
      <c r="L581" s="387"/>
      <c r="M581" s="181"/>
      <c r="N581" s="181"/>
      <c r="O581" s="181"/>
      <c r="P581" s="88"/>
      <c r="Q581" s="155"/>
      <c r="R581" s="181"/>
      <c r="S581" s="181"/>
      <c r="T581" s="181"/>
      <c r="U581" s="395"/>
      <c r="V581" s="387"/>
      <c r="W581" s="181"/>
      <c r="X581" s="181"/>
      <c r="Y581" s="181"/>
      <c r="Z581" s="395"/>
      <c r="AA581" s="387"/>
      <c r="AB581" s="181"/>
      <c r="AC581" s="181"/>
      <c r="AD581" s="181"/>
      <c r="AE581" s="395"/>
      <c r="AF581" s="387"/>
      <c r="AG581" s="181"/>
      <c r="AH581" s="181"/>
      <c r="AI581" s="181"/>
      <c r="AJ581" s="395"/>
      <c r="AK581" s="387"/>
      <c r="AL581" s="181"/>
      <c r="AM581" s="181"/>
      <c r="AN581" s="181"/>
      <c r="AO581" s="370"/>
      <c r="AP581" s="370"/>
      <c r="AQ581" s="370"/>
      <c r="AR581" s="370"/>
      <c r="AS581" s="370"/>
    </row>
    <row r="582">
      <c r="A582" s="395"/>
      <c r="B582" s="387"/>
      <c r="C582" s="181"/>
      <c r="D582" s="181"/>
      <c r="E582" s="181"/>
      <c r="F582" s="395"/>
      <c r="G582" s="387"/>
      <c r="H582" s="181"/>
      <c r="I582" s="181"/>
      <c r="J582" s="181"/>
      <c r="K582" s="88"/>
      <c r="L582" s="387"/>
      <c r="M582" s="181"/>
      <c r="N582" s="181"/>
      <c r="O582" s="181"/>
      <c r="P582" s="88"/>
      <c r="Q582" s="155"/>
      <c r="R582" s="181"/>
      <c r="S582" s="181"/>
      <c r="T582" s="181"/>
      <c r="U582" s="395"/>
      <c r="V582" s="387"/>
      <c r="W582" s="181"/>
      <c r="X582" s="181"/>
      <c r="Y582" s="181"/>
      <c r="Z582" s="395"/>
      <c r="AA582" s="387"/>
      <c r="AB582" s="181"/>
      <c r="AC582" s="181"/>
      <c r="AD582" s="181"/>
      <c r="AE582" s="395"/>
      <c r="AF582" s="387"/>
      <c r="AG582" s="181"/>
      <c r="AH582" s="181"/>
      <c r="AI582" s="181"/>
      <c r="AJ582" s="395"/>
      <c r="AK582" s="387"/>
      <c r="AL582" s="181"/>
      <c r="AM582" s="181"/>
      <c r="AN582" s="181"/>
      <c r="AO582" s="370"/>
      <c r="AP582" s="370"/>
      <c r="AQ582" s="370"/>
      <c r="AR582" s="370"/>
      <c r="AS582" s="370"/>
    </row>
    <row r="583">
      <c r="A583" s="395"/>
      <c r="B583" s="387"/>
      <c r="C583" s="181"/>
      <c r="D583" s="181"/>
      <c r="E583" s="181"/>
      <c r="F583" s="395"/>
      <c r="G583" s="387"/>
      <c r="H583" s="181"/>
      <c r="I583" s="181"/>
      <c r="J583" s="181"/>
      <c r="K583" s="88"/>
      <c r="L583" s="387"/>
      <c r="M583" s="181"/>
      <c r="N583" s="181"/>
      <c r="O583" s="181"/>
      <c r="P583" s="88"/>
      <c r="Q583" s="155"/>
      <c r="R583" s="181"/>
      <c r="S583" s="181"/>
      <c r="T583" s="181"/>
      <c r="U583" s="395"/>
      <c r="V583" s="387"/>
      <c r="W583" s="181"/>
      <c r="X583" s="181"/>
      <c r="Y583" s="181"/>
      <c r="Z583" s="395"/>
      <c r="AA583" s="387"/>
      <c r="AB583" s="181"/>
      <c r="AC583" s="181"/>
      <c r="AD583" s="181"/>
      <c r="AE583" s="395"/>
      <c r="AF583" s="387"/>
      <c r="AG583" s="181"/>
      <c r="AH583" s="181"/>
      <c r="AI583" s="181"/>
      <c r="AJ583" s="395"/>
      <c r="AK583" s="387"/>
      <c r="AL583" s="181"/>
      <c r="AM583" s="181"/>
      <c r="AN583" s="181"/>
      <c r="AO583" s="370"/>
      <c r="AP583" s="370"/>
      <c r="AQ583" s="370"/>
      <c r="AR583" s="370"/>
      <c r="AS583" s="370"/>
    </row>
    <row r="584">
      <c r="A584" s="395"/>
      <c r="B584" s="387"/>
      <c r="C584" s="181"/>
      <c r="D584" s="181"/>
      <c r="E584" s="181"/>
      <c r="F584" s="395"/>
      <c r="G584" s="387"/>
      <c r="H584" s="181"/>
      <c r="I584" s="181"/>
      <c r="J584" s="181"/>
      <c r="K584" s="88"/>
      <c r="L584" s="387"/>
      <c r="M584" s="181"/>
      <c r="N584" s="181"/>
      <c r="O584" s="181"/>
      <c r="P584" s="88"/>
      <c r="Q584" s="155"/>
      <c r="R584" s="181"/>
      <c r="S584" s="181"/>
      <c r="T584" s="181"/>
      <c r="U584" s="395"/>
      <c r="V584" s="387"/>
      <c r="W584" s="181"/>
      <c r="X584" s="181"/>
      <c r="Y584" s="181"/>
      <c r="Z584" s="395"/>
      <c r="AA584" s="387"/>
      <c r="AB584" s="181"/>
      <c r="AC584" s="181"/>
      <c r="AD584" s="181"/>
      <c r="AE584" s="395"/>
      <c r="AF584" s="387"/>
      <c r="AG584" s="181"/>
      <c r="AH584" s="181"/>
      <c r="AI584" s="181"/>
      <c r="AJ584" s="395"/>
      <c r="AK584" s="387"/>
      <c r="AL584" s="181"/>
      <c r="AM584" s="181"/>
      <c r="AN584" s="181"/>
      <c r="AO584" s="370"/>
      <c r="AP584" s="370"/>
      <c r="AQ584" s="370"/>
      <c r="AR584" s="370"/>
      <c r="AS584" s="370"/>
    </row>
    <row r="585">
      <c r="A585" s="395"/>
      <c r="B585" s="387"/>
      <c r="C585" s="181"/>
      <c r="D585" s="181"/>
      <c r="E585" s="181"/>
      <c r="F585" s="395"/>
      <c r="G585" s="387"/>
      <c r="H585" s="181"/>
      <c r="I585" s="181"/>
      <c r="J585" s="181"/>
      <c r="K585" s="88"/>
      <c r="L585" s="387"/>
      <c r="M585" s="181"/>
      <c r="N585" s="181"/>
      <c r="O585" s="181"/>
      <c r="P585" s="88"/>
      <c r="Q585" s="155"/>
      <c r="R585" s="181"/>
      <c r="S585" s="181"/>
      <c r="T585" s="181"/>
      <c r="U585" s="395"/>
      <c r="V585" s="387"/>
      <c r="W585" s="181"/>
      <c r="X585" s="181"/>
      <c r="Y585" s="181"/>
      <c r="Z585" s="395"/>
      <c r="AA585" s="387"/>
      <c r="AB585" s="181"/>
      <c r="AC585" s="181"/>
      <c r="AD585" s="181"/>
      <c r="AE585" s="395"/>
      <c r="AF585" s="387"/>
      <c r="AG585" s="181"/>
      <c r="AH585" s="181"/>
      <c r="AI585" s="181"/>
      <c r="AJ585" s="395"/>
      <c r="AK585" s="387"/>
      <c r="AL585" s="181"/>
      <c r="AM585" s="181"/>
      <c r="AN585" s="181"/>
      <c r="AO585" s="370"/>
      <c r="AP585" s="370"/>
      <c r="AQ585" s="370"/>
      <c r="AR585" s="370"/>
      <c r="AS585" s="370"/>
    </row>
    <row r="586">
      <c r="A586" s="395"/>
      <c r="B586" s="387"/>
      <c r="C586" s="181"/>
      <c r="D586" s="181"/>
      <c r="E586" s="181"/>
      <c r="F586" s="395"/>
      <c r="G586" s="387"/>
      <c r="H586" s="181"/>
      <c r="I586" s="181"/>
      <c r="J586" s="181"/>
      <c r="K586" s="88"/>
      <c r="L586" s="387"/>
      <c r="M586" s="181"/>
      <c r="N586" s="181"/>
      <c r="O586" s="181"/>
      <c r="P586" s="88"/>
      <c r="Q586" s="155"/>
      <c r="R586" s="181"/>
      <c r="S586" s="181"/>
      <c r="T586" s="181"/>
      <c r="U586" s="395"/>
      <c r="V586" s="387"/>
      <c r="W586" s="181"/>
      <c r="X586" s="181"/>
      <c r="Y586" s="181"/>
      <c r="Z586" s="395"/>
      <c r="AA586" s="387"/>
      <c r="AB586" s="181"/>
      <c r="AC586" s="181"/>
      <c r="AD586" s="181"/>
      <c r="AE586" s="395"/>
      <c r="AF586" s="387"/>
      <c r="AG586" s="181"/>
      <c r="AH586" s="181"/>
      <c r="AI586" s="181"/>
      <c r="AJ586" s="395"/>
      <c r="AK586" s="387"/>
      <c r="AL586" s="181"/>
      <c r="AM586" s="181"/>
      <c r="AN586" s="181"/>
      <c r="AO586" s="370"/>
      <c r="AP586" s="370"/>
      <c r="AQ586" s="370"/>
      <c r="AR586" s="370"/>
      <c r="AS586" s="370"/>
    </row>
    <row r="587">
      <c r="A587" s="395"/>
      <c r="B587" s="387"/>
      <c r="C587" s="181"/>
      <c r="D587" s="181"/>
      <c r="E587" s="181"/>
      <c r="F587" s="395"/>
      <c r="G587" s="387"/>
      <c r="H587" s="181"/>
      <c r="I587" s="181"/>
      <c r="J587" s="181"/>
      <c r="K587" s="88"/>
      <c r="L587" s="387"/>
      <c r="M587" s="181"/>
      <c r="N587" s="181"/>
      <c r="O587" s="181"/>
      <c r="P587" s="88"/>
      <c r="Q587" s="155"/>
      <c r="R587" s="181"/>
      <c r="S587" s="181"/>
      <c r="T587" s="181"/>
      <c r="U587" s="395"/>
      <c r="V587" s="387"/>
      <c r="W587" s="181"/>
      <c r="X587" s="181"/>
      <c r="Y587" s="181"/>
      <c r="Z587" s="395"/>
      <c r="AA587" s="387"/>
      <c r="AB587" s="181"/>
      <c r="AC587" s="181"/>
      <c r="AD587" s="181"/>
      <c r="AE587" s="395"/>
      <c r="AF587" s="387"/>
      <c r="AG587" s="181"/>
      <c r="AH587" s="181"/>
      <c r="AI587" s="181"/>
      <c r="AJ587" s="395"/>
      <c r="AK587" s="387"/>
      <c r="AL587" s="181"/>
      <c r="AM587" s="181"/>
      <c r="AN587" s="181"/>
      <c r="AO587" s="370"/>
      <c r="AP587" s="370"/>
      <c r="AQ587" s="370"/>
      <c r="AR587" s="370"/>
      <c r="AS587" s="370"/>
    </row>
    <row r="588">
      <c r="A588" s="395"/>
      <c r="B588" s="387"/>
      <c r="C588" s="181"/>
      <c r="D588" s="181"/>
      <c r="E588" s="181"/>
      <c r="F588" s="395"/>
      <c r="G588" s="387"/>
      <c r="H588" s="181"/>
      <c r="I588" s="181"/>
      <c r="J588" s="181"/>
      <c r="K588" s="88"/>
      <c r="L588" s="387"/>
      <c r="M588" s="181"/>
      <c r="N588" s="181"/>
      <c r="O588" s="181"/>
      <c r="P588" s="88"/>
      <c r="Q588" s="155"/>
      <c r="R588" s="181"/>
      <c r="S588" s="181"/>
      <c r="T588" s="181"/>
      <c r="U588" s="395"/>
      <c r="V588" s="387"/>
      <c r="W588" s="181"/>
      <c r="X588" s="181"/>
      <c r="Y588" s="181"/>
      <c r="Z588" s="395"/>
      <c r="AA588" s="387"/>
      <c r="AB588" s="181"/>
      <c r="AC588" s="181"/>
      <c r="AD588" s="181"/>
      <c r="AE588" s="395"/>
      <c r="AF588" s="387"/>
      <c r="AG588" s="181"/>
      <c r="AH588" s="181"/>
      <c r="AI588" s="181"/>
      <c r="AJ588" s="395"/>
      <c r="AK588" s="387"/>
      <c r="AL588" s="181"/>
      <c r="AM588" s="181"/>
      <c r="AN588" s="181"/>
      <c r="AO588" s="370"/>
      <c r="AP588" s="370"/>
      <c r="AQ588" s="370"/>
      <c r="AR588" s="370"/>
      <c r="AS588" s="370"/>
    </row>
    <row r="589">
      <c r="A589" s="395"/>
      <c r="B589" s="387"/>
      <c r="C589" s="181"/>
      <c r="D589" s="181"/>
      <c r="E589" s="181"/>
      <c r="F589" s="395"/>
      <c r="G589" s="387"/>
      <c r="H589" s="181"/>
      <c r="I589" s="181"/>
      <c r="J589" s="181"/>
      <c r="K589" s="88"/>
      <c r="L589" s="387"/>
      <c r="M589" s="181"/>
      <c r="N589" s="181"/>
      <c r="O589" s="181"/>
      <c r="P589" s="88"/>
      <c r="Q589" s="155"/>
      <c r="R589" s="181"/>
      <c r="S589" s="181"/>
      <c r="T589" s="181"/>
      <c r="U589" s="395"/>
      <c r="V589" s="387"/>
      <c r="W589" s="181"/>
      <c r="X589" s="181"/>
      <c r="Y589" s="181"/>
      <c r="Z589" s="395"/>
      <c r="AA589" s="387"/>
      <c r="AB589" s="181"/>
      <c r="AC589" s="181"/>
      <c r="AD589" s="181"/>
      <c r="AE589" s="395"/>
      <c r="AF589" s="387"/>
      <c r="AG589" s="181"/>
      <c r="AH589" s="181"/>
      <c r="AI589" s="181"/>
      <c r="AJ589" s="395"/>
      <c r="AK589" s="387"/>
      <c r="AL589" s="181"/>
      <c r="AM589" s="181"/>
      <c r="AN589" s="181"/>
      <c r="AO589" s="370"/>
      <c r="AP589" s="370"/>
      <c r="AQ589" s="370"/>
      <c r="AR589" s="370"/>
      <c r="AS589" s="370"/>
    </row>
    <row r="590">
      <c r="A590" s="395"/>
      <c r="B590" s="387"/>
      <c r="C590" s="181"/>
      <c r="D590" s="181"/>
      <c r="E590" s="181"/>
      <c r="F590" s="395"/>
      <c r="G590" s="387"/>
      <c r="H590" s="181"/>
      <c r="I590" s="181"/>
      <c r="J590" s="181"/>
      <c r="K590" s="88"/>
      <c r="L590" s="387"/>
      <c r="M590" s="181"/>
      <c r="N590" s="181"/>
      <c r="O590" s="181"/>
      <c r="P590" s="88"/>
      <c r="Q590" s="155"/>
      <c r="R590" s="181"/>
      <c r="S590" s="181"/>
      <c r="T590" s="181"/>
      <c r="U590" s="395"/>
      <c r="V590" s="387"/>
      <c r="W590" s="181"/>
      <c r="X590" s="181"/>
      <c r="Y590" s="181"/>
      <c r="Z590" s="395"/>
      <c r="AA590" s="387"/>
      <c r="AB590" s="181"/>
      <c r="AC590" s="181"/>
      <c r="AD590" s="181"/>
      <c r="AE590" s="395"/>
      <c r="AF590" s="387"/>
      <c r="AG590" s="181"/>
      <c r="AH590" s="181"/>
      <c r="AI590" s="181"/>
      <c r="AJ590" s="395"/>
      <c r="AK590" s="387"/>
      <c r="AL590" s="181"/>
      <c r="AM590" s="181"/>
      <c r="AN590" s="181"/>
      <c r="AO590" s="370"/>
      <c r="AP590" s="370"/>
      <c r="AQ590" s="370"/>
      <c r="AR590" s="370"/>
      <c r="AS590" s="370"/>
    </row>
    <row r="591">
      <c r="A591" s="395"/>
      <c r="B591" s="387"/>
      <c r="C591" s="181"/>
      <c r="D591" s="181"/>
      <c r="E591" s="181"/>
      <c r="F591" s="395"/>
      <c r="G591" s="387"/>
      <c r="H591" s="181"/>
      <c r="I591" s="181"/>
      <c r="J591" s="181"/>
      <c r="K591" s="88"/>
      <c r="L591" s="387"/>
      <c r="M591" s="181"/>
      <c r="N591" s="181"/>
      <c r="O591" s="181"/>
      <c r="P591" s="88"/>
      <c r="Q591" s="155"/>
      <c r="R591" s="181"/>
      <c r="S591" s="181"/>
      <c r="T591" s="181"/>
      <c r="U591" s="395"/>
      <c r="V591" s="387"/>
      <c r="W591" s="181"/>
      <c r="X591" s="181"/>
      <c r="Y591" s="181"/>
      <c r="Z591" s="395"/>
      <c r="AA591" s="387"/>
      <c r="AB591" s="181"/>
      <c r="AC591" s="181"/>
      <c r="AD591" s="181"/>
      <c r="AE591" s="395"/>
      <c r="AF591" s="387"/>
      <c r="AG591" s="181"/>
      <c r="AH591" s="181"/>
      <c r="AI591" s="181"/>
      <c r="AJ591" s="395"/>
      <c r="AK591" s="387"/>
      <c r="AL591" s="181"/>
      <c r="AM591" s="181"/>
      <c r="AN591" s="181"/>
      <c r="AO591" s="370"/>
      <c r="AP591" s="370"/>
      <c r="AQ591" s="370"/>
      <c r="AR591" s="370"/>
      <c r="AS591" s="370"/>
    </row>
    <row r="592">
      <c r="A592" s="395"/>
      <c r="B592" s="387"/>
      <c r="C592" s="181"/>
      <c r="D592" s="181"/>
      <c r="E592" s="181"/>
      <c r="F592" s="395"/>
      <c r="G592" s="387"/>
      <c r="H592" s="181"/>
      <c r="I592" s="181"/>
      <c r="J592" s="181"/>
      <c r="K592" s="88"/>
      <c r="L592" s="387"/>
      <c r="M592" s="181"/>
      <c r="N592" s="181"/>
      <c r="O592" s="181"/>
      <c r="P592" s="88"/>
      <c r="Q592" s="155"/>
      <c r="R592" s="181"/>
      <c r="S592" s="181"/>
      <c r="T592" s="181"/>
      <c r="U592" s="395"/>
      <c r="V592" s="387"/>
      <c r="W592" s="181"/>
      <c r="X592" s="181"/>
      <c r="Y592" s="181"/>
      <c r="Z592" s="395"/>
      <c r="AA592" s="387"/>
      <c r="AB592" s="181"/>
      <c r="AC592" s="181"/>
      <c r="AD592" s="181"/>
      <c r="AE592" s="395"/>
      <c r="AF592" s="387"/>
      <c r="AG592" s="181"/>
      <c r="AH592" s="181"/>
      <c r="AI592" s="181"/>
      <c r="AJ592" s="395"/>
      <c r="AK592" s="387"/>
      <c r="AL592" s="181"/>
      <c r="AM592" s="181"/>
      <c r="AN592" s="181"/>
      <c r="AO592" s="370"/>
      <c r="AP592" s="370"/>
      <c r="AQ592" s="370"/>
      <c r="AR592" s="370"/>
      <c r="AS592" s="370"/>
    </row>
    <row r="593">
      <c r="A593" s="395"/>
      <c r="B593" s="387"/>
      <c r="C593" s="181"/>
      <c r="D593" s="181"/>
      <c r="E593" s="181"/>
      <c r="F593" s="395"/>
      <c r="G593" s="387"/>
      <c r="H593" s="181"/>
      <c r="I593" s="181"/>
      <c r="J593" s="181"/>
      <c r="K593" s="88"/>
      <c r="L593" s="387"/>
      <c r="M593" s="181"/>
      <c r="N593" s="181"/>
      <c r="O593" s="181"/>
      <c r="P593" s="88"/>
      <c r="Q593" s="155"/>
      <c r="R593" s="181"/>
      <c r="S593" s="181"/>
      <c r="T593" s="181"/>
      <c r="U593" s="395"/>
      <c r="V593" s="387"/>
      <c r="W593" s="181"/>
      <c r="X593" s="181"/>
      <c r="Y593" s="181"/>
      <c r="Z593" s="395"/>
      <c r="AA593" s="387"/>
      <c r="AB593" s="181"/>
      <c r="AC593" s="181"/>
      <c r="AD593" s="181"/>
      <c r="AE593" s="395"/>
      <c r="AF593" s="387"/>
      <c r="AG593" s="181"/>
      <c r="AH593" s="181"/>
      <c r="AI593" s="181"/>
      <c r="AJ593" s="395"/>
      <c r="AK593" s="387"/>
      <c r="AL593" s="181"/>
      <c r="AM593" s="181"/>
      <c r="AN593" s="181"/>
      <c r="AO593" s="370"/>
      <c r="AP593" s="370"/>
      <c r="AQ593" s="370"/>
      <c r="AR593" s="370"/>
      <c r="AS593" s="370"/>
    </row>
    <row r="594">
      <c r="A594" s="395"/>
      <c r="B594" s="387"/>
      <c r="C594" s="181"/>
      <c r="D594" s="181"/>
      <c r="E594" s="181"/>
      <c r="F594" s="395"/>
      <c r="G594" s="387"/>
      <c r="H594" s="181"/>
      <c r="I594" s="181"/>
      <c r="J594" s="181"/>
      <c r="K594" s="88"/>
      <c r="L594" s="387"/>
      <c r="M594" s="181"/>
      <c r="N594" s="181"/>
      <c r="O594" s="181"/>
      <c r="P594" s="88"/>
      <c r="Q594" s="155"/>
      <c r="R594" s="181"/>
      <c r="S594" s="181"/>
      <c r="T594" s="181"/>
      <c r="U594" s="395"/>
      <c r="V594" s="387"/>
      <c r="W594" s="181"/>
      <c r="X594" s="181"/>
      <c r="Y594" s="181"/>
      <c r="Z594" s="395"/>
      <c r="AA594" s="387"/>
      <c r="AB594" s="181"/>
      <c r="AC594" s="181"/>
      <c r="AD594" s="181"/>
      <c r="AE594" s="395"/>
      <c r="AF594" s="387"/>
      <c r="AG594" s="181"/>
      <c r="AH594" s="181"/>
      <c r="AI594" s="181"/>
      <c r="AJ594" s="395"/>
      <c r="AK594" s="387"/>
      <c r="AL594" s="181"/>
      <c r="AM594" s="181"/>
      <c r="AN594" s="181"/>
      <c r="AO594" s="370"/>
      <c r="AP594" s="370"/>
      <c r="AQ594" s="370"/>
      <c r="AR594" s="370"/>
      <c r="AS594" s="370"/>
    </row>
    <row r="595">
      <c r="A595" s="395"/>
      <c r="B595" s="387"/>
      <c r="C595" s="181"/>
      <c r="D595" s="181"/>
      <c r="E595" s="181"/>
      <c r="F595" s="395"/>
      <c r="G595" s="387"/>
      <c r="H595" s="181"/>
      <c r="I595" s="181"/>
      <c r="J595" s="181"/>
      <c r="K595" s="88"/>
      <c r="L595" s="387"/>
      <c r="M595" s="181"/>
      <c r="N595" s="181"/>
      <c r="O595" s="181"/>
      <c r="P595" s="88"/>
      <c r="Q595" s="155"/>
      <c r="R595" s="181"/>
      <c r="S595" s="181"/>
      <c r="T595" s="181"/>
      <c r="U595" s="395"/>
      <c r="V595" s="387"/>
      <c r="W595" s="181"/>
      <c r="X595" s="181"/>
      <c r="Y595" s="181"/>
      <c r="Z595" s="395"/>
      <c r="AA595" s="387"/>
      <c r="AB595" s="181"/>
      <c r="AC595" s="181"/>
      <c r="AD595" s="181"/>
      <c r="AE595" s="395"/>
      <c r="AF595" s="387"/>
      <c r="AG595" s="181"/>
      <c r="AH595" s="181"/>
      <c r="AI595" s="181"/>
      <c r="AJ595" s="395"/>
      <c r="AK595" s="387"/>
      <c r="AL595" s="181"/>
      <c r="AM595" s="181"/>
      <c r="AN595" s="181"/>
      <c r="AO595" s="370"/>
      <c r="AP595" s="370"/>
      <c r="AQ595" s="370"/>
      <c r="AR595" s="370"/>
      <c r="AS595" s="370"/>
    </row>
    <row r="596">
      <c r="A596" s="395"/>
      <c r="B596" s="387"/>
      <c r="C596" s="181"/>
      <c r="D596" s="181"/>
      <c r="E596" s="181"/>
      <c r="F596" s="395"/>
      <c r="G596" s="387"/>
      <c r="H596" s="181"/>
      <c r="I596" s="181"/>
      <c r="J596" s="181"/>
      <c r="K596" s="88"/>
      <c r="L596" s="387"/>
      <c r="M596" s="181"/>
      <c r="N596" s="181"/>
      <c r="O596" s="181"/>
      <c r="P596" s="88"/>
      <c r="Q596" s="155"/>
      <c r="R596" s="181"/>
      <c r="S596" s="181"/>
      <c r="T596" s="181"/>
      <c r="U596" s="395"/>
      <c r="V596" s="387"/>
      <c r="W596" s="181"/>
      <c r="X596" s="181"/>
      <c r="Y596" s="181"/>
      <c r="Z596" s="395"/>
      <c r="AA596" s="387"/>
      <c r="AB596" s="181"/>
      <c r="AC596" s="181"/>
      <c r="AD596" s="181"/>
      <c r="AE596" s="395"/>
      <c r="AF596" s="387"/>
      <c r="AG596" s="181"/>
      <c r="AH596" s="181"/>
      <c r="AI596" s="181"/>
      <c r="AJ596" s="395"/>
      <c r="AK596" s="387"/>
      <c r="AL596" s="181"/>
      <c r="AM596" s="181"/>
      <c r="AN596" s="181"/>
      <c r="AO596" s="370"/>
      <c r="AP596" s="370"/>
      <c r="AQ596" s="370"/>
      <c r="AR596" s="370"/>
      <c r="AS596" s="370"/>
    </row>
    <row r="597">
      <c r="A597" s="395"/>
      <c r="B597" s="387"/>
      <c r="C597" s="181"/>
      <c r="D597" s="181"/>
      <c r="E597" s="181"/>
      <c r="F597" s="395"/>
      <c r="G597" s="387"/>
      <c r="H597" s="181"/>
      <c r="I597" s="181"/>
      <c r="J597" s="181"/>
      <c r="K597" s="88"/>
      <c r="L597" s="387"/>
      <c r="M597" s="181"/>
      <c r="N597" s="181"/>
      <c r="O597" s="181"/>
      <c r="P597" s="88"/>
      <c r="Q597" s="155"/>
      <c r="R597" s="181"/>
      <c r="S597" s="181"/>
      <c r="T597" s="181"/>
      <c r="U597" s="395"/>
      <c r="V597" s="387"/>
      <c r="W597" s="181"/>
      <c r="X597" s="181"/>
      <c r="Y597" s="181"/>
      <c r="Z597" s="395"/>
      <c r="AA597" s="387"/>
      <c r="AB597" s="181"/>
      <c r="AC597" s="181"/>
      <c r="AD597" s="181"/>
      <c r="AE597" s="395"/>
      <c r="AF597" s="387"/>
      <c r="AG597" s="181"/>
      <c r="AH597" s="181"/>
      <c r="AI597" s="181"/>
      <c r="AJ597" s="395"/>
      <c r="AK597" s="387"/>
      <c r="AL597" s="181"/>
      <c r="AM597" s="181"/>
      <c r="AN597" s="181"/>
      <c r="AO597" s="370"/>
      <c r="AP597" s="370"/>
      <c r="AQ597" s="370"/>
      <c r="AR597" s="370"/>
      <c r="AS597" s="370"/>
    </row>
    <row r="598">
      <c r="A598" s="395"/>
      <c r="B598" s="387"/>
      <c r="C598" s="181"/>
      <c r="D598" s="181"/>
      <c r="E598" s="181"/>
      <c r="F598" s="395"/>
      <c r="G598" s="387"/>
      <c r="H598" s="181"/>
      <c r="I598" s="181"/>
      <c r="J598" s="181"/>
      <c r="K598" s="88"/>
      <c r="L598" s="387"/>
      <c r="M598" s="181"/>
      <c r="N598" s="181"/>
      <c r="O598" s="181"/>
      <c r="P598" s="88"/>
      <c r="Q598" s="155"/>
      <c r="R598" s="181"/>
      <c r="S598" s="181"/>
      <c r="T598" s="181"/>
      <c r="U598" s="395"/>
      <c r="V598" s="387"/>
      <c r="W598" s="181"/>
      <c r="X598" s="181"/>
      <c r="Y598" s="181"/>
      <c r="Z598" s="395"/>
      <c r="AA598" s="387"/>
      <c r="AB598" s="181"/>
      <c r="AC598" s="181"/>
      <c r="AD598" s="181"/>
      <c r="AE598" s="395"/>
      <c r="AF598" s="387"/>
      <c r="AG598" s="181"/>
      <c r="AH598" s="181"/>
      <c r="AI598" s="181"/>
      <c r="AJ598" s="395"/>
      <c r="AK598" s="387"/>
      <c r="AL598" s="181"/>
      <c r="AM598" s="181"/>
      <c r="AN598" s="181"/>
      <c r="AO598" s="370"/>
      <c r="AP598" s="370"/>
      <c r="AQ598" s="370"/>
      <c r="AR598" s="370"/>
      <c r="AS598" s="370"/>
    </row>
    <row r="599">
      <c r="A599" s="395"/>
      <c r="B599" s="387"/>
      <c r="C599" s="181"/>
      <c r="D599" s="181"/>
      <c r="E599" s="181"/>
      <c r="F599" s="395"/>
      <c r="G599" s="387"/>
      <c r="H599" s="181"/>
      <c r="I599" s="181"/>
      <c r="J599" s="181"/>
      <c r="K599" s="88"/>
      <c r="L599" s="387"/>
      <c r="M599" s="181"/>
      <c r="N599" s="181"/>
      <c r="O599" s="181"/>
      <c r="P599" s="88"/>
      <c r="Q599" s="155"/>
      <c r="R599" s="181"/>
      <c r="S599" s="181"/>
      <c r="T599" s="181"/>
      <c r="U599" s="395"/>
      <c r="V599" s="387"/>
      <c r="W599" s="181"/>
      <c r="X599" s="181"/>
      <c r="Y599" s="181"/>
      <c r="Z599" s="395"/>
      <c r="AA599" s="387"/>
      <c r="AB599" s="181"/>
      <c r="AC599" s="181"/>
      <c r="AD599" s="181"/>
      <c r="AE599" s="395"/>
      <c r="AF599" s="387"/>
      <c r="AG599" s="181"/>
      <c r="AH599" s="181"/>
      <c r="AI599" s="181"/>
      <c r="AJ599" s="395"/>
      <c r="AK599" s="387"/>
      <c r="AL599" s="181"/>
      <c r="AM599" s="181"/>
      <c r="AN599" s="181"/>
      <c r="AO599" s="370"/>
      <c r="AP599" s="370"/>
      <c r="AQ599" s="370"/>
      <c r="AR599" s="370"/>
      <c r="AS599" s="370"/>
    </row>
    <row r="600">
      <c r="A600" s="395"/>
      <c r="B600" s="387"/>
      <c r="C600" s="181"/>
      <c r="D600" s="181"/>
      <c r="E600" s="181"/>
      <c r="F600" s="395"/>
      <c r="G600" s="387"/>
      <c r="H600" s="181"/>
      <c r="I600" s="181"/>
      <c r="J600" s="181"/>
      <c r="K600" s="88"/>
      <c r="L600" s="387"/>
      <c r="M600" s="181"/>
      <c r="N600" s="181"/>
      <c r="O600" s="181"/>
      <c r="P600" s="88"/>
      <c r="Q600" s="155"/>
      <c r="R600" s="181"/>
      <c r="S600" s="181"/>
      <c r="T600" s="181"/>
      <c r="U600" s="395"/>
      <c r="V600" s="387"/>
      <c r="W600" s="181"/>
      <c r="X600" s="181"/>
      <c r="Y600" s="181"/>
      <c r="Z600" s="395"/>
      <c r="AA600" s="387"/>
      <c r="AB600" s="181"/>
      <c r="AC600" s="181"/>
      <c r="AD600" s="181"/>
      <c r="AE600" s="395"/>
      <c r="AF600" s="387"/>
      <c r="AG600" s="181"/>
      <c r="AH600" s="181"/>
      <c r="AI600" s="181"/>
      <c r="AJ600" s="395"/>
      <c r="AK600" s="387"/>
      <c r="AL600" s="181"/>
      <c r="AM600" s="181"/>
      <c r="AN600" s="181"/>
      <c r="AO600" s="370"/>
      <c r="AP600" s="370"/>
      <c r="AQ600" s="370"/>
      <c r="AR600" s="370"/>
      <c r="AS600" s="370"/>
    </row>
    <row r="601">
      <c r="A601" s="395"/>
      <c r="B601" s="387"/>
      <c r="C601" s="181"/>
      <c r="D601" s="181"/>
      <c r="E601" s="181"/>
      <c r="F601" s="395"/>
      <c r="G601" s="387"/>
      <c r="H601" s="181"/>
      <c r="I601" s="181"/>
      <c r="J601" s="181"/>
      <c r="K601" s="88"/>
      <c r="L601" s="387"/>
      <c r="M601" s="181"/>
      <c r="N601" s="181"/>
      <c r="O601" s="181"/>
      <c r="P601" s="88"/>
      <c r="Q601" s="155"/>
      <c r="R601" s="181"/>
      <c r="S601" s="181"/>
      <c r="T601" s="181"/>
      <c r="U601" s="395"/>
      <c r="V601" s="387"/>
      <c r="W601" s="181"/>
      <c r="X601" s="181"/>
      <c r="Y601" s="181"/>
      <c r="Z601" s="395"/>
      <c r="AA601" s="387"/>
      <c r="AB601" s="181"/>
      <c r="AC601" s="181"/>
      <c r="AD601" s="181"/>
      <c r="AE601" s="395"/>
      <c r="AF601" s="387"/>
      <c r="AG601" s="181"/>
      <c r="AH601" s="181"/>
      <c r="AI601" s="181"/>
      <c r="AJ601" s="395"/>
      <c r="AK601" s="387"/>
      <c r="AL601" s="181"/>
      <c r="AM601" s="181"/>
      <c r="AN601" s="181"/>
      <c r="AO601" s="370"/>
      <c r="AP601" s="370"/>
      <c r="AQ601" s="370"/>
      <c r="AR601" s="370"/>
      <c r="AS601" s="370"/>
    </row>
    <row r="602">
      <c r="A602" s="395"/>
      <c r="B602" s="387"/>
      <c r="C602" s="181"/>
      <c r="D602" s="181"/>
      <c r="E602" s="181"/>
      <c r="F602" s="395"/>
      <c r="G602" s="387"/>
      <c r="H602" s="181"/>
      <c r="I602" s="181"/>
      <c r="J602" s="181"/>
      <c r="K602" s="88"/>
      <c r="L602" s="387"/>
      <c r="M602" s="181"/>
      <c r="N602" s="181"/>
      <c r="O602" s="181"/>
      <c r="P602" s="88"/>
      <c r="Q602" s="155"/>
      <c r="R602" s="181"/>
      <c r="S602" s="181"/>
      <c r="T602" s="181"/>
      <c r="U602" s="395"/>
      <c r="V602" s="387"/>
      <c r="W602" s="181"/>
      <c r="X602" s="181"/>
      <c r="Y602" s="181"/>
      <c r="Z602" s="395"/>
      <c r="AA602" s="387"/>
      <c r="AB602" s="181"/>
      <c r="AC602" s="181"/>
      <c r="AD602" s="181"/>
      <c r="AE602" s="395"/>
      <c r="AF602" s="387"/>
      <c r="AG602" s="181"/>
      <c r="AH602" s="181"/>
      <c r="AI602" s="181"/>
      <c r="AJ602" s="395"/>
      <c r="AK602" s="387"/>
      <c r="AL602" s="181"/>
      <c r="AM602" s="181"/>
      <c r="AN602" s="181"/>
      <c r="AO602" s="370"/>
      <c r="AP602" s="370"/>
      <c r="AQ602" s="370"/>
      <c r="AR602" s="370"/>
      <c r="AS602" s="370"/>
    </row>
    <row r="603">
      <c r="A603" s="395"/>
      <c r="B603" s="387"/>
      <c r="C603" s="181"/>
      <c r="D603" s="181"/>
      <c r="E603" s="181"/>
      <c r="F603" s="395"/>
      <c r="G603" s="387"/>
      <c r="H603" s="181"/>
      <c r="I603" s="181"/>
      <c r="J603" s="181"/>
      <c r="K603" s="88"/>
      <c r="L603" s="387"/>
      <c r="M603" s="181"/>
      <c r="N603" s="181"/>
      <c r="O603" s="181"/>
      <c r="P603" s="88"/>
      <c r="Q603" s="155"/>
      <c r="R603" s="181"/>
      <c r="S603" s="181"/>
      <c r="T603" s="181"/>
      <c r="U603" s="395"/>
      <c r="V603" s="387"/>
      <c r="W603" s="181"/>
      <c r="X603" s="181"/>
      <c r="Y603" s="181"/>
      <c r="Z603" s="395"/>
      <c r="AA603" s="387"/>
      <c r="AB603" s="181"/>
      <c r="AC603" s="181"/>
      <c r="AD603" s="181"/>
      <c r="AE603" s="395"/>
      <c r="AF603" s="387"/>
      <c r="AG603" s="181"/>
      <c r="AH603" s="181"/>
      <c r="AI603" s="181"/>
      <c r="AJ603" s="395"/>
      <c r="AK603" s="387"/>
      <c r="AL603" s="181"/>
      <c r="AM603" s="181"/>
      <c r="AN603" s="181"/>
      <c r="AO603" s="370"/>
      <c r="AP603" s="370"/>
      <c r="AQ603" s="370"/>
      <c r="AR603" s="370"/>
      <c r="AS603" s="370"/>
    </row>
    <row r="604">
      <c r="A604" s="395"/>
      <c r="B604" s="387"/>
      <c r="C604" s="181"/>
      <c r="D604" s="181"/>
      <c r="E604" s="181"/>
      <c r="F604" s="395"/>
      <c r="G604" s="387"/>
      <c r="H604" s="181"/>
      <c r="I604" s="181"/>
      <c r="J604" s="181"/>
      <c r="K604" s="88"/>
      <c r="L604" s="387"/>
      <c r="M604" s="181"/>
      <c r="N604" s="181"/>
      <c r="O604" s="181"/>
      <c r="P604" s="88"/>
      <c r="Q604" s="155"/>
      <c r="R604" s="181"/>
      <c r="S604" s="181"/>
      <c r="T604" s="181"/>
      <c r="U604" s="395"/>
      <c r="V604" s="387"/>
      <c r="W604" s="181"/>
      <c r="X604" s="181"/>
      <c r="Y604" s="181"/>
      <c r="Z604" s="395"/>
      <c r="AA604" s="387"/>
      <c r="AB604" s="181"/>
      <c r="AC604" s="181"/>
      <c r="AD604" s="181"/>
      <c r="AE604" s="395"/>
      <c r="AF604" s="387"/>
      <c r="AG604" s="181"/>
      <c r="AH604" s="181"/>
      <c r="AI604" s="181"/>
      <c r="AJ604" s="395"/>
      <c r="AK604" s="387"/>
      <c r="AL604" s="181"/>
      <c r="AM604" s="181"/>
      <c r="AN604" s="181"/>
      <c r="AO604" s="370"/>
      <c r="AP604" s="370"/>
      <c r="AQ604" s="370"/>
      <c r="AR604" s="370"/>
      <c r="AS604" s="370"/>
    </row>
    <row r="605">
      <c r="A605" s="395"/>
      <c r="B605" s="387"/>
      <c r="C605" s="181"/>
      <c r="D605" s="181"/>
      <c r="E605" s="181"/>
      <c r="F605" s="395"/>
      <c r="G605" s="387"/>
      <c r="H605" s="181"/>
      <c r="I605" s="181"/>
      <c r="J605" s="181"/>
      <c r="K605" s="88"/>
      <c r="L605" s="387"/>
      <c r="M605" s="181"/>
      <c r="N605" s="181"/>
      <c r="O605" s="181"/>
      <c r="P605" s="88"/>
      <c r="Q605" s="155"/>
      <c r="R605" s="181"/>
      <c r="S605" s="181"/>
      <c r="T605" s="181"/>
      <c r="U605" s="395"/>
      <c r="V605" s="387"/>
      <c r="W605" s="181"/>
      <c r="X605" s="181"/>
      <c r="Y605" s="181"/>
      <c r="Z605" s="395"/>
      <c r="AA605" s="387"/>
      <c r="AB605" s="181"/>
      <c r="AC605" s="181"/>
      <c r="AD605" s="181"/>
      <c r="AE605" s="395"/>
      <c r="AF605" s="387"/>
      <c r="AG605" s="181"/>
      <c r="AH605" s="181"/>
      <c r="AI605" s="181"/>
      <c r="AJ605" s="395"/>
      <c r="AK605" s="387"/>
      <c r="AL605" s="181"/>
      <c r="AM605" s="181"/>
      <c r="AN605" s="181"/>
      <c r="AO605" s="370"/>
      <c r="AP605" s="370"/>
      <c r="AQ605" s="370"/>
      <c r="AR605" s="370"/>
      <c r="AS605" s="370"/>
    </row>
    <row r="606">
      <c r="A606" s="395"/>
      <c r="B606" s="387"/>
      <c r="C606" s="181"/>
      <c r="D606" s="181"/>
      <c r="E606" s="181"/>
      <c r="F606" s="395"/>
      <c r="G606" s="387"/>
      <c r="H606" s="181"/>
      <c r="I606" s="181"/>
      <c r="J606" s="181"/>
      <c r="K606" s="88"/>
      <c r="L606" s="387"/>
      <c r="M606" s="181"/>
      <c r="N606" s="181"/>
      <c r="O606" s="181"/>
      <c r="P606" s="88"/>
      <c r="Q606" s="155"/>
      <c r="R606" s="181"/>
      <c r="S606" s="181"/>
      <c r="T606" s="181"/>
      <c r="U606" s="395"/>
      <c r="V606" s="387"/>
      <c r="W606" s="181"/>
      <c r="X606" s="181"/>
      <c r="Y606" s="181"/>
      <c r="Z606" s="395"/>
      <c r="AA606" s="387"/>
      <c r="AB606" s="181"/>
      <c r="AC606" s="181"/>
      <c r="AD606" s="181"/>
      <c r="AE606" s="395"/>
      <c r="AF606" s="387"/>
      <c r="AG606" s="181"/>
      <c r="AH606" s="181"/>
      <c r="AI606" s="181"/>
      <c r="AJ606" s="395"/>
      <c r="AK606" s="387"/>
      <c r="AL606" s="181"/>
      <c r="AM606" s="181"/>
      <c r="AN606" s="181"/>
      <c r="AO606" s="370"/>
      <c r="AP606" s="370"/>
      <c r="AQ606" s="370"/>
      <c r="AR606" s="370"/>
      <c r="AS606" s="370"/>
    </row>
    <row r="607">
      <c r="A607" s="395"/>
      <c r="B607" s="387"/>
      <c r="C607" s="181"/>
      <c r="D607" s="181"/>
      <c r="E607" s="181"/>
      <c r="F607" s="395"/>
      <c r="G607" s="387"/>
      <c r="H607" s="181"/>
      <c r="I607" s="181"/>
      <c r="J607" s="181"/>
      <c r="K607" s="88"/>
      <c r="L607" s="387"/>
      <c r="M607" s="181"/>
      <c r="N607" s="181"/>
      <c r="O607" s="181"/>
      <c r="P607" s="88"/>
      <c r="Q607" s="155"/>
      <c r="R607" s="181"/>
      <c r="S607" s="181"/>
      <c r="T607" s="181"/>
      <c r="U607" s="395"/>
      <c r="V607" s="387"/>
      <c r="W607" s="181"/>
      <c r="X607" s="181"/>
      <c r="Y607" s="181"/>
      <c r="Z607" s="395"/>
      <c r="AA607" s="387"/>
      <c r="AB607" s="181"/>
      <c r="AC607" s="181"/>
      <c r="AD607" s="181"/>
      <c r="AE607" s="395"/>
      <c r="AF607" s="387"/>
      <c r="AG607" s="181"/>
      <c r="AH607" s="181"/>
      <c r="AI607" s="181"/>
      <c r="AJ607" s="395"/>
      <c r="AK607" s="387"/>
      <c r="AL607" s="181"/>
      <c r="AM607" s="181"/>
      <c r="AN607" s="181"/>
      <c r="AO607" s="370"/>
      <c r="AP607" s="370"/>
      <c r="AQ607" s="370"/>
      <c r="AR607" s="370"/>
      <c r="AS607" s="370"/>
    </row>
    <row r="608">
      <c r="A608" s="395"/>
      <c r="B608" s="387"/>
      <c r="C608" s="181"/>
      <c r="D608" s="181"/>
      <c r="E608" s="181"/>
      <c r="F608" s="395"/>
      <c r="G608" s="387"/>
      <c r="H608" s="181"/>
      <c r="I608" s="181"/>
      <c r="J608" s="181"/>
      <c r="K608" s="88"/>
      <c r="L608" s="387"/>
      <c r="M608" s="181"/>
      <c r="N608" s="181"/>
      <c r="O608" s="181"/>
      <c r="P608" s="88"/>
      <c r="Q608" s="155"/>
      <c r="R608" s="181"/>
      <c r="S608" s="181"/>
      <c r="T608" s="181"/>
      <c r="U608" s="395"/>
      <c r="V608" s="387"/>
      <c r="W608" s="181"/>
      <c r="X608" s="181"/>
      <c r="Y608" s="181"/>
      <c r="Z608" s="395"/>
      <c r="AA608" s="387"/>
      <c r="AB608" s="181"/>
      <c r="AC608" s="181"/>
      <c r="AD608" s="181"/>
      <c r="AE608" s="395"/>
      <c r="AF608" s="387"/>
      <c r="AG608" s="181"/>
      <c r="AH608" s="181"/>
      <c r="AI608" s="181"/>
      <c r="AJ608" s="395"/>
      <c r="AK608" s="387"/>
      <c r="AL608" s="181"/>
      <c r="AM608" s="181"/>
      <c r="AN608" s="181"/>
      <c r="AO608" s="370"/>
      <c r="AP608" s="370"/>
      <c r="AQ608" s="370"/>
      <c r="AR608" s="370"/>
      <c r="AS608" s="370"/>
    </row>
    <row r="609">
      <c r="A609" s="395"/>
      <c r="B609" s="387"/>
      <c r="C609" s="181"/>
      <c r="D609" s="181"/>
      <c r="E609" s="181"/>
      <c r="F609" s="395"/>
      <c r="G609" s="387"/>
      <c r="H609" s="181"/>
      <c r="I609" s="181"/>
      <c r="J609" s="181"/>
      <c r="K609" s="88"/>
      <c r="L609" s="387"/>
      <c r="M609" s="181"/>
      <c r="N609" s="181"/>
      <c r="O609" s="181"/>
      <c r="P609" s="88"/>
      <c r="Q609" s="155"/>
      <c r="R609" s="181"/>
      <c r="S609" s="181"/>
      <c r="T609" s="181"/>
      <c r="U609" s="395"/>
      <c r="V609" s="387"/>
      <c r="W609" s="181"/>
      <c r="X609" s="181"/>
      <c r="Y609" s="181"/>
      <c r="Z609" s="395"/>
      <c r="AA609" s="387"/>
      <c r="AB609" s="181"/>
      <c r="AC609" s="181"/>
      <c r="AD609" s="181"/>
      <c r="AE609" s="395"/>
      <c r="AF609" s="387"/>
      <c r="AG609" s="181"/>
      <c r="AH609" s="181"/>
      <c r="AI609" s="181"/>
      <c r="AJ609" s="395"/>
      <c r="AK609" s="387"/>
      <c r="AL609" s="181"/>
      <c r="AM609" s="181"/>
      <c r="AN609" s="181"/>
      <c r="AO609" s="370"/>
      <c r="AP609" s="370"/>
      <c r="AQ609" s="370"/>
      <c r="AR609" s="370"/>
      <c r="AS609" s="370"/>
    </row>
    <row r="610">
      <c r="A610" s="395"/>
      <c r="B610" s="387"/>
      <c r="C610" s="181"/>
      <c r="D610" s="181"/>
      <c r="E610" s="181"/>
      <c r="F610" s="395"/>
      <c r="G610" s="387"/>
      <c r="H610" s="181"/>
      <c r="I610" s="181"/>
      <c r="J610" s="181"/>
      <c r="K610" s="88"/>
      <c r="L610" s="387"/>
      <c r="M610" s="181"/>
      <c r="N610" s="181"/>
      <c r="O610" s="181"/>
      <c r="P610" s="88"/>
      <c r="Q610" s="155"/>
      <c r="R610" s="181"/>
      <c r="S610" s="181"/>
      <c r="T610" s="181"/>
      <c r="U610" s="395"/>
      <c r="V610" s="387"/>
      <c r="W610" s="181"/>
      <c r="X610" s="181"/>
      <c r="Y610" s="181"/>
      <c r="Z610" s="395"/>
      <c r="AA610" s="387"/>
      <c r="AB610" s="181"/>
      <c r="AC610" s="181"/>
      <c r="AD610" s="181"/>
      <c r="AE610" s="395"/>
      <c r="AF610" s="387"/>
      <c r="AG610" s="181"/>
      <c r="AH610" s="181"/>
      <c r="AI610" s="181"/>
      <c r="AJ610" s="395"/>
      <c r="AK610" s="387"/>
      <c r="AL610" s="181"/>
      <c r="AM610" s="181"/>
      <c r="AN610" s="181"/>
      <c r="AO610" s="370"/>
      <c r="AP610" s="370"/>
      <c r="AQ610" s="370"/>
      <c r="AR610" s="370"/>
      <c r="AS610" s="370"/>
    </row>
    <row r="611">
      <c r="A611" s="395"/>
      <c r="B611" s="387"/>
      <c r="C611" s="181"/>
      <c r="D611" s="181"/>
      <c r="E611" s="181"/>
      <c r="F611" s="395"/>
      <c r="G611" s="387"/>
      <c r="H611" s="181"/>
      <c r="I611" s="181"/>
      <c r="J611" s="181"/>
      <c r="K611" s="88"/>
      <c r="L611" s="387"/>
      <c r="M611" s="181"/>
      <c r="N611" s="181"/>
      <c r="O611" s="181"/>
      <c r="P611" s="88"/>
      <c r="Q611" s="155"/>
      <c r="R611" s="181"/>
      <c r="S611" s="181"/>
      <c r="T611" s="181"/>
      <c r="U611" s="395"/>
      <c r="V611" s="387"/>
      <c r="W611" s="181"/>
      <c r="X611" s="181"/>
      <c r="Y611" s="181"/>
      <c r="Z611" s="395"/>
      <c r="AA611" s="387"/>
      <c r="AB611" s="181"/>
      <c r="AC611" s="181"/>
      <c r="AD611" s="181"/>
      <c r="AE611" s="395"/>
      <c r="AF611" s="387"/>
      <c r="AG611" s="181"/>
      <c r="AH611" s="181"/>
      <c r="AI611" s="181"/>
      <c r="AJ611" s="395"/>
      <c r="AK611" s="387"/>
      <c r="AL611" s="181"/>
      <c r="AM611" s="181"/>
      <c r="AN611" s="181"/>
      <c r="AO611" s="370"/>
      <c r="AP611" s="370"/>
      <c r="AQ611" s="370"/>
      <c r="AR611" s="370"/>
      <c r="AS611" s="370"/>
    </row>
    <row r="612">
      <c r="A612" s="395"/>
      <c r="B612" s="387"/>
      <c r="C612" s="181"/>
      <c r="D612" s="181"/>
      <c r="E612" s="181"/>
      <c r="F612" s="395"/>
      <c r="G612" s="387"/>
      <c r="H612" s="181"/>
      <c r="I612" s="181"/>
      <c r="J612" s="181"/>
      <c r="K612" s="88"/>
      <c r="L612" s="387"/>
      <c r="M612" s="181"/>
      <c r="N612" s="181"/>
      <c r="O612" s="181"/>
      <c r="P612" s="88"/>
      <c r="Q612" s="155"/>
      <c r="R612" s="181"/>
      <c r="S612" s="181"/>
      <c r="T612" s="181"/>
      <c r="U612" s="395"/>
      <c r="V612" s="387"/>
      <c r="W612" s="181"/>
      <c r="X612" s="181"/>
      <c r="Y612" s="181"/>
      <c r="Z612" s="395"/>
      <c r="AA612" s="387"/>
      <c r="AB612" s="181"/>
      <c r="AC612" s="181"/>
      <c r="AD612" s="181"/>
      <c r="AE612" s="395"/>
      <c r="AF612" s="387"/>
      <c r="AG612" s="181"/>
      <c r="AH612" s="181"/>
      <c r="AI612" s="181"/>
      <c r="AJ612" s="395"/>
      <c r="AK612" s="387"/>
      <c r="AL612" s="181"/>
      <c r="AM612" s="181"/>
      <c r="AN612" s="181"/>
      <c r="AO612" s="370"/>
      <c r="AP612" s="370"/>
      <c r="AQ612" s="370"/>
      <c r="AR612" s="370"/>
      <c r="AS612" s="370"/>
    </row>
    <row r="613">
      <c r="A613" s="395"/>
      <c r="B613" s="387"/>
      <c r="C613" s="181"/>
      <c r="D613" s="181"/>
      <c r="E613" s="181"/>
      <c r="F613" s="395"/>
      <c r="G613" s="387"/>
      <c r="H613" s="181"/>
      <c r="I613" s="181"/>
      <c r="J613" s="181"/>
      <c r="K613" s="88"/>
      <c r="L613" s="387"/>
      <c r="M613" s="181"/>
      <c r="N613" s="181"/>
      <c r="O613" s="181"/>
      <c r="P613" s="88"/>
      <c r="Q613" s="155"/>
      <c r="R613" s="181"/>
      <c r="S613" s="181"/>
      <c r="T613" s="181"/>
      <c r="U613" s="395"/>
      <c r="V613" s="387"/>
      <c r="W613" s="181"/>
      <c r="X613" s="181"/>
      <c r="Y613" s="181"/>
      <c r="Z613" s="395"/>
      <c r="AA613" s="387"/>
      <c r="AB613" s="181"/>
      <c r="AC613" s="181"/>
      <c r="AD613" s="181"/>
      <c r="AE613" s="395"/>
      <c r="AF613" s="387"/>
      <c r="AG613" s="181"/>
      <c r="AH613" s="181"/>
      <c r="AI613" s="181"/>
      <c r="AJ613" s="395"/>
      <c r="AK613" s="387"/>
      <c r="AL613" s="181"/>
      <c r="AM613" s="181"/>
      <c r="AN613" s="181"/>
      <c r="AO613" s="370"/>
      <c r="AP613" s="370"/>
      <c r="AQ613" s="370"/>
      <c r="AR613" s="370"/>
      <c r="AS613" s="370"/>
    </row>
    <row r="614">
      <c r="A614" s="395"/>
      <c r="B614" s="387"/>
      <c r="C614" s="181"/>
      <c r="D614" s="181"/>
      <c r="E614" s="181"/>
      <c r="F614" s="395"/>
      <c r="G614" s="387"/>
      <c r="H614" s="181"/>
      <c r="I614" s="181"/>
      <c r="J614" s="181"/>
      <c r="K614" s="88"/>
      <c r="L614" s="387"/>
      <c r="M614" s="181"/>
      <c r="N614" s="181"/>
      <c r="O614" s="181"/>
      <c r="P614" s="88"/>
      <c r="Q614" s="155"/>
      <c r="R614" s="181"/>
      <c r="S614" s="181"/>
      <c r="T614" s="181"/>
      <c r="U614" s="395"/>
      <c r="V614" s="387"/>
      <c r="W614" s="181"/>
      <c r="X614" s="181"/>
      <c r="Y614" s="181"/>
      <c r="Z614" s="395"/>
      <c r="AA614" s="387"/>
      <c r="AB614" s="181"/>
      <c r="AC614" s="181"/>
      <c r="AD614" s="181"/>
      <c r="AE614" s="395"/>
      <c r="AF614" s="387"/>
      <c r="AG614" s="181"/>
      <c r="AH614" s="181"/>
      <c r="AI614" s="181"/>
      <c r="AJ614" s="395"/>
      <c r="AK614" s="387"/>
      <c r="AL614" s="181"/>
      <c r="AM614" s="181"/>
      <c r="AN614" s="181"/>
      <c r="AO614" s="370"/>
      <c r="AP614" s="370"/>
      <c r="AQ614" s="370"/>
      <c r="AR614" s="370"/>
      <c r="AS614" s="370"/>
    </row>
    <row r="615">
      <c r="A615" s="395"/>
      <c r="B615" s="387"/>
      <c r="C615" s="181"/>
      <c r="D615" s="181"/>
      <c r="E615" s="181"/>
      <c r="F615" s="395"/>
      <c r="G615" s="387"/>
      <c r="H615" s="181"/>
      <c r="I615" s="181"/>
      <c r="J615" s="181"/>
      <c r="K615" s="88"/>
      <c r="L615" s="387"/>
      <c r="M615" s="181"/>
      <c r="N615" s="181"/>
      <c r="O615" s="181"/>
      <c r="P615" s="88"/>
      <c r="Q615" s="155"/>
      <c r="R615" s="181"/>
      <c r="S615" s="181"/>
      <c r="T615" s="181"/>
      <c r="U615" s="395"/>
      <c r="V615" s="387"/>
      <c r="W615" s="181"/>
      <c r="X615" s="181"/>
      <c r="Y615" s="181"/>
      <c r="Z615" s="395"/>
      <c r="AA615" s="387"/>
      <c r="AB615" s="181"/>
      <c r="AC615" s="181"/>
      <c r="AD615" s="181"/>
      <c r="AE615" s="395"/>
      <c r="AF615" s="387"/>
      <c r="AG615" s="181"/>
      <c r="AH615" s="181"/>
      <c r="AI615" s="181"/>
      <c r="AJ615" s="395"/>
      <c r="AK615" s="387"/>
      <c r="AL615" s="181"/>
      <c r="AM615" s="181"/>
      <c r="AN615" s="181"/>
      <c r="AO615" s="370"/>
      <c r="AP615" s="370"/>
      <c r="AQ615" s="370"/>
      <c r="AR615" s="370"/>
      <c r="AS615" s="370"/>
    </row>
    <row r="616">
      <c r="A616" s="395"/>
      <c r="B616" s="387"/>
      <c r="C616" s="181"/>
      <c r="D616" s="181"/>
      <c r="E616" s="181"/>
      <c r="F616" s="395"/>
      <c r="G616" s="387"/>
      <c r="H616" s="181"/>
      <c r="I616" s="181"/>
      <c r="J616" s="181"/>
      <c r="K616" s="88"/>
      <c r="L616" s="387"/>
      <c r="M616" s="181"/>
      <c r="N616" s="181"/>
      <c r="O616" s="181"/>
      <c r="P616" s="88"/>
      <c r="Q616" s="155"/>
      <c r="R616" s="181"/>
      <c r="S616" s="181"/>
      <c r="T616" s="181"/>
      <c r="U616" s="395"/>
      <c r="V616" s="387"/>
      <c r="W616" s="181"/>
      <c r="X616" s="181"/>
      <c r="Y616" s="181"/>
      <c r="Z616" s="395"/>
      <c r="AA616" s="387"/>
      <c r="AB616" s="181"/>
      <c r="AC616" s="181"/>
      <c r="AD616" s="181"/>
      <c r="AE616" s="395"/>
      <c r="AF616" s="387"/>
      <c r="AG616" s="181"/>
      <c r="AH616" s="181"/>
      <c r="AI616" s="181"/>
      <c r="AJ616" s="395"/>
      <c r="AK616" s="387"/>
      <c r="AL616" s="181"/>
      <c r="AM616" s="181"/>
      <c r="AN616" s="181"/>
      <c r="AO616" s="370"/>
      <c r="AP616" s="370"/>
      <c r="AQ616" s="370"/>
      <c r="AR616" s="370"/>
      <c r="AS616" s="370"/>
    </row>
    <row r="617">
      <c r="A617" s="395"/>
      <c r="B617" s="387"/>
      <c r="C617" s="181"/>
      <c r="D617" s="181"/>
      <c r="E617" s="181"/>
      <c r="F617" s="395"/>
      <c r="G617" s="387"/>
      <c r="H617" s="181"/>
      <c r="I617" s="181"/>
      <c r="J617" s="181"/>
      <c r="K617" s="88"/>
      <c r="L617" s="387"/>
      <c r="M617" s="181"/>
      <c r="N617" s="181"/>
      <c r="O617" s="181"/>
      <c r="P617" s="88"/>
      <c r="Q617" s="155"/>
      <c r="R617" s="181"/>
      <c r="S617" s="181"/>
      <c r="T617" s="181"/>
      <c r="U617" s="395"/>
      <c r="V617" s="387"/>
      <c r="W617" s="181"/>
      <c r="X617" s="181"/>
      <c r="Y617" s="181"/>
      <c r="Z617" s="395"/>
      <c r="AA617" s="387"/>
      <c r="AB617" s="181"/>
      <c r="AC617" s="181"/>
      <c r="AD617" s="181"/>
      <c r="AE617" s="395"/>
      <c r="AF617" s="387"/>
      <c r="AG617" s="181"/>
      <c r="AH617" s="181"/>
      <c r="AI617" s="181"/>
      <c r="AJ617" s="395"/>
      <c r="AK617" s="387"/>
      <c r="AL617" s="181"/>
      <c r="AM617" s="181"/>
      <c r="AN617" s="181"/>
      <c r="AO617" s="370"/>
      <c r="AP617" s="370"/>
      <c r="AQ617" s="370"/>
      <c r="AR617" s="370"/>
      <c r="AS617" s="370"/>
    </row>
    <row r="618">
      <c r="A618" s="395"/>
      <c r="B618" s="387"/>
      <c r="C618" s="181"/>
      <c r="D618" s="181"/>
      <c r="E618" s="181"/>
      <c r="F618" s="395"/>
      <c r="G618" s="387"/>
      <c r="H618" s="181"/>
      <c r="I618" s="181"/>
      <c r="J618" s="181"/>
      <c r="K618" s="88"/>
      <c r="L618" s="387"/>
      <c r="M618" s="181"/>
      <c r="N618" s="181"/>
      <c r="O618" s="181"/>
      <c r="P618" s="88"/>
      <c r="Q618" s="155"/>
      <c r="R618" s="181"/>
      <c r="S618" s="181"/>
      <c r="T618" s="181"/>
      <c r="U618" s="395"/>
      <c r="V618" s="387"/>
      <c r="W618" s="181"/>
      <c r="X618" s="181"/>
      <c r="Y618" s="181"/>
      <c r="Z618" s="395"/>
      <c r="AA618" s="387"/>
      <c r="AB618" s="181"/>
      <c r="AC618" s="181"/>
      <c r="AD618" s="181"/>
      <c r="AE618" s="395"/>
      <c r="AF618" s="387"/>
      <c r="AG618" s="181"/>
      <c r="AH618" s="181"/>
      <c r="AI618" s="181"/>
      <c r="AJ618" s="395"/>
      <c r="AK618" s="387"/>
      <c r="AL618" s="181"/>
      <c r="AM618" s="181"/>
      <c r="AN618" s="181"/>
      <c r="AO618" s="370"/>
      <c r="AP618" s="370"/>
      <c r="AQ618" s="370"/>
      <c r="AR618" s="370"/>
      <c r="AS618" s="370"/>
    </row>
    <row r="619">
      <c r="A619" s="395"/>
      <c r="B619" s="387"/>
      <c r="C619" s="181"/>
      <c r="D619" s="181"/>
      <c r="E619" s="181"/>
      <c r="F619" s="395"/>
      <c r="G619" s="387"/>
      <c r="H619" s="181"/>
      <c r="I619" s="181"/>
      <c r="J619" s="181"/>
      <c r="K619" s="88"/>
      <c r="L619" s="387"/>
      <c r="M619" s="181"/>
      <c r="N619" s="181"/>
      <c r="O619" s="181"/>
      <c r="P619" s="88"/>
      <c r="Q619" s="155"/>
      <c r="R619" s="181"/>
      <c r="S619" s="181"/>
      <c r="T619" s="181"/>
      <c r="U619" s="395"/>
      <c r="V619" s="387"/>
      <c r="W619" s="181"/>
      <c r="X619" s="181"/>
      <c r="Y619" s="181"/>
      <c r="Z619" s="395"/>
      <c r="AA619" s="387"/>
      <c r="AB619" s="181"/>
      <c r="AC619" s="181"/>
      <c r="AD619" s="181"/>
      <c r="AE619" s="395"/>
      <c r="AF619" s="387"/>
      <c r="AG619" s="181"/>
      <c r="AH619" s="181"/>
      <c r="AI619" s="181"/>
      <c r="AJ619" s="395"/>
      <c r="AK619" s="387"/>
      <c r="AL619" s="181"/>
      <c r="AM619" s="181"/>
      <c r="AN619" s="181"/>
      <c r="AO619" s="370"/>
      <c r="AP619" s="370"/>
      <c r="AQ619" s="370"/>
      <c r="AR619" s="370"/>
      <c r="AS619" s="370"/>
    </row>
    <row r="620">
      <c r="A620" s="395"/>
      <c r="B620" s="387"/>
      <c r="C620" s="181"/>
      <c r="D620" s="181"/>
      <c r="E620" s="181"/>
      <c r="F620" s="395"/>
      <c r="G620" s="387"/>
      <c r="H620" s="181"/>
      <c r="I620" s="181"/>
      <c r="J620" s="181"/>
      <c r="K620" s="88"/>
      <c r="L620" s="387"/>
      <c r="M620" s="181"/>
      <c r="N620" s="181"/>
      <c r="O620" s="181"/>
      <c r="P620" s="88"/>
      <c r="Q620" s="155"/>
      <c r="R620" s="181"/>
      <c r="S620" s="181"/>
      <c r="T620" s="181"/>
      <c r="U620" s="395"/>
      <c r="V620" s="387"/>
      <c r="W620" s="181"/>
      <c r="X620" s="181"/>
      <c r="Y620" s="181"/>
      <c r="Z620" s="395"/>
      <c r="AA620" s="387"/>
      <c r="AB620" s="181"/>
      <c r="AC620" s="181"/>
      <c r="AD620" s="181"/>
      <c r="AE620" s="395"/>
      <c r="AF620" s="387"/>
      <c r="AG620" s="181"/>
      <c r="AH620" s="181"/>
      <c r="AI620" s="181"/>
      <c r="AJ620" s="395"/>
      <c r="AK620" s="387"/>
      <c r="AL620" s="181"/>
      <c r="AM620" s="181"/>
      <c r="AN620" s="181"/>
      <c r="AO620" s="370"/>
      <c r="AP620" s="370"/>
      <c r="AQ620" s="370"/>
      <c r="AR620" s="370"/>
      <c r="AS620" s="370"/>
    </row>
    <row r="621">
      <c r="A621" s="395"/>
      <c r="B621" s="387"/>
      <c r="C621" s="181"/>
      <c r="D621" s="181"/>
      <c r="E621" s="181"/>
      <c r="F621" s="395"/>
      <c r="G621" s="387"/>
      <c r="H621" s="181"/>
      <c r="I621" s="181"/>
      <c r="J621" s="181"/>
      <c r="K621" s="88"/>
      <c r="L621" s="387"/>
      <c r="M621" s="181"/>
      <c r="N621" s="181"/>
      <c r="O621" s="181"/>
      <c r="P621" s="88"/>
      <c r="Q621" s="155"/>
      <c r="R621" s="181"/>
      <c r="S621" s="181"/>
      <c r="T621" s="181"/>
      <c r="U621" s="395"/>
      <c r="V621" s="387"/>
      <c r="W621" s="181"/>
      <c r="X621" s="181"/>
      <c r="Y621" s="181"/>
      <c r="Z621" s="395"/>
      <c r="AA621" s="387"/>
      <c r="AB621" s="181"/>
      <c r="AC621" s="181"/>
      <c r="AD621" s="181"/>
      <c r="AE621" s="395"/>
      <c r="AF621" s="387"/>
      <c r="AG621" s="181"/>
      <c r="AH621" s="181"/>
      <c r="AI621" s="181"/>
      <c r="AJ621" s="395"/>
      <c r="AK621" s="387"/>
      <c r="AL621" s="181"/>
      <c r="AM621" s="181"/>
      <c r="AN621" s="181"/>
      <c r="AO621" s="370"/>
      <c r="AP621" s="370"/>
      <c r="AQ621" s="370"/>
      <c r="AR621" s="370"/>
      <c r="AS621" s="370"/>
    </row>
    <row r="622">
      <c r="A622" s="395"/>
      <c r="B622" s="387"/>
      <c r="C622" s="181"/>
      <c r="D622" s="181"/>
      <c r="E622" s="181"/>
      <c r="F622" s="395"/>
      <c r="G622" s="387"/>
      <c r="H622" s="181"/>
      <c r="I622" s="181"/>
      <c r="J622" s="181"/>
      <c r="K622" s="88"/>
      <c r="L622" s="387"/>
      <c r="M622" s="181"/>
      <c r="N622" s="181"/>
      <c r="O622" s="181"/>
      <c r="P622" s="88"/>
      <c r="Q622" s="155"/>
      <c r="R622" s="181"/>
      <c r="S622" s="181"/>
      <c r="T622" s="181"/>
      <c r="U622" s="395"/>
      <c r="V622" s="387"/>
      <c r="W622" s="181"/>
      <c r="X622" s="181"/>
      <c r="Y622" s="181"/>
      <c r="Z622" s="395"/>
      <c r="AA622" s="387"/>
      <c r="AB622" s="181"/>
      <c r="AC622" s="181"/>
      <c r="AD622" s="181"/>
      <c r="AE622" s="395"/>
      <c r="AF622" s="387"/>
      <c r="AG622" s="181"/>
      <c r="AH622" s="181"/>
      <c r="AI622" s="181"/>
      <c r="AJ622" s="395"/>
      <c r="AK622" s="387"/>
      <c r="AL622" s="181"/>
      <c r="AM622" s="181"/>
      <c r="AN622" s="181"/>
      <c r="AO622" s="370"/>
      <c r="AP622" s="370"/>
      <c r="AQ622" s="370"/>
      <c r="AR622" s="370"/>
      <c r="AS622" s="370"/>
    </row>
    <row r="623">
      <c r="A623" s="395"/>
      <c r="B623" s="387"/>
      <c r="C623" s="181"/>
      <c r="D623" s="181"/>
      <c r="E623" s="181"/>
      <c r="F623" s="395"/>
      <c r="G623" s="387"/>
      <c r="H623" s="181"/>
      <c r="I623" s="181"/>
      <c r="J623" s="181"/>
      <c r="K623" s="88"/>
      <c r="L623" s="387"/>
      <c r="M623" s="181"/>
      <c r="N623" s="181"/>
      <c r="O623" s="181"/>
      <c r="P623" s="88"/>
      <c r="Q623" s="155"/>
      <c r="R623" s="181"/>
      <c r="S623" s="181"/>
      <c r="T623" s="181"/>
      <c r="U623" s="395"/>
      <c r="V623" s="387"/>
      <c r="W623" s="181"/>
      <c r="X623" s="181"/>
      <c r="Y623" s="181"/>
      <c r="Z623" s="395"/>
      <c r="AA623" s="387"/>
      <c r="AB623" s="181"/>
      <c r="AC623" s="181"/>
      <c r="AD623" s="181"/>
      <c r="AE623" s="395"/>
      <c r="AF623" s="387"/>
      <c r="AG623" s="181"/>
      <c r="AH623" s="181"/>
      <c r="AI623" s="181"/>
      <c r="AJ623" s="395"/>
      <c r="AK623" s="387"/>
      <c r="AL623" s="181"/>
      <c r="AM623" s="181"/>
      <c r="AN623" s="181"/>
      <c r="AO623" s="370"/>
      <c r="AP623" s="370"/>
      <c r="AQ623" s="370"/>
      <c r="AR623" s="370"/>
      <c r="AS623" s="370"/>
    </row>
    <row r="624">
      <c r="A624" s="395"/>
      <c r="B624" s="387"/>
      <c r="C624" s="181"/>
      <c r="D624" s="181"/>
      <c r="E624" s="181"/>
      <c r="F624" s="395"/>
      <c r="G624" s="387"/>
      <c r="H624" s="181"/>
      <c r="I624" s="181"/>
      <c r="J624" s="181"/>
      <c r="K624" s="88"/>
      <c r="L624" s="387"/>
      <c r="M624" s="181"/>
      <c r="N624" s="181"/>
      <c r="O624" s="181"/>
      <c r="P624" s="88"/>
      <c r="Q624" s="155"/>
      <c r="R624" s="181"/>
      <c r="S624" s="181"/>
      <c r="T624" s="181"/>
      <c r="U624" s="395"/>
      <c r="V624" s="387"/>
      <c r="W624" s="181"/>
      <c r="X624" s="181"/>
      <c r="Y624" s="181"/>
      <c r="Z624" s="395"/>
      <c r="AA624" s="387"/>
      <c r="AB624" s="181"/>
      <c r="AC624" s="181"/>
      <c r="AD624" s="181"/>
      <c r="AE624" s="395"/>
      <c r="AF624" s="387"/>
      <c r="AG624" s="181"/>
      <c r="AH624" s="181"/>
      <c r="AI624" s="181"/>
      <c r="AJ624" s="395"/>
      <c r="AK624" s="387"/>
      <c r="AL624" s="181"/>
      <c r="AM624" s="181"/>
      <c r="AN624" s="181"/>
      <c r="AO624" s="370"/>
      <c r="AP624" s="370"/>
      <c r="AQ624" s="370"/>
      <c r="AR624" s="370"/>
      <c r="AS624" s="370"/>
    </row>
    <row r="625">
      <c r="A625" s="395"/>
      <c r="B625" s="387"/>
      <c r="C625" s="181"/>
      <c r="D625" s="181"/>
      <c r="E625" s="181"/>
      <c r="F625" s="395"/>
      <c r="G625" s="387"/>
      <c r="H625" s="181"/>
      <c r="I625" s="181"/>
      <c r="J625" s="181"/>
      <c r="K625" s="88"/>
      <c r="L625" s="387"/>
      <c r="M625" s="181"/>
      <c r="N625" s="181"/>
      <c r="O625" s="181"/>
      <c r="P625" s="88"/>
      <c r="Q625" s="155"/>
      <c r="R625" s="181"/>
      <c r="S625" s="181"/>
      <c r="T625" s="181"/>
      <c r="U625" s="395"/>
      <c r="V625" s="387"/>
      <c r="W625" s="181"/>
      <c r="X625" s="181"/>
      <c r="Y625" s="181"/>
      <c r="Z625" s="395"/>
      <c r="AA625" s="387"/>
      <c r="AB625" s="181"/>
      <c r="AC625" s="181"/>
      <c r="AD625" s="181"/>
      <c r="AE625" s="395"/>
      <c r="AF625" s="387"/>
      <c r="AG625" s="181"/>
      <c r="AH625" s="181"/>
      <c r="AI625" s="181"/>
      <c r="AJ625" s="395"/>
      <c r="AK625" s="387"/>
      <c r="AL625" s="181"/>
      <c r="AM625" s="181"/>
      <c r="AN625" s="181"/>
      <c r="AO625" s="370"/>
      <c r="AP625" s="370"/>
      <c r="AQ625" s="370"/>
      <c r="AR625" s="370"/>
      <c r="AS625" s="370"/>
    </row>
    <row r="626">
      <c r="A626" s="395"/>
      <c r="B626" s="387"/>
      <c r="C626" s="181"/>
      <c r="D626" s="181"/>
      <c r="E626" s="181"/>
      <c r="F626" s="395"/>
      <c r="G626" s="387"/>
      <c r="H626" s="181"/>
      <c r="I626" s="181"/>
      <c r="J626" s="181"/>
      <c r="K626" s="88"/>
      <c r="L626" s="387"/>
      <c r="M626" s="181"/>
      <c r="N626" s="181"/>
      <c r="O626" s="181"/>
      <c r="P626" s="88"/>
      <c r="Q626" s="155"/>
      <c r="R626" s="181"/>
      <c r="S626" s="181"/>
      <c r="T626" s="181"/>
      <c r="U626" s="395"/>
      <c r="V626" s="387"/>
      <c r="W626" s="181"/>
      <c r="X626" s="181"/>
      <c r="Y626" s="181"/>
      <c r="Z626" s="395"/>
      <c r="AA626" s="387"/>
      <c r="AB626" s="181"/>
      <c r="AC626" s="181"/>
      <c r="AD626" s="181"/>
      <c r="AE626" s="395"/>
      <c r="AF626" s="387"/>
      <c r="AG626" s="181"/>
      <c r="AH626" s="181"/>
      <c r="AI626" s="181"/>
      <c r="AJ626" s="395"/>
      <c r="AK626" s="387"/>
      <c r="AL626" s="181"/>
      <c r="AM626" s="181"/>
      <c r="AN626" s="181"/>
      <c r="AO626" s="370"/>
      <c r="AP626" s="370"/>
      <c r="AQ626" s="370"/>
      <c r="AR626" s="370"/>
      <c r="AS626" s="370"/>
    </row>
    <row r="627">
      <c r="A627" s="395"/>
      <c r="B627" s="387"/>
      <c r="C627" s="181"/>
      <c r="D627" s="181"/>
      <c r="E627" s="181"/>
      <c r="F627" s="395"/>
      <c r="G627" s="387"/>
      <c r="H627" s="181"/>
      <c r="I627" s="181"/>
      <c r="J627" s="181"/>
      <c r="K627" s="88"/>
      <c r="L627" s="387"/>
      <c r="M627" s="181"/>
      <c r="N627" s="181"/>
      <c r="O627" s="181"/>
      <c r="P627" s="88"/>
      <c r="Q627" s="155"/>
      <c r="R627" s="181"/>
      <c r="S627" s="181"/>
      <c r="T627" s="181"/>
      <c r="U627" s="395"/>
      <c r="V627" s="387"/>
      <c r="W627" s="181"/>
      <c r="X627" s="181"/>
      <c r="Y627" s="181"/>
      <c r="Z627" s="395"/>
      <c r="AA627" s="387"/>
      <c r="AB627" s="181"/>
      <c r="AC627" s="181"/>
      <c r="AD627" s="181"/>
      <c r="AE627" s="395"/>
      <c r="AF627" s="387"/>
      <c r="AG627" s="181"/>
      <c r="AH627" s="181"/>
      <c r="AI627" s="181"/>
      <c r="AJ627" s="395"/>
      <c r="AK627" s="387"/>
      <c r="AL627" s="181"/>
      <c r="AM627" s="181"/>
      <c r="AN627" s="181"/>
      <c r="AO627" s="370"/>
      <c r="AP627" s="370"/>
      <c r="AQ627" s="370"/>
      <c r="AR627" s="370"/>
      <c r="AS627" s="370"/>
    </row>
    <row r="628">
      <c r="A628" s="395"/>
      <c r="B628" s="387"/>
      <c r="C628" s="181"/>
      <c r="D628" s="181"/>
      <c r="E628" s="181"/>
      <c r="F628" s="395"/>
      <c r="G628" s="387"/>
      <c r="H628" s="181"/>
      <c r="I628" s="181"/>
      <c r="J628" s="181"/>
      <c r="K628" s="88"/>
      <c r="L628" s="387"/>
      <c r="M628" s="181"/>
      <c r="N628" s="181"/>
      <c r="O628" s="181"/>
      <c r="P628" s="88"/>
      <c r="Q628" s="155"/>
      <c r="R628" s="181"/>
      <c r="S628" s="181"/>
      <c r="T628" s="181"/>
      <c r="U628" s="395"/>
      <c r="V628" s="387"/>
      <c r="W628" s="181"/>
      <c r="X628" s="181"/>
      <c r="Y628" s="181"/>
      <c r="Z628" s="395"/>
      <c r="AA628" s="387"/>
      <c r="AB628" s="181"/>
      <c r="AC628" s="181"/>
      <c r="AD628" s="181"/>
      <c r="AE628" s="395"/>
      <c r="AF628" s="387"/>
      <c r="AG628" s="181"/>
      <c r="AH628" s="181"/>
      <c r="AI628" s="181"/>
      <c r="AJ628" s="395"/>
      <c r="AK628" s="387"/>
      <c r="AL628" s="181"/>
      <c r="AM628" s="181"/>
      <c r="AN628" s="181"/>
      <c r="AO628" s="370"/>
      <c r="AP628" s="370"/>
      <c r="AQ628" s="370"/>
      <c r="AR628" s="370"/>
      <c r="AS628" s="370"/>
    </row>
    <row r="629">
      <c r="A629" s="395"/>
      <c r="B629" s="387"/>
      <c r="C629" s="181"/>
      <c r="D629" s="181"/>
      <c r="E629" s="181"/>
      <c r="F629" s="395"/>
      <c r="G629" s="387"/>
      <c r="H629" s="181"/>
      <c r="I629" s="181"/>
      <c r="J629" s="181"/>
      <c r="K629" s="88"/>
      <c r="L629" s="387"/>
      <c r="M629" s="181"/>
      <c r="N629" s="181"/>
      <c r="O629" s="181"/>
      <c r="P629" s="88"/>
      <c r="Q629" s="155"/>
      <c r="R629" s="181"/>
      <c r="S629" s="181"/>
      <c r="T629" s="181"/>
      <c r="U629" s="395"/>
      <c r="V629" s="387"/>
      <c r="W629" s="181"/>
      <c r="X629" s="181"/>
      <c r="Y629" s="181"/>
      <c r="Z629" s="395"/>
      <c r="AA629" s="387"/>
      <c r="AB629" s="181"/>
      <c r="AC629" s="181"/>
      <c r="AD629" s="181"/>
      <c r="AE629" s="395"/>
      <c r="AF629" s="387"/>
      <c r="AG629" s="181"/>
      <c r="AH629" s="181"/>
      <c r="AI629" s="181"/>
      <c r="AJ629" s="395"/>
      <c r="AK629" s="387"/>
      <c r="AL629" s="181"/>
      <c r="AM629" s="181"/>
      <c r="AN629" s="181"/>
      <c r="AO629" s="370"/>
      <c r="AP629" s="370"/>
      <c r="AQ629" s="370"/>
      <c r="AR629" s="370"/>
      <c r="AS629" s="370"/>
    </row>
    <row r="630">
      <c r="A630" s="395"/>
      <c r="B630" s="387"/>
      <c r="C630" s="181"/>
      <c r="D630" s="181"/>
      <c r="E630" s="181"/>
      <c r="F630" s="395"/>
      <c r="G630" s="387"/>
      <c r="H630" s="181"/>
      <c r="I630" s="181"/>
      <c r="J630" s="181"/>
      <c r="K630" s="88"/>
      <c r="L630" s="387"/>
      <c r="M630" s="181"/>
      <c r="N630" s="181"/>
      <c r="O630" s="181"/>
      <c r="P630" s="88"/>
      <c r="Q630" s="155"/>
      <c r="R630" s="181"/>
      <c r="S630" s="181"/>
      <c r="T630" s="181"/>
      <c r="U630" s="395"/>
      <c r="V630" s="387"/>
      <c r="W630" s="181"/>
      <c r="X630" s="181"/>
      <c r="Y630" s="181"/>
      <c r="Z630" s="395"/>
      <c r="AA630" s="387"/>
      <c r="AB630" s="181"/>
      <c r="AC630" s="181"/>
      <c r="AD630" s="181"/>
      <c r="AE630" s="395"/>
      <c r="AF630" s="387"/>
      <c r="AG630" s="181"/>
      <c r="AH630" s="181"/>
      <c r="AI630" s="181"/>
      <c r="AJ630" s="395"/>
      <c r="AK630" s="387"/>
      <c r="AL630" s="181"/>
      <c r="AM630" s="181"/>
      <c r="AN630" s="181"/>
      <c r="AO630" s="370"/>
      <c r="AP630" s="370"/>
      <c r="AQ630" s="370"/>
      <c r="AR630" s="370"/>
      <c r="AS630" s="370"/>
    </row>
    <row r="631">
      <c r="A631" s="395"/>
      <c r="B631" s="387"/>
      <c r="C631" s="181"/>
      <c r="D631" s="181"/>
      <c r="E631" s="181"/>
      <c r="F631" s="395"/>
      <c r="G631" s="387"/>
      <c r="H631" s="181"/>
      <c r="I631" s="181"/>
      <c r="J631" s="181"/>
      <c r="K631" s="88"/>
      <c r="L631" s="387"/>
      <c r="M631" s="181"/>
      <c r="N631" s="181"/>
      <c r="O631" s="181"/>
      <c r="P631" s="88"/>
      <c r="Q631" s="155"/>
      <c r="R631" s="181"/>
      <c r="S631" s="181"/>
      <c r="T631" s="181"/>
      <c r="U631" s="395"/>
      <c r="V631" s="387"/>
      <c r="W631" s="181"/>
      <c r="X631" s="181"/>
      <c r="Y631" s="181"/>
      <c r="Z631" s="395"/>
      <c r="AA631" s="387"/>
      <c r="AB631" s="181"/>
      <c r="AC631" s="181"/>
      <c r="AD631" s="181"/>
      <c r="AE631" s="395"/>
      <c r="AF631" s="387"/>
      <c r="AG631" s="181"/>
      <c r="AH631" s="181"/>
      <c r="AI631" s="181"/>
      <c r="AJ631" s="395"/>
      <c r="AK631" s="387"/>
      <c r="AL631" s="181"/>
      <c r="AM631" s="181"/>
      <c r="AN631" s="181"/>
      <c r="AO631" s="370"/>
      <c r="AP631" s="370"/>
      <c r="AQ631" s="370"/>
      <c r="AR631" s="370"/>
      <c r="AS631" s="370"/>
    </row>
    <row r="632">
      <c r="A632" s="395"/>
      <c r="B632" s="387"/>
      <c r="C632" s="181"/>
      <c r="D632" s="181"/>
      <c r="E632" s="181"/>
      <c r="F632" s="395"/>
      <c r="G632" s="387"/>
      <c r="H632" s="181"/>
      <c r="I632" s="181"/>
      <c r="J632" s="181"/>
      <c r="K632" s="88"/>
      <c r="L632" s="387"/>
      <c r="M632" s="181"/>
      <c r="N632" s="181"/>
      <c r="O632" s="181"/>
      <c r="P632" s="88"/>
      <c r="Q632" s="155"/>
      <c r="R632" s="181"/>
      <c r="S632" s="181"/>
      <c r="T632" s="181"/>
      <c r="U632" s="395"/>
      <c r="V632" s="387"/>
      <c r="W632" s="181"/>
      <c r="X632" s="181"/>
      <c r="Y632" s="181"/>
      <c r="Z632" s="395"/>
      <c r="AA632" s="387"/>
      <c r="AB632" s="181"/>
      <c r="AC632" s="181"/>
      <c r="AD632" s="181"/>
      <c r="AE632" s="395"/>
      <c r="AF632" s="387"/>
      <c r="AG632" s="181"/>
      <c r="AH632" s="181"/>
      <c r="AI632" s="181"/>
      <c r="AJ632" s="395"/>
      <c r="AK632" s="387"/>
      <c r="AL632" s="181"/>
      <c r="AM632" s="181"/>
      <c r="AN632" s="181"/>
      <c r="AO632" s="370"/>
      <c r="AP632" s="370"/>
      <c r="AQ632" s="370"/>
      <c r="AR632" s="370"/>
      <c r="AS632" s="370"/>
    </row>
    <row r="633">
      <c r="A633" s="395"/>
      <c r="B633" s="387"/>
      <c r="C633" s="181"/>
      <c r="D633" s="181"/>
      <c r="E633" s="181"/>
      <c r="F633" s="395"/>
      <c r="G633" s="387"/>
      <c r="H633" s="181"/>
      <c r="I633" s="181"/>
      <c r="J633" s="181"/>
      <c r="K633" s="88"/>
      <c r="L633" s="387"/>
      <c r="M633" s="181"/>
      <c r="N633" s="181"/>
      <c r="O633" s="181"/>
      <c r="P633" s="88"/>
      <c r="Q633" s="155"/>
      <c r="R633" s="181"/>
      <c r="S633" s="181"/>
      <c r="T633" s="181"/>
      <c r="U633" s="395"/>
      <c r="V633" s="387"/>
      <c r="W633" s="181"/>
      <c r="X633" s="181"/>
      <c r="Y633" s="181"/>
      <c r="Z633" s="395"/>
      <c r="AA633" s="387"/>
      <c r="AB633" s="181"/>
      <c r="AC633" s="181"/>
      <c r="AD633" s="181"/>
      <c r="AE633" s="395"/>
      <c r="AF633" s="387"/>
      <c r="AG633" s="181"/>
      <c r="AH633" s="181"/>
      <c r="AI633" s="181"/>
      <c r="AJ633" s="395"/>
      <c r="AK633" s="387"/>
      <c r="AL633" s="181"/>
      <c r="AM633" s="181"/>
      <c r="AN633" s="181"/>
      <c r="AO633" s="370"/>
      <c r="AP633" s="370"/>
      <c r="AQ633" s="370"/>
      <c r="AR633" s="370"/>
      <c r="AS633" s="370"/>
    </row>
    <row r="634">
      <c r="A634" s="395"/>
      <c r="B634" s="387"/>
      <c r="C634" s="181"/>
      <c r="D634" s="181"/>
      <c r="E634" s="181"/>
      <c r="F634" s="395"/>
      <c r="G634" s="387"/>
      <c r="H634" s="181"/>
      <c r="I634" s="181"/>
      <c r="J634" s="181"/>
      <c r="K634" s="88"/>
      <c r="L634" s="387"/>
      <c r="M634" s="181"/>
      <c r="N634" s="181"/>
      <c r="O634" s="181"/>
      <c r="P634" s="88"/>
      <c r="Q634" s="155"/>
      <c r="R634" s="181"/>
      <c r="S634" s="181"/>
      <c r="T634" s="181"/>
      <c r="U634" s="395"/>
      <c r="V634" s="387"/>
      <c r="W634" s="181"/>
      <c r="X634" s="181"/>
      <c r="Y634" s="181"/>
      <c r="Z634" s="395"/>
      <c r="AA634" s="387"/>
      <c r="AB634" s="181"/>
      <c r="AC634" s="181"/>
      <c r="AD634" s="181"/>
      <c r="AE634" s="395"/>
      <c r="AF634" s="387"/>
      <c r="AG634" s="181"/>
      <c r="AH634" s="181"/>
      <c r="AI634" s="181"/>
      <c r="AJ634" s="395"/>
      <c r="AK634" s="387"/>
      <c r="AL634" s="181"/>
      <c r="AM634" s="181"/>
      <c r="AN634" s="181"/>
      <c r="AO634" s="370"/>
      <c r="AP634" s="370"/>
      <c r="AQ634" s="370"/>
      <c r="AR634" s="370"/>
      <c r="AS634" s="370"/>
    </row>
    <row r="635">
      <c r="A635" s="395"/>
      <c r="B635" s="387"/>
      <c r="C635" s="181"/>
      <c r="D635" s="181"/>
      <c r="E635" s="181"/>
      <c r="F635" s="395"/>
      <c r="G635" s="387"/>
      <c r="H635" s="181"/>
      <c r="I635" s="181"/>
      <c r="J635" s="181"/>
      <c r="K635" s="88"/>
      <c r="L635" s="387"/>
      <c r="M635" s="181"/>
      <c r="N635" s="181"/>
      <c r="O635" s="181"/>
      <c r="P635" s="88"/>
      <c r="Q635" s="155"/>
      <c r="R635" s="181"/>
      <c r="S635" s="181"/>
      <c r="T635" s="181"/>
      <c r="U635" s="395"/>
      <c r="V635" s="387"/>
      <c r="W635" s="181"/>
      <c r="X635" s="181"/>
      <c r="Y635" s="181"/>
      <c r="Z635" s="395"/>
      <c r="AA635" s="387"/>
      <c r="AB635" s="181"/>
      <c r="AC635" s="181"/>
      <c r="AD635" s="181"/>
      <c r="AE635" s="395"/>
      <c r="AF635" s="387"/>
      <c r="AG635" s="181"/>
      <c r="AH635" s="181"/>
      <c r="AI635" s="181"/>
      <c r="AJ635" s="395"/>
      <c r="AK635" s="387"/>
      <c r="AL635" s="181"/>
      <c r="AM635" s="181"/>
      <c r="AN635" s="181"/>
      <c r="AO635" s="370"/>
      <c r="AP635" s="370"/>
      <c r="AQ635" s="370"/>
      <c r="AR635" s="370"/>
      <c r="AS635" s="370"/>
    </row>
    <row r="636">
      <c r="A636" s="395"/>
      <c r="B636" s="387"/>
      <c r="C636" s="181"/>
      <c r="D636" s="181"/>
      <c r="E636" s="181"/>
      <c r="F636" s="395"/>
      <c r="G636" s="387"/>
      <c r="H636" s="181"/>
      <c r="I636" s="181"/>
      <c r="J636" s="181"/>
      <c r="K636" s="88"/>
      <c r="L636" s="387"/>
      <c r="M636" s="181"/>
      <c r="N636" s="181"/>
      <c r="O636" s="181"/>
      <c r="P636" s="88"/>
      <c r="Q636" s="155"/>
      <c r="R636" s="181"/>
      <c r="S636" s="181"/>
      <c r="T636" s="181"/>
      <c r="U636" s="395"/>
      <c r="V636" s="387"/>
      <c r="W636" s="181"/>
      <c r="X636" s="181"/>
      <c r="Y636" s="181"/>
      <c r="Z636" s="395"/>
      <c r="AA636" s="387"/>
      <c r="AB636" s="181"/>
      <c r="AC636" s="181"/>
      <c r="AD636" s="181"/>
      <c r="AE636" s="395"/>
      <c r="AF636" s="387"/>
      <c r="AG636" s="181"/>
      <c r="AH636" s="181"/>
      <c r="AI636" s="181"/>
      <c r="AJ636" s="395"/>
      <c r="AK636" s="387"/>
      <c r="AL636" s="181"/>
      <c r="AM636" s="181"/>
      <c r="AN636" s="181"/>
      <c r="AO636" s="370"/>
      <c r="AP636" s="370"/>
      <c r="AQ636" s="370"/>
      <c r="AR636" s="370"/>
      <c r="AS636" s="370"/>
    </row>
    <row r="637">
      <c r="A637" s="395"/>
      <c r="B637" s="387"/>
      <c r="C637" s="181"/>
      <c r="D637" s="181"/>
      <c r="E637" s="181"/>
      <c r="F637" s="395"/>
      <c r="G637" s="387"/>
      <c r="H637" s="181"/>
      <c r="I637" s="181"/>
      <c r="J637" s="181"/>
      <c r="K637" s="88"/>
      <c r="L637" s="387"/>
      <c r="M637" s="181"/>
      <c r="N637" s="181"/>
      <c r="O637" s="181"/>
      <c r="P637" s="88"/>
      <c r="Q637" s="155"/>
      <c r="R637" s="181"/>
      <c r="S637" s="181"/>
      <c r="T637" s="181"/>
      <c r="U637" s="395"/>
      <c r="V637" s="387"/>
      <c r="W637" s="181"/>
      <c r="X637" s="181"/>
      <c r="Y637" s="181"/>
      <c r="Z637" s="395"/>
      <c r="AA637" s="387"/>
      <c r="AB637" s="181"/>
      <c r="AC637" s="181"/>
      <c r="AD637" s="181"/>
      <c r="AE637" s="395"/>
      <c r="AF637" s="387"/>
      <c r="AG637" s="181"/>
      <c r="AH637" s="181"/>
      <c r="AI637" s="181"/>
      <c r="AJ637" s="395"/>
      <c r="AK637" s="387"/>
      <c r="AL637" s="181"/>
      <c r="AM637" s="181"/>
      <c r="AN637" s="181"/>
      <c r="AO637" s="370"/>
      <c r="AP637" s="370"/>
      <c r="AQ637" s="370"/>
      <c r="AR637" s="370"/>
      <c r="AS637" s="370"/>
    </row>
    <row r="638">
      <c r="A638" s="395"/>
      <c r="B638" s="387"/>
      <c r="C638" s="181"/>
      <c r="D638" s="181"/>
      <c r="E638" s="181"/>
      <c r="F638" s="395"/>
      <c r="G638" s="387"/>
      <c r="H638" s="181"/>
      <c r="I638" s="181"/>
      <c r="J638" s="181"/>
      <c r="K638" s="88"/>
      <c r="L638" s="387"/>
      <c r="M638" s="181"/>
      <c r="N638" s="181"/>
      <c r="O638" s="181"/>
      <c r="P638" s="88"/>
      <c r="Q638" s="155"/>
      <c r="R638" s="181"/>
      <c r="S638" s="181"/>
      <c r="T638" s="181"/>
      <c r="U638" s="395"/>
      <c r="V638" s="387"/>
      <c r="W638" s="181"/>
      <c r="X638" s="181"/>
      <c r="Y638" s="181"/>
      <c r="Z638" s="395"/>
      <c r="AA638" s="387"/>
      <c r="AB638" s="181"/>
      <c r="AC638" s="181"/>
      <c r="AD638" s="181"/>
      <c r="AE638" s="395"/>
      <c r="AF638" s="387"/>
      <c r="AG638" s="181"/>
      <c r="AH638" s="181"/>
      <c r="AI638" s="181"/>
      <c r="AJ638" s="395"/>
      <c r="AK638" s="387"/>
      <c r="AL638" s="181"/>
      <c r="AM638" s="181"/>
      <c r="AN638" s="181"/>
      <c r="AO638" s="370"/>
      <c r="AP638" s="370"/>
      <c r="AQ638" s="370"/>
      <c r="AR638" s="370"/>
      <c r="AS638" s="370"/>
    </row>
    <row r="639">
      <c r="A639" s="395"/>
      <c r="B639" s="387"/>
      <c r="C639" s="181"/>
      <c r="D639" s="181"/>
      <c r="E639" s="181"/>
      <c r="F639" s="395"/>
      <c r="G639" s="387"/>
      <c r="H639" s="181"/>
      <c r="I639" s="181"/>
      <c r="J639" s="181"/>
      <c r="K639" s="88"/>
      <c r="L639" s="387"/>
      <c r="M639" s="181"/>
      <c r="N639" s="181"/>
      <c r="O639" s="181"/>
      <c r="P639" s="88"/>
      <c r="Q639" s="155"/>
      <c r="R639" s="181"/>
      <c r="S639" s="181"/>
      <c r="T639" s="181"/>
      <c r="U639" s="395"/>
      <c r="V639" s="387"/>
      <c r="W639" s="181"/>
      <c r="X639" s="181"/>
      <c r="Y639" s="181"/>
      <c r="Z639" s="395"/>
      <c r="AA639" s="387"/>
      <c r="AB639" s="181"/>
      <c r="AC639" s="181"/>
      <c r="AD639" s="181"/>
      <c r="AE639" s="395"/>
      <c r="AF639" s="387"/>
      <c r="AG639" s="181"/>
      <c r="AH639" s="181"/>
      <c r="AI639" s="181"/>
      <c r="AJ639" s="395"/>
      <c r="AK639" s="387"/>
      <c r="AL639" s="181"/>
      <c r="AM639" s="181"/>
      <c r="AN639" s="181"/>
      <c r="AO639" s="370"/>
      <c r="AP639" s="370"/>
      <c r="AQ639" s="370"/>
      <c r="AR639" s="370"/>
      <c r="AS639" s="370"/>
    </row>
    <row r="640">
      <c r="A640" s="395"/>
      <c r="B640" s="387"/>
      <c r="C640" s="181"/>
      <c r="D640" s="181"/>
      <c r="E640" s="181"/>
      <c r="F640" s="395"/>
      <c r="G640" s="387"/>
      <c r="H640" s="181"/>
      <c r="I640" s="181"/>
      <c r="J640" s="181"/>
      <c r="K640" s="88"/>
      <c r="L640" s="387"/>
      <c r="M640" s="181"/>
      <c r="N640" s="181"/>
      <c r="O640" s="181"/>
      <c r="P640" s="88"/>
      <c r="Q640" s="155"/>
      <c r="R640" s="181"/>
      <c r="S640" s="181"/>
      <c r="T640" s="181"/>
      <c r="U640" s="395"/>
      <c r="V640" s="387"/>
      <c r="W640" s="181"/>
      <c r="X640" s="181"/>
      <c r="Y640" s="181"/>
      <c r="Z640" s="395"/>
      <c r="AA640" s="387"/>
      <c r="AB640" s="181"/>
      <c r="AC640" s="181"/>
      <c r="AD640" s="181"/>
      <c r="AE640" s="395"/>
      <c r="AF640" s="387"/>
      <c r="AG640" s="181"/>
      <c r="AH640" s="181"/>
      <c r="AI640" s="181"/>
      <c r="AJ640" s="395"/>
      <c r="AK640" s="387"/>
      <c r="AL640" s="181"/>
      <c r="AM640" s="181"/>
      <c r="AN640" s="181"/>
      <c r="AO640" s="370"/>
      <c r="AP640" s="370"/>
      <c r="AQ640" s="370"/>
      <c r="AR640" s="370"/>
      <c r="AS640" s="370"/>
    </row>
    <row r="641">
      <c r="A641" s="395"/>
      <c r="B641" s="387"/>
      <c r="C641" s="181"/>
      <c r="D641" s="181"/>
      <c r="E641" s="181"/>
      <c r="F641" s="395"/>
      <c r="G641" s="387"/>
      <c r="H641" s="181"/>
      <c r="I641" s="181"/>
      <c r="J641" s="181"/>
      <c r="K641" s="88"/>
      <c r="L641" s="387"/>
      <c r="M641" s="181"/>
      <c r="N641" s="181"/>
      <c r="O641" s="181"/>
      <c r="P641" s="88"/>
      <c r="Q641" s="155"/>
      <c r="R641" s="181"/>
      <c r="S641" s="181"/>
      <c r="T641" s="181"/>
      <c r="U641" s="395"/>
      <c r="V641" s="387"/>
      <c r="W641" s="181"/>
      <c r="X641" s="181"/>
      <c r="Y641" s="181"/>
      <c r="Z641" s="395"/>
      <c r="AA641" s="387"/>
      <c r="AB641" s="181"/>
      <c r="AC641" s="181"/>
      <c r="AD641" s="181"/>
      <c r="AE641" s="395"/>
      <c r="AF641" s="387"/>
      <c r="AG641" s="181"/>
      <c r="AH641" s="181"/>
      <c r="AI641" s="181"/>
      <c r="AJ641" s="395"/>
      <c r="AK641" s="387"/>
      <c r="AL641" s="181"/>
      <c r="AM641" s="181"/>
      <c r="AN641" s="181"/>
      <c r="AO641" s="370"/>
      <c r="AP641" s="370"/>
      <c r="AQ641" s="370"/>
      <c r="AR641" s="370"/>
      <c r="AS641" s="370"/>
    </row>
    <row r="642">
      <c r="A642" s="395"/>
      <c r="B642" s="387"/>
      <c r="C642" s="181"/>
      <c r="D642" s="181"/>
      <c r="E642" s="181"/>
      <c r="F642" s="395"/>
      <c r="G642" s="387"/>
      <c r="H642" s="181"/>
      <c r="I642" s="181"/>
      <c r="J642" s="181"/>
      <c r="K642" s="88"/>
      <c r="L642" s="387"/>
      <c r="M642" s="181"/>
      <c r="N642" s="181"/>
      <c r="O642" s="181"/>
      <c r="P642" s="88"/>
      <c r="Q642" s="155"/>
      <c r="R642" s="181"/>
      <c r="S642" s="181"/>
      <c r="T642" s="181"/>
      <c r="U642" s="395"/>
      <c r="V642" s="387"/>
      <c r="W642" s="181"/>
      <c r="X642" s="181"/>
      <c r="Y642" s="181"/>
      <c r="Z642" s="395"/>
      <c r="AA642" s="387"/>
      <c r="AB642" s="181"/>
      <c r="AC642" s="181"/>
      <c r="AD642" s="181"/>
      <c r="AE642" s="395"/>
      <c r="AF642" s="387"/>
      <c r="AG642" s="181"/>
      <c r="AH642" s="181"/>
      <c r="AI642" s="181"/>
      <c r="AJ642" s="395"/>
      <c r="AK642" s="387"/>
      <c r="AL642" s="181"/>
      <c r="AM642" s="181"/>
      <c r="AN642" s="181"/>
      <c r="AO642" s="370"/>
      <c r="AP642" s="370"/>
      <c r="AQ642" s="370"/>
      <c r="AR642" s="370"/>
      <c r="AS642" s="370"/>
    </row>
    <row r="643">
      <c r="A643" s="395"/>
      <c r="B643" s="387"/>
      <c r="C643" s="181"/>
      <c r="D643" s="181"/>
      <c r="E643" s="181"/>
      <c r="F643" s="395"/>
      <c r="G643" s="387"/>
      <c r="H643" s="181"/>
      <c r="I643" s="181"/>
      <c r="J643" s="181"/>
      <c r="K643" s="88"/>
      <c r="L643" s="387"/>
      <c r="M643" s="181"/>
      <c r="N643" s="181"/>
      <c r="O643" s="181"/>
      <c r="P643" s="88"/>
      <c r="Q643" s="155"/>
      <c r="R643" s="181"/>
      <c r="S643" s="181"/>
      <c r="T643" s="181"/>
      <c r="U643" s="395"/>
      <c r="V643" s="387"/>
      <c r="W643" s="181"/>
      <c r="X643" s="181"/>
      <c r="Y643" s="181"/>
      <c r="Z643" s="395"/>
      <c r="AA643" s="387"/>
      <c r="AB643" s="181"/>
      <c r="AC643" s="181"/>
      <c r="AD643" s="181"/>
      <c r="AE643" s="395"/>
      <c r="AF643" s="387"/>
      <c r="AG643" s="181"/>
      <c r="AH643" s="181"/>
      <c r="AI643" s="181"/>
      <c r="AJ643" s="395"/>
      <c r="AK643" s="387"/>
      <c r="AL643" s="181"/>
      <c r="AM643" s="181"/>
      <c r="AN643" s="181"/>
      <c r="AO643" s="370"/>
      <c r="AP643" s="370"/>
      <c r="AQ643" s="370"/>
      <c r="AR643" s="370"/>
      <c r="AS643" s="370"/>
    </row>
    <row r="644">
      <c r="A644" s="395"/>
      <c r="B644" s="387"/>
      <c r="C644" s="181"/>
      <c r="D644" s="181"/>
      <c r="E644" s="181"/>
      <c r="F644" s="395"/>
      <c r="G644" s="387"/>
      <c r="H644" s="181"/>
      <c r="I644" s="181"/>
      <c r="J644" s="181"/>
      <c r="K644" s="88"/>
      <c r="L644" s="387"/>
      <c r="M644" s="181"/>
      <c r="N644" s="181"/>
      <c r="O644" s="181"/>
      <c r="P644" s="88"/>
      <c r="Q644" s="155"/>
      <c r="R644" s="181"/>
      <c r="S644" s="181"/>
      <c r="T644" s="181"/>
      <c r="U644" s="395"/>
      <c r="V644" s="387"/>
      <c r="W644" s="181"/>
      <c r="X644" s="181"/>
      <c r="Y644" s="181"/>
      <c r="Z644" s="395"/>
      <c r="AA644" s="387"/>
      <c r="AB644" s="181"/>
      <c r="AC644" s="181"/>
      <c r="AD644" s="181"/>
      <c r="AE644" s="395"/>
      <c r="AF644" s="387"/>
      <c r="AG644" s="181"/>
      <c r="AH644" s="181"/>
      <c r="AI644" s="181"/>
      <c r="AJ644" s="395"/>
      <c r="AK644" s="387"/>
      <c r="AL644" s="181"/>
      <c r="AM644" s="181"/>
      <c r="AN644" s="181"/>
      <c r="AO644" s="370"/>
      <c r="AP644" s="370"/>
      <c r="AQ644" s="370"/>
      <c r="AR644" s="370"/>
      <c r="AS644" s="370"/>
    </row>
    <row r="645">
      <c r="A645" s="395"/>
      <c r="B645" s="387"/>
      <c r="C645" s="181"/>
      <c r="D645" s="181"/>
      <c r="E645" s="181"/>
      <c r="F645" s="395"/>
      <c r="G645" s="387"/>
      <c r="H645" s="181"/>
      <c r="I645" s="181"/>
      <c r="J645" s="181"/>
      <c r="K645" s="88"/>
      <c r="L645" s="387"/>
      <c r="M645" s="181"/>
      <c r="N645" s="181"/>
      <c r="O645" s="181"/>
      <c r="P645" s="88"/>
      <c r="Q645" s="155"/>
      <c r="R645" s="181"/>
      <c r="S645" s="181"/>
      <c r="T645" s="181"/>
      <c r="U645" s="395"/>
      <c r="V645" s="387"/>
      <c r="W645" s="181"/>
      <c r="X645" s="181"/>
      <c r="Y645" s="181"/>
      <c r="Z645" s="395"/>
      <c r="AA645" s="387"/>
      <c r="AB645" s="181"/>
      <c r="AC645" s="181"/>
      <c r="AD645" s="181"/>
      <c r="AE645" s="395"/>
      <c r="AF645" s="387"/>
      <c r="AG645" s="181"/>
      <c r="AH645" s="181"/>
      <c r="AI645" s="181"/>
      <c r="AJ645" s="395"/>
      <c r="AK645" s="387"/>
      <c r="AL645" s="181"/>
      <c r="AM645" s="181"/>
      <c r="AN645" s="181"/>
      <c r="AO645" s="370"/>
      <c r="AP645" s="370"/>
      <c r="AQ645" s="370"/>
      <c r="AR645" s="370"/>
      <c r="AS645" s="370"/>
    </row>
    <row r="646">
      <c r="A646" s="395"/>
      <c r="B646" s="387"/>
      <c r="C646" s="181"/>
      <c r="D646" s="181"/>
      <c r="E646" s="181"/>
      <c r="F646" s="395"/>
      <c r="G646" s="387"/>
      <c r="H646" s="181"/>
      <c r="I646" s="181"/>
      <c r="J646" s="181"/>
      <c r="K646" s="88"/>
      <c r="L646" s="387"/>
      <c r="M646" s="181"/>
      <c r="N646" s="181"/>
      <c r="O646" s="181"/>
      <c r="P646" s="88"/>
      <c r="Q646" s="155"/>
      <c r="R646" s="181"/>
      <c r="S646" s="181"/>
      <c r="T646" s="181"/>
      <c r="U646" s="395"/>
      <c r="V646" s="387"/>
      <c r="W646" s="181"/>
      <c r="X646" s="181"/>
      <c r="Y646" s="181"/>
      <c r="Z646" s="395"/>
      <c r="AA646" s="387"/>
      <c r="AB646" s="181"/>
      <c r="AC646" s="181"/>
      <c r="AD646" s="181"/>
      <c r="AE646" s="395"/>
      <c r="AF646" s="387"/>
      <c r="AG646" s="181"/>
      <c r="AH646" s="181"/>
      <c r="AI646" s="181"/>
      <c r="AJ646" s="395"/>
      <c r="AK646" s="387"/>
      <c r="AL646" s="181"/>
      <c r="AM646" s="181"/>
      <c r="AN646" s="181"/>
      <c r="AO646" s="370"/>
      <c r="AP646" s="370"/>
      <c r="AQ646" s="370"/>
      <c r="AR646" s="370"/>
      <c r="AS646" s="370"/>
    </row>
    <row r="647">
      <c r="A647" s="395"/>
      <c r="B647" s="387"/>
      <c r="C647" s="181"/>
      <c r="D647" s="181"/>
      <c r="E647" s="181"/>
      <c r="F647" s="395"/>
      <c r="G647" s="387"/>
      <c r="H647" s="181"/>
      <c r="I647" s="181"/>
      <c r="J647" s="181"/>
      <c r="K647" s="88"/>
      <c r="L647" s="387"/>
      <c r="M647" s="181"/>
      <c r="N647" s="181"/>
      <c r="O647" s="181"/>
      <c r="P647" s="88"/>
      <c r="Q647" s="155"/>
      <c r="R647" s="181"/>
      <c r="S647" s="181"/>
      <c r="T647" s="181"/>
      <c r="U647" s="395"/>
      <c r="V647" s="387"/>
      <c r="W647" s="181"/>
      <c r="X647" s="181"/>
      <c r="Y647" s="181"/>
      <c r="Z647" s="395"/>
      <c r="AA647" s="387"/>
      <c r="AB647" s="181"/>
      <c r="AC647" s="181"/>
      <c r="AD647" s="181"/>
      <c r="AE647" s="395"/>
      <c r="AF647" s="387"/>
      <c r="AG647" s="181"/>
      <c r="AH647" s="181"/>
      <c r="AI647" s="181"/>
      <c r="AJ647" s="395"/>
      <c r="AK647" s="387"/>
      <c r="AL647" s="181"/>
      <c r="AM647" s="181"/>
      <c r="AN647" s="181"/>
      <c r="AO647" s="370"/>
      <c r="AP647" s="370"/>
      <c r="AQ647" s="370"/>
      <c r="AR647" s="370"/>
      <c r="AS647" s="370"/>
    </row>
    <row r="648">
      <c r="A648" s="395"/>
      <c r="B648" s="387"/>
      <c r="C648" s="181"/>
      <c r="D648" s="181"/>
      <c r="E648" s="181"/>
      <c r="F648" s="395"/>
      <c r="G648" s="387"/>
      <c r="H648" s="181"/>
      <c r="I648" s="181"/>
      <c r="J648" s="181"/>
      <c r="K648" s="88"/>
      <c r="L648" s="387"/>
      <c r="M648" s="181"/>
      <c r="N648" s="181"/>
      <c r="O648" s="181"/>
      <c r="P648" s="88"/>
      <c r="Q648" s="155"/>
      <c r="R648" s="181"/>
      <c r="S648" s="181"/>
      <c r="T648" s="181"/>
      <c r="U648" s="395"/>
      <c r="V648" s="387"/>
      <c r="W648" s="181"/>
      <c r="X648" s="181"/>
      <c r="Y648" s="181"/>
      <c r="Z648" s="395"/>
      <c r="AA648" s="387"/>
      <c r="AB648" s="181"/>
      <c r="AC648" s="181"/>
      <c r="AD648" s="181"/>
      <c r="AE648" s="395"/>
      <c r="AF648" s="387"/>
      <c r="AG648" s="181"/>
      <c r="AH648" s="181"/>
      <c r="AI648" s="181"/>
      <c r="AJ648" s="395"/>
      <c r="AK648" s="387"/>
      <c r="AL648" s="181"/>
      <c r="AM648" s="181"/>
      <c r="AN648" s="181"/>
      <c r="AO648" s="370"/>
      <c r="AP648" s="370"/>
      <c r="AQ648" s="370"/>
      <c r="AR648" s="370"/>
      <c r="AS648" s="370"/>
    </row>
    <row r="649">
      <c r="A649" s="395"/>
      <c r="B649" s="387"/>
      <c r="C649" s="181"/>
      <c r="D649" s="181"/>
      <c r="E649" s="181"/>
      <c r="F649" s="395"/>
      <c r="G649" s="387"/>
      <c r="H649" s="181"/>
      <c r="I649" s="181"/>
      <c r="J649" s="181"/>
      <c r="K649" s="88"/>
      <c r="L649" s="387"/>
      <c r="M649" s="181"/>
      <c r="N649" s="181"/>
      <c r="O649" s="181"/>
      <c r="P649" s="88"/>
      <c r="Q649" s="155"/>
      <c r="R649" s="181"/>
      <c r="S649" s="181"/>
      <c r="T649" s="181"/>
      <c r="U649" s="395"/>
      <c r="V649" s="387"/>
      <c r="W649" s="181"/>
      <c r="X649" s="181"/>
      <c r="Y649" s="181"/>
      <c r="Z649" s="395"/>
      <c r="AA649" s="387"/>
      <c r="AB649" s="181"/>
      <c r="AC649" s="181"/>
      <c r="AD649" s="181"/>
      <c r="AE649" s="395"/>
      <c r="AF649" s="387"/>
      <c r="AG649" s="181"/>
      <c r="AH649" s="181"/>
      <c r="AI649" s="181"/>
      <c r="AJ649" s="395"/>
      <c r="AK649" s="387"/>
      <c r="AL649" s="181"/>
      <c r="AM649" s="181"/>
      <c r="AN649" s="181"/>
      <c r="AO649" s="370"/>
      <c r="AP649" s="370"/>
      <c r="AQ649" s="370"/>
      <c r="AR649" s="370"/>
      <c r="AS649" s="370"/>
    </row>
    <row r="650">
      <c r="A650" s="395"/>
      <c r="B650" s="387"/>
      <c r="C650" s="181"/>
      <c r="D650" s="181"/>
      <c r="E650" s="181"/>
      <c r="F650" s="395"/>
      <c r="G650" s="387"/>
      <c r="H650" s="181"/>
      <c r="I650" s="181"/>
      <c r="J650" s="181"/>
      <c r="K650" s="88"/>
      <c r="L650" s="387"/>
      <c r="M650" s="181"/>
      <c r="N650" s="181"/>
      <c r="O650" s="181"/>
      <c r="P650" s="88"/>
      <c r="Q650" s="155"/>
      <c r="R650" s="181"/>
      <c r="S650" s="181"/>
      <c r="T650" s="181"/>
      <c r="U650" s="395"/>
      <c r="V650" s="387"/>
      <c r="W650" s="181"/>
      <c r="X650" s="181"/>
      <c r="Y650" s="181"/>
      <c r="Z650" s="395"/>
      <c r="AA650" s="387"/>
      <c r="AB650" s="181"/>
      <c r="AC650" s="181"/>
      <c r="AD650" s="181"/>
      <c r="AE650" s="395"/>
      <c r="AF650" s="387"/>
      <c r="AG650" s="181"/>
      <c r="AH650" s="181"/>
      <c r="AI650" s="181"/>
      <c r="AJ650" s="395"/>
      <c r="AK650" s="387"/>
      <c r="AL650" s="181"/>
      <c r="AM650" s="181"/>
      <c r="AN650" s="181"/>
      <c r="AO650" s="370"/>
      <c r="AP650" s="370"/>
      <c r="AQ650" s="370"/>
      <c r="AR650" s="370"/>
      <c r="AS650" s="370"/>
    </row>
    <row r="651">
      <c r="A651" s="395"/>
      <c r="B651" s="387"/>
      <c r="C651" s="181"/>
      <c r="D651" s="181"/>
      <c r="E651" s="181"/>
      <c r="F651" s="395"/>
      <c r="G651" s="387"/>
      <c r="H651" s="181"/>
      <c r="I651" s="181"/>
      <c r="J651" s="181"/>
      <c r="K651" s="88"/>
      <c r="L651" s="387"/>
      <c r="M651" s="181"/>
      <c r="N651" s="181"/>
      <c r="O651" s="181"/>
      <c r="P651" s="88"/>
      <c r="Q651" s="155"/>
      <c r="R651" s="181"/>
      <c r="S651" s="181"/>
      <c r="T651" s="181"/>
      <c r="U651" s="395"/>
      <c r="V651" s="387"/>
      <c r="W651" s="181"/>
      <c r="X651" s="181"/>
      <c r="Y651" s="181"/>
      <c r="Z651" s="395"/>
      <c r="AA651" s="387"/>
      <c r="AB651" s="181"/>
      <c r="AC651" s="181"/>
      <c r="AD651" s="181"/>
      <c r="AE651" s="395"/>
      <c r="AF651" s="387"/>
      <c r="AG651" s="181"/>
      <c r="AH651" s="181"/>
      <c r="AI651" s="181"/>
      <c r="AJ651" s="395"/>
      <c r="AK651" s="387"/>
      <c r="AL651" s="181"/>
      <c r="AM651" s="181"/>
      <c r="AN651" s="181"/>
      <c r="AO651" s="370"/>
      <c r="AP651" s="370"/>
      <c r="AQ651" s="370"/>
      <c r="AR651" s="370"/>
      <c r="AS651" s="370"/>
    </row>
    <row r="652">
      <c r="A652" s="395"/>
      <c r="B652" s="387"/>
      <c r="C652" s="181"/>
      <c r="D652" s="181"/>
      <c r="E652" s="181"/>
      <c r="F652" s="395"/>
      <c r="G652" s="387"/>
      <c r="H652" s="181"/>
      <c r="I652" s="181"/>
      <c r="J652" s="181"/>
      <c r="K652" s="88"/>
      <c r="L652" s="387"/>
      <c r="M652" s="181"/>
      <c r="N652" s="181"/>
      <c r="O652" s="181"/>
      <c r="P652" s="88"/>
      <c r="Q652" s="155"/>
      <c r="R652" s="181"/>
      <c r="S652" s="181"/>
      <c r="T652" s="181"/>
      <c r="U652" s="395"/>
      <c r="V652" s="387"/>
      <c r="W652" s="181"/>
      <c r="X652" s="181"/>
      <c r="Y652" s="181"/>
      <c r="Z652" s="395"/>
      <c r="AA652" s="387"/>
      <c r="AB652" s="181"/>
      <c r="AC652" s="181"/>
      <c r="AD652" s="181"/>
      <c r="AE652" s="395"/>
      <c r="AF652" s="387"/>
      <c r="AG652" s="181"/>
      <c r="AH652" s="181"/>
      <c r="AI652" s="181"/>
      <c r="AJ652" s="395"/>
      <c r="AK652" s="387"/>
      <c r="AL652" s="181"/>
      <c r="AM652" s="181"/>
      <c r="AN652" s="181"/>
      <c r="AO652" s="370"/>
      <c r="AP652" s="370"/>
      <c r="AQ652" s="370"/>
      <c r="AR652" s="370"/>
      <c r="AS652" s="370"/>
    </row>
    <row r="653">
      <c r="A653" s="395"/>
      <c r="B653" s="387"/>
      <c r="C653" s="181"/>
      <c r="D653" s="181"/>
      <c r="E653" s="181"/>
      <c r="F653" s="395"/>
      <c r="G653" s="387"/>
      <c r="H653" s="181"/>
      <c r="I653" s="181"/>
      <c r="J653" s="181"/>
      <c r="K653" s="88"/>
      <c r="L653" s="387"/>
      <c r="M653" s="181"/>
      <c r="N653" s="181"/>
      <c r="O653" s="181"/>
      <c r="P653" s="88"/>
      <c r="Q653" s="155"/>
      <c r="R653" s="181"/>
      <c r="S653" s="181"/>
      <c r="T653" s="181"/>
      <c r="U653" s="395"/>
      <c r="V653" s="387"/>
      <c r="W653" s="181"/>
      <c r="X653" s="181"/>
      <c r="Y653" s="181"/>
      <c r="Z653" s="395"/>
      <c r="AA653" s="387"/>
      <c r="AB653" s="181"/>
      <c r="AC653" s="181"/>
      <c r="AD653" s="181"/>
      <c r="AE653" s="395"/>
      <c r="AF653" s="387"/>
      <c r="AG653" s="181"/>
      <c r="AH653" s="181"/>
      <c r="AI653" s="181"/>
      <c r="AJ653" s="395"/>
      <c r="AK653" s="387"/>
      <c r="AL653" s="181"/>
      <c r="AM653" s="181"/>
      <c r="AN653" s="181"/>
      <c r="AO653" s="370"/>
      <c r="AP653" s="370"/>
      <c r="AQ653" s="370"/>
      <c r="AR653" s="370"/>
      <c r="AS653" s="370"/>
    </row>
    <row r="654">
      <c r="A654" s="395"/>
      <c r="B654" s="387"/>
      <c r="C654" s="181"/>
      <c r="D654" s="181"/>
      <c r="E654" s="181"/>
      <c r="F654" s="395"/>
      <c r="G654" s="387"/>
      <c r="H654" s="181"/>
      <c r="I654" s="181"/>
      <c r="J654" s="181"/>
      <c r="K654" s="88"/>
      <c r="L654" s="387"/>
      <c r="M654" s="181"/>
      <c r="N654" s="181"/>
      <c r="O654" s="181"/>
      <c r="P654" s="88"/>
      <c r="Q654" s="155"/>
      <c r="R654" s="181"/>
      <c r="S654" s="181"/>
      <c r="T654" s="181"/>
      <c r="U654" s="395"/>
      <c r="V654" s="387"/>
      <c r="W654" s="181"/>
      <c r="X654" s="181"/>
      <c r="Y654" s="181"/>
      <c r="Z654" s="395"/>
      <c r="AA654" s="387"/>
      <c r="AB654" s="181"/>
      <c r="AC654" s="181"/>
      <c r="AD654" s="181"/>
      <c r="AE654" s="395"/>
      <c r="AF654" s="387"/>
      <c r="AG654" s="181"/>
      <c r="AH654" s="181"/>
      <c r="AI654" s="181"/>
      <c r="AJ654" s="395"/>
      <c r="AK654" s="387"/>
      <c r="AL654" s="181"/>
      <c r="AM654" s="181"/>
      <c r="AN654" s="181"/>
      <c r="AO654" s="370"/>
      <c r="AP654" s="370"/>
      <c r="AQ654" s="370"/>
      <c r="AR654" s="370"/>
      <c r="AS654" s="370"/>
    </row>
    <row r="655">
      <c r="A655" s="395"/>
      <c r="B655" s="387"/>
      <c r="C655" s="181"/>
      <c r="D655" s="181"/>
      <c r="E655" s="181"/>
      <c r="F655" s="395"/>
      <c r="G655" s="387"/>
      <c r="H655" s="181"/>
      <c r="I655" s="181"/>
      <c r="J655" s="181"/>
      <c r="K655" s="88"/>
      <c r="L655" s="387"/>
      <c r="M655" s="181"/>
      <c r="N655" s="181"/>
      <c r="O655" s="181"/>
      <c r="P655" s="88"/>
      <c r="Q655" s="155"/>
      <c r="R655" s="181"/>
      <c r="S655" s="181"/>
      <c r="T655" s="181"/>
      <c r="U655" s="395"/>
      <c r="V655" s="387"/>
      <c r="W655" s="181"/>
      <c r="X655" s="181"/>
      <c r="Y655" s="181"/>
      <c r="Z655" s="395"/>
      <c r="AA655" s="387"/>
      <c r="AB655" s="181"/>
      <c r="AC655" s="181"/>
      <c r="AD655" s="181"/>
      <c r="AE655" s="395"/>
      <c r="AF655" s="387"/>
      <c r="AG655" s="181"/>
      <c r="AH655" s="181"/>
      <c r="AI655" s="181"/>
      <c r="AJ655" s="395"/>
      <c r="AK655" s="387"/>
      <c r="AL655" s="181"/>
      <c r="AM655" s="181"/>
      <c r="AN655" s="181"/>
      <c r="AO655" s="370"/>
      <c r="AP655" s="370"/>
      <c r="AQ655" s="370"/>
      <c r="AR655" s="370"/>
      <c r="AS655" s="370"/>
    </row>
    <row r="656">
      <c r="A656" s="395"/>
      <c r="B656" s="387"/>
      <c r="C656" s="181"/>
      <c r="D656" s="181"/>
      <c r="E656" s="181"/>
      <c r="F656" s="395"/>
      <c r="G656" s="387"/>
      <c r="H656" s="181"/>
      <c r="I656" s="181"/>
      <c r="J656" s="181"/>
      <c r="K656" s="88"/>
      <c r="L656" s="387"/>
      <c r="M656" s="181"/>
      <c r="N656" s="181"/>
      <c r="O656" s="181"/>
      <c r="P656" s="88"/>
      <c r="Q656" s="155"/>
      <c r="R656" s="181"/>
      <c r="S656" s="181"/>
      <c r="T656" s="181"/>
      <c r="U656" s="395"/>
      <c r="V656" s="387"/>
      <c r="W656" s="181"/>
      <c r="X656" s="181"/>
      <c r="Y656" s="181"/>
      <c r="Z656" s="395"/>
      <c r="AA656" s="387"/>
      <c r="AB656" s="181"/>
      <c r="AC656" s="181"/>
      <c r="AD656" s="181"/>
      <c r="AE656" s="395"/>
      <c r="AF656" s="387"/>
      <c r="AG656" s="181"/>
      <c r="AH656" s="181"/>
      <c r="AI656" s="181"/>
      <c r="AJ656" s="395"/>
      <c r="AK656" s="387"/>
      <c r="AL656" s="181"/>
      <c r="AM656" s="181"/>
      <c r="AN656" s="181"/>
      <c r="AO656" s="370"/>
      <c r="AP656" s="370"/>
      <c r="AQ656" s="370"/>
      <c r="AR656" s="370"/>
      <c r="AS656" s="370"/>
    </row>
    <row r="657">
      <c r="A657" s="395"/>
      <c r="B657" s="387"/>
      <c r="C657" s="181"/>
      <c r="D657" s="181"/>
      <c r="E657" s="181"/>
      <c r="F657" s="395"/>
      <c r="G657" s="387"/>
      <c r="H657" s="181"/>
      <c r="I657" s="181"/>
      <c r="J657" s="181"/>
      <c r="K657" s="88"/>
      <c r="L657" s="387"/>
      <c r="M657" s="181"/>
      <c r="N657" s="181"/>
      <c r="O657" s="181"/>
      <c r="P657" s="88"/>
      <c r="Q657" s="155"/>
      <c r="R657" s="181"/>
      <c r="S657" s="181"/>
      <c r="T657" s="181"/>
      <c r="U657" s="395"/>
      <c r="V657" s="387"/>
      <c r="W657" s="181"/>
      <c r="X657" s="181"/>
      <c r="Y657" s="181"/>
      <c r="Z657" s="395"/>
      <c r="AA657" s="387"/>
      <c r="AB657" s="181"/>
      <c r="AC657" s="181"/>
      <c r="AD657" s="181"/>
      <c r="AE657" s="395"/>
      <c r="AF657" s="387"/>
      <c r="AG657" s="181"/>
      <c r="AH657" s="181"/>
      <c r="AI657" s="181"/>
      <c r="AJ657" s="395"/>
      <c r="AK657" s="387"/>
      <c r="AL657" s="181"/>
      <c r="AM657" s="181"/>
      <c r="AN657" s="181"/>
      <c r="AO657" s="370"/>
      <c r="AP657" s="370"/>
      <c r="AQ657" s="370"/>
      <c r="AR657" s="370"/>
      <c r="AS657" s="370"/>
    </row>
    <row r="658">
      <c r="A658" s="395"/>
      <c r="B658" s="387"/>
      <c r="C658" s="181"/>
      <c r="D658" s="181"/>
      <c r="E658" s="181"/>
      <c r="F658" s="395"/>
      <c r="G658" s="387"/>
      <c r="H658" s="181"/>
      <c r="I658" s="181"/>
      <c r="J658" s="181"/>
      <c r="K658" s="88"/>
      <c r="L658" s="387"/>
      <c r="M658" s="181"/>
      <c r="N658" s="181"/>
      <c r="O658" s="181"/>
      <c r="P658" s="88"/>
      <c r="Q658" s="155"/>
      <c r="R658" s="181"/>
      <c r="S658" s="181"/>
      <c r="T658" s="181"/>
      <c r="U658" s="395"/>
      <c r="V658" s="387"/>
      <c r="W658" s="181"/>
      <c r="X658" s="181"/>
      <c r="Y658" s="181"/>
      <c r="Z658" s="395"/>
      <c r="AA658" s="387"/>
      <c r="AB658" s="181"/>
      <c r="AC658" s="181"/>
      <c r="AD658" s="181"/>
      <c r="AE658" s="395"/>
      <c r="AF658" s="387"/>
      <c r="AG658" s="181"/>
      <c r="AH658" s="181"/>
      <c r="AI658" s="181"/>
      <c r="AJ658" s="395"/>
      <c r="AK658" s="387"/>
      <c r="AL658" s="181"/>
      <c r="AM658" s="181"/>
      <c r="AN658" s="181"/>
      <c r="AO658" s="370"/>
      <c r="AP658" s="370"/>
      <c r="AQ658" s="370"/>
      <c r="AR658" s="370"/>
      <c r="AS658" s="370"/>
    </row>
    <row r="659">
      <c r="A659" s="395"/>
      <c r="B659" s="387"/>
      <c r="C659" s="181"/>
      <c r="D659" s="181"/>
      <c r="E659" s="181"/>
      <c r="F659" s="395"/>
      <c r="G659" s="387"/>
      <c r="H659" s="181"/>
      <c r="I659" s="181"/>
      <c r="J659" s="181"/>
      <c r="K659" s="88"/>
      <c r="L659" s="387"/>
      <c r="M659" s="181"/>
      <c r="N659" s="181"/>
      <c r="O659" s="181"/>
      <c r="P659" s="88"/>
      <c r="Q659" s="155"/>
      <c r="R659" s="181"/>
      <c r="S659" s="181"/>
      <c r="T659" s="181"/>
      <c r="U659" s="395"/>
      <c r="V659" s="387"/>
      <c r="W659" s="181"/>
      <c r="X659" s="181"/>
      <c r="Y659" s="181"/>
      <c r="Z659" s="395"/>
      <c r="AA659" s="387"/>
      <c r="AB659" s="181"/>
      <c r="AC659" s="181"/>
      <c r="AD659" s="181"/>
      <c r="AE659" s="395"/>
      <c r="AF659" s="387"/>
      <c r="AG659" s="181"/>
      <c r="AH659" s="181"/>
      <c r="AI659" s="181"/>
      <c r="AJ659" s="395"/>
      <c r="AK659" s="387"/>
      <c r="AL659" s="181"/>
      <c r="AM659" s="181"/>
      <c r="AN659" s="181"/>
      <c r="AO659" s="370"/>
      <c r="AP659" s="370"/>
      <c r="AQ659" s="370"/>
      <c r="AR659" s="370"/>
      <c r="AS659" s="370"/>
    </row>
    <row r="660">
      <c r="A660" s="395"/>
      <c r="B660" s="387"/>
      <c r="C660" s="181"/>
      <c r="D660" s="181"/>
      <c r="E660" s="181"/>
      <c r="F660" s="395"/>
      <c r="G660" s="387"/>
      <c r="H660" s="181"/>
      <c r="I660" s="181"/>
      <c r="J660" s="181"/>
      <c r="K660" s="88"/>
      <c r="L660" s="387"/>
      <c r="M660" s="181"/>
      <c r="N660" s="181"/>
      <c r="O660" s="181"/>
      <c r="P660" s="88"/>
      <c r="Q660" s="155"/>
      <c r="R660" s="181"/>
      <c r="S660" s="181"/>
      <c r="T660" s="181"/>
      <c r="U660" s="395"/>
      <c r="V660" s="387"/>
      <c r="W660" s="181"/>
      <c r="X660" s="181"/>
      <c r="Y660" s="181"/>
      <c r="Z660" s="395"/>
      <c r="AA660" s="387"/>
      <c r="AB660" s="181"/>
      <c r="AC660" s="181"/>
      <c r="AD660" s="181"/>
      <c r="AE660" s="395"/>
      <c r="AF660" s="387"/>
      <c r="AG660" s="181"/>
      <c r="AH660" s="181"/>
      <c r="AI660" s="181"/>
      <c r="AJ660" s="395"/>
      <c r="AK660" s="387"/>
      <c r="AL660" s="181"/>
      <c r="AM660" s="181"/>
      <c r="AN660" s="181"/>
      <c r="AO660" s="370"/>
      <c r="AP660" s="370"/>
      <c r="AQ660" s="370"/>
      <c r="AR660" s="370"/>
      <c r="AS660" s="370"/>
    </row>
    <row r="661">
      <c r="A661" s="395"/>
      <c r="B661" s="387"/>
      <c r="C661" s="181"/>
      <c r="D661" s="181"/>
      <c r="E661" s="181"/>
      <c r="F661" s="395"/>
      <c r="G661" s="387"/>
      <c r="H661" s="181"/>
      <c r="I661" s="181"/>
      <c r="J661" s="181"/>
      <c r="K661" s="88"/>
      <c r="L661" s="387"/>
      <c r="M661" s="181"/>
      <c r="N661" s="181"/>
      <c r="O661" s="181"/>
      <c r="P661" s="88"/>
      <c r="Q661" s="155"/>
      <c r="R661" s="181"/>
      <c r="S661" s="181"/>
      <c r="T661" s="181"/>
      <c r="U661" s="395"/>
      <c r="V661" s="387"/>
      <c r="W661" s="181"/>
      <c r="X661" s="181"/>
      <c r="Y661" s="181"/>
      <c r="Z661" s="395"/>
      <c r="AA661" s="387"/>
      <c r="AB661" s="181"/>
      <c r="AC661" s="181"/>
      <c r="AD661" s="181"/>
      <c r="AE661" s="395"/>
      <c r="AF661" s="387"/>
      <c r="AG661" s="181"/>
      <c r="AH661" s="181"/>
      <c r="AI661" s="181"/>
      <c r="AJ661" s="395"/>
      <c r="AK661" s="387"/>
      <c r="AL661" s="181"/>
      <c r="AM661" s="181"/>
      <c r="AN661" s="181"/>
      <c r="AO661" s="370"/>
      <c r="AP661" s="370"/>
      <c r="AQ661" s="370"/>
      <c r="AR661" s="370"/>
      <c r="AS661" s="370"/>
    </row>
    <row r="662">
      <c r="A662" s="395"/>
      <c r="B662" s="387"/>
      <c r="C662" s="181"/>
      <c r="D662" s="181"/>
      <c r="E662" s="181"/>
      <c r="F662" s="395"/>
      <c r="G662" s="387"/>
      <c r="H662" s="181"/>
      <c r="I662" s="181"/>
      <c r="J662" s="181"/>
      <c r="K662" s="88"/>
      <c r="L662" s="387"/>
      <c r="M662" s="181"/>
      <c r="N662" s="181"/>
      <c r="O662" s="181"/>
      <c r="P662" s="88"/>
      <c r="Q662" s="155"/>
      <c r="R662" s="181"/>
      <c r="S662" s="181"/>
      <c r="T662" s="181"/>
      <c r="U662" s="395"/>
      <c r="V662" s="387"/>
      <c r="W662" s="181"/>
      <c r="X662" s="181"/>
      <c r="Y662" s="181"/>
      <c r="Z662" s="395"/>
      <c r="AA662" s="387"/>
      <c r="AB662" s="181"/>
      <c r="AC662" s="181"/>
      <c r="AD662" s="181"/>
      <c r="AE662" s="395"/>
      <c r="AF662" s="387"/>
      <c r="AG662" s="181"/>
      <c r="AH662" s="181"/>
      <c r="AI662" s="181"/>
      <c r="AJ662" s="395"/>
      <c r="AK662" s="387"/>
      <c r="AL662" s="181"/>
      <c r="AM662" s="181"/>
      <c r="AN662" s="181"/>
      <c r="AO662" s="370"/>
      <c r="AP662" s="370"/>
      <c r="AQ662" s="370"/>
      <c r="AR662" s="370"/>
      <c r="AS662" s="370"/>
    </row>
    <row r="663">
      <c r="A663" s="395"/>
      <c r="B663" s="387"/>
      <c r="C663" s="181"/>
      <c r="D663" s="181"/>
      <c r="E663" s="181"/>
      <c r="F663" s="395"/>
      <c r="G663" s="387"/>
      <c r="H663" s="181"/>
      <c r="I663" s="181"/>
      <c r="J663" s="181"/>
      <c r="K663" s="88"/>
      <c r="L663" s="387"/>
      <c r="M663" s="181"/>
      <c r="N663" s="181"/>
      <c r="O663" s="181"/>
      <c r="P663" s="88"/>
      <c r="Q663" s="155"/>
      <c r="R663" s="181"/>
      <c r="S663" s="181"/>
      <c r="T663" s="181"/>
      <c r="U663" s="395"/>
      <c r="V663" s="387"/>
      <c r="W663" s="181"/>
      <c r="X663" s="181"/>
      <c r="Y663" s="181"/>
      <c r="Z663" s="395"/>
      <c r="AA663" s="387"/>
      <c r="AB663" s="181"/>
      <c r="AC663" s="181"/>
      <c r="AD663" s="181"/>
      <c r="AE663" s="395"/>
      <c r="AF663" s="387"/>
      <c r="AG663" s="181"/>
      <c r="AH663" s="181"/>
      <c r="AI663" s="181"/>
      <c r="AJ663" s="395"/>
      <c r="AK663" s="387"/>
      <c r="AL663" s="181"/>
      <c r="AM663" s="181"/>
      <c r="AN663" s="181"/>
      <c r="AO663" s="370"/>
      <c r="AP663" s="370"/>
      <c r="AQ663" s="370"/>
      <c r="AR663" s="370"/>
      <c r="AS663" s="370"/>
    </row>
    <row r="664">
      <c r="A664" s="395"/>
      <c r="B664" s="387"/>
      <c r="C664" s="181"/>
      <c r="D664" s="181"/>
      <c r="E664" s="181"/>
      <c r="F664" s="395"/>
      <c r="G664" s="387"/>
      <c r="H664" s="181"/>
      <c r="I664" s="181"/>
      <c r="J664" s="181"/>
      <c r="K664" s="88"/>
      <c r="L664" s="387"/>
      <c r="M664" s="181"/>
      <c r="N664" s="181"/>
      <c r="O664" s="181"/>
      <c r="P664" s="88"/>
      <c r="Q664" s="155"/>
      <c r="R664" s="181"/>
      <c r="S664" s="181"/>
      <c r="T664" s="181"/>
      <c r="U664" s="395"/>
      <c r="V664" s="387"/>
      <c r="W664" s="181"/>
      <c r="X664" s="181"/>
      <c r="Y664" s="181"/>
      <c r="Z664" s="395"/>
      <c r="AA664" s="387"/>
      <c r="AB664" s="181"/>
      <c r="AC664" s="181"/>
      <c r="AD664" s="181"/>
      <c r="AE664" s="395"/>
      <c r="AF664" s="387"/>
      <c r="AG664" s="181"/>
      <c r="AH664" s="181"/>
      <c r="AI664" s="181"/>
      <c r="AJ664" s="395"/>
      <c r="AK664" s="387"/>
      <c r="AL664" s="181"/>
      <c r="AM664" s="181"/>
      <c r="AN664" s="181"/>
      <c r="AO664" s="370"/>
      <c r="AP664" s="370"/>
      <c r="AQ664" s="370"/>
      <c r="AR664" s="370"/>
      <c r="AS664" s="370"/>
    </row>
    <row r="665">
      <c r="A665" s="395"/>
      <c r="B665" s="387"/>
      <c r="C665" s="181"/>
      <c r="D665" s="181"/>
      <c r="E665" s="181"/>
      <c r="F665" s="395"/>
      <c r="G665" s="387"/>
      <c r="H665" s="181"/>
      <c r="I665" s="181"/>
      <c r="J665" s="181"/>
      <c r="K665" s="88"/>
      <c r="L665" s="387"/>
      <c r="M665" s="181"/>
      <c r="N665" s="181"/>
      <c r="O665" s="181"/>
      <c r="P665" s="88"/>
      <c r="Q665" s="155"/>
      <c r="R665" s="181"/>
      <c r="S665" s="181"/>
      <c r="T665" s="181"/>
      <c r="U665" s="395"/>
      <c r="V665" s="387"/>
      <c r="W665" s="181"/>
      <c r="X665" s="181"/>
      <c r="Y665" s="181"/>
      <c r="Z665" s="395"/>
      <c r="AA665" s="387"/>
      <c r="AB665" s="181"/>
      <c r="AC665" s="181"/>
      <c r="AD665" s="181"/>
      <c r="AE665" s="395"/>
      <c r="AF665" s="387"/>
      <c r="AG665" s="181"/>
      <c r="AH665" s="181"/>
      <c r="AI665" s="181"/>
      <c r="AJ665" s="395"/>
      <c r="AK665" s="387"/>
      <c r="AL665" s="181"/>
      <c r="AM665" s="181"/>
      <c r="AN665" s="181"/>
      <c r="AO665" s="370"/>
      <c r="AP665" s="370"/>
      <c r="AQ665" s="370"/>
      <c r="AR665" s="370"/>
      <c r="AS665" s="370"/>
    </row>
    <row r="666">
      <c r="A666" s="395"/>
      <c r="B666" s="387"/>
      <c r="C666" s="181"/>
      <c r="D666" s="181"/>
      <c r="E666" s="181"/>
      <c r="F666" s="395"/>
      <c r="G666" s="387"/>
      <c r="H666" s="181"/>
      <c r="I666" s="181"/>
      <c r="J666" s="181"/>
      <c r="K666" s="88"/>
      <c r="L666" s="387"/>
      <c r="M666" s="181"/>
      <c r="N666" s="181"/>
      <c r="O666" s="181"/>
      <c r="P666" s="88"/>
      <c r="Q666" s="155"/>
      <c r="R666" s="181"/>
      <c r="S666" s="181"/>
      <c r="T666" s="181"/>
      <c r="U666" s="395"/>
      <c r="V666" s="387"/>
      <c r="W666" s="181"/>
      <c r="X666" s="181"/>
      <c r="Y666" s="181"/>
      <c r="Z666" s="395"/>
      <c r="AA666" s="387"/>
      <c r="AB666" s="181"/>
      <c r="AC666" s="181"/>
      <c r="AD666" s="181"/>
      <c r="AE666" s="395"/>
      <c r="AF666" s="387"/>
      <c r="AG666" s="181"/>
      <c r="AH666" s="181"/>
      <c r="AI666" s="181"/>
      <c r="AJ666" s="395"/>
      <c r="AK666" s="387"/>
      <c r="AL666" s="181"/>
      <c r="AM666" s="181"/>
      <c r="AN666" s="181"/>
      <c r="AO666" s="370"/>
      <c r="AP666" s="370"/>
      <c r="AQ666" s="370"/>
      <c r="AR666" s="370"/>
      <c r="AS666" s="370"/>
    </row>
    <row r="667">
      <c r="A667" s="395"/>
      <c r="B667" s="387"/>
      <c r="C667" s="181"/>
      <c r="D667" s="181"/>
      <c r="E667" s="181"/>
      <c r="F667" s="395"/>
      <c r="G667" s="387"/>
      <c r="H667" s="181"/>
      <c r="I667" s="181"/>
      <c r="J667" s="181"/>
      <c r="K667" s="88"/>
      <c r="L667" s="387"/>
      <c r="M667" s="181"/>
      <c r="N667" s="181"/>
      <c r="O667" s="181"/>
      <c r="P667" s="88"/>
      <c r="Q667" s="155"/>
      <c r="R667" s="181"/>
      <c r="S667" s="181"/>
      <c r="T667" s="181"/>
      <c r="U667" s="395"/>
      <c r="V667" s="387"/>
      <c r="W667" s="181"/>
      <c r="X667" s="181"/>
      <c r="Y667" s="181"/>
      <c r="Z667" s="395"/>
      <c r="AA667" s="387"/>
      <c r="AB667" s="181"/>
      <c r="AC667" s="181"/>
      <c r="AD667" s="181"/>
      <c r="AE667" s="395"/>
      <c r="AF667" s="387"/>
      <c r="AG667" s="181"/>
      <c r="AH667" s="181"/>
      <c r="AI667" s="181"/>
      <c r="AJ667" s="395"/>
      <c r="AK667" s="387"/>
      <c r="AL667" s="181"/>
      <c r="AM667" s="181"/>
      <c r="AN667" s="181"/>
      <c r="AO667" s="370"/>
      <c r="AP667" s="370"/>
      <c r="AQ667" s="370"/>
      <c r="AR667" s="370"/>
      <c r="AS667" s="370"/>
    </row>
    <row r="668">
      <c r="A668" s="395"/>
      <c r="B668" s="387"/>
      <c r="C668" s="181"/>
      <c r="D668" s="181"/>
      <c r="E668" s="181"/>
      <c r="F668" s="395"/>
      <c r="G668" s="387"/>
      <c r="H668" s="181"/>
      <c r="I668" s="181"/>
      <c r="J668" s="181"/>
      <c r="K668" s="88"/>
      <c r="L668" s="387"/>
      <c r="M668" s="181"/>
      <c r="N668" s="181"/>
      <c r="O668" s="181"/>
      <c r="P668" s="88"/>
      <c r="Q668" s="155"/>
      <c r="R668" s="181"/>
      <c r="S668" s="181"/>
      <c r="T668" s="181"/>
      <c r="U668" s="395"/>
      <c r="V668" s="387"/>
      <c r="W668" s="181"/>
      <c r="X668" s="181"/>
      <c r="Y668" s="181"/>
      <c r="Z668" s="395"/>
      <c r="AA668" s="387"/>
      <c r="AB668" s="181"/>
      <c r="AC668" s="181"/>
      <c r="AD668" s="181"/>
      <c r="AE668" s="395"/>
      <c r="AF668" s="387"/>
      <c r="AG668" s="181"/>
      <c r="AH668" s="181"/>
      <c r="AI668" s="181"/>
      <c r="AJ668" s="395"/>
      <c r="AK668" s="387"/>
      <c r="AL668" s="181"/>
      <c r="AM668" s="181"/>
      <c r="AN668" s="181"/>
      <c r="AO668" s="370"/>
      <c r="AP668" s="370"/>
      <c r="AQ668" s="370"/>
      <c r="AR668" s="370"/>
      <c r="AS668" s="370"/>
    </row>
    <row r="669">
      <c r="A669" s="395"/>
      <c r="B669" s="387"/>
      <c r="C669" s="181"/>
      <c r="D669" s="181"/>
      <c r="E669" s="181"/>
      <c r="F669" s="395"/>
      <c r="G669" s="387"/>
      <c r="H669" s="181"/>
      <c r="I669" s="181"/>
      <c r="J669" s="181"/>
      <c r="K669" s="88"/>
      <c r="L669" s="387"/>
      <c r="M669" s="181"/>
      <c r="N669" s="181"/>
      <c r="O669" s="181"/>
      <c r="P669" s="88"/>
      <c r="Q669" s="155"/>
      <c r="R669" s="181"/>
      <c r="S669" s="181"/>
      <c r="T669" s="181"/>
      <c r="U669" s="395"/>
      <c r="V669" s="387"/>
      <c r="W669" s="181"/>
      <c r="X669" s="181"/>
      <c r="Y669" s="181"/>
      <c r="Z669" s="395"/>
      <c r="AA669" s="387"/>
      <c r="AB669" s="181"/>
      <c r="AC669" s="181"/>
      <c r="AD669" s="181"/>
      <c r="AE669" s="395"/>
      <c r="AF669" s="387"/>
      <c r="AG669" s="181"/>
      <c r="AH669" s="181"/>
      <c r="AI669" s="181"/>
      <c r="AJ669" s="395"/>
      <c r="AK669" s="387"/>
      <c r="AL669" s="181"/>
      <c r="AM669" s="181"/>
      <c r="AN669" s="181"/>
      <c r="AO669" s="370"/>
      <c r="AP669" s="370"/>
      <c r="AQ669" s="370"/>
      <c r="AR669" s="370"/>
      <c r="AS669" s="370"/>
    </row>
    <row r="670">
      <c r="A670" s="395"/>
      <c r="B670" s="387"/>
      <c r="C670" s="181"/>
      <c r="D670" s="181"/>
      <c r="E670" s="181"/>
      <c r="F670" s="395"/>
      <c r="G670" s="387"/>
      <c r="H670" s="181"/>
      <c r="I670" s="181"/>
      <c r="J670" s="181"/>
      <c r="K670" s="88"/>
      <c r="L670" s="387"/>
      <c r="M670" s="181"/>
      <c r="N670" s="181"/>
      <c r="O670" s="181"/>
      <c r="P670" s="88"/>
      <c r="Q670" s="155"/>
      <c r="R670" s="181"/>
      <c r="S670" s="181"/>
      <c r="T670" s="181"/>
      <c r="U670" s="395"/>
      <c r="V670" s="387"/>
      <c r="W670" s="181"/>
      <c r="X670" s="181"/>
      <c r="Y670" s="181"/>
      <c r="Z670" s="395"/>
      <c r="AA670" s="387"/>
      <c r="AB670" s="181"/>
      <c r="AC670" s="181"/>
      <c r="AD670" s="181"/>
      <c r="AE670" s="395"/>
      <c r="AF670" s="387"/>
      <c r="AG670" s="181"/>
      <c r="AH670" s="181"/>
      <c r="AI670" s="181"/>
      <c r="AJ670" s="395"/>
      <c r="AK670" s="387"/>
      <c r="AL670" s="181"/>
      <c r="AM670" s="181"/>
      <c r="AN670" s="181"/>
      <c r="AO670" s="370"/>
      <c r="AP670" s="370"/>
      <c r="AQ670" s="370"/>
      <c r="AR670" s="370"/>
      <c r="AS670" s="370"/>
    </row>
    <row r="671">
      <c r="A671" s="395"/>
      <c r="B671" s="387"/>
      <c r="C671" s="181"/>
      <c r="D671" s="181"/>
      <c r="E671" s="181"/>
      <c r="F671" s="395"/>
      <c r="G671" s="387"/>
      <c r="H671" s="181"/>
      <c r="I671" s="181"/>
      <c r="J671" s="181"/>
      <c r="K671" s="88"/>
      <c r="L671" s="387"/>
      <c r="M671" s="181"/>
      <c r="N671" s="181"/>
      <c r="O671" s="181"/>
      <c r="P671" s="88"/>
      <c r="Q671" s="155"/>
      <c r="R671" s="181"/>
      <c r="S671" s="181"/>
      <c r="T671" s="181"/>
      <c r="U671" s="395"/>
      <c r="V671" s="387"/>
      <c r="W671" s="181"/>
      <c r="X671" s="181"/>
      <c r="Y671" s="181"/>
      <c r="Z671" s="395"/>
      <c r="AA671" s="387"/>
      <c r="AB671" s="181"/>
      <c r="AC671" s="181"/>
      <c r="AD671" s="181"/>
      <c r="AE671" s="395"/>
      <c r="AF671" s="387"/>
      <c r="AG671" s="181"/>
      <c r="AH671" s="181"/>
      <c r="AI671" s="181"/>
      <c r="AJ671" s="395"/>
      <c r="AK671" s="387"/>
      <c r="AL671" s="181"/>
      <c r="AM671" s="181"/>
      <c r="AN671" s="181"/>
      <c r="AO671" s="370"/>
      <c r="AP671" s="370"/>
      <c r="AQ671" s="370"/>
      <c r="AR671" s="370"/>
      <c r="AS671" s="370"/>
    </row>
    <row r="672">
      <c r="A672" s="395"/>
      <c r="B672" s="387"/>
      <c r="C672" s="181"/>
      <c r="D672" s="181"/>
      <c r="E672" s="181"/>
      <c r="F672" s="395"/>
      <c r="G672" s="387"/>
      <c r="H672" s="181"/>
      <c r="I672" s="181"/>
      <c r="J672" s="181"/>
      <c r="K672" s="88"/>
      <c r="L672" s="387"/>
      <c r="M672" s="181"/>
      <c r="N672" s="181"/>
      <c r="O672" s="181"/>
      <c r="P672" s="88"/>
      <c r="Q672" s="155"/>
      <c r="R672" s="181"/>
      <c r="S672" s="181"/>
      <c r="T672" s="181"/>
      <c r="U672" s="395"/>
      <c r="V672" s="387"/>
      <c r="W672" s="181"/>
      <c r="X672" s="181"/>
      <c r="Y672" s="181"/>
      <c r="Z672" s="395"/>
      <c r="AA672" s="387"/>
      <c r="AB672" s="181"/>
      <c r="AC672" s="181"/>
      <c r="AD672" s="181"/>
      <c r="AE672" s="395"/>
      <c r="AF672" s="387"/>
      <c r="AG672" s="181"/>
      <c r="AH672" s="181"/>
      <c r="AI672" s="181"/>
      <c r="AJ672" s="395"/>
      <c r="AK672" s="387"/>
      <c r="AL672" s="181"/>
      <c r="AM672" s="181"/>
      <c r="AN672" s="181"/>
      <c r="AO672" s="370"/>
      <c r="AP672" s="370"/>
      <c r="AQ672" s="370"/>
      <c r="AR672" s="370"/>
      <c r="AS672" s="370"/>
    </row>
    <row r="673">
      <c r="A673" s="395"/>
      <c r="B673" s="387"/>
      <c r="C673" s="181"/>
      <c r="D673" s="181"/>
      <c r="E673" s="181"/>
      <c r="F673" s="395"/>
      <c r="G673" s="387"/>
      <c r="H673" s="181"/>
      <c r="I673" s="181"/>
      <c r="J673" s="181"/>
      <c r="K673" s="88"/>
      <c r="L673" s="387"/>
      <c r="M673" s="181"/>
      <c r="N673" s="181"/>
      <c r="O673" s="181"/>
      <c r="P673" s="88"/>
      <c r="Q673" s="155"/>
      <c r="R673" s="181"/>
      <c r="S673" s="181"/>
      <c r="T673" s="181"/>
      <c r="U673" s="395"/>
      <c r="V673" s="387"/>
      <c r="W673" s="181"/>
      <c r="X673" s="181"/>
      <c r="Y673" s="181"/>
      <c r="Z673" s="395"/>
      <c r="AA673" s="387"/>
      <c r="AB673" s="181"/>
      <c r="AC673" s="181"/>
      <c r="AD673" s="181"/>
      <c r="AE673" s="395"/>
      <c r="AF673" s="387"/>
      <c r="AG673" s="181"/>
      <c r="AH673" s="181"/>
      <c r="AI673" s="181"/>
      <c r="AJ673" s="395"/>
      <c r="AK673" s="387"/>
      <c r="AL673" s="181"/>
      <c r="AM673" s="181"/>
      <c r="AN673" s="181"/>
      <c r="AO673" s="370"/>
      <c r="AP673" s="370"/>
      <c r="AQ673" s="370"/>
      <c r="AR673" s="370"/>
      <c r="AS673" s="370"/>
    </row>
    <row r="674">
      <c r="A674" s="395"/>
      <c r="B674" s="387"/>
      <c r="C674" s="181"/>
      <c r="D674" s="181"/>
      <c r="E674" s="181"/>
      <c r="F674" s="395"/>
      <c r="G674" s="387"/>
      <c r="H674" s="181"/>
      <c r="I674" s="181"/>
      <c r="J674" s="181"/>
      <c r="K674" s="88"/>
      <c r="L674" s="387"/>
      <c r="M674" s="181"/>
      <c r="N674" s="181"/>
      <c r="O674" s="181"/>
      <c r="P674" s="88"/>
      <c r="Q674" s="155"/>
      <c r="R674" s="181"/>
      <c r="S674" s="181"/>
      <c r="T674" s="181"/>
      <c r="U674" s="395"/>
      <c r="V674" s="387"/>
      <c r="W674" s="181"/>
      <c r="X674" s="181"/>
      <c r="Y674" s="181"/>
      <c r="Z674" s="395"/>
      <c r="AA674" s="387"/>
      <c r="AB674" s="181"/>
      <c r="AC674" s="181"/>
      <c r="AD674" s="181"/>
      <c r="AE674" s="395"/>
      <c r="AF674" s="387"/>
      <c r="AG674" s="181"/>
      <c r="AH674" s="181"/>
      <c r="AI674" s="181"/>
      <c r="AJ674" s="395"/>
      <c r="AK674" s="387"/>
      <c r="AL674" s="181"/>
      <c r="AM674" s="181"/>
      <c r="AN674" s="181"/>
      <c r="AO674" s="370"/>
      <c r="AP674" s="370"/>
      <c r="AQ674" s="370"/>
      <c r="AR674" s="370"/>
      <c r="AS674" s="370"/>
    </row>
    <row r="675">
      <c r="A675" s="395"/>
      <c r="B675" s="387"/>
      <c r="C675" s="181"/>
      <c r="D675" s="181"/>
      <c r="E675" s="181"/>
      <c r="F675" s="395"/>
      <c r="G675" s="387"/>
      <c r="H675" s="181"/>
      <c r="I675" s="181"/>
      <c r="J675" s="181"/>
      <c r="K675" s="88"/>
      <c r="L675" s="387"/>
      <c r="M675" s="181"/>
      <c r="N675" s="181"/>
      <c r="O675" s="181"/>
      <c r="P675" s="88"/>
      <c r="Q675" s="155"/>
      <c r="R675" s="181"/>
      <c r="S675" s="181"/>
      <c r="T675" s="181"/>
      <c r="U675" s="395"/>
      <c r="V675" s="387"/>
      <c r="W675" s="181"/>
      <c r="X675" s="181"/>
      <c r="Y675" s="181"/>
      <c r="Z675" s="395"/>
      <c r="AA675" s="387"/>
      <c r="AB675" s="181"/>
      <c r="AC675" s="181"/>
      <c r="AD675" s="181"/>
      <c r="AE675" s="395"/>
      <c r="AF675" s="387"/>
      <c r="AG675" s="181"/>
      <c r="AH675" s="181"/>
      <c r="AI675" s="181"/>
      <c r="AJ675" s="395"/>
      <c r="AK675" s="387"/>
      <c r="AL675" s="181"/>
      <c r="AM675" s="181"/>
      <c r="AN675" s="181"/>
      <c r="AO675" s="370"/>
      <c r="AP675" s="370"/>
      <c r="AQ675" s="370"/>
      <c r="AR675" s="370"/>
      <c r="AS675" s="370"/>
    </row>
    <row r="676">
      <c r="A676" s="395"/>
      <c r="B676" s="387"/>
      <c r="C676" s="181"/>
      <c r="D676" s="181"/>
      <c r="E676" s="181"/>
      <c r="F676" s="395"/>
      <c r="G676" s="387"/>
      <c r="H676" s="181"/>
      <c r="I676" s="181"/>
      <c r="J676" s="181"/>
      <c r="K676" s="88"/>
      <c r="L676" s="387"/>
      <c r="M676" s="181"/>
      <c r="N676" s="181"/>
      <c r="O676" s="181"/>
      <c r="P676" s="88"/>
      <c r="Q676" s="155"/>
      <c r="R676" s="181"/>
      <c r="S676" s="181"/>
      <c r="T676" s="181"/>
      <c r="U676" s="395"/>
      <c r="V676" s="387"/>
      <c r="W676" s="181"/>
      <c r="X676" s="181"/>
      <c r="Y676" s="181"/>
      <c r="Z676" s="395"/>
      <c r="AA676" s="387"/>
      <c r="AB676" s="181"/>
      <c r="AC676" s="181"/>
      <c r="AD676" s="181"/>
      <c r="AE676" s="395"/>
      <c r="AF676" s="387"/>
      <c r="AG676" s="181"/>
      <c r="AH676" s="181"/>
      <c r="AI676" s="181"/>
      <c r="AJ676" s="395"/>
      <c r="AK676" s="387"/>
      <c r="AL676" s="181"/>
      <c r="AM676" s="181"/>
      <c r="AN676" s="181"/>
      <c r="AO676" s="370"/>
      <c r="AP676" s="370"/>
      <c r="AQ676" s="370"/>
      <c r="AR676" s="370"/>
      <c r="AS676" s="370"/>
    </row>
    <row r="677">
      <c r="A677" s="395"/>
      <c r="B677" s="387"/>
      <c r="C677" s="181"/>
      <c r="D677" s="181"/>
      <c r="E677" s="181"/>
      <c r="F677" s="395"/>
      <c r="G677" s="387"/>
      <c r="H677" s="181"/>
      <c r="I677" s="181"/>
      <c r="J677" s="181"/>
      <c r="K677" s="88"/>
      <c r="L677" s="387"/>
      <c r="M677" s="181"/>
      <c r="N677" s="181"/>
      <c r="O677" s="181"/>
      <c r="P677" s="88"/>
      <c r="Q677" s="155"/>
      <c r="R677" s="181"/>
      <c r="S677" s="181"/>
      <c r="T677" s="181"/>
      <c r="U677" s="395"/>
      <c r="V677" s="387"/>
      <c r="W677" s="181"/>
      <c r="X677" s="181"/>
      <c r="Y677" s="181"/>
      <c r="Z677" s="395"/>
      <c r="AA677" s="387"/>
      <c r="AB677" s="181"/>
      <c r="AC677" s="181"/>
      <c r="AD677" s="181"/>
      <c r="AE677" s="395"/>
      <c r="AF677" s="387"/>
      <c r="AG677" s="181"/>
      <c r="AH677" s="181"/>
      <c r="AI677" s="181"/>
      <c r="AJ677" s="395"/>
      <c r="AK677" s="387"/>
      <c r="AL677" s="181"/>
      <c r="AM677" s="181"/>
      <c r="AN677" s="181"/>
      <c r="AO677" s="370"/>
      <c r="AP677" s="370"/>
      <c r="AQ677" s="370"/>
      <c r="AR677" s="370"/>
      <c r="AS677" s="370"/>
    </row>
    <row r="678">
      <c r="A678" s="395"/>
      <c r="B678" s="387"/>
      <c r="C678" s="181"/>
      <c r="D678" s="181"/>
      <c r="E678" s="181"/>
      <c r="F678" s="395"/>
      <c r="G678" s="387"/>
      <c r="H678" s="181"/>
      <c r="I678" s="181"/>
      <c r="J678" s="181"/>
      <c r="K678" s="88"/>
      <c r="L678" s="387"/>
      <c r="M678" s="181"/>
      <c r="N678" s="181"/>
      <c r="O678" s="181"/>
      <c r="P678" s="88"/>
      <c r="Q678" s="155"/>
      <c r="R678" s="181"/>
      <c r="S678" s="181"/>
      <c r="T678" s="181"/>
      <c r="U678" s="395"/>
      <c r="V678" s="387"/>
      <c r="W678" s="181"/>
      <c r="X678" s="181"/>
      <c r="Y678" s="181"/>
      <c r="Z678" s="395"/>
      <c r="AA678" s="387"/>
      <c r="AB678" s="181"/>
      <c r="AC678" s="181"/>
      <c r="AD678" s="181"/>
      <c r="AE678" s="395"/>
      <c r="AF678" s="387"/>
      <c r="AG678" s="181"/>
      <c r="AH678" s="181"/>
      <c r="AI678" s="181"/>
      <c r="AJ678" s="395"/>
      <c r="AK678" s="387"/>
      <c r="AL678" s="181"/>
      <c r="AM678" s="181"/>
      <c r="AN678" s="181"/>
      <c r="AO678" s="370"/>
      <c r="AP678" s="370"/>
      <c r="AQ678" s="370"/>
      <c r="AR678" s="370"/>
      <c r="AS678" s="370"/>
    </row>
    <row r="679">
      <c r="A679" s="395"/>
      <c r="B679" s="387"/>
      <c r="C679" s="181"/>
      <c r="D679" s="181"/>
      <c r="E679" s="181"/>
      <c r="F679" s="395"/>
      <c r="G679" s="387"/>
      <c r="H679" s="181"/>
      <c r="I679" s="181"/>
      <c r="J679" s="181"/>
      <c r="K679" s="88"/>
      <c r="L679" s="387"/>
      <c r="M679" s="181"/>
      <c r="N679" s="181"/>
      <c r="O679" s="181"/>
      <c r="P679" s="88"/>
      <c r="Q679" s="155"/>
      <c r="R679" s="181"/>
      <c r="S679" s="181"/>
      <c r="T679" s="181"/>
      <c r="U679" s="395"/>
      <c r="V679" s="387"/>
      <c r="W679" s="181"/>
      <c r="X679" s="181"/>
      <c r="Y679" s="181"/>
      <c r="Z679" s="395"/>
      <c r="AA679" s="387"/>
      <c r="AB679" s="181"/>
      <c r="AC679" s="181"/>
      <c r="AD679" s="181"/>
      <c r="AE679" s="395"/>
      <c r="AF679" s="387"/>
      <c r="AG679" s="181"/>
      <c r="AH679" s="181"/>
      <c r="AI679" s="181"/>
      <c r="AJ679" s="395"/>
      <c r="AK679" s="387"/>
      <c r="AL679" s="181"/>
      <c r="AM679" s="181"/>
      <c r="AN679" s="181"/>
      <c r="AO679" s="370"/>
      <c r="AP679" s="370"/>
      <c r="AQ679" s="370"/>
      <c r="AR679" s="370"/>
      <c r="AS679" s="370"/>
    </row>
    <row r="680">
      <c r="A680" s="395"/>
      <c r="B680" s="387"/>
      <c r="C680" s="181"/>
      <c r="D680" s="181"/>
      <c r="E680" s="181"/>
      <c r="F680" s="395"/>
      <c r="G680" s="387"/>
      <c r="H680" s="181"/>
      <c r="I680" s="181"/>
      <c r="J680" s="181"/>
      <c r="K680" s="88"/>
      <c r="L680" s="387"/>
      <c r="M680" s="181"/>
      <c r="N680" s="181"/>
      <c r="O680" s="181"/>
      <c r="P680" s="88"/>
      <c r="Q680" s="155"/>
      <c r="R680" s="181"/>
      <c r="S680" s="181"/>
      <c r="T680" s="181"/>
      <c r="U680" s="395"/>
      <c r="V680" s="387"/>
      <c r="W680" s="181"/>
      <c r="X680" s="181"/>
      <c r="Y680" s="181"/>
      <c r="Z680" s="395"/>
      <c r="AA680" s="387"/>
      <c r="AB680" s="181"/>
      <c r="AC680" s="181"/>
      <c r="AD680" s="181"/>
      <c r="AE680" s="395"/>
      <c r="AF680" s="387"/>
      <c r="AG680" s="181"/>
      <c r="AH680" s="181"/>
      <c r="AI680" s="181"/>
      <c r="AJ680" s="395"/>
      <c r="AK680" s="387"/>
      <c r="AL680" s="181"/>
      <c r="AM680" s="181"/>
      <c r="AN680" s="181"/>
      <c r="AO680" s="370"/>
      <c r="AP680" s="370"/>
      <c r="AQ680" s="370"/>
      <c r="AR680" s="370"/>
      <c r="AS680" s="370"/>
    </row>
    <row r="681">
      <c r="A681" s="395"/>
      <c r="B681" s="387"/>
      <c r="C681" s="181"/>
      <c r="D681" s="181"/>
      <c r="E681" s="181"/>
      <c r="F681" s="395"/>
      <c r="G681" s="387"/>
      <c r="H681" s="181"/>
      <c r="I681" s="181"/>
      <c r="J681" s="181"/>
      <c r="K681" s="88"/>
      <c r="L681" s="387"/>
      <c r="M681" s="181"/>
      <c r="N681" s="181"/>
      <c r="O681" s="181"/>
      <c r="P681" s="88"/>
      <c r="Q681" s="155"/>
      <c r="R681" s="181"/>
      <c r="S681" s="181"/>
      <c r="T681" s="181"/>
      <c r="U681" s="395"/>
      <c r="V681" s="387"/>
      <c r="W681" s="181"/>
      <c r="X681" s="181"/>
      <c r="Y681" s="181"/>
      <c r="Z681" s="395"/>
      <c r="AA681" s="387"/>
      <c r="AB681" s="181"/>
      <c r="AC681" s="181"/>
      <c r="AD681" s="181"/>
      <c r="AE681" s="395"/>
      <c r="AF681" s="387"/>
      <c r="AG681" s="181"/>
      <c r="AH681" s="181"/>
      <c r="AI681" s="181"/>
      <c r="AJ681" s="395"/>
      <c r="AK681" s="387"/>
      <c r="AL681" s="181"/>
      <c r="AM681" s="181"/>
      <c r="AN681" s="181"/>
      <c r="AO681" s="370"/>
      <c r="AP681" s="370"/>
      <c r="AQ681" s="370"/>
      <c r="AR681" s="370"/>
      <c r="AS681" s="370"/>
    </row>
    <row r="682">
      <c r="A682" s="395"/>
      <c r="B682" s="387"/>
      <c r="C682" s="181"/>
      <c r="D682" s="181"/>
      <c r="E682" s="181"/>
      <c r="F682" s="395"/>
      <c r="G682" s="387"/>
      <c r="H682" s="181"/>
      <c r="I682" s="181"/>
      <c r="J682" s="181"/>
      <c r="K682" s="88"/>
      <c r="L682" s="387"/>
      <c r="M682" s="181"/>
      <c r="N682" s="181"/>
      <c r="O682" s="181"/>
      <c r="P682" s="88"/>
      <c r="Q682" s="155"/>
      <c r="R682" s="181"/>
      <c r="S682" s="181"/>
      <c r="T682" s="181"/>
      <c r="U682" s="395"/>
      <c r="V682" s="387"/>
      <c r="W682" s="181"/>
      <c r="X682" s="181"/>
      <c r="Y682" s="181"/>
      <c r="Z682" s="395"/>
      <c r="AA682" s="387"/>
      <c r="AB682" s="181"/>
      <c r="AC682" s="181"/>
      <c r="AD682" s="181"/>
      <c r="AE682" s="395"/>
      <c r="AF682" s="387"/>
      <c r="AG682" s="181"/>
      <c r="AH682" s="181"/>
      <c r="AI682" s="181"/>
      <c r="AJ682" s="395"/>
      <c r="AK682" s="387"/>
      <c r="AL682" s="181"/>
      <c r="AM682" s="181"/>
      <c r="AN682" s="181"/>
      <c r="AO682" s="370"/>
      <c r="AP682" s="370"/>
      <c r="AQ682" s="370"/>
      <c r="AR682" s="370"/>
      <c r="AS682" s="370"/>
    </row>
    <row r="683">
      <c r="A683" s="395"/>
      <c r="B683" s="387"/>
      <c r="C683" s="181"/>
      <c r="D683" s="181"/>
      <c r="E683" s="181"/>
      <c r="F683" s="395"/>
      <c r="G683" s="387"/>
      <c r="H683" s="181"/>
      <c r="I683" s="181"/>
      <c r="J683" s="181"/>
      <c r="K683" s="88"/>
      <c r="L683" s="387"/>
      <c r="M683" s="181"/>
      <c r="N683" s="181"/>
      <c r="O683" s="181"/>
      <c r="P683" s="88"/>
      <c r="Q683" s="155"/>
      <c r="R683" s="181"/>
      <c r="S683" s="181"/>
      <c r="T683" s="181"/>
      <c r="U683" s="395"/>
      <c r="V683" s="387"/>
      <c r="W683" s="181"/>
      <c r="X683" s="181"/>
      <c r="Y683" s="181"/>
      <c r="Z683" s="395"/>
      <c r="AA683" s="387"/>
      <c r="AB683" s="181"/>
      <c r="AC683" s="181"/>
      <c r="AD683" s="181"/>
      <c r="AE683" s="395"/>
      <c r="AF683" s="387"/>
      <c r="AG683" s="181"/>
      <c r="AH683" s="181"/>
      <c r="AI683" s="181"/>
      <c r="AJ683" s="395"/>
      <c r="AK683" s="387"/>
      <c r="AL683" s="181"/>
      <c r="AM683" s="181"/>
      <c r="AN683" s="181"/>
      <c r="AO683" s="370"/>
      <c r="AP683" s="370"/>
      <c r="AQ683" s="370"/>
      <c r="AR683" s="370"/>
      <c r="AS683" s="370"/>
    </row>
    <row r="684">
      <c r="A684" s="395"/>
      <c r="B684" s="387"/>
      <c r="C684" s="181"/>
      <c r="D684" s="181"/>
      <c r="E684" s="181"/>
      <c r="F684" s="395"/>
      <c r="G684" s="387"/>
      <c r="H684" s="181"/>
      <c r="I684" s="181"/>
      <c r="J684" s="181"/>
      <c r="K684" s="88"/>
      <c r="L684" s="387"/>
      <c r="M684" s="181"/>
      <c r="N684" s="181"/>
      <c r="O684" s="181"/>
      <c r="P684" s="88"/>
      <c r="Q684" s="155"/>
      <c r="R684" s="181"/>
      <c r="S684" s="181"/>
      <c r="T684" s="181"/>
      <c r="U684" s="395"/>
      <c r="V684" s="387"/>
      <c r="W684" s="181"/>
      <c r="X684" s="181"/>
      <c r="Y684" s="181"/>
      <c r="Z684" s="395"/>
      <c r="AA684" s="387"/>
      <c r="AB684" s="181"/>
      <c r="AC684" s="181"/>
      <c r="AD684" s="181"/>
      <c r="AE684" s="395"/>
      <c r="AF684" s="387"/>
      <c r="AG684" s="181"/>
      <c r="AH684" s="181"/>
      <c r="AI684" s="181"/>
      <c r="AJ684" s="395"/>
      <c r="AK684" s="387"/>
      <c r="AL684" s="181"/>
      <c r="AM684" s="181"/>
      <c r="AN684" s="181"/>
      <c r="AO684" s="370"/>
      <c r="AP684" s="370"/>
      <c r="AQ684" s="370"/>
      <c r="AR684" s="370"/>
      <c r="AS684" s="370"/>
    </row>
    <row r="685">
      <c r="A685" s="395"/>
      <c r="B685" s="387"/>
      <c r="C685" s="181"/>
      <c r="D685" s="181"/>
      <c r="E685" s="181"/>
      <c r="F685" s="395"/>
      <c r="G685" s="387"/>
      <c r="H685" s="181"/>
      <c r="I685" s="181"/>
      <c r="J685" s="181"/>
      <c r="K685" s="88"/>
      <c r="L685" s="387"/>
      <c r="M685" s="181"/>
      <c r="N685" s="181"/>
      <c r="O685" s="181"/>
      <c r="P685" s="88"/>
      <c r="Q685" s="155"/>
      <c r="R685" s="181"/>
      <c r="S685" s="181"/>
      <c r="T685" s="181"/>
      <c r="U685" s="395"/>
      <c r="V685" s="387"/>
      <c r="W685" s="181"/>
      <c r="X685" s="181"/>
      <c r="Y685" s="181"/>
      <c r="Z685" s="395"/>
      <c r="AA685" s="387"/>
      <c r="AB685" s="181"/>
      <c r="AC685" s="181"/>
      <c r="AD685" s="181"/>
      <c r="AE685" s="395"/>
      <c r="AF685" s="387"/>
      <c r="AG685" s="181"/>
      <c r="AH685" s="181"/>
      <c r="AI685" s="181"/>
      <c r="AJ685" s="395"/>
      <c r="AK685" s="387"/>
      <c r="AL685" s="181"/>
      <c r="AM685" s="181"/>
      <c r="AN685" s="181"/>
      <c r="AO685" s="370"/>
      <c r="AP685" s="370"/>
      <c r="AQ685" s="370"/>
      <c r="AR685" s="370"/>
      <c r="AS685" s="370"/>
    </row>
    <row r="686">
      <c r="A686" s="395"/>
      <c r="B686" s="387"/>
      <c r="C686" s="181"/>
      <c r="D686" s="181"/>
      <c r="E686" s="181"/>
      <c r="F686" s="395"/>
      <c r="G686" s="387"/>
      <c r="H686" s="181"/>
      <c r="I686" s="181"/>
      <c r="J686" s="181"/>
      <c r="K686" s="88"/>
      <c r="L686" s="387"/>
      <c r="M686" s="181"/>
      <c r="N686" s="181"/>
      <c r="O686" s="181"/>
      <c r="P686" s="88"/>
      <c r="Q686" s="155"/>
      <c r="R686" s="181"/>
      <c r="S686" s="181"/>
      <c r="T686" s="181"/>
      <c r="U686" s="395"/>
      <c r="V686" s="387"/>
      <c r="W686" s="181"/>
      <c r="X686" s="181"/>
      <c r="Y686" s="181"/>
      <c r="Z686" s="395"/>
      <c r="AA686" s="387"/>
      <c r="AB686" s="181"/>
      <c r="AC686" s="181"/>
      <c r="AD686" s="181"/>
      <c r="AE686" s="395"/>
      <c r="AF686" s="387"/>
      <c r="AG686" s="181"/>
      <c r="AH686" s="181"/>
      <c r="AI686" s="181"/>
      <c r="AJ686" s="395"/>
      <c r="AK686" s="387"/>
      <c r="AL686" s="181"/>
      <c r="AM686" s="181"/>
      <c r="AN686" s="181"/>
      <c r="AO686" s="370"/>
      <c r="AP686" s="370"/>
      <c r="AQ686" s="370"/>
      <c r="AR686" s="370"/>
      <c r="AS686" s="370"/>
    </row>
    <row r="687">
      <c r="A687" s="395"/>
      <c r="B687" s="387"/>
      <c r="C687" s="181"/>
      <c r="D687" s="181"/>
      <c r="E687" s="181"/>
      <c r="F687" s="395"/>
      <c r="G687" s="387"/>
      <c r="H687" s="181"/>
      <c r="I687" s="181"/>
      <c r="J687" s="181"/>
      <c r="K687" s="88"/>
      <c r="L687" s="387"/>
      <c r="M687" s="181"/>
      <c r="N687" s="181"/>
      <c r="O687" s="181"/>
      <c r="P687" s="88"/>
      <c r="Q687" s="155"/>
      <c r="R687" s="181"/>
      <c r="S687" s="181"/>
      <c r="T687" s="181"/>
      <c r="U687" s="395"/>
      <c r="V687" s="387"/>
      <c r="W687" s="181"/>
      <c r="X687" s="181"/>
      <c r="Y687" s="181"/>
      <c r="Z687" s="395"/>
      <c r="AA687" s="387"/>
      <c r="AB687" s="181"/>
      <c r="AC687" s="181"/>
      <c r="AD687" s="181"/>
      <c r="AE687" s="395"/>
      <c r="AF687" s="387"/>
      <c r="AG687" s="181"/>
      <c r="AH687" s="181"/>
      <c r="AI687" s="181"/>
      <c r="AJ687" s="395"/>
      <c r="AK687" s="387"/>
      <c r="AL687" s="181"/>
      <c r="AM687" s="181"/>
      <c r="AN687" s="181"/>
      <c r="AO687" s="370"/>
      <c r="AP687" s="370"/>
      <c r="AQ687" s="370"/>
      <c r="AR687" s="370"/>
      <c r="AS687" s="370"/>
    </row>
    <row r="688">
      <c r="A688" s="395"/>
      <c r="B688" s="387"/>
      <c r="C688" s="181"/>
      <c r="D688" s="181"/>
      <c r="E688" s="181"/>
      <c r="F688" s="395"/>
      <c r="G688" s="387"/>
      <c r="H688" s="181"/>
      <c r="I688" s="181"/>
      <c r="J688" s="181"/>
      <c r="K688" s="88"/>
      <c r="L688" s="387"/>
      <c r="M688" s="181"/>
      <c r="N688" s="181"/>
      <c r="O688" s="181"/>
      <c r="P688" s="88"/>
      <c r="Q688" s="155"/>
      <c r="R688" s="181"/>
      <c r="S688" s="181"/>
      <c r="T688" s="181"/>
      <c r="U688" s="395"/>
      <c r="V688" s="387"/>
      <c r="W688" s="181"/>
      <c r="X688" s="181"/>
      <c r="Y688" s="181"/>
      <c r="Z688" s="395"/>
      <c r="AA688" s="387"/>
      <c r="AB688" s="181"/>
      <c r="AC688" s="181"/>
      <c r="AD688" s="181"/>
      <c r="AE688" s="395"/>
      <c r="AF688" s="387"/>
      <c r="AG688" s="181"/>
      <c r="AH688" s="181"/>
      <c r="AI688" s="181"/>
      <c r="AJ688" s="395"/>
      <c r="AK688" s="387"/>
      <c r="AL688" s="181"/>
      <c r="AM688" s="181"/>
      <c r="AN688" s="181"/>
      <c r="AO688" s="370"/>
      <c r="AP688" s="370"/>
      <c r="AQ688" s="370"/>
      <c r="AR688" s="370"/>
      <c r="AS688" s="370"/>
    </row>
    <row r="689">
      <c r="A689" s="395"/>
      <c r="B689" s="387"/>
      <c r="C689" s="181"/>
      <c r="D689" s="181"/>
      <c r="E689" s="181"/>
      <c r="F689" s="395"/>
      <c r="G689" s="387"/>
      <c r="H689" s="181"/>
      <c r="I689" s="181"/>
      <c r="J689" s="181"/>
      <c r="K689" s="88"/>
      <c r="L689" s="387"/>
      <c r="M689" s="181"/>
      <c r="N689" s="181"/>
      <c r="O689" s="181"/>
      <c r="P689" s="88"/>
      <c r="Q689" s="155"/>
      <c r="R689" s="181"/>
      <c r="S689" s="181"/>
      <c r="T689" s="181"/>
      <c r="U689" s="395"/>
      <c r="V689" s="387"/>
      <c r="W689" s="181"/>
      <c r="X689" s="181"/>
      <c r="Y689" s="181"/>
      <c r="Z689" s="395"/>
      <c r="AA689" s="387"/>
      <c r="AB689" s="181"/>
      <c r="AC689" s="181"/>
      <c r="AD689" s="181"/>
      <c r="AE689" s="395"/>
      <c r="AF689" s="387"/>
      <c r="AG689" s="181"/>
      <c r="AH689" s="181"/>
      <c r="AI689" s="181"/>
      <c r="AJ689" s="395"/>
      <c r="AK689" s="387"/>
      <c r="AL689" s="181"/>
      <c r="AM689" s="181"/>
      <c r="AN689" s="181"/>
      <c r="AO689" s="370"/>
      <c r="AP689" s="370"/>
      <c r="AQ689" s="370"/>
      <c r="AR689" s="370"/>
      <c r="AS689" s="370"/>
    </row>
    <row r="690">
      <c r="A690" s="395"/>
      <c r="B690" s="387"/>
      <c r="C690" s="181"/>
      <c r="D690" s="181"/>
      <c r="E690" s="181"/>
      <c r="F690" s="395"/>
      <c r="G690" s="387"/>
      <c r="H690" s="181"/>
      <c r="I690" s="181"/>
      <c r="J690" s="181"/>
      <c r="K690" s="88"/>
      <c r="L690" s="387"/>
      <c r="M690" s="181"/>
      <c r="N690" s="181"/>
      <c r="O690" s="181"/>
      <c r="P690" s="88"/>
      <c r="Q690" s="155"/>
      <c r="R690" s="181"/>
      <c r="S690" s="181"/>
      <c r="T690" s="181"/>
      <c r="U690" s="395"/>
      <c r="V690" s="387"/>
      <c r="W690" s="181"/>
      <c r="X690" s="181"/>
      <c r="Y690" s="181"/>
      <c r="Z690" s="395"/>
      <c r="AA690" s="387"/>
      <c r="AB690" s="181"/>
      <c r="AC690" s="181"/>
      <c r="AD690" s="181"/>
      <c r="AE690" s="395"/>
      <c r="AF690" s="387"/>
      <c r="AG690" s="181"/>
      <c r="AH690" s="181"/>
      <c r="AI690" s="181"/>
      <c r="AJ690" s="395"/>
      <c r="AK690" s="387"/>
      <c r="AL690" s="181"/>
      <c r="AM690" s="181"/>
      <c r="AN690" s="181"/>
      <c r="AO690" s="370"/>
      <c r="AP690" s="370"/>
      <c r="AQ690" s="370"/>
      <c r="AR690" s="370"/>
      <c r="AS690" s="370"/>
    </row>
    <row r="691">
      <c r="A691" s="395"/>
      <c r="B691" s="387"/>
      <c r="C691" s="181"/>
      <c r="D691" s="181"/>
      <c r="E691" s="181"/>
      <c r="F691" s="395"/>
      <c r="G691" s="387"/>
      <c r="H691" s="181"/>
      <c r="I691" s="181"/>
      <c r="J691" s="181"/>
      <c r="K691" s="88"/>
      <c r="L691" s="387"/>
      <c r="M691" s="181"/>
      <c r="N691" s="181"/>
      <c r="O691" s="181"/>
      <c r="P691" s="88"/>
      <c r="Q691" s="155"/>
      <c r="R691" s="181"/>
      <c r="S691" s="181"/>
      <c r="T691" s="181"/>
      <c r="U691" s="395"/>
      <c r="V691" s="387"/>
      <c r="W691" s="181"/>
      <c r="X691" s="181"/>
      <c r="Y691" s="181"/>
      <c r="Z691" s="395"/>
      <c r="AA691" s="387"/>
      <c r="AB691" s="181"/>
      <c r="AC691" s="181"/>
      <c r="AD691" s="181"/>
      <c r="AE691" s="395"/>
      <c r="AF691" s="387"/>
      <c r="AG691" s="181"/>
      <c r="AH691" s="181"/>
      <c r="AI691" s="181"/>
      <c r="AJ691" s="395"/>
      <c r="AK691" s="387"/>
      <c r="AL691" s="181"/>
      <c r="AM691" s="181"/>
      <c r="AN691" s="181"/>
      <c r="AO691" s="370"/>
      <c r="AP691" s="370"/>
      <c r="AQ691" s="370"/>
      <c r="AR691" s="370"/>
      <c r="AS691" s="370"/>
    </row>
    <row r="692">
      <c r="A692" s="395"/>
      <c r="B692" s="387"/>
      <c r="C692" s="181"/>
      <c r="D692" s="181"/>
      <c r="E692" s="181"/>
      <c r="F692" s="395"/>
      <c r="G692" s="387"/>
      <c r="H692" s="181"/>
      <c r="I692" s="181"/>
      <c r="J692" s="181"/>
      <c r="K692" s="88"/>
      <c r="L692" s="387"/>
      <c r="M692" s="181"/>
      <c r="N692" s="181"/>
      <c r="O692" s="181"/>
      <c r="P692" s="88"/>
      <c r="Q692" s="155"/>
      <c r="R692" s="181"/>
      <c r="S692" s="181"/>
      <c r="T692" s="181"/>
      <c r="U692" s="395"/>
      <c r="V692" s="387"/>
      <c r="W692" s="181"/>
      <c r="X692" s="181"/>
      <c r="Y692" s="181"/>
      <c r="Z692" s="395"/>
      <c r="AA692" s="387"/>
      <c r="AB692" s="181"/>
      <c r="AC692" s="181"/>
      <c r="AD692" s="181"/>
      <c r="AE692" s="395"/>
      <c r="AF692" s="387"/>
      <c r="AG692" s="181"/>
      <c r="AH692" s="181"/>
      <c r="AI692" s="181"/>
      <c r="AJ692" s="395"/>
      <c r="AK692" s="387"/>
      <c r="AL692" s="181"/>
      <c r="AM692" s="181"/>
      <c r="AN692" s="181"/>
      <c r="AO692" s="370"/>
      <c r="AP692" s="370"/>
      <c r="AQ692" s="370"/>
      <c r="AR692" s="370"/>
      <c r="AS692" s="370"/>
    </row>
    <row r="693">
      <c r="A693" s="395"/>
      <c r="B693" s="387"/>
      <c r="C693" s="181"/>
      <c r="D693" s="181"/>
      <c r="E693" s="181"/>
      <c r="F693" s="395"/>
      <c r="G693" s="387"/>
      <c r="H693" s="181"/>
      <c r="I693" s="181"/>
      <c r="J693" s="181"/>
      <c r="K693" s="88"/>
      <c r="L693" s="387"/>
      <c r="M693" s="181"/>
      <c r="N693" s="181"/>
      <c r="O693" s="181"/>
      <c r="P693" s="88"/>
      <c r="Q693" s="155"/>
      <c r="R693" s="181"/>
      <c r="S693" s="181"/>
      <c r="T693" s="181"/>
      <c r="U693" s="395"/>
      <c r="V693" s="387"/>
      <c r="W693" s="181"/>
      <c r="X693" s="181"/>
      <c r="Y693" s="181"/>
      <c r="Z693" s="395"/>
      <c r="AA693" s="387"/>
      <c r="AB693" s="181"/>
      <c r="AC693" s="181"/>
      <c r="AD693" s="181"/>
      <c r="AE693" s="395"/>
      <c r="AF693" s="387"/>
      <c r="AG693" s="181"/>
      <c r="AH693" s="181"/>
      <c r="AI693" s="181"/>
      <c r="AJ693" s="395"/>
      <c r="AK693" s="387"/>
      <c r="AL693" s="181"/>
      <c r="AM693" s="181"/>
      <c r="AN693" s="181"/>
      <c r="AO693" s="370"/>
      <c r="AP693" s="370"/>
      <c r="AQ693" s="370"/>
      <c r="AR693" s="370"/>
      <c r="AS693" s="370"/>
    </row>
    <row r="694">
      <c r="A694" s="395"/>
      <c r="B694" s="387"/>
      <c r="C694" s="181"/>
      <c r="D694" s="181"/>
      <c r="E694" s="181"/>
      <c r="F694" s="395"/>
      <c r="G694" s="387"/>
      <c r="H694" s="181"/>
      <c r="I694" s="181"/>
      <c r="J694" s="181"/>
      <c r="K694" s="88"/>
      <c r="L694" s="387"/>
      <c r="M694" s="181"/>
      <c r="N694" s="181"/>
      <c r="O694" s="181"/>
      <c r="P694" s="88"/>
      <c r="Q694" s="155"/>
      <c r="R694" s="181"/>
      <c r="S694" s="181"/>
      <c r="T694" s="181"/>
      <c r="U694" s="395"/>
      <c r="V694" s="387"/>
      <c r="W694" s="181"/>
      <c r="X694" s="181"/>
      <c r="Y694" s="181"/>
      <c r="Z694" s="395"/>
      <c r="AA694" s="387"/>
      <c r="AB694" s="181"/>
      <c r="AC694" s="181"/>
      <c r="AD694" s="181"/>
      <c r="AE694" s="395"/>
      <c r="AF694" s="387"/>
      <c r="AG694" s="181"/>
      <c r="AH694" s="181"/>
      <c r="AI694" s="181"/>
      <c r="AJ694" s="395"/>
      <c r="AK694" s="387"/>
      <c r="AL694" s="181"/>
      <c r="AM694" s="181"/>
      <c r="AN694" s="181"/>
      <c r="AO694" s="370"/>
      <c r="AP694" s="370"/>
      <c r="AQ694" s="370"/>
      <c r="AR694" s="370"/>
      <c r="AS694" s="370"/>
    </row>
    <row r="695">
      <c r="A695" s="395"/>
      <c r="B695" s="387"/>
      <c r="C695" s="181"/>
      <c r="D695" s="181"/>
      <c r="E695" s="181"/>
      <c r="F695" s="395"/>
      <c r="G695" s="387"/>
      <c r="H695" s="181"/>
      <c r="I695" s="181"/>
      <c r="J695" s="181"/>
      <c r="K695" s="88"/>
      <c r="L695" s="387"/>
      <c r="M695" s="181"/>
      <c r="N695" s="181"/>
      <c r="O695" s="181"/>
      <c r="P695" s="88"/>
      <c r="Q695" s="155"/>
      <c r="R695" s="181"/>
      <c r="S695" s="181"/>
      <c r="T695" s="181"/>
      <c r="U695" s="395"/>
      <c r="V695" s="387"/>
      <c r="W695" s="181"/>
      <c r="X695" s="181"/>
      <c r="Y695" s="181"/>
      <c r="Z695" s="395"/>
      <c r="AA695" s="387"/>
      <c r="AB695" s="181"/>
      <c r="AC695" s="181"/>
      <c r="AD695" s="181"/>
      <c r="AE695" s="395"/>
      <c r="AF695" s="387"/>
      <c r="AG695" s="181"/>
      <c r="AH695" s="181"/>
      <c r="AI695" s="181"/>
      <c r="AJ695" s="395"/>
      <c r="AK695" s="387"/>
      <c r="AL695" s="181"/>
      <c r="AM695" s="181"/>
      <c r="AN695" s="181"/>
      <c r="AO695" s="370"/>
      <c r="AP695" s="370"/>
      <c r="AQ695" s="370"/>
      <c r="AR695" s="370"/>
      <c r="AS695" s="370"/>
    </row>
    <row r="696">
      <c r="A696" s="395"/>
      <c r="B696" s="387"/>
      <c r="C696" s="181"/>
      <c r="D696" s="181"/>
      <c r="E696" s="181"/>
      <c r="F696" s="395"/>
      <c r="G696" s="387"/>
      <c r="H696" s="181"/>
      <c r="I696" s="181"/>
      <c r="J696" s="181"/>
      <c r="K696" s="88"/>
      <c r="L696" s="387"/>
      <c r="M696" s="181"/>
      <c r="N696" s="181"/>
      <c r="O696" s="181"/>
      <c r="P696" s="88"/>
      <c r="Q696" s="155"/>
      <c r="R696" s="181"/>
      <c r="S696" s="181"/>
      <c r="T696" s="181"/>
      <c r="U696" s="395"/>
      <c r="V696" s="387"/>
      <c r="W696" s="181"/>
      <c r="X696" s="181"/>
      <c r="Y696" s="181"/>
      <c r="Z696" s="395"/>
      <c r="AA696" s="387"/>
      <c r="AB696" s="181"/>
      <c r="AC696" s="181"/>
      <c r="AD696" s="181"/>
      <c r="AE696" s="395"/>
      <c r="AF696" s="387"/>
      <c r="AG696" s="181"/>
      <c r="AH696" s="181"/>
      <c r="AI696" s="181"/>
      <c r="AJ696" s="395"/>
      <c r="AK696" s="387"/>
      <c r="AL696" s="181"/>
      <c r="AM696" s="181"/>
      <c r="AN696" s="181"/>
      <c r="AO696" s="370"/>
      <c r="AP696" s="370"/>
      <c r="AQ696" s="370"/>
      <c r="AR696" s="370"/>
      <c r="AS696" s="370"/>
    </row>
    <row r="697">
      <c r="A697" s="395"/>
      <c r="B697" s="387"/>
      <c r="C697" s="181"/>
      <c r="D697" s="181"/>
      <c r="E697" s="181"/>
      <c r="F697" s="395"/>
      <c r="G697" s="387"/>
      <c r="H697" s="181"/>
      <c r="I697" s="181"/>
      <c r="J697" s="181"/>
      <c r="K697" s="88"/>
      <c r="L697" s="387"/>
      <c r="M697" s="181"/>
      <c r="N697" s="181"/>
      <c r="O697" s="181"/>
      <c r="P697" s="88"/>
      <c r="Q697" s="155"/>
      <c r="R697" s="181"/>
      <c r="S697" s="181"/>
      <c r="T697" s="181"/>
      <c r="U697" s="395"/>
      <c r="V697" s="387"/>
      <c r="W697" s="181"/>
      <c r="X697" s="181"/>
      <c r="Y697" s="181"/>
      <c r="Z697" s="395"/>
      <c r="AA697" s="387"/>
      <c r="AB697" s="181"/>
      <c r="AC697" s="181"/>
      <c r="AD697" s="181"/>
      <c r="AE697" s="395"/>
      <c r="AF697" s="387"/>
      <c r="AG697" s="181"/>
      <c r="AH697" s="181"/>
      <c r="AI697" s="181"/>
      <c r="AJ697" s="395"/>
      <c r="AK697" s="387"/>
      <c r="AL697" s="181"/>
      <c r="AM697" s="181"/>
      <c r="AN697" s="181"/>
      <c r="AO697" s="370"/>
      <c r="AP697" s="370"/>
      <c r="AQ697" s="370"/>
      <c r="AR697" s="370"/>
      <c r="AS697" s="370"/>
    </row>
    <row r="698">
      <c r="A698" s="395"/>
      <c r="B698" s="387"/>
      <c r="C698" s="181"/>
      <c r="D698" s="181"/>
      <c r="E698" s="181"/>
      <c r="F698" s="395"/>
      <c r="G698" s="387"/>
      <c r="H698" s="181"/>
      <c r="I698" s="181"/>
      <c r="J698" s="181"/>
      <c r="K698" s="88"/>
      <c r="L698" s="387"/>
      <c r="M698" s="181"/>
      <c r="N698" s="181"/>
      <c r="O698" s="181"/>
      <c r="P698" s="88"/>
      <c r="Q698" s="155"/>
      <c r="R698" s="181"/>
      <c r="S698" s="181"/>
      <c r="T698" s="181"/>
      <c r="U698" s="395"/>
      <c r="V698" s="387"/>
      <c r="W698" s="181"/>
      <c r="X698" s="181"/>
      <c r="Y698" s="181"/>
      <c r="Z698" s="395"/>
      <c r="AA698" s="387"/>
      <c r="AB698" s="181"/>
      <c r="AC698" s="181"/>
      <c r="AD698" s="181"/>
      <c r="AE698" s="395"/>
      <c r="AF698" s="387"/>
      <c r="AG698" s="181"/>
      <c r="AH698" s="181"/>
      <c r="AI698" s="181"/>
      <c r="AJ698" s="395"/>
      <c r="AK698" s="387"/>
      <c r="AL698" s="181"/>
      <c r="AM698" s="181"/>
      <c r="AN698" s="181"/>
      <c r="AO698" s="370"/>
      <c r="AP698" s="370"/>
      <c r="AQ698" s="370"/>
      <c r="AR698" s="370"/>
      <c r="AS698" s="370"/>
    </row>
    <row r="699">
      <c r="A699" s="395"/>
      <c r="B699" s="387"/>
      <c r="C699" s="181"/>
      <c r="D699" s="181"/>
      <c r="E699" s="181"/>
      <c r="F699" s="395"/>
      <c r="G699" s="387"/>
      <c r="H699" s="181"/>
      <c r="I699" s="181"/>
      <c r="J699" s="181"/>
      <c r="K699" s="88"/>
      <c r="L699" s="387"/>
      <c r="M699" s="181"/>
      <c r="N699" s="181"/>
      <c r="O699" s="181"/>
      <c r="P699" s="88"/>
      <c r="Q699" s="155"/>
      <c r="R699" s="181"/>
      <c r="S699" s="181"/>
      <c r="T699" s="181"/>
      <c r="U699" s="395"/>
      <c r="V699" s="387"/>
      <c r="W699" s="181"/>
      <c r="X699" s="181"/>
      <c r="Y699" s="181"/>
      <c r="Z699" s="395"/>
      <c r="AA699" s="387"/>
      <c r="AB699" s="181"/>
      <c r="AC699" s="181"/>
      <c r="AD699" s="181"/>
      <c r="AE699" s="395"/>
      <c r="AF699" s="387"/>
      <c r="AG699" s="181"/>
      <c r="AH699" s="181"/>
      <c r="AI699" s="181"/>
      <c r="AJ699" s="395"/>
      <c r="AK699" s="387"/>
      <c r="AL699" s="181"/>
      <c r="AM699" s="181"/>
      <c r="AN699" s="181"/>
      <c r="AO699" s="370"/>
      <c r="AP699" s="370"/>
      <c r="AQ699" s="370"/>
      <c r="AR699" s="370"/>
      <c r="AS699" s="370"/>
    </row>
    <row r="700">
      <c r="A700" s="395"/>
      <c r="B700" s="387"/>
      <c r="C700" s="181"/>
      <c r="D700" s="181"/>
      <c r="E700" s="181"/>
      <c r="F700" s="395"/>
      <c r="G700" s="387"/>
      <c r="H700" s="181"/>
      <c r="I700" s="181"/>
      <c r="J700" s="181"/>
      <c r="K700" s="88"/>
      <c r="L700" s="387"/>
      <c r="M700" s="181"/>
      <c r="N700" s="181"/>
      <c r="O700" s="181"/>
      <c r="P700" s="88"/>
      <c r="Q700" s="155"/>
      <c r="R700" s="181"/>
      <c r="S700" s="181"/>
      <c r="T700" s="181"/>
      <c r="U700" s="395"/>
      <c r="V700" s="387"/>
      <c r="W700" s="181"/>
      <c r="X700" s="181"/>
      <c r="Y700" s="181"/>
      <c r="Z700" s="395"/>
      <c r="AA700" s="387"/>
      <c r="AB700" s="181"/>
      <c r="AC700" s="181"/>
      <c r="AD700" s="181"/>
      <c r="AE700" s="395"/>
      <c r="AF700" s="387"/>
      <c r="AG700" s="181"/>
      <c r="AH700" s="181"/>
      <c r="AI700" s="181"/>
      <c r="AJ700" s="395"/>
      <c r="AK700" s="387"/>
      <c r="AL700" s="181"/>
      <c r="AM700" s="181"/>
      <c r="AN700" s="181"/>
      <c r="AO700" s="370"/>
      <c r="AP700" s="370"/>
      <c r="AQ700" s="370"/>
      <c r="AR700" s="370"/>
      <c r="AS700" s="370"/>
    </row>
    <row r="701">
      <c r="A701" s="395"/>
      <c r="B701" s="387"/>
      <c r="C701" s="181"/>
      <c r="D701" s="181"/>
      <c r="E701" s="181"/>
      <c r="F701" s="395"/>
      <c r="G701" s="387"/>
      <c r="H701" s="181"/>
      <c r="I701" s="181"/>
      <c r="J701" s="181"/>
      <c r="K701" s="88"/>
      <c r="L701" s="387"/>
      <c r="M701" s="181"/>
      <c r="N701" s="181"/>
      <c r="O701" s="181"/>
      <c r="P701" s="88"/>
      <c r="Q701" s="155"/>
      <c r="R701" s="181"/>
      <c r="S701" s="181"/>
      <c r="T701" s="181"/>
      <c r="U701" s="395"/>
      <c r="V701" s="387"/>
      <c r="W701" s="181"/>
      <c r="X701" s="181"/>
      <c r="Y701" s="181"/>
      <c r="Z701" s="395"/>
      <c r="AA701" s="387"/>
      <c r="AB701" s="181"/>
      <c r="AC701" s="181"/>
      <c r="AD701" s="181"/>
      <c r="AE701" s="395"/>
      <c r="AF701" s="387"/>
      <c r="AG701" s="181"/>
      <c r="AH701" s="181"/>
      <c r="AI701" s="181"/>
      <c r="AJ701" s="395"/>
      <c r="AK701" s="387"/>
      <c r="AL701" s="181"/>
      <c r="AM701" s="181"/>
      <c r="AN701" s="181"/>
      <c r="AO701" s="370"/>
      <c r="AP701" s="370"/>
      <c r="AQ701" s="370"/>
      <c r="AR701" s="370"/>
      <c r="AS701" s="370"/>
    </row>
    <row r="702">
      <c r="A702" s="395"/>
      <c r="B702" s="387"/>
      <c r="C702" s="181"/>
      <c r="D702" s="181"/>
      <c r="E702" s="181"/>
      <c r="F702" s="395"/>
      <c r="G702" s="387"/>
      <c r="H702" s="181"/>
      <c r="I702" s="181"/>
      <c r="J702" s="181"/>
      <c r="K702" s="88"/>
      <c r="L702" s="387"/>
      <c r="M702" s="181"/>
      <c r="N702" s="181"/>
      <c r="O702" s="181"/>
      <c r="P702" s="88"/>
      <c r="Q702" s="155"/>
      <c r="R702" s="181"/>
      <c r="S702" s="181"/>
      <c r="T702" s="181"/>
      <c r="U702" s="395"/>
      <c r="V702" s="387"/>
      <c r="W702" s="181"/>
      <c r="X702" s="181"/>
      <c r="Y702" s="181"/>
      <c r="Z702" s="395"/>
      <c r="AA702" s="387"/>
      <c r="AB702" s="181"/>
      <c r="AC702" s="181"/>
      <c r="AD702" s="181"/>
      <c r="AE702" s="395"/>
      <c r="AF702" s="387"/>
      <c r="AG702" s="181"/>
      <c r="AH702" s="181"/>
      <c r="AI702" s="181"/>
      <c r="AJ702" s="395"/>
      <c r="AK702" s="387"/>
      <c r="AL702" s="181"/>
      <c r="AM702" s="181"/>
      <c r="AN702" s="181"/>
      <c r="AO702" s="370"/>
      <c r="AP702" s="370"/>
      <c r="AQ702" s="370"/>
      <c r="AR702" s="370"/>
      <c r="AS702" s="370"/>
    </row>
    <row r="703">
      <c r="A703" s="395"/>
      <c r="B703" s="387"/>
      <c r="C703" s="181"/>
      <c r="D703" s="181"/>
      <c r="E703" s="181"/>
      <c r="F703" s="395"/>
      <c r="G703" s="387"/>
      <c r="H703" s="181"/>
      <c r="I703" s="181"/>
      <c r="J703" s="181"/>
      <c r="K703" s="88"/>
      <c r="L703" s="387"/>
      <c r="M703" s="181"/>
      <c r="N703" s="181"/>
      <c r="O703" s="181"/>
      <c r="P703" s="88"/>
      <c r="Q703" s="155"/>
      <c r="R703" s="181"/>
      <c r="S703" s="181"/>
      <c r="T703" s="181"/>
      <c r="U703" s="395"/>
      <c r="V703" s="387"/>
      <c r="W703" s="181"/>
      <c r="X703" s="181"/>
      <c r="Y703" s="181"/>
      <c r="Z703" s="395"/>
      <c r="AA703" s="387"/>
      <c r="AB703" s="181"/>
      <c r="AC703" s="181"/>
      <c r="AD703" s="181"/>
      <c r="AE703" s="395"/>
      <c r="AF703" s="387"/>
      <c r="AG703" s="181"/>
      <c r="AH703" s="181"/>
      <c r="AI703" s="181"/>
      <c r="AJ703" s="395"/>
      <c r="AK703" s="387"/>
      <c r="AL703" s="181"/>
      <c r="AM703" s="181"/>
      <c r="AN703" s="181"/>
      <c r="AO703" s="370"/>
      <c r="AP703" s="370"/>
      <c r="AQ703" s="370"/>
      <c r="AR703" s="370"/>
      <c r="AS703" s="370"/>
    </row>
    <row r="704">
      <c r="A704" s="395"/>
      <c r="B704" s="387"/>
      <c r="C704" s="181"/>
      <c r="D704" s="181"/>
      <c r="E704" s="181"/>
      <c r="F704" s="395"/>
      <c r="G704" s="387"/>
      <c r="H704" s="181"/>
      <c r="I704" s="181"/>
      <c r="J704" s="181"/>
      <c r="K704" s="88"/>
      <c r="L704" s="387"/>
      <c r="M704" s="181"/>
      <c r="N704" s="181"/>
      <c r="O704" s="181"/>
      <c r="P704" s="88"/>
      <c r="Q704" s="155"/>
      <c r="R704" s="181"/>
      <c r="S704" s="181"/>
      <c r="T704" s="181"/>
      <c r="U704" s="395"/>
      <c r="V704" s="387"/>
      <c r="W704" s="181"/>
      <c r="X704" s="181"/>
      <c r="Y704" s="181"/>
      <c r="Z704" s="395"/>
      <c r="AA704" s="387"/>
      <c r="AB704" s="181"/>
      <c r="AC704" s="181"/>
      <c r="AD704" s="181"/>
      <c r="AE704" s="395"/>
      <c r="AF704" s="387"/>
      <c r="AG704" s="181"/>
      <c r="AH704" s="181"/>
      <c r="AI704" s="181"/>
      <c r="AJ704" s="395"/>
      <c r="AK704" s="387"/>
      <c r="AL704" s="181"/>
      <c r="AM704" s="181"/>
      <c r="AN704" s="181"/>
      <c r="AO704" s="370"/>
      <c r="AP704" s="370"/>
      <c r="AQ704" s="370"/>
      <c r="AR704" s="370"/>
      <c r="AS704" s="370"/>
    </row>
    <row r="705">
      <c r="A705" s="395"/>
      <c r="B705" s="387"/>
      <c r="C705" s="181"/>
      <c r="D705" s="181"/>
      <c r="E705" s="181"/>
      <c r="F705" s="395"/>
      <c r="G705" s="387"/>
      <c r="H705" s="181"/>
      <c r="I705" s="181"/>
      <c r="J705" s="181"/>
      <c r="K705" s="88"/>
      <c r="L705" s="387"/>
      <c r="M705" s="181"/>
      <c r="N705" s="181"/>
      <c r="O705" s="181"/>
      <c r="P705" s="88"/>
      <c r="Q705" s="155"/>
      <c r="R705" s="181"/>
      <c r="S705" s="181"/>
      <c r="T705" s="181"/>
      <c r="U705" s="395"/>
      <c r="V705" s="387"/>
      <c r="W705" s="181"/>
      <c r="X705" s="181"/>
      <c r="Y705" s="181"/>
      <c r="Z705" s="395"/>
      <c r="AA705" s="387"/>
      <c r="AB705" s="181"/>
      <c r="AC705" s="181"/>
      <c r="AD705" s="181"/>
      <c r="AE705" s="395"/>
      <c r="AF705" s="387"/>
      <c r="AG705" s="181"/>
      <c r="AH705" s="181"/>
      <c r="AI705" s="181"/>
      <c r="AJ705" s="395"/>
      <c r="AK705" s="387"/>
      <c r="AL705" s="181"/>
      <c r="AM705" s="181"/>
      <c r="AN705" s="181"/>
      <c r="AO705" s="370"/>
      <c r="AP705" s="370"/>
      <c r="AQ705" s="370"/>
      <c r="AR705" s="370"/>
      <c r="AS705" s="370"/>
    </row>
    <row r="706">
      <c r="A706" s="395"/>
      <c r="B706" s="387"/>
      <c r="C706" s="181"/>
      <c r="D706" s="181"/>
      <c r="E706" s="181"/>
      <c r="F706" s="395"/>
      <c r="G706" s="387"/>
      <c r="H706" s="181"/>
      <c r="I706" s="181"/>
      <c r="J706" s="181"/>
      <c r="K706" s="88"/>
      <c r="L706" s="387"/>
      <c r="M706" s="181"/>
      <c r="N706" s="181"/>
      <c r="O706" s="181"/>
      <c r="P706" s="88"/>
      <c r="Q706" s="155"/>
      <c r="R706" s="181"/>
      <c r="S706" s="181"/>
      <c r="T706" s="181"/>
      <c r="U706" s="395"/>
      <c r="V706" s="387"/>
      <c r="W706" s="181"/>
      <c r="X706" s="181"/>
      <c r="Y706" s="181"/>
      <c r="Z706" s="395"/>
      <c r="AA706" s="387"/>
      <c r="AB706" s="181"/>
      <c r="AC706" s="181"/>
      <c r="AD706" s="181"/>
      <c r="AE706" s="395"/>
      <c r="AF706" s="387"/>
      <c r="AG706" s="181"/>
      <c r="AH706" s="181"/>
      <c r="AI706" s="181"/>
      <c r="AJ706" s="395"/>
      <c r="AK706" s="387"/>
      <c r="AL706" s="181"/>
      <c r="AM706" s="181"/>
      <c r="AN706" s="181"/>
      <c r="AO706" s="370"/>
      <c r="AP706" s="370"/>
      <c r="AQ706" s="370"/>
      <c r="AR706" s="370"/>
      <c r="AS706" s="370"/>
    </row>
    <row r="707">
      <c r="A707" s="395"/>
      <c r="B707" s="387"/>
      <c r="C707" s="181"/>
      <c r="D707" s="181"/>
      <c r="E707" s="181"/>
      <c r="F707" s="395"/>
      <c r="G707" s="387"/>
      <c r="H707" s="181"/>
      <c r="I707" s="181"/>
      <c r="J707" s="181"/>
      <c r="K707" s="88"/>
      <c r="L707" s="387"/>
      <c r="M707" s="181"/>
      <c r="N707" s="181"/>
      <c r="O707" s="181"/>
      <c r="P707" s="88"/>
      <c r="Q707" s="155"/>
      <c r="R707" s="181"/>
      <c r="S707" s="181"/>
      <c r="T707" s="181"/>
      <c r="U707" s="395"/>
      <c r="V707" s="387"/>
      <c r="W707" s="181"/>
      <c r="X707" s="181"/>
      <c r="Y707" s="181"/>
      <c r="Z707" s="395"/>
      <c r="AA707" s="387"/>
      <c r="AB707" s="181"/>
      <c r="AC707" s="181"/>
      <c r="AD707" s="181"/>
      <c r="AE707" s="395"/>
      <c r="AF707" s="387"/>
      <c r="AG707" s="181"/>
      <c r="AH707" s="181"/>
      <c r="AI707" s="181"/>
      <c r="AJ707" s="395"/>
      <c r="AK707" s="387"/>
      <c r="AL707" s="181"/>
      <c r="AM707" s="181"/>
      <c r="AN707" s="181"/>
      <c r="AO707" s="370"/>
      <c r="AP707" s="370"/>
      <c r="AQ707" s="370"/>
      <c r="AR707" s="370"/>
      <c r="AS707" s="370"/>
    </row>
    <row r="708">
      <c r="A708" s="395"/>
      <c r="B708" s="387"/>
      <c r="C708" s="181"/>
      <c r="D708" s="181"/>
      <c r="E708" s="181"/>
      <c r="F708" s="395"/>
      <c r="G708" s="387"/>
      <c r="H708" s="181"/>
      <c r="I708" s="181"/>
      <c r="J708" s="181"/>
      <c r="K708" s="88"/>
      <c r="L708" s="387"/>
      <c r="M708" s="181"/>
      <c r="N708" s="181"/>
      <c r="O708" s="181"/>
      <c r="P708" s="88"/>
      <c r="Q708" s="155"/>
      <c r="R708" s="181"/>
      <c r="S708" s="181"/>
      <c r="T708" s="181"/>
      <c r="U708" s="395"/>
      <c r="V708" s="387"/>
      <c r="W708" s="181"/>
      <c r="X708" s="181"/>
      <c r="Y708" s="181"/>
      <c r="Z708" s="395"/>
      <c r="AA708" s="387"/>
      <c r="AB708" s="181"/>
      <c r="AC708" s="181"/>
      <c r="AD708" s="181"/>
      <c r="AE708" s="395"/>
      <c r="AF708" s="387"/>
      <c r="AG708" s="181"/>
      <c r="AH708" s="181"/>
      <c r="AI708" s="181"/>
      <c r="AJ708" s="395"/>
      <c r="AK708" s="387"/>
      <c r="AL708" s="181"/>
      <c r="AM708" s="181"/>
      <c r="AN708" s="181"/>
      <c r="AO708" s="370"/>
      <c r="AP708" s="370"/>
      <c r="AQ708" s="370"/>
      <c r="AR708" s="370"/>
      <c r="AS708" s="370"/>
    </row>
    <row r="709">
      <c r="A709" s="395"/>
      <c r="B709" s="387"/>
      <c r="C709" s="181"/>
      <c r="D709" s="181"/>
      <c r="E709" s="181"/>
      <c r="F709" s="395"/>
      <c r="G709" s="387"/>
      <c r="H709" s="181"/>
      <c r="I709" s="181"/>
      <c r="J709" s="181"/>
      <c r="K709" s="88"/>
      <c r="L709" s="387"/>
      <c r="M709" s="181"/>
      <c r="N709" s="181"/>
      <c r="O709" s="181"/>
      <c r="P709" s="88"/>
      <c r="Q709" s="155"/>
      <c r="R709" s="181"/>
      <c r="S709" s="181"/>
      <c r="T709" s="181"/>
      <c r="U709" s="395"/>
      <c r="V709" s="387"/>
      <c r="W709" s="181"/>
      <c r="X709" s="181"/>
      <c r="Y709" s="181"/>
      <c r="Z709" s="395"/>
      <c r="AA709" s="387"/>
      <c r="AB709" s="181"/>
      <c r="AC709" s="181"/>
      <c r="AD709" s="181"/>
      <c r="AE709" s="395"/>
      <c r="AF709" s="387"/>
      <c r="AG709" s="181"/>
      <c r="AH709" s="181"/>
      <c r="AI709" s="181"/>
      <c r="AJ709" s="395"/>
      <c r="AK709" s="387"/>
      <c r="AL709" s="181"/>
      <c r="AM709" s="181"/>
      <c r="AN709" s="181"/>
      <c r="AO709" s="370"/>
      <c r="AP709" s="370"/>
      <c r="AQ709" s="370"/>
      <c r="AR709" s="370"/>
      <c r="AS709" s="370"/>
    </row>
    <row r="710">
      <c r="A710" s="395"/>
      <c r="B710" s="387"/>
      <c r="C710" s="181"/>
      <c r="D710" s="181"/>
      <c r="E710" s="181"/>
      <c r="F710" s="395"/>
      <c r="G710" s="387"/>
      <c r="H710" s="181"/>
      <c r="I710" s="181"/>
      <c r="J710" s="181"/>
      <c r="K710" s="88"/>
      <c r="L710" s="387"/>
      <c r="M710" s="181"/>
      <c r="N710" s="181"/>
      <c r="O710" s="181"/>
      <c r="P710" s="88"/>
      <c r="Q710" s="155"/>
      <c r="R710" s="181"/>
      <c r="S710" s="181"/>
      <c r="T710" s="181"/>
      <c r="U710" s="395"/>
      <c r="V710" s="387"/>
      <c r="W710" s="181"/>
      <c r="X710" s="181"/>
      <c r="Y710" s="181"/>
      <c r="Z710" s="395"/>
      <c r="AA710" s="387"/>
      <c r="AB710" s="181"/>
      <c r="AC710" s="181"/>
      <c r="AD710" s="181"/>
      <c r="AE710" s="395"/>
      <c r="AF710" s="387"/>
      <c r="AG710" s="181"/>
      <c r="AH710" s="181"/>
      <c r="AI710" s="181"/>
      <c r="AJ710" s="395"/>
      <c r="AK710" s="387"/>
      <c r="AL710" s="181"/>
      <c r="AM710" s="181"/>
      <c r="AN710" s="181"/>
      <c r="AO710" s="370"/>
      <c r="AP710" s="370"/>
      <c r="AQ710" s="370"/>
      <c r="AR710" s="370"/>
      <c r="AS710" s="370"/>
    </row>
    <row r="711">
      <c r="A711" s="395"/>
      <c r="B711" s="387"/>
      <c r="C711" s="181"/>
      <c r="D711" s="181"/>
      <c r="E711" s="181"/>
      <c r="F711" s="395"/>
      <c r="G711" s="387"/>
      <c r="H711" s="181"/>
      <c r="I711" s="181"/>
      <c r="J711" s="181"/>
      <c r="K711" s="88"/>
      <c r="L711" s="387"/>
      <c r="M711" s="181"/>
      <c r="N711" s="181"/>
      <c r="O711" s="181"/>
      <c r="P711" s="88"/>
      <c r="Q711" s="155"/>
      <c r="R711" s="181"/>
      <c r="S711" s="181"/>
      <c r="T711" s="181"/>
      <c r="U711" s="395"/>
      <c r="V711" s="387"/>
      <c r="W711" s="181"/>
      <c r="X711" s="181"/>
      <c r="Y711" s="181"/>
      <c r="Z711" s="395"/>
      <c r="AA711" s="387"/>
      <c r="AB711" s="181"/>
      <c r="AC711" s="181"/>
      <c r="AD711" s="181"/>
      <c r="AE711" s="395"/>
      <c r="AF711" s="387"/>
      <c r="AG711" s="181"/>
      <c r="AH711" s="181"/>
      <c r="AI711" s="181"/>
      <c r="AJ711" s="395"/>
      <c r="AK711" s="387"/>
      <c r="AL711" s="181"/>
      <c r="AM711" s="181"/>
      <c r="AN711" s="181"/>
      <c r="AO711" s="370"/>
      <c r="AP711" s="370"/>
      <c r="AQ711" s="370"/>
      <c r="AR711" s="370"/>
      <c r="AS711" s="370"/>
    </row>
    <row r="712">
      <c r="A712" s="395"/>
      <c r="B712" s="387"/>
      <c r="C712" s="181"/>
      <c r="D712" s="181"/>
      <c r="E712" s="181"/>
      <c r="F712" s="395"/>
      <c r="G712" s="387"/>
      <c r="H712" s="181"/>
      <c r="I712" s="181"/>
      <c r="J712" s="181"/>
      <c r="K712" s="88"/>
      <c r="L712" s="387"/>
      <c r="M712" s="181"/>
      <c r="N712" s="181"/>
      <c r="O712" s="181"/>
      <c r="P712" s="88"/>
      <c r="Q712" s="155"/>
      <c r="R712" s="181"/>
      <c r="S712" s="181"/>
      <c r="T712" s="181"/>
      <c r="U712" s="395"/>
      <c r="V712" s="387"/>
      <c r="W712" s="181"/>
      <c r="X712" s="181"/>
      <c r="Y712" s="181"/>
      <c r="Z712" s="395"/>
      <c r="AA712" s="387"/>
      <c r="AB712" s="181"/>
      <c r="AC712" s="181"/>
      <c r="AD712" s="181"/>
      <c r="AE712" s="395"/>
      <c r="AF712" s="387"/>
      <c r="AG712" s="181"/>
      <c r="AH712" s="181"/>
      <c r="AI712" s="181"/>
      <c r="AJ712" s="395"/>
      <c r="AK712" s="387"/>
      <c r="AL712" s="181"/>
      <c r="AM712" s="181"/>
      <c r="AN712" s="181"/>
      <c r="AO712" s="370"/>
      <c r="AP712" s="370"/>
      <c r="AQ712" s="370"/>
      <c r="AR712" s="370"/>
      <c r="AS712" s="370"/>
    </row>
    <row r="713">
      <c r="A713" s="395"/>
      <c r="B713" s="387"/>
      <c r="C713" s="181"/>
      <c r="D713" s="181"/>
      <c r="E713" s="181"/>
      <c r="F713" s="395"/>
      <c r="G713" s="387"/>
      <c r="H713" s="181"/>
      <c r="I713" s="181"/>
      <c r="J713" s="181"/>
      <c r="K713" s="88"/>
      <c r="L713" s="387"/>
      <c r="M713" s="181"/>
      <c r="N713" s="181"/>
      <c r="O713" s="181"/>
      <c r="P713" s="88"/>
      <c r="Q713" s="155"/>
      <c r="R713" s="181"/>
      <c r="S713" s="181"/>
      <c r="T713" s="181"/>
      <c r="U713" s="395"/>
      <c r="V713" s="387"/>
      <c r="W713" s="181"/>
      <c r="X713" s="181"/>
      <c r="Y713" s="181"/>
      <c r="Z713" s="395"/>
      <c r="AA713" s="387"/>
      <c r="AB713" s="181"/>
      <c r="AC713" s="181"/>
      <c r="AD713" s="181"/>
      <c r="AE713" s="395"/>
      <c r="AF713" s="387"/>
      <c r="AG713" s="181"/>
      <c r="AH713" s="181"/>
      <c r="AI713" s="181"/>
      <c r="AJ713" s="395"/>
      <c r="AK713" s="387"/>
      <c r="AL713" s="181"/>
      <c r="AM713" s="181"/>
      <c r="AN713" s="181"/>
      <c r="AO713" s="370"/>
      <c r="AP713" s="370"/>
      <c r="AQ713" s="370"/>
      <c r="AR713" s="370"/>
      <c r="AS713" s="370"/>
    </row>
    <row r="714">
      <c r="A714" s="395"/>
      <c r="B714" s="387"/>
      <c r="C714" s="181"/>
      <c r="D714" s="181"/>
      <c r="E714" s="181"/>
      <c r="F714" s="395"/>
      <c r="G714" s="387"/>
      <c r="H714" s="181"/>
      <c r="I714" s="181"/>
      <c r="J714" s="181"/>
      <c r="K714" s="88"/>
      <c r="L714" s="387"/>
      <c r="M714" s="181"/>
      <c r="N714" s="181"/>
      <c r="O714" s="181"/>
      <c r="P714" s="88"/>
      <c r="Q714" s="155"/>
      <c r="R714" s="181"/>
      <c r="S714" s="181"/>
      <c r="T714" s="181"/>
      <c r="U714" s="395"/>
      <c r="V714" s="387"/>
      <c r="W714" s="181"/>
      <c r="X714" s="181"/>
      <c r="Y714" s="181"/>
      <c r="Z714" s="395"/>
      <c r="AA714" s="387"/>
      <c r="AB714" s="181"/>
      <c r="AC714" s="181"/>
      <c r="AD714" s="181"/>
      <c r="AE714" s="395"/>
      <c r="AF714" s="387"/>
      <c r="AG714" s="181"/>
      <c r="AH714" s="181"/>
      <c r="AI714" s="181"/>
      <c r="AJ714" s="395"/>
      <c r="AK714" s="387"/>
      <c r="AL714" s="181"/>
      <c r="AM714" s="181"/>
      <c r="AN714" s="181"/>
      <c r="AO714" s="370"/>
      <c r="AP714" s="370"/>
      <c r="AQ714" s="370"/>
      <c r="AR714" s="370"/>
      <c r="AS714" s="370"/>
    </row>
    <row r="715">
      <c r="A715" s="395"/>
      <c r="B715" s="387"/>
      <c r="C715" s="181"/>
      <c r="D715" s="181"/>
      <c r="E715" s="181"/>
      <c r="F715" s="395"/>
      <c r="G715" s="387"/>
      <c r="H715" s="181"/>
      <c r="I715" s="181"/>
      <c r="J715" s="181"/>
      <c r="K715" s="88"/>
      <c r="L715" s="387"/>
      <c r="M715" s="181"/>
      <c r="N715" s="181"/>
      <c r="O715" s="181"/>
      <c r="P715" s="88"/>
      <c r="Q715" s="155"/>
      <c r="R715" s="181"/>
      <c r="S715" s="181"/>
      <c r="T715" s="181"/>
      <c r="U715" s="395"/>
      <c r="V715" s="387"/>
      <c r="W715" s="181"/>
      <c r="X715" s="181"/>
      <c r="Y715" s="181"/>
      <c r="Z715" s="395"/>
      <c r="AA715" s="387"/>
      <c r="AB715" s="181"/>
      <c r="AC715" s="181"/>
      <c r="AD715" s="181"/>
      <c r="AE715" s="395"/>
      <c r="AF715" s="387"/>
      <c r="AG715" s="181"/>
      <c r="AH715" s="181"/>
      <c r="AI715" s="181"/>
      <c r="AJ715" s="395"/>
      <c r="AK715" s="387"/>
      <c r="AL715" s="181"/>
      <c r="AM715" s="181"/>
      <c r="AN715" s="181"/>
      <c r="AO715" s="370"/>
      <c r="AP715" s="370"/>
      <c r="AQ715" s="370"/>
      <c r="AR715" s="370"/>
      <c r="AS715" s="370"/>
    </row>
    <row r="716">
      <c r="A716" s="395"/>
      <c r="B716" s="387"/>
      <c r="C716" s="181"/>
      <c r="D716" s="181"/>
      <c r="E716" s="181"/>
      <c r="F716" s="395"/>
      <c r="G716" s="387"/>
      <c r="H716" s="181"/>
      <c r="I716" s="181"/>
      <c r="J716" s="181"/>
      <c r="K716" s="88"/>
      <c r="L716" s="387"/>
      <c r="M716" s="181"/>
      <c r="N716" s="181"/>
      <c r="O716" s="181"/>
      <c r="P716" s="88"/>
      <c r="Q716" s="155"/>
      <c r="R716" s="181"/>
      <c r="S716" s="181"/>
      <c r="T716" s="181"/>
      <c r="U716" s="395"/>
      <c r="V716" s="387"/>
      <c r="W716" s="181"/>
      <c r="X716" s="181"/>
      <c r="Y716" s="181"/>
      <c r="Z716" s="395"/>
      <c r="AA716" s="387"/>
      <c r="AB716" s="181"/>
      <c r="AC716" s="181"/>
      <c r="AD716" s="181"/>
      <c r="AE716" s="395"/>
      <c r="AF716" s="387"/>
      <c r="AG716" s="181"/>
      <c r="AH716" s="181"/>
      <c r="AI716" s="181"/>
      <c r="AJ716" s="395"/>
      <c r="AK716" s="387"/>
      <c r="AL716" s="181"/>
      <c r="AM716" s="181"/>
      <c r="AN716" s="181"/>
      <c r="AO716" s="370"/>
      <c r="AP716" s="370"/>
      <c r="AQ716" s="370"/>
      <c r="AR716" s="370"/>
      <c r="AS716" s="370"/>
    </row>
    <row r="717">
      <c r="A717" s="395"/>
      <c r="B717" s="387"/>
      <c r="C717" s="181"/>
      <c r="D717" s="181"/>
      <c r="E717" s="181"/>
      <c r="F717" s="395"/>
      <c r="G717" s="387"/>
      <c r="H717" s="181"/>
      <c r="I717" s="181"/>
      <c r="J717" s="181"/>
      <c r="K717" s="88"/>
      <c r="L717" s="387"/>
      <c r="M717" s="181"/>
      <c r="N717" s="181"/>
      <c r="O717" s="181"/>
      <c r="P717" s="88"/>
      <c r="Q717" s="155"/>
      <c r="R717" s="181"/>
      <c r="S717" s="181"/>
      <c r="T717" s="181"/>
      <c r="U717" s="395"/>
      <c r="V717" s="387"/>
      <c r="W717" s="181"/>
      <c r="X717" s="181"/>
      <c r="Y717" s="181"/>
      <c r="Z717" s="395"/>
      <c r="AA717" s="387"/>
      <c r="AB717" s="181"/>
      <c r="AC717" s="181"/>
      <c r="AD717" s="181"/>
      <c r="AE717" s="395"/>
      <c r="AF717" s="387"/>
      <c r="AG717" s="181"/>
      <c r="AH717" s="181"/>
      <c r="AI717" s="181"/>
      <c r="AJ717" s="395"/>
      <c r="AK717" s="387"/>
      <c r="AL717" s="181"/>
      <c r="AM717" s="181"/>
      <c r="AN717" s="181"/>
      <c r="AO717" s="370"/>
      <c r="AP717" s="370"/>
      <c r="AQ717" s="370"/>
      <c r="AR717" s="370"/>
      <c r="AS717" s="370"/>
    </row>
    <row r="718">
      <c r="A718" s="395"/>
      <c r="B718" s="387"/>
      <c r="C718" s="181"/>
      <c r="D718" s="181"/>
      <c r="E718" s="181"/>
      <c r="F718" s="395"/>
      <c r="G718" s="387"/>
      <c r="H718" s="181"/>
      <c r="I718" s="181"/>
      <c r="J718" s="181"/>
      <c r="K718" s="88"/>
      <c r="L718" s="387"/>
      <c r="M718" s="181"/>
      <c r="N718" s="181"/>
      <c r="O718" s="181"/>
      <c r="P718" s="88"/>
      <c r="Q718" s="155"/>
      <c r="R718" s="181"/>
      <c r="S718" s="181"/>
      <c r="T718" s="181"/>
      <c r="U718" s="395"/>
      <c r="V718" s="387"/>
      <c r="W718" s="181"/>
      <c r="X718" s="181"/>
      <c r="Y718" s="181"/>
      <c r="Z718" s="395"/>
      <c r="AA718" s="387"/>
      <c r="AB718" s="181"/>
      <c r="AC718" s="181"/>
      <c r="AD718" s="181"/>
      <c r="AE718" s="395"/>
      <c r="AF718" s="387"/>
      <c r="AG718" s="181"/>
      <c r="AH718" s="181"/>
      <c r="AI718" s="181"/>
      <c r="AJ718" s="395"/>
      <c r="AK718" s="387"/>
      <c r="AL718" s="181"/>
      <c r="AM718" s="181"/>
      <c r="AN718" s="181"/>
      <c r="AO718" s="370"/>
      <c r="AP718" s="370"/>
      <c r="AQ718" s="370"/>
      <c r="AR718" s="370"/>
      <c r="AS718" s="370"/>
    </row>
    <row r="719">
      <c r="A719" s="395"/>
      <c r="B719" s="387"/>
      <c r="C719" s="181"/>
      <c r="D719" s="181"/>
      <c r="E719" s="181"/>
      <c r="F719" s="395"/>
      <c r="G719" s="387"/>
      <c r="H719" s="181"/>
      <c r="I719" s="181"/>
      <c r="J719" s="181"/>
      <c r="K719" s="88"/>
      <c r="L719" s="387"/>
      <c r="M719" s="181"/>
      <c r="N719" s="181"/>
      <c r="O719" s="181"/>
      <c r="P719" s="88"/>
      <c r="Q719" s="155"/>
      <c r="R719" s="181"/>
      <c r="S719" s="181"/>
      <c r="T719" s="181"/>
      <c r="U719" s="395"/>
      <c r="V719" s="387"/>
      <c r="W719" s="181"/>
      <c r="X719" s="181"/>
      <c r="Y719" s="181"/>
      <c r="Z719" s="395"/>
      <c r="AA719" s="387"/>
      <c r="AB719" s="181"/>
      <c r="AC719" s="181"/>
      <c r="AD719" s="181"/>
      <c r="AE719" s="395"/>
      <c r="AF719" s="387"/>
      <c r="AG719" s="181"/>
      <c r="AH719" s="181"/>
      <c r="AI719" s="181"/>
      <c r="AJ719" s="395"/>
      <c r="AK719" s="387"/>
      <c r="AL719" s="181"/>
      <c r="AM719" s="181"/>
      <c r="AN719" s="181"/>
      <c r="AO719" s="370"/>
      <c r="AP719" s="370"/>
      <c r="AQ719" s="370"/>
      <c r="AR719" s="370"/>
      <c r="AS719" s="370"/>
    </row>
    <row r="720">
      <c r="A720" s="395"/>
      <c r="B720" s="387"/>
      <c r="C720" s="181"/>
      <c r="D720" s="181"/>
      <c r="E720" s="181"/>
      <c r="F720" s="395"/>
      <c r="G720" s="387"/>
      <c r="H720" s="181"/>
      <c r="I720" s="181"/>
      <c r="J720" s="181"/>
      <c r="K720" s="88"/>
      <c r="L720" s="387"/>
      <c r="M720" s="181"/>
      <c r="N720" s="181"/>
      <c r="O720" s="181"/>
      <c r="P720" s="88"/>
      <c r="Q720" s="155"/>
      <c r="R720" s="181"/>
      <c r="S720" s="181"/>
      <c r="T720" s="181"/>
      <c r="U720" s="395"/>
      <c r="V720" s="387"/>
      <c r="W720" s="181"/>
      <c r="X720" s="181"/>
      <c r="Y720" s="181"/>
      <c r="Z720" s="395"/>
      <c r="AA720" s="387"/>
      <c r="AB720" s="181"/>
      <c r="AC720" s="181"/>
      <c r="AD720" s="181"/>
      <c r="AE720" s="395"/>
      <c r="AF720" s="387"/>
      <c r="AG720" s="181"/>
      <c r="AH720" s="181"/>
      <c r="AI720" s="181"/>
      <c r="AJ720" s="395"/>
      <c r="AK720" s="387"/>
      <c r="AL720" s="181"/>
      <c r="AM720" s="181"/>
      <c r="AN720" s="181"/>
      <c r="AO720" s="370"/>
      <c r="AP720" s="370"/>
      <c r="AQ720" s="370"/>
      <c r="AR720" s="370"/>
      <c r="AS720" s="370"/>
    </row>
    <row r="721">
      <c r="A721" s="395"/>
      <c r="B721" s="387"/>
      <c r="C721" s="181"/>
      <c r="D721" s="181"/>
      <c r="E721" s="181"/>
      <c r="F721" s="395"/>
      <c r="G721" s="387"/>
      <c r="H721" s="181"/>
      <c r="I721" s="181"/>
      <c r="J721" s="181"/>
      <c r="K721" s="88"/>
      <c r="L721" s="387"/>
      <c r="M721" s="181"/>
      <c r="N721" s="181"/>
      <c r="O721" s="181"/>
      <c r="P721" s="88"/>
      <c r="Q721" s="155"/>
      <c r="R721" s="181"/>
      <c r="S721" s="181"/>
      <c r="T721" s="181"/>
      <c r="U721" s="395"/>
      <c r="V721" s="387"/>
      <c r="W721" s="181"/>
      <c r="X721" s="181"/>
      <c r="Y721" s="181"/>
      <c r="Z721" s="395"/>
      <c r="AA721" s="387"/>
      <c r="AB721" s="181"/>
      <c r="AC721" s="181"/>
      <c r="AD721" s="181"/>
      <c r="AE721" s="395"/>
      <c r="AF721" s="387"/>
      <c r="AG721" s="181"/>
      <c r="AH721" s="181"/>
      <c r="AI721" s="181"/>
      <c r="AJ721" s="395"/>
      <c r="AK721" s="387"/>
      <c r="AL721" s="181"/>
      <c r="AM721" s="181"/>
      <c r="AN721" s="181"/>
      <c r="AO721" s="370"/>
      <c r="AP721" s="370"/>
      <c r="AQ721" s="370"/>
      <c r="AR721" s="370"/>
      <c r="AS721" s="370"/>
    </row>
    <row r="722">
      <c r="A722" s="395"/>
      <c r="B722" s="387"/>
      <c r="C722" s="181"/>
      <c r="D722" s="181"/>
      <c r="E722" s="181"/>
      <c r="F722" s="395"/>
      <c r="G722" s="387"/>
      <c r="H722" s="181"/>
      <c r="I722" s="181"/>
      <c r="J722" s="181"/>
      <c r="K722" s="88"/>
      <c r="L722" s="387"/>
      <c r="M722" s="181"/>
      <c r="N722" s="181"/>
      <c r="O722" s="181"/>
      <c r="P722" s="88"/>
      <c r="Q722" s="155"/>
      <c r="R722" s="181"/>
      <c r="S722" s="181"/>
      <c r="T722" s="181"/>
      <c r="U722" s="395"/>
      <c r="V722" s="387"/>
      <c r="W722" s="181"/>
      <c r="X722" s="181"/>
      <c r="Y722" s="181"/>
      <c r="Z722" s="395"/>
      <c r="AA722" s="387"/>
      <c r="AB722" s="181"/>
      <c r="AC722" s="181"/>
      <c r="AD722" s="181"/>
      <c r="AE722" s="395"/>
      <c r="AF722" s="387"/>
      <c r="AG722" s="181"/>
      <c r="AH722" s="181"/>
      <c r="AI722" s="181"/>
      <c r="AJ722" s="395"/>
      <c r="AK722" s="387"/>
      <c r="AL722" s="181"/>
      <c r="AM722" s="181"/>
      <c r="AN722" s="181"/>
      <c r="AO722" s="370"/>
      <c r="AP722" s="370"/>
      <c r="AQ722" s="370"/>
      <c r="AR722" s="370"/>
      <c r="AS722" s="370"/>
    </row>
    <row r="723">
      <c r="A723" s="395"/>
      <c r="B723" s="387"/>
      <c r="C723" s="181"/>
      <c r="D723" s="181"/>
      <c r="E723" s="181"/>
      <c r="F723" s="395"/>
      <c r="G723" s="387"/>
      <c r="H723" s="181"/>
      <c r="I723" s="181"/>
      <c r="J723" s="181"/>
      <c r="K723" s="88"/>
      <c r="L723" s="387"/>
      <c r="M723" s="181"/>
      <c r="N723" s="181"/>
      <c r="O723" s="181"/>
      <c r="P723" s="88"/>
      <c r="Q723" s="155"/>
      <c r="R723" s="181"/>
      <c r="S723" s="181"/>
      <c r="T723" s="181"/>
      <c r="U723" s="395"/>
      <c r="V723" s="387"/>
      <c r="W723" s="181"/>
      <c r="X723" s="181"/>
      <c r="Y723" s="181"/>
      <c r="Z723" s="395"/>
      <c r="AA723" s="387"/>
      <c r="AB723" s="181"/>
      <c r="AC723" s="181"/>
      <c r="AD723" s="181"/>
      <c r="AE723" s="395"/>
      <c r="AF723" s="387"/>
      <c r="AG723" s="181"/>
      <c r="AH723" s="181"/>
      <c r="AI723" s="181"/>
      <c r="AJ723" s="395"/>
      <c r="AK723" s="387"/>
      <c r="AL723" s="181"/>
      <c r="AM723" s="181"/>
      <c r="AN723" s="181"/>
      <c r="AO723" s="370"/>
      <c r="AP723" s="370"/>
      <c r="AQ723" s="370"/>
      <c r="AR723" s="370"/>
      <c r="AS723" s="370"/>
    </row>
    <row r="724">
      <c r="A724" s="395"/>
      <c r="B724" s="387"/>
      <c r="C724" s="181"/>
      <c r="D724" s="181"/>
      <c r="E724" s="181"/>
      <c r="F724" s="395"/>
      <c r="G724" s="387"/>
      <c r="H724" s="181"/>
      <c r="I724" s="181"/>
      <c r="J724" s="181"/>
      <c r="K724" s="88"/>
      <c r="L724" s="387"/>
      <c r="M724" s="181"/>
      <c r="N724" s="181"/>
      <c r="O724" s="181"/>
      <c r="P724" s="88"/>
      <c r="Q724" s="155"/>
      <c r="R724" s="181"/>
      <c r="S724" s="181"/>
      <c r="T724" s="181"/>
      <c r="U724" s="395"/>
      <c r="V724" s="387"/>
      <c r="W724" s="181"/>
      <c r="X724" s="181"/>
      <c r="Y724" s="181"/>
      <c r="Z724" s="395"/>
      <c r="AA724" s="387"/>
      <c r="AB724" s="181"/>
      <c r="AC724" s="181"/>
      <c r="AD724" s="181"/>
      <c r="AE724" s="395"/>
      <c r="AF724" s="387"/>
      <c r="AG724" s="181"/>
      <c r="AH724" s="181"/>
      <c r="AI724" s="181"/>
      <c r="AJ724" s="395"/>
      <c r="AK724" s="387"/>
      <c r="AL724" s="181"/>
      <c r="AM724" s="181"/>
      <c r="AN724" s="181"/>
      <c r="AO724" s="370"/>
      <c r="AP724" s="370"/>
      <c r="AQ724" s="370"/>
      <c r="AR724" s="370"/>
      <c r="AS724" s="370"/>
    </row>
    <row r="725">
      <c r="A725" s="395"/>
      <c r="B725" s="387"/>
      <c r="C725" s="181"/>
      <c r="D725" s="181"/>
      <c r="E725" s="181"/>
      <c r="F725" s="395"/>
      <c r="G725" s="387"/>
      <c r="H725" s="181"/>
      <c r="I725" s="181"/>
      <c r="J725" s="181"/>
      <c r="K725" s="88"/>
      <c r="L725" s="387"/>
      <c r="M725" s="181"/>
      <c r="N725" s="181"/>
      <c r="O725" s="181"/>
      <c r="P725" s="88"/>
      <c r="Q725" s="155"/>
      <c r="R725" s="181"/>
      <c r="S725" s="181"/>
      <c r="T725" s="181"/>
      <c r="U725" s="395"/>
      <c r="V725" s="387"/>
      <c r="W725" s="181"/>
      <c r="X725" s="181"/>
      <c r="Y725" s="181"/>
      <c r="Z725" s="395"/>
      <c r="AA725" s="387"/>
      <c r="AB725" s="181"/>
      <c r="AC725" s="181"/>
      <c r="AD725" s="181"/>
      <c r="AE725" s="395"/>
      <c r="AF725" s="387"/>
      <c r="AG725" s="181"/>
      <c r="AH725" s="181"/>
      <c r="AI725" s="181"/>
      <c r="AJ725" s="395"/>
      <c r="AK725" s="387"/>
      <c r="AL725" s="181"/>
      <c r="AM725" s="181"/>
      <c r="AN725" s="181"/>
      <c r="AO725" s="370"/>
      <c r="AP725" s="370"/>
      <c r="AQ725" s="370"/>
      <c r="AR725" s="370"/>
      <c r="AS725" s="370"/>
    </row>
    <row r="726">
      <c r="A726" s="395"/>
      <c r="B726" s="387"/>
      <c r="C726" s="181"/>
      <c r="D726" s="181"/>
      <c r="E726" s="181"/>
      <c r="F726" s="395"/>
      <c r="G726" s="387"/>
      <c r="H726" s="181"/>
      <c r="I726" s="181"/>
      <c r="J726" s="181"/>
      <c r="K726" s="88"/>
      <c r="L726" s="387"/>
      <c r="M726" s="181"/>
      <c r="N726" s="181"/>
      <c r="O726" s="181"/>
      <c r="P726" s="88"/>
      <c r="Q726" s="155"/>
      <c r="R726" s="181"/>
      <c r="S726" s="181"/>
      <c r="T726" s="181"/>
      <c r="U726" s="395"/>
      <c r="V726" s="387"/>
      <c r="W726" s="181"/>
      <c r="X726" s="181"/>
      <c r="Y726" s="181"/>
      <c r="Z726" s="395"/>
      <c r="AA726" s="387"/>
      <c r="AB726" s="181"/>
      <c r="AC726" s="181"/>
      <c r="AD726" s="181"/>
      <c r="AE726" s="395"/>
      <c r="AF726" s="387"/>
      <c r="AG726" s="181"/>
      <c r="AH726" s="181"/>
      <c r="AI726" s="181"/>
      <c r="AJ726" s="395"/>
      <c r="AK726" s="387"/>
      <c r="AL726" s="181"/>
      <c r="AM726" s="181"/>
      <c r="AN726" s="181"/>
      <c r="AO726" s="370"/>
      <c r="AP726" s="370"/>
      <c r="AQ726" s="370"/>
      <c r="AR726" s="370"/>
      <c r="AS726" s="370"/>
    </row>
    <row r="727">
      <c r="A727" s="395"/>
      <c r="B727" s="387"/>
      <c r="C727" s="181"/>
      <c r="D727" s="181"/>
      <c r="E727" s="181"/>
      <c r="F727" s="395"/>
      <c r="G727" s="387"/>
      <c r="H727" s="181"/>
      <c r="I727" s="181"/>
      <c r="J727" s="181"/>
      <c r="K727" s="88"/>
      <c r="L727" s="387"/>
      <c r="M727" s="181"/>
      <c r="N727" s="181"/>
      <c r="O727" s="181"/>
      <c r="P727" s="88"/>
      <c r="Q727" s="155"/>
      <c r="R727" s="181"/>
      <c r="S727" s="181"/>
      <c r="T727" s="181"/>
      <c r="U727" s="395"/>
      <c r="V727" s="387"/>
      <c r="W727" s="181"/>
      <c r="X727" s="181"/>
      <c r="Y727" s="181"/>
      <c r="Z727" s="395"/>
      <c r="AA727" s="387"/>
      <c r="AB727" s="181"/>
      <c r="AC727" s="181"/>
      <c r="AD727" s="181"/>
      <c r="AE727" s="395"/>
      <c r="AF727" s="387"/>
      <c r="AG727" s="181"/>
      <c r="AH727" s="181"/>
      <c r="AI727" s="181"/>
      <c r="AJ727" s="395"/>
      <c r="AK727" s="387"/>
      <c r="AL727" s="181"/>
      <c r="AM727" s="181"/>
      <c r="AN727" s="181"/>
      <c r="AO727" s="370"/>
      <c r="AP727" s="370"/>
      <c r="AQ727" s="370"/>
      <c r="AR727" s="370"/>
      <c r="AS727" s="370"/>
    </row>
    <row r="728">
      <c r="A728" s="395"/>
      <c r="B728" s="387"/>
      <c r="C728" s="181"/>
      <c r="D728" s="181"/>
      <c r="E728" s="181"/>
      <c r="F728" s="395"/>
      <c r="G728" s="387"/>
      <c r="H728" s="181"/>
      <c r="I728" s="181"/>
      <c r="J728" s="181"/>
      <c r="K728" s="88"/>
      <c r="L728" s="387"/>
      <c r="M728" s="181"/>
      <c r="N728" s="181"/>
      <c r="O728" s="181"/>
      <c r="P728" s="88"/>
      <c r="Q728" s="155"/>
      <c r="R728" s="181"/>
      <c r="S728" s="181"/>
      <c r="T728" s="181"/>
      <c r="U728" s="395"/>
      <c r="V728" s="387"/>
      <c r="W728" s="181"/>
      <c r="X728" s="181"/>
      <c r="Y728" s="181"/>
      <c r="Z728" s="395"/>
      <c r="AA728" s="387"/>
      <c r="AB728" s="181"/>
      <c r="AC728" s="181"/>
      <c r="AD728" s="181"/>
      <c r="AE728" s="395"/>
      <c r="AF728" s="387"/>
      <c r="AG728" s="181"/>
      <c r="AH728" s="181"/>
      <c r="AI728" s="181"/>
      <c r="AJ728" s="395"/>
      <c r="AK728" s="387"/>
      <c r="AL728" s="181"/>
      <c r="AM728" s="181"/>
      <c r="AN728" s="181"/>
      <c r="AO728" s="370"/>
      <c r="AP728" s="370"/>
      <c r="AQ728" s="370"/>
      <c r="AR728" s="370"/>
      <c r="AS728" s="370"/>
    </row>
    <row r="729">
      <c r="A729" s="395"/>
      <c r="B729" s="387"/>
      <c r="C729" s="181"/>
      <c r="D729" s="181"/>
      <c r="E729" s="181"/>
      <c r="F729" s="395"/>
      <c r="G729" s="387"/>
      <c r="H729" s="181"/>
      <c r="I729" s="181"/>
      <c r="J729" s="181"/>
      <c r="K729" s="88"/>
      <c r="L729" s="387"/>
      <c r="M729" s="181"/>
      <c r="N729" s="181"/>
      <c r="O729" s="181"/>
      <c r="P729" s="88"/>
      <c r="Q729" s="155"/>
      <c r="R729" s="181"/>
      <c r="S729" s="181"/>
      <c r="T729" s="181"/>
      <c r="U729" s="395"/>
      <c r="V729" s="387"/>
      <c r="W729" s="181"/>
      <c r="X729" s="181"/>
      <c r="Y729" s="181"/>
      <c r="Z729" s="395"/>
      <c r="AA729" s="387"/>
      <c r="AB729" s="181"/>
      <c r="AC729" s="181"/>
      <c r="AD729" s="181"/>
      <c r="AE729" s="395"/>
      <c r="AF729" s="387"/>
      <c r="AG729" s="181"/>
      <c r="AH729" s="181"/>
      <c r="AI729" s="181"/>
      <c r="AJ729" s="395"/>
      <c r="AK729" s="387"/>
      <c r="AL729" s="181"/>
      <c r="AM729" s="181"/>
      <c r="AN729" s="181"/>
      <c r="AO729" s="370"/>
      <c r="AP729" s="370"/>
      <c r="AQ729" s="370"/>
      <c r="AR729" s="370"/>
      <c r="AS729" s="370"/>
    </row>
    <row r="730">
      <c r="A730" s="395"/>
      <c r="B730" s="387"/>
      <c r="C730" s="181"/>
      <c r="D730" s="181"/>
      <c r="E730" s="181"/>
      <c r="F730" s="395"/>
      <c r="G730" s="387"/>
      <c r="H730" s="181"/>
      <c r="I730" s="181"/>
      <c r="J730" s="181"/>
      <c r="K730" s="88"/>
      <c r="L730" s="387"/>
      <c r="M730" s="181"/>
      <c r="N730" s="181"/>
      <c r="O730" s="181"/>
      <c r="P730" s="88"/>
      <c r="Q730" s="155"/>
      <c r="R730" s="181"/>
      <c r="S730" s="181"/>
      <c r="T730" s="181"/>
      <c r="U730" s="395"/>
      <c r="V730" s="387"/>
      <c r="W730" s="181"/>
      <c r="X730" s="181"/>
      <c r="Y730" s="181"/>
      <c r="Z730" s="395"/>
      <c r="AA730" s="387"/>
      <c r="AB730" s="181"/>
      <c r="AC730" s="181"/>
      <c r="AD730" s="181"/>
      <c r="AE730" s="395"/>
      <c r="AF730" s="387"/>
      <c r="AG730" s="181"/>
      <c r="AH730" s="181"/>
      <c r="AI730" s="181"/>
      <c r="AJ730" s="395"/>
      <c r="AK730" s="387"/>
      <c r="AL730" s="181"/>
      <c r="AM730" s="181"/>
      <c r="AN730" s="181"/>
      <c r="AO730" s="370"/>
      <c r="AP730" s="370"/>
      <c r="AQ730" s="370"/>
      <c r="AR730" s="370"/>
      <c r="AS730" s="370"/>
    </row>
    <row r="731">
      <c r="A731" s="395"/>
      <c r="B731" s="387"/>
      <c r="C731" s="181"/>
      <c r="D731" s="181"/>
      <c r="E731" s="181"/>
      <c r="F731" s="395"/>
      <c r="G731" s="387"/>
      <c r="H731" s="181"/>
      <c r="I731" s="181"/>
      <c r="J731" s="181"/>
      <c r="K731" s="88"/>
      <c r="L731" s="387"/>
      <c r="M731" s="181"/>
      <c r="N731" s="181"/>
      <c r="O731" s="181"/>
      <c r="P731" s="88"/>
      <c r="Q731" s="155"/>
      <c r="R731" s="181"/>
      <c r="S731" s="181"/>
      <c r="T731" s="181"/>
      <c r="U731" s="395"/>
      <c r="V731" s="387"/>
      <c r="W731" s="181"/>
      <c r="X731" s="181"/>
      <c r="Y731" s="181"/>
      <c r="Z731" s="395"/>
      <c r="AA731" s="387"/>
      <c r="AB731" s="181"/>
      <c r="AC731" s="181"/>
      <c r="AD731" s="181"/>
      <c r="AE731" s="395"/>
      <c r="AF731" s="387"/>
      <c r="AG731" s="181"/>
      <c r="AH731" s="181"/>
      <c r="AI731" s="181"/>
      <c r="AJ731" s="395"/>
      <c r="AK731" s="387"/>
      <c r="AL731" s="181"/>
      <c r="AM731" s="181"/>
      <c r="AN731" s="181"/>
      <c r="AO731" s="370"/>
      <c r="AP731" s="370"/>
      <c r="AQ731" s="370"/>
      <c r="AR731" s="370"/>
      <c r="AS731" s="370"/>
    </row>
    <row r="732">
      <c r="A732" s="395"/>
      <c r="B732" s="387"/>
      <c r="C732" s="181"/>
      <c r="D732" s="181"/>
      <c r="E732" s="181"/>
      <c r="F732" s="395"/>
      <c r="G732" s="387"/>
      <c r="H732" s="181"/>
      <c r="I732" s="181"/>
      <c r="J732" s="181"/>
      <c r="K732" s="88"/>
      <c r="L732" s="387"/>
      <c r="M732" s="181"/>
      <c r="N732" s="181"/>
      <c r="O732" s="181"/>
      <c r="P732" s="88"/>
      <c r="Q732" s="155"/>
      <c r="R732" s="181"/>
      <c r="S732" s="181"/>
      <c r="T732" s="181"/>
      <c r="U732" s="395"/>
      <c r="V732" s="387"/>
      <c r="W732" s="181"/>
      <c r="X732" s="181"/>
      <c r="Y732" s="181"/>
      <c r="Z732" s="395"/>
      <c r="AA732" s="387"/>
      <c r="AB732" s="181"/>
      <c r="AC732" s="181"/>
      <c r="AD732" s="181"/>
      <c r="AE732" s="395"/>
      <c r="AF732" s="387"/>
      <c r="AG732" s="181"/>
      <c r="AH732" s="181"/>
      <c r="AI732" s="181"/>
      <c r="AJ732" s="395"/>
      <c r="AK732" s="387"/>
      <c r="AL732" s="181"/>
      <c r="AM732" s="181"/>
      <c r="AN732" s="181"/>
      <c r="AO732" s="370"/>
      <c r="AP732" s="370"/>
      <c r="AQ732" s="370"/>
      <c r="AR732" s="370"/>
      <c r="AS732" s="370"/>
    </row>
    <row r="733">
      <c r="A733" s="395"/>
      <c r="B733" s="387"/>
      <c r="C733" s="181"/>
      <c r="D733" s="181"/>
      <c r="E733" s="181"/>
      <c r="F733" s="395"/>
      <c r="G733" s="387"/>
      <c r="H733" s="181"/>
      <c r="I733" s="181"/>
      <c r="J733" s="181"/>
      <c r="K733" s="88"/>
      <c r="L733" s="387"/>
      <c r="M733" s="181"/>
      <c r="N733" s="181"/>
      <c r="O733" s="181"/>
      <c r="P733" s="88"/>
      <c r="Q733" s="155"/>
      <c r="R733" s="181"/>
      <c r="S733" s="181"/>
      <c r="T733" s="181"/>
      <c r="U733" s="395"/>
      <c r="V733" s="387"/>
      <c r="W733" s="181"/>
      <c r="X733" s="181"/>
      <c r="Y733" s="181"/>
      <c r="Z733" s="395"/>
      <c r="AA733" s="387"/>
      <c r="AB733" s="181"/>
      <c r="AC733" s="181"/>
      <c r="AD733" s="181"/>
      <c r="AE733" s="395"/>
      <c r="AF733" s="387"/>
      <c r="AG733" s="181"/>
      <c r="AH733" s="181"/>
      <c r="AI733" s="181"/>
      <c r="AJ733" s="395"/>
      <c r="AK733" s="387"/>
      <c r="AL733" s="181"/>
      <c r="AM733" s="181"/>
      <c r="AN733" s="181"/>
      <c r="AO733" s="370"/>
      <c r="AP733" s="370"/>
      <c r="AQ733" s="370"/>
      <c r="AR733" s="370"/>
      <c r="AS733" s="370"/>
    </row>
    <row r="734">
      <c r="A734" s="395"/>
      <c r="B734" s="387"/>
      <c r="C734" s="181"/>
      <c r="D734" s="181"/>
      <c r="E734" s="181"/>
      <c r="F734" s="395"/>
      <c r="G734" s="387"/>
      <c r="H734" s="181"/>
      <c r="I734" s="181"/>
      <c r="J734" s="181"/>
      <c r="K734" s="88"/>
      <c r="L734" s="387"/>
      <c r="M734" s="181"/>
      <c r="N734" s="181"/>
      <c r="O734" s="181"/>
      <c r="P734" s="88"/>
      <c r="Q734" s="155"/>
      <c r="R734" s="181"/>
      <c r="S734" s="181"/>
      <c r="T734" s="181"/>
      <c r="U734" s="395"/>
      <c r="V734" s="387"/>
      <c r="W734" s="181"/>
      <c r="X734" s="181"/>
      <c r="Y734" s="181"/>
      <c r="Z734" s="395"/>
      <c r="AA734" s="387"/>
      <c r="AB734" s="181"/>
      <c r="AC734" s="181"/>
      <c r="AD734" s="181"/>
      <c r="AE734" s="395"/>
      <c r="AF734" s="387"/>
      <c r="AG734" s="181"/>
      <c r="AH734" s="181"/>
      <c r="AI734" s="181"/>
      <c r="AJ734" s="395"/>
      <c r="AK734" s="387"/>
      <c r="AL734" s="181"/>
      <c r="AM734" s="181"/>
      <c r="AN734" s="181"/>
      <c r="AO734" s="370"/>
      <c r="AP734" s="370"/>
      <c r="AQ734" s="370"/>
      <c r="AR734" s="370"/>
      <c r="AS734" s="370"/>
    </row>
    <row r="735">
      <c r="A735" s="395"/>
      <c r="B735" s="387"/>
      <c r="C735" s="181"/>
      <c r="D735" s="181"/>
      <c r="E735" s="181"/>
      <c r="F735" s="395"/>
      <c r="G735" s="387"/>
      <c r="H735" s="181"/>
      <c r="I735" s="181"/>
      <c r="J735" s="181"/>
      <c r="K735" s="88"/>
      <c r="L735" s="387"/>
      <c r="M735" s="181"/>
      <c r="N735" s="181"/>
      <c r="O735" s="181"/>
      <c r="P735" s="88"/>
      <c r="Q735" s="155"/>
      <c r="R735" s="181"/>
      <c r="S735" s="181"/>
      <c r="T735" s="181"/>
      <c r="U735" s="395"/>
      <c r="V735" s="387"/>
      <c r="W735" s="181"/>
      <c r="X735" s="181"/>
      <c r="Y735" s="181"/>
      <c r="Z735" s="395"/>
      <c r="AA735" s="387"/>
      <c r="AB735" s="181"/>
      <c r="AC735" s="181"/>
      <c r="AD735" s="181"/>
      <c r="AE735" s="395"/>
      <c r="AF735" s="387"/>
      <c r="AG735" s="181"/>
      <c r="AH735" s="181"/>
      <c r="AI735" s="181"/>
      <c r="AJ735" s="395"/>
      <c r="AK735" s="387"/>
      <c r="AL735" s="181"/>
      <c r="AM735" s="181"/>
      <c r="AN735" s="181"/>
      <c r="AO735" s="370"/>
      <c r="AP735" s="370"/>
      <c r="AQ735" s="370"/>
      <c r="AR735" s="370"/>
      <c r="AS735" s="370"/>
    </row>
    <row r="736">
      <c r="A736" s="395"/>
      <c r="B736" s="387"/>
      <c r="C736" s="181"/>
      <c r="D736" s="181"/>
      <c r="E736" s="181"/>
      <c r="F736" s="395"/>
      <c r="G736" s="387"/>
      <c r="H736" s="181"/>
      <c r="I736" s="181"/>
      <c r="J736" s="181"/>
      <c r="K736" s="88"/>
      <c r="L736" s="387"/>
      <c r="M736" s="181"/>
      <c r="N736" s="181"/>
      <c r="O736" s="181"/>
      <c r="P736" s="88"/>
      <c r="Q736" s="155"/>
      <c r="R736" s="181"/>
      <c r="S736" s="181"/>
      <c r="T736" s="181"/>
      <c r="U736" s="395"/>
      <c r="V736" s="387"/>
      <c r="W736" s="181"/>
      <c r="X736" s="181"/>
      <c r="Y736" s="181"/>
      <c r="Z736" s="395"/>
      <c r="AA736" s="387"/>
      <c r="AB736" s="181"/>
      <c r="AC736" s="181"/>
      <c r="AD736" s="181"/>
      <c r="AE736" s="395"/>
      <c r="AF736" s="387"/>
      <c r="AG736" s="181"/>
      <c r="AH736" s="181"/>
      <c r="AI736" s="181"/>
      <c r="AJ736" s="395"/>
      <c r="AK736" s="387"/>
      <c r="AL736" s="181"/>
      <c r="AM736" s="181"/>
      <c r="AN736" s="181"/>
      <c r="AO736" s="370"/>
      <c r="AP736" s="370"/>
      <c r="AQ736" s="370"/>
      <c r="AR736" s="370"/>
      <c r="AS736" s="370"/>
    </row>
    <row r="737">
      <c r="A737" s="395"/>
      <c r="B737" s="387"/>
      <c r="C737" s="181"/>
      <c r="D737" s="181"/>
      <c r="E737" s="181"/>
      <c r="F737" s="395"/>
      <c r="G737" s="387"/>
      <c r="H737" s="181"/>
      <c r="I737" s="181"/>
      <c r="J737" s="181"/>
      <c r="K737" s="88"/>
      <c r="L737" s="387"/>
      <c r="M737" s="181"/>
      <c r="N737" s="181"/>
      <c r="O737" s="181"/>
      <c r="P737" s="88"/>
      <c r="Q737" s="155"/>
      <c r="R737" s="181"/>
      <c r="S737" s="181"/>
      <c r="T737" s="181"/>
      <c r="U737" s="395"/>
      <c r="V737" s="387"/>
      <c r="W737" s="181"/>
      <c r="X737" s="181"/>
      <c r="Y737" s="181"/>
      <c r="Z737" s="395"/>
      <c r="AA737" s="387"/>
      <c r="AB737" s="181"/>
      <c r="AC737" s="181"/>
      <c r="AD737" s="181"/>
      <c r="AE737" s="395"/>
      <c r="AF737" s="387"/>
      <c r="AG737" s="181"/>
      <c r="AH737" s="181"/>
      <c r="AI737" s="181"/>
      <c r="AJ737" s="395"/>
      <c r="AK737" s="387"/>
      <c r="AL737" s="181"/>
      <c r="AM737" s="181"/>
      <c r="AN737" s="181"/>
      <c r="AO737" s="370"/>
      <c r="AP737" s="370"/>
      <c r="AQ737" s="370"/>
      <c r="AR737" s="370"/>
      <c r="AS737" s="370"/>
    </row>
    <row r="738">
      <c r="A738" s="395"/>
      <c r="B738" s="387"/>
      <c r="C738" s="181"/>
      <c r="D738" s="181"/>
      <c r="E738" s="181"/>
      <c r="F738" s="395"/>
      <c r="G738" s="387"/>
      <c r="H738" s="181"/>
      <c r="I738" s="181"/>
      <c r="J738" s="181"/>
      <c r="K738" s="88"/>
      <c r="L738" s="387"/>
      <c r="M738" s="181"/>
      <c r="N738" s="181"/>
      <c r="O738" s="181"/>
      <c r="P738" s="88"/>
      <c r="Q738" s="155"/>
      <c r="R738" s="181"/>
      <c r="S738" s="181"/>
      <c r="T738" s="181"/>
      <c r="U738" s="395"/>
      <c r="V738" s="387"/>
      <c r="W738" s="181"/>
      <c r="X738" s="181"/>
      <c r="Y738" s="181"/>
      <c r="Z738" s="395"/>
      <c r="AA738" s="387"/>
      <c r="AB738" s="181"/>
      <c r="AC738" s="181"/>
      <c r="AD738" s="181"/>
      <c r="AE738" s="395"/>
      <c r="AF738" s="387"/>
      <c r="AG738" s="181"/>
      <c r="AH738" s="181"/>
      <c r="AI738" s="181"/>
      <c r="AJ738" s="395"/>
      <c r="AK738" s="387"/>
      <c r="AL738" s="181"/>
      <c r="AM738" s="181"/>
      <c r="AN738" s="181"/>
      <c r="AO738" s="370"/>
      <c r="AP738" s="370"/>
      <c r="AQ738" s="370"/>
      <c r="AR738" s="370"/>
      <c r="AS738" s="370"/>
    </row>
    <row r="739">
      <c r="A739" s="395"/>
      <c r="B739" s="387"/>
      <c r="C739" s="181"/>
      <c r="D739" s="181"/>
      <c r="E739" s="181"/>
      <c r="F739" s="395"/>
      <c r="G739" s="387"/>
      <c r="H739" s="181"/>
      <c r="I739" s="181"/>
      <c r="J739" s="181"/>
      <c r="K739" s="88"/>
      <c r="L739" s="387"/>
      <c r="M739" s="181"/>
      <c r="N739" s="181"/>
      <c r="O739" s="181"/>
      <c r="P739" s="88"/>
      <c r="Q739" s="155"/>
      <c r="R739" s="181"/>
      <c r="S739" s="181"/>
      <c r="T739" s="181"/>
      <c r="U739" s="395"/>
      <c r="V739" s="387"/>
      <c r="W739" s="181"/>
      <c r="X739" s="181"/>
      <c r="Y739" s="181"/>
      <c r="Z739" s="395"/>
      <c r="AA739" s="387"/>
      <c r="AB739" s="181"/>
      <c r="AC739" s="181"/>
      <c r="AD739" s="181"/>
      <c r="AE739" s="395"/>
      <c r="AF739" s="387"/>
      <c r="AG739" s="181"/>
      <c r="AH739" s="181"/>
      <c r="AI739" s="181"/>
      <c r="AJ739" s="395"/>
      <c r="AK739" s="387"/>
      <c r="AL739" s="181"/>
      <c r="AM739" s="181"/>
      <c r="AN739" s="181"/>
      <c r="AO739" s="370"/>
      <c r="AP739" s="370"/>
      <c r="AQ739" s="370"/>
      <c r="AR739" s="370"/>
      <c r="AS739" s="370"/>
    </row>
    <row r="740">
      <c r="A740" s="395"/>
      <c r="B740" s="387"/>
      <c r="C740" s="181"/>
      <c r="D740" s="181"/>
      <c r="E740" s="181"/>
      <c r="F740" s="395"/>
      <c r="G740" s="387"/>
      <c r="H740" s="181"/>
      <c r="I740" s="181"/>
      <c r="J740" s="181"/>
      <c r="K740" s="88"/>
      <c r="L740" s="387"/>
      <c r="M740" s="181"/>
      <c r="N740" s="181"/>
      <c r="O740" s="181"/>
      <c r="P740" s="88"/>
      <c r="Q740" s="155"/>
      <c r="R740" s="181"/>
      <c r="S740" s="181"/>
      <c r="T740" s="181"/>
      <c r="U740" s="395"/>
      <c r="V740" s="387"/>
      <c r="W740" s="181"/>
      <c r="X740" s="181"/>
      <c r="Y740" s="181"/>
      <c r="Z740" s="395"/>
      <c r="AA740" s="387"/>
      <c r="AB740" s="181"/>
      <c r="AC740" s="181"/>
      <c r="AD740" s="181"/>
      <c r="AE740" s="395"/>
      <c r="AF740" s="387"/>
      <c r="AG740" s="181"/>
      <c r="AH740" s="181"/>
      <c r="AI740" s="181"/>
      <c r="AJ740" s="395"/>
      <c r="AK740" s="387"/>
      <c r="AL740" s="181"/>
      <c r="AM740" s="181"/>
      <c r="AN740" s="181"/>
      <c r="AO740" s="370"/>
      <c r="AP740" s="370"/>
      <c r="AQ740" s="370"/>
      <c r="AR740" s="370"/>
      <c r="AS740" s="370"/>
    </row>
    <row r="741">
      <c r="A741" s="395"/>
      <c r="B741" s="387"/>
      <c r="C741" s="181"/>
      <c r="D741" s="181"/>
      <c r="E741" s="181"/>
      <c r="F741" s="395"/>
      <c r="G741" s="387"/>
      <c r="H741" s="181"/>
      <c r="I741" s="181"/>
      <c r="J741" s="181"/>
      <c r="K741" s="88"/>
      <c r="L741" s="387"/>
      <c r="M741" s="181"/>
      <c r="N741" s="181"/>
      <c r="O741" s="181"/>
      <c r="P741" s="88"/>
      <c r="Q741" s="155"/>
      <c r="R741" s="181"/>
      <c r="S741" s="181"/>
      <c r="T741" s="181"/>
      <c r="U741" s="395"/>
      <c r="V741" s="387"/>
      <c r="W741" s="181"/>
      <c r="X741" s="181"/>
      <c r="Y741" s="181"/>
      <c r="Z741" s="395"/>
      <c r="AA741" s="387"/>
      <c r="AB741" s="181"/>
      <c r="AC741" s="181"/>
      <c r="AD741" s="181"/>
      <c r="AE741" s="395"/>
      <c r="AF741" s="387"/>
      <c r="AG741" s="181"/>
      <c r="AH741" s="181"/>
      <c r="AI741" s="181"/>
      <c r="AJ741" s="395"/>
      <c r="AK741" s="387"/>
      <c r="AL741" s="181"/>
      <c r="AM741" s="181"/>
      <c r="AN741" s="181"/>
      <c r="AO741" s="370"/>
      <c r="AP741" s="370"/>
      <c r="AQ741" s="370"/>
      <c r="AR741" s="370"/>
      <c r="AS741" s="370"/>
    </row>
    <row r="742">
      <c r="A742" s="395"/>
      <c r="B742" s="387"/>
      <c r="C742" s="181"/>
      <c r="D742" s="181"/>
      <c r="E742" s="181"/>
      <c r="F742" s="395"/>
      <c r="G742" s="387"/>
      <c r="H742" s="181"/>
      <c r="I742" s="181"/>
      <c r="J742" s="181"/>
      <c r="K742" s="88"/>
      <c r="L742" s="387"/>
      <c r="M742" s="181"/>
      <c r="N742" s="181"/>
      <c r="O742" s="181"/>
      <c r="P742" s="88"/>
      <c r="Q742" s="155"/>
      <c r="R742" s="181"/>
      <c r="S742" s="181"/>
      <c r="T742" s="181"/>
      <c r="U742" s="395"/>
      <c r="V742" s="387"/>
      <c r="W742" s="181"/>
      <c r="X742" s="181"/>
      <c r="Y742" s="181"/>
      <c r="Z742" s="395"/>
      <c r="AA742" s="387"/>
      <c r="AB742" s="181"/>
      <c r="AC742" s="181"/>
      <c r="AD742" s="181"/>
      <c r="AE742" s="395"/>
      <c r="AF742" s="387"/>
      <c r="AG742" s="181"/>
      <c r="AH742" s="181"/>
      <c r="AI742" s="181"/>
      <c r="AJ742" s="395"/>
      <c r="AK742" s="387"/>
      <c r="AL742" s="181"/>
      <c r="AM742" s="181"/>
      <c r="AN742" s="181"/>
      <c r="AO742" s="370"/>
      <c r="AP742" s="370"/>
      <c r="AQ742" s="370"/>
      <c r="AR742" s="370"/>
      <c r="AS742" s="370"/>
    </row>
    <row r="743">
      <c r="A743" s="395"/>
      <c r="B743" s="387"/>
      <c r="C743" s="181"/>
      <c r="D743" s="181"/>
      <c r="E743" s="181"/>
      <c r="F743" s="395"/>
      <c r="G743" s="387"/>
      <c r="H743" s="181"/>
      <c r="I743" s="181"/>
      <c r="J743" s="181"/>
      <c r="K743" s="88"/>
      <c r="L743" s="387"/>
      <c r="M743" s="181"/>
      <c r="N743" s="181"/>
      <c r="O743" s="181"/>
      <c r="P743" s="88"/>
      <c r="Q743" s="155"/>
      <c r="R743" s="181"/>
      <c r="S743" s="181"/>
      <c r="T743" s="181"/>
      <c r="U743" s="395"/>
      <c r="V743" s="387"/>
      <c r="W743" s="181"/>
      <c r="X743" s="181"/>
      <c r="Y743" s="181"/>
      <c r="Z743" s="395"/>
      <c r="AA743" s="387"/>
      <c r="AB743" s="181"/>
      <c r="AC743" s="181"/>
      <c r="AD743" s="181"/>
      <c r="AE743" s="395"/>
      <c r="AF743" s="387"/>
      <c r="AG743" s="181"/>
      <c r="AH743" s="181"/>
      <c r="AI743" s="181"/>
      <c r="AJ743" s="395"/>
      <c r="AK743" s="387"/>
      <c r="AL743" s="181"/>
      <c r="AM743" s="181"/>
      <c r="AN743" s="181"/>
      <c r="AO743" s="370"/>
      <c r="AP743" s="370"/>
      <c r="AQ743" s="370"/>
      <c r="AR743" s="370"/>
      <c r="AS743" s="370"/>
    </row>
    <row r="744">
      <c r="A744" s="395"/>
      <c r="B744" s="387"/>
      <c r="C744" s="181"/>
      <c r="D744" s="181"/>
      <c r="E744" s="181"/>
      <c r="F744" s="395"/>
      <c r="G744" s="387"/>
      <c r="H744" s="181"/>
      <c r="I744" s="181"/>
      <c r="J744" s="181"/>
      <c r="K744" s="88"/>
      <c r="L744" s="387"/>
      <c r="M744" s="181"/>
      <c r="N744" s="181"/>
      <c r="O744" s="181"/>
      <c r="P744" s="88"/>
      <c r="Q744" s="155"/>
      <c r="R744" s="181"/>
      <c r="S744" s="181"/>
      <c r="T744" s="181"/>
      <c r="U744" s="395"/>
      <c r="V744" s="387"/>
      <c r="W744" s="181"/>
      <c r="X744" s="181"/>
      <c r="Y744" s="181"/>
      <c r="Z744" s="395"/>
      <c r="AA744" s="387"/>
      <c r="AB744" s="181"/>
      <c r="AC744" s="181"/>
      <c r="AD744" s="181"/>
      <c r="AE744" s="395"/>
      <c r="AF744" s="387"/>
      <c r="AG744" s="181"/>
      <c r="AH744" s="181"/>
      <c r="AI744" s="181"/>
      <c r="AJ744" s="395"/>
      <c r="AK744" s="387"/>
      <c r="AL744" s="181"/>
      <c r="AM744" s="181"/>
      <c r="AN744" s="181"/>
      <c r="AO744" s="370"/>
      <c r="AP744" s="370"/>
      <c r="AQ744" s="370"/>
      <c r="AR744" s="370"/>
      <c r="AS744" s="370"/>
    </row>
    <row r="745">
      <c r="A745" s="395"/>
      <c r="B745" s="387"/>
      <c r="C745" s="181"/>
      <c r="D745" s="181"/>
      <c r="E745" s="181"/>
      <c r="F745" s="395"/>
      <c r="G745" s="387"/>
      <c r="H745" s="181"/>
      <c r="I745" s="181"/>
      <c r="J745" s="181"/>
      <c r="K745" s="88"/>
      <c r="L745" s="387"/>
      <c r="M745" s="181"/>
      <c r="N745" s="181"/>
      <c r="O745" s="181"/>
      <c r="P745" s="88"/>
      <c r="Q745" s="155"/>
      <c r="R745" s="181"/>
      <c r="S745" s="181"/>
      <c r="T745" s="181"/>
      <c r="U745" s="395"/>
      <c r="V745" s="387"/>
      <c r="W745" s="181"/>
      <c r="X745" s="181"/>
      <c r="Y745" s="181"/>
      <c r="Z745" s="395"/>
      <c r="AA745" s="387"/>
      <c r="AB745" s="181"/>
      <c r="AC745" s="181"/>
      <c r="AD745" s="181"/>
      <c r="AE745" s="395"/>
      <c r="AF745" s="387"/>
      <c r="AG745" s="181"/>
      <c r="AH745" s="181"/>
      <c r="AI745" s="181"/>
      <c r="AJ745" s="395"/>
      <c r="AK745" s="387"/>
      <c r="AL745" s="181"/>
      <c r="AM745" s="181"/>
      <c r="AN745" s="181"/>
      <c r="AO745" s="370"/>
      <c r="AP745" s="370"/>
      <c r="AQ745" s="370"/>
      <c r="AR745" s="370"/>
      <c r="AS745" s="370"/>
    </row>
    <row r="746">
      <c r="A746" s="395"/>
      <c r="B746" s="387"/>
      <c r="C746" s="181"/>
      <c r="D746" s="181"/>
      <c r="E746" s="181"/>
      <c r="F746" s="395"/>
      <c r="G746" s="387"/>
      <c r="H746" s="181"/>
      <c r="I746" s="181"/>
      <c r="J746" s="181"/>
      <c r="K746" s="88"/>
      <c r="L746" s="387"/>
      <c r="M746" s="181"/>
      <c r="N746" s="181"/>
      <c r="O746" s="181"/>
      <c r="P746" s="88"/>
      <c r="Q746" s="155"/>
      <c r="R746" s="181"/>
      <c r="S746" s="181"/>
      <c r="T746" s="181"/>
      <c r="U746" s="395"/>
      <c r="V746" s="387"/>
      <c r="W746" s="181"/>
      <c r="X746" s="181"/>
      <c r="Y746" s="181"/>
      <c r="Z746" s="395"/>
      <c r="AA746" s="387"/>
      <c r="AB746" s="181"/>
      <c r="AC746" s="181"/>
      <c r="AD746" s="181"/>
      <c r="AE746" s="395"/>
      <c r="AF746" s="387"/>
      <c r="AG746" s="181"/>
      <c r="AH746" s="181"/>
      <c r="AI746" s="181"/>
      <c r="AJ746" s="395"/>
      <c r="AK746" s="387"/>
      <c r="AL746" s="181"/>
      <c r="AM746" s="181"/>
      <c r="AN746" s="181"/>
      <c r="AO746" s="370"/>
      <c r="AP746" s="370"/>
      <c r="AQ746" s="370"/>
      <c r="AR746" s="370"/>
      <c r="AS746" s="370"/>
    </row>
    <row r="747">
      <c r="A747" s="395"/>
      <c r="B747" s="387"/>
      <c r="C747" s="181"/>
      <c r="D747" s="181"/>
      <c r="E747" s="181"/>
      <c r="F747" s="395"/>
      <c r="G747" s="387"/>
      <c r="H747" s="181"/>
      <c r="I747" s="181"/>
      <c r="J747" s="181"/>
      <c r="K747" s="88"/>
      <c r="L747" s="387"/>
      <c r="M747" s="181"/>
      <c r="N747" s="181"/>
      <c r="O747" s="181"/>
      <c r="P747" s="88"/>
      <c r="Q747" s="155"/>
      <c r="R747" s="181"/>
      <c r="S747" s="181"/>
      <c r="T747" s="181"/>
      <c r="U747" s="395"/>
      <c r="V747" s="387"/>
      <c r="W747" s="181"/>
      <c r="X747" s="181"/>
      <c r="Y747" s="181"/>
      <c r="Z747" s="395"/>
      <c r="AA747" s="387"/>
      <c r="AB747" s="181"/>
      <c r="AC747" s="181"/>
      <c r="AD747" s="181"/>
      <c r="AE747" s="395"/>
      <c r="AF747" s="387"/>
      <c r="AG747" s="181"/>
      <c r="AH747" s="181"/>
      <c r="AI747" s="181"/>
      <c r="AJ747" s="395"/>
      <c r="AK747" s="387"/>
      <c r="AL747" s="181"/>
      <c r="AM747" s="181"/>
      <c r="AN747" s="181"/>
      <c r="AO747" s="370"/>
      <c r="AP747" s="370"/>
      <c r="AQ747" s="370"/>
      <c r="AR747" s="370"/>
      <c r="AS747" s="370"/>
    </row>
    <row r="748">
      <c r="A748" s="395"/>
      <c r="B748" s="387"/>
      <c r="C748" s="181"/>
      <c r="D748" s="181"/>
      <c r="E748" s="181"/>
      <c r="F748" s="395"/>
      <c r="G748" s="387"/>
      <c r="H748" s="181"/>
      <c r="I748" s="181"/>
      <c r="J748" s="181"/>
      <c r="K748" s="88"/>
      <c r="L748" s="387"/>
      <c r="M748" s="181"/>
      <c r="N748" s="181"/>
      <c r="O748" s="181"/>
      <c r="P748" s="88"/>
      <c r="Q748" s="155"/>
      <c r="R748" s="181"/>
      <c r="S748" s="181"/>
      <c r="T748" s="181"/>
      <c r="U748" s="395"/>
      <c r="V748" s="387"/>
      <c r="W748" s="181"/>
      <c r="X748" s="181"/>
      <c r="Y748" s="181"/>
      <c r="Z748" s="395"/>
      <c r="AA748" s="387"/>
      <c r="AB748" s="181"/>
      <c r="AC748" s="181"/>
      <c r="AD748" s="181"/>
      <c r="AE748" s="395"/>
      <c r="AF748" s="387"/>
      <c r="AG748" s="181"/>
      <c r="AH748" s="181"/>
      <c r="AI748" s="181"/>
      <c r="AJ748" s="395"/>
      <c r="AK748" s="387"/>
      <c r="AL748" s="181"/>
      <c r="AM748" s="181"/>
      <c r="AN748" s="181"/>
      <c r="AO748" s="370"/>
      <c r="AP748" s="370"/>
      <c r="AQ748" s="370"/>
      <c r="AR748" s="370"/>
      <c r="AS748" s="370"/>
    </row>
    <row r="749">
      <c r="A749" s="395"/>
      <c r="B749" s="387"/>
      <c r="C749" s="181"/>
      <c r="D749" s="181"/>
      <c r="E749" s="181"/>
      <c r="F749" s="395"/>
      <c r="G749" s="387"/>
      <c r="H749" s="181"/>
      <c r="I749" s="181"/>
      <c r="J749" s="181"/>
      <c r="K749" s="88"/>
      <c r="L749" s="387"/>
      <c r="M749" s="181"/>
      <c r="N749" s="181"/>
      <c r="O749" s="181"/>
      <c r="P749" s="88"/>
      <c r="Q749" s="155"/>
      <c r="R749" s="181"/>
      <c r="S749" s="181"/>
      <c r="T749" s="181"/>
      <c r="U749" s="395"/>
      <c r="V749" s="387"/>
      <c r="W749" s="181"/>
      <c r="X749" s="181"/>
      <c r="Y749" s="181"/>
      <c r="Z749" s="395"/>
      <c r="AA749" s="387"/>
      <c r="AB749" s="181"/>
      <c r="AC749" s="181"/>
      <c r="AD749" s="181"/>
      <c r="AE749" s="395"/>
      <c r="AF749" s="387"/>
      <c r="AG749" s="181"/>
      <c r="AH749" s="181"/>
      <c r="AI749" s="181"/>
      <c r="AJ749" s="395"/>
      <c r="AK749" s="387"/>
      <c r="AL749" s="181"/>
      <c r="AM749" s="181"/>
      <c r="AN749" s="181"/>
      <c r="AO749" s="370"/>
      <c r="AP749" s="370"/>
      <c r="AQ749" s="370"/>
      <c r="AR749" s="370"/>
      <c r="AS749" s="370"/>
    </row>
    <row r="750">
      <c r="A750" s="395"/>
      <c r="B750" s="387"/>
      <c r="C750" s="181"/>
      <c r="D750" s="181"/>
      <c r="E750" s="181"/>
      <c r="F750" s="395"/>
      <c r="G750" s="387"/>
      <c r="H750" s="181"/>
      <c r="I750" s="181"/>
      <c r="J750" s="181"/>
      <c r="K750" s="88"/>
      <c r="L750" s="387"/>
      <c r="M750" s="181"/>
      <c r="N750" s="181"/>
      <c r="O750" s="181"/>
      <c r="P750" s="88"/>
      <c r="Q750" s="155"/>
      <c r="R750" s="181"/>
      <c r="S750" s="181"/>
      <c r="T750" s="181"/>
      <c r="U750" s="395"/>
      <c r="V750" s="387"/>
      <c r="W750" s="181"/>
      <c r="X750" s="181"/>
      <c r="Y750" s="181"/>
      <c r="Z750" s="395"/>
      <c r="AA750" s="387"/>
      <c r="AB750" s="181"/>
      <c r="AC750" s="181"/>
      <c r="AD750" s="181"/>
      <c r="AE750" s="395"/>
      <c r="AF750" s="387"/>
      <c r="AG750" s="181"/>
      <c r="AH750" s="181"/>
      <c r="AI750" s="181"/>
      <c r="AJ750" s="395"/>
      <c r="AK750" s="387"/>
      <c r="AL750" s="181"/>
      <c r="AM750" s="181"/>
      <c r="AN750" s="181"/>
      <c r="AO750" s="370"/>
      <c r="AP750" s="370"/>
      <c r="AQ750" s="370"/>
      <c r="AR750" s="370"/>
      <c r="AS750" s="370"/>
    </row>
    <row r="751">
      <c r="A751" s="395"/>
      <c r="B751" s="387"/>
      <c r="C751" s="181"/>
      <c r="D751" s="181"/>
      <c r="E751" s="181"/>
      <c r="F751" s="395"/>
      <c r="G751" s="387"/>
      <c r="H751" s="181"/>
      <c r="I751" s="181"/>
      <c r="J751" s="181"/>
      <c r="K751" s="88"/>
      <c r="L751" s="387"/>
      <c r="M751" s="181"/>
      <c r="N751" s="181"/>
      <c r="O751" s="181"/>
      <c r="P751" s="88"/>
      <c r="Q751" s="155"/>
      <c r="R751" s="181"/>
      <c r="S751" s="181"/>
      <c r="T751" s="181"/>
      <c r="U751" s="395"/>
      <c r="V751" s="387"/>
      <c r="W751" s="181"/>
      <c r="X751" s="181"/>
      <c r="Y751" s="181"/>
      <c r="Z751" s="395"/>
      <c r="AA751" s="387"/>
      <c r="AB751" s="181"/>
      <c r="AC751" s="181"/>
      <c r="AD751" s="181"/>
      <c r="AE751" s="395"/>
      <c r="AF751" s="387"/>
      <c r="AG751" s="181"/>
      <c r="AH751" s="181"/>
      <c r="AI751" s="181"/>
      <c r="AJ751" s="395"/>
      <c r="AK751" s="387"/>
      <c r="AL751" s="181"/>
      <c r="AM751" s="181"/>
      <c r="AN751" s="181"/>
      <c r="AO751" s="370"/>
      <c r="AP751" s="370"/>
      <c r="AQ751" s="370"/>
      <c r="AR751" s="370"/>
      <c r="AS751" s="370"/>
    </row>
    <row r="752">
      <c r="A752" s="395"/>
      <c r="B752" s="387"/>
      <c r="C752" s="181"/>
      <c r="D752" s="181"/>
      <c r="E752" s="181"/>
      <c r="F752" s="395"/>
      <c r="G752" s="387"/>
      <c r="H752" s="181"/>
      <c r="I752" s="181"/>
      <c r="J752" s="181"/>
      <c r="K752" s="88"/>
      <c r="L752" s="387"/>
      <c r="M752" s="181"/>
      <c r="N752" s="181"/>
      <c r="O752" s="181"/>
      <c r="P752" s="88"/>
      <c r="Q752" s="155"/>
      <c r="R752" s="181"/>
      <c r="S752" s="181"/>
      <c r="T752" s="181"/>
      <c r="U752" s="395"/>
      <c r="V752" s="387"/>
      <c r="W752" s="181"/>
      <c r="X752" s="181"/>
      <c r="Y752" s="181"/>
      <c r="Z752" s="395"/>
      <c r="AA752" s="387"/>
      <c r="AB752" s="181"/>
      <c r="AC752" s="181"/>
      <c r="AD752" s="181"/>
      <c r="AE752" s="395"/>
      <c r="AF752" s="387"/>
      <c r="AG752" s="181"/>
      <c r="AH752" s="181"/>
      <c r="AI752" s="181"/>
      <c r="AJ752" s="395"/>
      <c r="AK752" s="387"/>
      <c r="AL752" s="181"/>
      <c r="AM752" s="181"/>
      <c r="AN752" s="181"/>
      <c r="AO752" s="370"/>
      <c r="AP752" s="370"/>
      <c r="AQ752" s="370"/>
      <c r="AR752" s="370"/>
      <c r="AS752" s="370"/>
    </row>
    <row r="753">
      <c r="A753" s="395"/>
      <c r="B753" s="387"/>
      <c r="C753" s="181"/>
      <c r="D753" s="181"/>
      <c r="E753" s="181"/>
      <c r="F753" s="395"/>
      <c r="G753" s="387"/>
      <c r="H753" s="181"/>
      <c r="I753" s="181"/>
      <c r="J753" s="181"/>
      <c r="K753" s="88"/>
      <c r="L753" s="387"/>
      <c r="M753" s="181"/>
      <c r="N753" s="181"/>
      <c r="O753" s="181"/>
      <c r="P753" s="88"/>
      <c r="Q753" s="155"/>
      <c r="R753" s="181"/>
      <c r="S753" s="181"/>
      <c r="T753" s="181"/>
      <c r="U753" s="395"/>
      <c r="V753" s="387"/>
      <c r="W753" s="181"/>
      <c r="X753" s="181"/>
      <c r="Y753" s="181"/>
      <c r="Z753" s="395"/>
      <c r="AA753" s="387"/>
      <c r="AB753" s="181"/>
      <c r="AC753" s="181"/>
      <c r="AD753" s="181"/>
      <c r="AE753" s="395"/>
      <c r="AF753" s="387"/>
      <c r="AG753" s="181"/>
      <c r="AH753" s="181"/>
      <c r="AI753" s="181"/>
      <c r="AJ753" s="395"/>
      <c r="AK753" s="387"/>
      <c r="AL753" s="181"/>
      <c r="AM753" s="181"/>
      <c r="AN753" s="181"/>
      <c r="AO753" s="370"/>
      <c r="AP753" s="370"/>
      <c r="AQ753" s="370"/>
      <c r="AR753" s="370"/>
      <c r="AS753" s="370"/>
    </row>
    <row r="754">
      <c r="A754" s="395"/>
      <c r="B754" s="387"/>
      <c r="C754" s="181"/>
      <c r="D754" s="181"/>
      <c r="E754" s="181"/>
      <c r="F754" s="395"/>
      <c r="G754" s="387"/>
      <c r="H754" s="181"/>
      <c r="I754" s="181"/>
      <c r="J754" s="181"/>
      <c r="K754" s="88"/>
      <c r="L754" s="387"/>
      <c r="M754" s="181"/>
      <c r="N754" s="181"/>
      <c r="O754" s="181"/>
      <c r="P754" s="88"/>
      <c r="Q754" s="155"/>
      <c r="R754" s="181"/>
      <c r="S754" s="181"/>
      <c r="T754" s="181"/>
      <c r="U754" s="395"/>
      <c r="V754" s="387"/>
      <c r="W754" s="181"/>
      <c r="X754" s="181"/>
      <c r="Y754" s="181"/>
      <c r="Z754" s="395"/>
      <c r="AA754" s="387"/>
      <c r="AB754" s="181"/>
      <c r="AC754" s="181"/>
      <c r="AD754" s="181"/>
      <c r="AE754" s="395"/>
      <c r="AF754" s="387"/>
      <c r="AG754" s="181"/>
      <c r="AH754" s="181"/>
      <c r="AI754" s="181"/>
      <c r="AJ754" s="395"/>
      <c r="AK754" s="387"/>
      <c r="AL754" s="181"/>
      <c r="AM754" s="181"/>
      <c r="AN754" s="181"/>
      <c r="AO754" s="370"/>
      <c r="AP754" s="370"/>
      <c r="AQ754" s="370"/>
      <c r="AR754" s="370"/>
      <c r="AS754" s="370"/>
    </row>
    <row r="755">
      <c r="A755" s="395"/>
      <c r="B755" s="387"/>
      <c r="C755" s="181"/>
      <c r="D755" s="181"/>
      <c r="E755" s="181"/>
      <c r="F755" s="395"/>
      <c r="G755" s="387"/>
      <c r="H755" s="181"/>
      <c r="I755" s="181"/>
      <c r="J755" s="181"/>
      <c r="K755" s="88"/>
      <c r="L755" s="387"/>
      <c r="M755" s="181"/>
      <c r="N755" s="181"/>
      <c r="O755" s="181"/>
      <c r="P755" s="88"/>
      <c r="Q755" s="155"/>
      <c r="R755" s="181"/>
      <c r="S755" s="181"/>
      <c r="T755" s="181"/>
      <c r="U755" s="395"/>
      <c r="V755" s="387"/>
      <c r="W755" s="181"/>
      <c r="X755" s="181"/>
      <c r="Y755" s="181"/>
      <c r="Z755" s="395"/>
      <c r="AA755" s="387"/>
      <c r="AB755" s="181"/>
      <c r="AC755" s="181"/>
      <c r="AD755" s="181"/>
      <c r="AE755" s="395"/>
      <c r="AF755" s="387"/>
      <c r="AG755" s="181"/>
      <c r="AH755" s="181"/>
      <c r="AI755" s="181"/>
      <c r="AJ755" s="395"/>
      <c r="AK755" s="387"/>
      <c r="AL755" s="181"/>
      <c r="AM755" s="181"/>
      <c r="AN755" s="181"/>
      <c r="AO755" s="370"/>
      <c r="AP755" s="370"/>
      <c r="AQ755" s="370"/>
      <c r="AR755" s="370"/>
      <c r="AS755" s="370"/>
    </row>
    <row r="756">
      <c r="A756" s="395"/>
      <c r="B756" s="387"/>
      <c r="C756" s="181"/>
      <c r="D756" s="181"/>
      <c r="E756" s="181"/>
      <c r="F756" s="395"/>
      <c r="G756" s="387"/>
      <c r="H756" s="181"/>
      <c r="I756" s="181"/>
      <c r="J756" s="181"/>
      <c r="K756" s="88"/>
      <c r="L756" s="387"/>
      <c r="M756" s="181"/>
      <c r="N756" s="181"/>
      <c r="O756" s="181"/>
      <c r="P756" s="88"/>
      <c r="Q756" s="155"/>
      <c r="R756" s="181"/>
      <c r="S756" s="181"/>
      <c r="T756" s="181"/>
      <c r="U756" s="395"/>
      <c r="V756" s="387"/>
      <c r="W756" s="181"/>
      <c r="X756" s="181"/>
      <c r="Y756" s="181"/>
      <c r="Z756" s="395"/>
      <c r="AA756" s="387"/>
      <c r="AB756" s="181"/>
      <c r="AC756" s="181"/>
      <c r="AD756" s="181"/>
      <c r="AE756" s="395"/>
      <c r="AF756" s="387"/>
      <c r="AG756" s="181"/>
      <c r="AH756" s="181"/>
      <c r="AI756" s="181"/>
      <c r="AJ756" s="395"/>
      <c r="AK756" s="387"/>
      <c r="AL756" s="181"/>
      <c r="AM756" s="181"/>
      <c r="AN756" s="181"/>
      <c r="AO756" s="370"/>
      <c r="AP756" s="370"/>
      <c r="AQ756" s="370"/>
      <c r="AR756" s="370"/>
      <c r="AS756" s="370"/>
    </row>
    <row r="757">
      <c r="A757" s="395"/>
      <c r="B757" s="387"/>
      <c r="C757" s="181"/>
      <c r="D757" s="181"/>
      <c r="E757" s="181"/>
      <c r="F757" s="395"/>
      <c r="G757" s="387"/>
      <c r="H757" s="181"/>
      <c r="I757" s="181"/>
      <c r="J757" s="181"/>
      <c r="K757" s="88"/>
      <c r="L757" s="387"/>
      <c r="M757" s="181"/>
      <c r="N757" s="181"/>
      <c r="O757" s="181"/>
      <c r="P757" s="88"/>
      <c r="Q757" s="155"/>
      <c r="R757" s="181"/>
      <c r="S757" s="181"/>
      <c r="T757" s="181"/>
      <c r="U757" s="395"/>
      <c r="V757" s="387"/>
      <c r="W757" s="181"/>
      <c r="X757" s="181"/>
      <c r="Y757" s="181"/>
      <c r="Z757" s="395"/>
      <c r="AA757" s="387"/>
      <c r="AB757" s="181"/>
      <c r="AC757" s="181"/>
      <c r="AD757" s="181"/>
      <c r="AE757" s="395"/>
      <c r="AF757" s="387"/>
      <c r="AG757" s="181"/>
      <c r="AH757" s="181"/>
      <c r="AI757" s="181"/>
      <c r="AJ757" s="395"/>
      <c r="AK757" s="387"/>
      <c r="AL757" s="181"/>
      <c r="AM757" s="181"/>
      <c r="AN757" s="181"/>
      <c r="AO757" s="370"/>
      <c r="AP757" s="370"/>
      <c r="AQ757" s="370"/>
      <c r="AR757" s="370"/>
      <c r="AS757" s="370"/>
    </row>
    <row r="758">
      <c r="A758" s="395"/>
      <c r="B758" s="387"/>
      <c r="C758" s="181"/>
      <c r="D758" s="181"/>
      <c r="E758" s="181"/>
      <c r="F758" s="395"/>
      <c r="G758" s="387"/>
      <c r="H758" s="181"/>
      <c r="I758" s="181"/>
      <c r="J758" s="181"/>
      <c r="K758" s="88"/>
      <c r="L758" s="387"/>
      <c r="M758" s="181"/>
      <c r="N758" s="181"/>
      <c r="O758" s="181"/>
      <c r="P758" s="88"/>
      <c r="Q758" s="155"/>
      <c r="R758" s="181"/>
      <c r="S758" s="181"/>
      <c r="T758" s="181"/>
      <c r="U758" s="395"/>
      <c r="V758" s="387"/>
      <c r="W758" s="181"/>
      <c r="X758" s="181"/>
      <c r="Y758" s="181"/>
      <c r="Z758" s="395"/>
      <c r="AA758" s="387"/>
      <c r="AB758" s="181"/>
      <c r="AC758" s="181"/>
      <c r="AD758" s="181"/>
      <c r="AE758" s="395"/>
      <c r="AF758" s="387"/>
      <c r="AG758" s="181"/>
      <c r="AH758" s="181"/>
      <c r="AI758" s="181"/>
      <c r="AJ758" s="395"/>
      <c r="AK758" s="387"/>
      <c r="AL758" s="181"/>
      <c r="AM758" s="181"/>
      <c r="AN758" s="181"/>
      <c r="AO758" s="370"/>
      <c r="AP758" s="370"/>
      <c r="AQ758" s="370"/>
      <c r="AR758" s="370"/>
      <c r="AS758" s="370"/>
    </row>
    <row r="759">
      <c r="A759" s="395"/>
      <c r="B759" s="387"/>
      <c r="C759" s="181"/>
      <c r="D759" s="181"/>
      <c r="E759" s="181"/>
      <c r="F759" s="395"/>
      <c r="G759" s="387"/>
      <c r="H759" s="181"/>
      <c r="I759" s="181"/>
      <c r="J759" s="181"/>
      <c r="K759" s="88"/>
      <c r="L759" s="387"/>
      <c r="M759" s="181"/>
      <c r="N759" s="181"/>
      <c r="O759" s="181"/>
      <c r="P759" s="88"/>
      <c r="Q759" s="155"/>
      <c r="R759" s="181"/>
      <c r="S759" s="181"/>
      <c r="T759" s="181"/>
      <c r="U759" s="395"/>
      <c r="V759" s="387"/>
      <c r="W759" s="181"/>
      <c r="X759" s="181"/>
      <c r="Y759" s="181"/>
      <c r="Z759" s="395"/>
      <c r="AA759" s="387"/>
      <c r="AB759" s="181"/>
      <c r="AC759" s="181"/>
      <c r="AD759" s="181"/>
      <c r="AE759" s="395"/>
      <c r="AF759" s="387"/>
      <c r="AG759" s="181"/>
      <c r="AH759" s="181"/>
      <c r="AI759" s="181"/>
      <c r="AJ759" s="395"/>
      <c r="AK759" s="387"/>
      <c r="AL759" s="181"/>
      <c r="AM759" s="181"/>
      <c r="AN759" s="181"/>
      <c r="AO759" s="370"/>
      <c r="AP759" s="370"/>
      <c r="AQ759" s="370"/>
      <c r="AR759" s="370"/>
      <c r="AS759" s="370"/>
    </row>
    <row r="760">
      <c r="A760" s="395"/>
      <c r="B760" s="387"/>
      <c r="C760" s="181"/>
      <c r="D760" s="181"/>
      <c r="E760" s="181"/>
      <c r="F760" s="395"/>
      <c r="G760" s="387"/>
      <c r="H760" s="181"/>
      <c r="I760" s="181"/>
      <c r="J760" s="181"/>
      <c r="K760" s="88"/>
      <c r="L760" s="387"/>
      <c r="M760" s="181"/>
      <c r="N760" s="181"/>
      <c r="O760" s="181"/>
      <c r="P760" s="88"/>
      <c r="Q760" s="155"/>
      <c r="R760" s="181"/>
      <c r="S760" s="181"/>
      <c r="T760" s="181"/>
      <c r="U760" s="395"/>
      <c r="V760" s="387"/>
      <c r="W760" s="181"/>
      <c r="X760" s="181"/>
      <c r="Y760" s="181"/>
      <c r="Z760" s="395"/>
      <c r="AA760" s="387"/>
      <c r="AB760" s="181"/>
      <c r="AC760" s="181"/>
      <c r="AD760" s="181"/>
      <c r="AE760" s="395"/>
      <c r="AF760" s="387"/>
      <c r="AG760" s="181"/>
      <c r="AH760" s="181"/>
      <c r="AI760" s="181"/>
      <c r="AJ760" s="395"/>
      <c r="AK760" s="387"/>
      <c r="AL760" s="181"/>
      <c r="AM760" s="181"/>
      <c r="AN760" s="181"/>
      <c r="AO760" s="370"/>
      <c r="AP760" s="370"/>
      <c r="AQ760" s="370"/>
      <c r="AR760" s="370"/>
      <c r="AS760" s="370"/>
    </row>
    <row r="761">
      <c r="A761" s="395"/>
      <c r="B761" s="387"/>
      <c r="C761" s="181"/>
      <c r="D761" s="181"/>
      <c r="E761" s="181"/>
      <c r="F761" s="395"/>
      <c r="G761" s="387"/>
      <c r="H761" s="181"/>
      <c r="I761" s="181"/>
      <c r="J761" s="181"/>
      <c r="K761" s="88"/>
      <c r="L761" s="387"/>
      <c r="M761" s="181"/>
      <c r="N761" s="181"/>
      <c r="O761" s="181"/>
      <c r="P761" s="88"/>
      <c r="Q761" s="155"/>
      <c r="R761" s="181"/>
      <c r="S761" s="181"/>
      <c r="T761" s="181"/>
      <c r="U761" s="395"/>
      <c r="V761" s="387"/>
      <c r="W761" s="181"/>
      <c r="X761" s="181"/>
      <c r="Y761" s="181"/>
      <c r="Z761" s="395"/>
      <c r="AA761" s="387"/>
      <c r="AB761" s="181"/>
      <c r="AC761" s="181"/>
      <c r="AD761" s="181"/>
      <c r="AE761" s="395"/>
      <c r="AF761" s="387"/>
      <c r="AG761" s="181"/>
      <c r="AH761" s="181"/>
      <c r="AI761" s="181"/>
      <c r="AJ761" s="395"/>
      <c r="AK761" s="387"/>
      <c r="AL761" s="181"/>
      <c r="AM761" s="181"/>
      <c r="AN761" s="181"/>
      <c r="AO761" s="370"/>
      <c r="AP761" s="370"/>
      <c r="AQ761" s="370"/>
      <c r="AR761" s="370"/>
      <c r="AS761" s="370"/>
    </row>
    <row r="762">
      <c r="A762" s="395"/>
      <c r="B762" s="387"/>
      <c r="C762" s="181"/>
      <c r="D762" s="181"/>
      <c r="E762" s="181"/>
      <c r="F762" s="395"/>
      <c r="G762" s="387"/>
      <c r="H762" s="181"/>
      <c r="I762" s="181"/>
      <c r="J762" s="181"/>
      <c r="K762" s="88"/>
      <c r="L762" s="387"/>
      <c r="M762" s="181"/>
      <c r="N762" s="181"/>
      <c r="O762" s="181"/>
      <c r="P762" s="88"/>
      <c r="Q762" s="155"/>
      <c r="R762" s="181"/>
      <c r="S762" s="181"/>
      <c r="T762" s="181"/>
      <c r="U762" s="395"/>
      <c r="V762" s="387"/>
      <c r="W762" s="181"/>
      <c r="X762" s="181"/>
      <c r="Y762" s="181"/>
      <c r="Z762" s="395"/>
      <c r="AA762" s="387"/>
      <c r="AB762" s="181"/>
      <c r="AC762" s="181"/>
      <c r="AD762" s="181"/>
      <c r="AE762" s="395"/>
      <c r="AF762" s="387"/>
      <c r="AG762" s="181"/>
      <c r="AH762" s="181"/>
      <c r="AI762" s="181"/>
      <c r="AJ762" s="395"/>
      <c r="AK762" s="387"/>
      <c r="AL762" s="181"/>
      <c r="AM762" s="181"/>
      <c r="AN762" s="181"/>
      <c r="AO762" s="370"/>
      <c r="AP762" s="370"/>
      <c r="AQ762" s="370"/>
      <c r="AR762" s="370"/>
      <c r="AS762" s="370"/>
    </row>
    <row r="763">
      <c r="A763" s="395"/>
      <c r="B763" s="387"/>
      <c r="C763" s="181"/>
      <c r="D763" s="181"/>
      <c r="E763" s="181"/>
      <c r="F763" s="395"/>
      <c r="G763" s="387"/>
      <c r="H763" s="181"/>
      <c r="I763" s="181"/>
      <c r="J763" s="181"/>
      <c r="K763" s="88"/>
      <c r="L763" s="387"/>
      <c r="M763" s="181"/>
      <c r="N763" s="181"/>
      <c r="O763" s="181"/>
      <c r="P763" s="88"/>
      <c r="Q763" s="155"/>
      <c r="R763" s="181"/>
      <c r="S763" s="181"/>
      <c r="T763" s="181"/>
      <c r="U763" s="395"/>
      <c r="V763" s="387"/>
      <c r="W763" s="181"/>
      <c r="X763" s="181"/>
      <c r="Y763" s="181"/>
      <c r="Z763" s="395"/>
      <c r="AA763" s="387"/>
      <c r="AB763" s="181"/>
      <c r="AC763" s="181"/>
      <c r="AD763" s="181"/>
      <c r="AE763" s="395"/>
      <c r="AF763" s="387"/>
      <c r="AG763" s="181"/>
      <c r="AH763" s="181"/>
      <c r="AI763" s="181"/>
      <c r="AJ763" s="395"/>
      <c r="AK763" s="387"/>
      <c r="AL763" s="181"/>
      <c r="AM763" s="181"/>
      <c r="AN763" s="181"/>
      <c r="AO763" s="370"/>
      <c r="AP763" s="370"/>
      <c r="AQ763" s="370"/>
      <c r="AR763" s="370"/>
      <c r="AS763" s="370"/>
    </row>
    <row r="764">
      <c r="A764" s="395"/>
      <c r="B764" s="387"/>
      <c r="C764" s="181"/>
      <c r="D764" s="181"/>
      <c r="E764" s="181"/>
      <c r="F764" s="395"/>
      <c r="G764" s="387"/>
      <c r="H764" s="181"/>
      <c r="I764" s="181"/>
      <c r="J764" s="181"/>
      <c r="K764" s="88"/>
      <c r="L764" s="387"/>
      <c r="M764" s="181"/>
      <c r="N764" s="181"/>
      <c r="O764" s="181"/>
      <c r="P764" s="88"/>
      <c r="Q764" s="155"/>
      <c r="R764" s="181"/>
      <c r="S764" s="181"/>
      <c r="T764" s="181"/>
      <c r="U764" s="395"/>
      <c r="V764" s="387"/>
      <c r="W764" s="181"/>
      <c r="X764" s="181"/>
      <c r="Y764" s="181"/>
      <c r="Z764" s="395"/>
      <c r="AA764" s="387"/>
      <c r="AB764" s="181"/>
      <c r="AC764" s="181"/>
      <c r="AD764" s="181"/>
      <c r="AE764" s="395"/>
      <c r="AF764" s="387"/>
      <c r="AG764" s="181"/>
      <c r="AH764" s="181"/>
      <c r="AI764" s="181"/>
      <c r="AJ764" s="395"/>
      <c r="AK764" s="387"/>
      <c r="AL764" s="181"/>
      <c r="AM764" s="181"/>
      <c r="AN764" s="181"/>
      <c r="AO764" s="370"/>
      <c r="AP764" s="370"/>
      <c r="AQ764" s="370"/>
      <c r="AR764" s="370"/>
      <c r="AS764" s="370"/>
    </row>
    <row r="765">
      <c r="A765" s="395"/>
      <c r="B765" s="387"/>
      <c r="C765" s="181"/>
      <c r="D765" s="181"/>
      <c r="E765" s="181"/>
      <c r="F765" s="395"/>
      <c r="G765" s="387"/>
      <c r="H765" s="181"/>
      <c r="I765" s="181"/>
      <c r="J765" s="181"/>
      <c r="K765" s="88"/>
      <c r="L765" s="387"/>
      <c r="M765" s="181"/>
      <c r="N765" s="181"/>
      <c r="O765" s="181"/>
      <c r="P765" s="88"/>
      <c r="Q765" s="155"/>
      <c r="R765" s="181"/>
      <c r="S765" s="181"/>
      <c r="T765" s="181"/>
      <c r="U765" s="395"/>
      <c r="V765" s="387"/>
      <c r="W765" s="181"/>
      <c r="X765" s="181"/>
      <c r="Y765" s="181"/>
      <c r="Z765" s="395"/>
      <c r="AA765" s="387"/>
      <c r="AB765" s="181"/>
      <c r="AC765" s="181"/>
      <c r="AD765" s="181"/>
      <c r="AE765" s="395"/>
      <c r="AF765" s="387"/>
      <c r="AG765" s="181"/>
      <c r="AH765" s="181"/>
      <c r="AI765" s="181"/>
      <c r="AJ765" s="395"/>
      <c r="AK765" s="387"/>
      <c r="AL765" s="181"/>
      <c r="AM765" s="181"/>
      <c r="AN765" s="181"/>
      <c r="AO765" s="370"/>
      <c r="AP765" s="370"/>
      <c r="AQ765" s="370"/>
      <c r="AR765" s="370"/>
      <c r="AS765" s="370"/>
    </row>
    <row r="766">
      <c r="A766" s="395"/>
      <c r="B766" s="387"/>
      <c r="C766" s="181"/>
      <c r="D766" s="181"/>
      <c r="E766" s="181"/>
      <c r="F766" s="395"/>
      <c r="G766" s="387"/>
      <c r="H766" s="181"/>
      <c r="I766" s="181"/>
      <c r="J766" s="181"/>
      <c r="K766" s="88"/>
      <c r="L766" s="387"/>
      <c r="M766" s="181"/>
      <c r="N766" s="181"/>
      <c r="O766" s="181"/>
      <c r="P766" s="88"/>
      <c r="Q766" s="155"/>
      <c r="R766" s="181"/>
      <c r="S766" s="181"/>
      <c r="T766" s="181"/>
      <c r="U766" s="395"/>
      <c r="V766" s="387"/>
      <c r="W766" s="181"/>
      <c r="X766" s="181"/>
      <c r="Y766" s="181"/>
      <c r="Z766" s="395"/>
      <c r="AA766" s="387"/>
      <c r="AB766" s="181"/>
      <c r="AC766" s="181"/>
      <c r="AD766" s="181"/>
      <c r="AE766" s="395"/>
      <c r="AF766" s="387"/>
      <c r="AG766" s="181"/>
      <c r="AH766" s="181"/>
      <c r="AI766" s="181"/>
      <c r="AJ766" s="395"/>
      <c r="AK766" s="387"/>
      <c r="AL766" s="181"/>
      <c r="AM766" s="181"/>
      <c r="AN766" s="181"/>
      <c r="AO766" s="370"/>
      <c r="AP766" s="370"/>
      <c r="AQ766" s="370"/>
      <c r="AR766" s="370"/>
      <c r="AS766" s="370"/>
    </row>
    <row r="767">
      <c r="A767" s="395"/>
      <c r="B767" s="387"/>
      <c r="C767" s="181"/>
      <c r="D767" s="181"/>
      <c r="E767" s="181"/>
      <c r="F767" s="395"/>
      <c r="G767" s="387"/>
      <c r="H767" s="181"/>
      <c r="I767" s="181"/>
      <c r="J767" s="181"/>
      <c r="K767" s="88"/>
      <c r="L767" s="387"/>
      <c r="M767" s="181"/>
      <c r="N767" s="181"/>
      <c r="O767" s="181"/>
      <c r="P767" s="88"/>
      <c r="Q767" s="155"/>
      <c r="R767" s="181"/>
      <c r="S767" s="181"/>
      <c r="T767" s="181"/>
      <c r="U767" s="395"/>
      <c r="V767" s="387"/>
      <c r="W767" s="181"/>
      <c r="X767" s="181"/>
      <c r="Y767" s="181"/>
      <c r="Z767" s="395"/>
      <c r="AA767" s="387"/>
      <c r="AB767" s="181"/>
      <c r="AC767" s="181"/>
      <c r="AD767" s="181"/>
      <c r="AE767" s="395"/>
      <c r="AF767" s="387"/>
      <c r="AG767" s="181"/>
      <c r="AH767" s="181"/>
      <c r="AI767" s="181"/>
      <c r="AJ767" s="395"/>
      <c r="AK767" s="387"/>
      <c r="AL767" s="181"/>
      <c r="AM767" s="181"/>
      <c r="AN767" s="181"/>
      <c r="AO767" s="370"/>
      <c r="AP767" s="370"/>
      <c r="AQ767" s="370"/>
      <c r="AR767" s="370"/>
      <c r="AS767" s="370"/>
    </row>
    <row r="768">
      <c r="A768" s="395"/>
      <c r="B768" s="387"/>
      <c r="C768" s="181"/>
      <c r="D768" s="181"/>
      <c r="E768" s="181"/>
      <c r="F768" s="395"/>
      <c r="G768" s="387"/>
      <c r="H768" s="181"/>
      <c r="I768" s="181"/>
      <c r="J768" s="181"/>
      <c r="K768" s="88"/>
      <c r="L768" s="387"/>
      <c r="M768" s="181"/>
      <c r="N768" s="181"/>
      <c r="O768" s="181"/>
      <c r="P768" s="88"/>
      <c r="Q768" s="155"/>
      <c r="R768" s="181"/>
      <c r="S768" s="181"/>
      <c r="T768" s="181"/>
      <c r="U768" s="395"/>
      <c r="V768" s="387"/>
      <c r="W768" s="181"/>
      <c r="X768" s="181"/>
      <c r="Y768" s="181"/>
      <c r="Z768" s="395"/>
      <c r="AA768" s="387"/>
      <c r="AB768" s="181"/>
      <c r="AC768" s="181"/>
      <c r="AD768" s="181"/>
      <c r="AE768" s="395"/>
      <c r="AF768" s="387"/>
      <c r="AG768" s="181"/>
      <c r="AH768" s="181"/>
      <c r="AI768" s="181"/>
      <c r="AJ768" s="395"/>
      <c r="AK768" s="387"/>
      <c r="AL768" s="181"/>
      <c r="AM768" s="181"/>
      <c r="AN768" s="181"/>
      <c r="AO768" s="370"/>
      <c r="AP768" s="370"/>
      <c r="AQ768" s="370"/>
      <c r="AR768" s="370"/>
      <c r="AS768" s="370"/>
    </row>
    <row r="769">
      <c r="A769" s="395"/>
      <c r="B769" s="387"/>
      <c r="C769" s="181"/>
      <c r="D769" s="181"/>
      <c r="E769" s="181"/>
      <c r="F769" s="395"/>
      <c r="G769" s="387"/>
      <c r="H769" s="181"/>
      <c r="I769" s="181"/>
      <c r="J769" s="181"/>
      <c r="K769" s="88"/>
      <c r="L769" s="387"/>
      <c r="M769" s="181"/>
      <c r="N769" s="181"/>
      <c r="O769" s="181"/>
      <c r="P769" s="88"/>
      <c r="Q769" s="155"/>
      <c r="R769" s="181"/>
      <c r="S769" s="181"/>
      <c r="T769" s="181"/>
      <c r="U769" s="395"/>
      <c r="V769" s="387"/>
      <c r="W769" s="181"/>
      <c r="X769" s="181"/>
      <c r="Y769" s="181"/>
      <c r="Z769" s="395"/>
      <c r="AA769" s="387"/>
      <c r="AB769" s="181"/>
      <c r="AC769" s="181"/>
      <c r="AD769" s="181"/>
      <c r="AE769" s="395"/>
      <c r="AF769" s="387"/>
      <c r="AG769" s="181"/>
      <c r="AH769" s="181"/>
      <c r="AI769" s="181"/>
      <c r="AJ769" s="395"/>
      <c r="AK769" s="387"/>
      <c r="AL769" s="181"/>
      <c r="AM769" s="181"/>
      <c r="AN769" s="181"/>
      <c r="AO769" s="370"/>
      <c r="AP769" s="370"/>
      <c r="AQ769" s="370"/>
      <c r="AR769" s="370"/>
      <c r="AS769" s="370"/>
    </row>
    <row r="770">
      <c r="A770" s="395"/>
      <c r="B770" s="387"/>
      <c r="C770" s="181"/>
      <c r="D770" s="181"/>
      <c r="E770" s="181"/>
      <c r="F770" s="395"/>
      <c r="G770" s="387"/>
      <c r="H770" s="181"/>
      <c r="I770" s="181"/>
      <c r="J770" s="181"/>
      <c r="K770" s="88"/>
      <c r="L770" s="387"/>
      <c r="M770" s="181"/>
      <c r="N770" s="181"/>
      <c r="O770" s="181"/>
      <c r="P770" s="88"/>
      <c r="Q770" s="155"/>
      <c r="R770" s="181"/>
      <c r="S770" s="181"/>
      <c r="T770" s="181"/>
      <c r="U770" s="395"/>
      <c r="V770" s="387"/>
      <c r="W770" s="181"/>
      <c r="X770" s="181"/>
      <c r="Y770" s="181"/>
      <c r="Z770" s="395"/>
      <c r="AA770" s="387"/>
      <c r="AB770" s="181"/>
      <c r="AC770" s="181"/>
      <c r="AD770" s="181"/>
      <c r="AE770" s="395"/>
      <c r="AF770" s="387"/>
      <c r="AG770" s="181"/>
      <c r="AH770" s="181"/>
      <c r="AI770" s="181"/>
      <c r="AJ770" s="395"/>
      <c r="AK770" s="387"/>
      <c r="AL770" s="181"/>
      <c r="AM770" s="181"/>
      <c r="AN770" s="181"/>
      <c r="AO770" s="370"/>
      <c r="AP770" s="370"/>
      <c r="AQ770" s="370"/>
      <c r="AR770" s="370"/>
      <c r="AS770" s="370"/>
    </row>
    <row r="771">
      <c r="A771" s="395"/>
      <c r="B771" s="387"/>
      <c r="C771" s="181"/>
      <c r="D771" s="181"/>
      <c r="E771" s="181"/>
      <c r="F771" s="395"/>
      <c r="G771" s="387"/>
      <c r="H771" s="181"/>
      <c r="I771" s="181"/>
      <c r="J771" s="181"/>
      <c r="K771" s="88"/>
      <c r="L771" s="387"/>
      <c r="M771" s="181"/>
      <c r="N771" s="181"/>
      <c r="O771" s="181"/>
      <c r="P771" s="88"/>
      <c r="Q771" s="155"/>
      <c r="R771" s="181"/>
      <c r="S771" s="181"/>
      <c r="T771" s="181"/>
      <c r="U771" s="395"/>
      <c r="V771" s="387"/>
      <c r="W771" s="181"/>
      <c r="X771" s="181"/>
      <c r="Y771" s="181"/>
      <c r="Z771" s="395"/>
      <c r="AA771" s="387"/>
      <c r="AB771" s="181"/>
      <c r="AC771" s="181"/>
      <c r="AD771" s="181"/>
      <c r="AE771" s="395"/>
      <c r="AF771" s="387"/>
      <c r="AG771" s="181"/>
      <c r="AH771" s="181"/>
      <c r="AI771" s="181"/>
      <c r="AJ771" s="395"/>
      <c r="AK771" s="387"/>
      <c r="AL771" s="181"/>
      <c r="AM771" s="181"/>
      <c r="AN771" s="181"/>
      <c r="AO771" s="370"/>
      <c r="AP771" s="370"/>
      <c r="AQ771" s="370"/>
      <c r="AR771" s="370"/>
      <c r="AS771" s="370"/>
    </row>
    <row r="772">
      <c r="A772" s="395"/>
      <c r="B772" s="387"/>
      <c r="C772" s="181"/>
      <c r="D772" s="181"/>
      <c r="E772" s="181"/>
      <c r="F772" s="395"/>
      <c r="G772" s="387"/>
      <c r="H772" s="181"/>
      <c r="I772" s="181"/>
      <c r="J772" s="181"/>
      <c r="K772" s="88"/>
      <c r="L772" s="387"/>
      <c r="M772" s="181"/>
      <c r="N772" s="181"/>
      <c r="O772" s="181"/>
      <c r="P772" s="88"/>
      <c r="Q772" s="155"/>
      <c r="R772" s="181"/>
      <c r="S772" s="181"/>
      <c r="T772" s="181"/>
      <c r="U772" s="395"/>
      <c r="V772" s="387"/>
      <c r="W772" s="181"/>
      <c r="X772" s="181"/>
      <c r="Y772" s="181"/>
      <c r="Z772" s="395"/>
      <c r="AA772" s="387"/>
      <c r="AB772" s="181"/>
      <c r="AC772" s="181"/>
      <c r="AD772" s="181"/>
      <c r="AE772" s="395"/>
      <c r="AF772" s="387"/>
      <c r="AG772" s="181"/>
      <c r="AH772" s="181"/>
      <c r="AI772" s="181"/>
      <c r="AJ772" s="395"/>
      <c r="AK772" s="387"/>
      <c r="AL772" s="181"/>
      <c r="AM772" s="181"/>
      <c r="AN772" s="181"/>
      <c r="AO772" s="370"/>
      <c r="AP772" s="370"/>
      <c r="AQ772" s="370"/>
      <c r="AR772" s="370"/>
      <c r="AS772" s="370"/>
    </row>
    <row r="773">
      <c r="A773" s="395"/>
      <c r="B773" s="387"/>
      <c r="C773" s="181"/>
      <c r="D773" s="181"/>
      <c r="E773" s="181"/>
      <c r="F773" s="395"/>
      <c r="G773" s="387"/>
      <c r="H773" s="181"/>
      <c r="I773" s="181"/>
      <c r="J773" s="181"/>
      <c r="K773" s="88"/>
      <c r="L773" s="387"/>
      <c r="M773" s="181"/>
      <c r="N773" s="181"/>
      <c r="O773" s="181"/>
      <c r="P773" s="88"/>
      <c r="Q773" s="155"/>
      <c r="R773" s="181"/>
      <c r="S773" s="181"/>
      <c r="T773" s="181"/>
      <c r="U773" s="395"/>
      <c r="V773" s="387"/>
      <c r="W773" s="181"/>
      <c r="X773" s="181"/>
      <c r="Y773" s="181"/>
      <c r="Z773" s="395"/>
      <c r="AA773" s="387"/>
      <c r="AB773" s="181"/>
      <c r="AC773" s="181"/>
      <c r="AD773" s="181"/>
      <c r="AE773" s="395"/>
      <c r="AF773" s="387"/>
      <c r="AG773" s="181"/>
      <c r="AH773" s="181"/>
      <c r="AI773" s="181"/>
      <c r="AJ773" s="395"/>
      <c r="AK773" s="387"/>
      <c r="AL773" s="181"/>
      <c r="AM773" s="181"/>
      <c r="AN773" s="181"/>
      <c r="AO773" s="370"/>
      <c r="AP773" s="370"/>
      <c r="AQ773" s="370"/>
      <c r="AR773" s="370"/>
      <c r="AS773" s="370"/>
    </row>
    <row r="774">
      <c r="A774" s="395"/>
      <c r="B774" s="387"/>
      <c r="C774" s="181"/>
      <c r="D774" s="181"/>
      <c r="E774" s="181"/>
      <c r="F774" s="395"/>
      <c r="G774" s="387"/>
      <c r="H774" s="181"/>
      <c r="I774" s="181"/>
      <c r="J774" s="181"/>
      <c r="K774" s="88"/>
      <c r="L774" s="387"/>
      <c r="M774" s="181"/>
      <c r="N774" s="181"/>
      <c r="O774" s="181"/>
      <c r="P774" s="88"/>
      <c r="Q774" s="155"/>
      <c r="R774" s="181"/>
      <c r="S774" s="181"/>
      <c r="T774" s="181"/>
      <c r="U774" s="395"/>
      <c r="V774" s="387"/>
      <c r="W774" s="181"/>
      <c r="X774" s="181"/>
      <c r="Y774" s="181"/>
      <c r="Z774" s="395"/>
      <c r="AA774" s="387"/>
      <c r="AB774" s="181"/>
      <c r="AC774" s="181"/>
      <c r="AD774" s="181"/>
      <c r="AE774" s="395"/>
      <c r="AF774" s="387"/>
      <c r="AG774" s="181"/>
      <c r="AH774" s="181"/>
      <c r="AI774" s="181"/>
      <c r="AJ774" s="395"/>
      <c r="AK774" s="387"/>
      <c r="AL774" s="181"/>
      <c r="AM774" s="181"/>
      <c r="AN774" s="181"/>
      <c r="AO774" s="370"/>
      <c r="AP774" s="370"/>
      <c r="AQ774" s="370"/>
      <c r="AR774" s="370"/>
      <c r="AS774" s="370"/>
    </row>
    <row r="775">
      <c r="A775" s="395"/>
      <c r="B775" s="387"/>
      <c r="C775" s="181"/>
      <c r="D775" s="181"/>
      <c r="E775" s="181"/>
      <c r="F775" s="395"/>
      <c r="G775" s="387"/>
      <c r="H775" s="181"/>
      <c r="I775" s="181"/>
      <c r="J775" s="181"/>
      <c r="K775" s="88"/>
      <c r="L775" s="387"/>
      <c r="M775" s="181"/>
      <c r="N775" s="181"/>
      <c r="O775" s="181"/>
      <c r="P775" s="88"/>
      <c r="Q775" s="155"/>
      <c r="R775" s="181"/>
      <c r="S775" s="181"/>
      <c r="T775" s="181"/>
      <c r="U775" s="395"/>
      <c r="V775" s="387"/>
      <c r="W775" s="181"/>
      <c r="X775" s="181"/>
      <c r="Y775" s="181"/>
      <c r="Z775" s="395"/>
      <c r="AA775" s="387"/>
      <c r="AB775" s="181"/>
      <c r="AC775" s="181"/>
      <c r="AD775" s="181"/>
      <c r="AE775" s="395"/>
      <c r="AF775" s="387"/>
      <c r="AG775" s="181"/>
      <c r="AH775" s="181"/>
      <c r="AI775" s="181"/>
      <c r="AJ775" s="395"/>
      <c r="AK775" s="387"/>
      <c r="AL775" s="181"/>
      <c r="AM775" s="181"/>
      <c r="AN775" s="181"/>
      <c r="AO775" s="370"/>
      <c r="AP775" s="370"/>
      <c r="AQ775" s="370"/>
      <c r="AR775" s="370"/>
      <c r="AS775" s="370"/>
    </row>
    <row r="776">
      <c r="A776" s="395"/>
      <c r="B776" s="387"/>
      <c r="C776" s="181"/>
      <c r="D776" s="181"/>
      <c r="E776" s="181"/>
      <c r="F776" s="395"/>
      <c r="G776" s="387"/>
      <c r="H776" s="181"/>
      <c r="I776" s="181"/>
      <c r="J776" s="181"/>
      <c r="K776" s="88"/>
      <c r="L776" s="387"/>
      <c r="M776" s="181"/>
      <c r="N776" s="181"/>
      <c r="O776" s="181"/>
      <c r="P776" s="88"/>
      <c r="Q776" s="155"/>
      <c r="R776" s="181"/>
      <c r="S776" s="181"/>
      <c r="T776" s="181"/>
      <c r="U776" s="395"/>
      <c r="V776" s="387"/>
      <c r="W776" s="181"/>
      <c r="X776" s="181"/>
      <c r="Y776" s="181"/>
      <c r="Z776" s="395"/>
      <c r="AA776" s="387"/>
      <c r="AB776" s="181"/>
      <c r="AC776" s="181"/>
      <c r="AD776" s="181"/>
      <c r="AE776" s="395"/>
      <c r="AF776" s="387"/>
      <c r="AG776" s="181"/>
      <c r="AH776" s="181"/>
      <c r="AI776" s="181"/>
      <c r="AJ776" s="395"/>
      <c r="AK776" s="387"/>
      <c r="AL776" s="181"/>
      <c r="AM776" s="181"/>
      <c r="AN776" s="181"/>
      <c r="AO776" s="370"/>
      <c r="AP776" s="370"/>
      <c r="AQ776" s="370"/>
      <c r="AR776" s="370"/>
      <c r="AS776" s="370"/>
    </row>
    <row r="777">
      <c r="A777" s="395"/>
      <c r="B777" s="387"/>
      <c r="C777" s="181"/>
      <c r="D777" s="181"/>
      <c r="E777" s="181"/>
      <c r="F777" s="395"/>
      <c r="G777" s="387"/>
      <c r="H777" s="181"/>
      <c r="I777" s="181"/>
      <c r="J777" s="181"/>
      <c r="K777" s="88"/>
      <c r="L777" s="387"/>
      <c r="M777" s="181"/>
      <c r="N777" s="181"/>
      <c r="O777" s="181"/>
      <c r="P777" s="88"/>
      <c r="Q777" s="155"/>
      <c r="R777" s="181"/>
      <c r="S777" s="181"/>
      <c r="T777" s="181"/>
      <c r="U777" s="395"/>
      <c r="V777" s="387"/>
      <c r="W777" s="181"/>
      <c r="X777" s="181"/>
      <c r="Y777" s="181"/>
      <c r="Z777" s="395"/>
      <c r="AA777" s="387"/>
      <c r="AB777" s="181"/>
      <c r="AC777" s="181"/>
      <c r="AD777" s="181"/>
      <c r="AE777" s="395"/>
      <c r="AF777" s="387"/>
      <c r="AG777" s="181"/>
      <c r="AH777" s="181"/>
      <c r="AI777" s="181"/>
      <c r="AJ777" s="395"/>
      <c r="AK777" s="387"/>
      <c r="AL777" s="181"/>
      <c r="AM777" s="181"/>
      <c r="AN777" s="181"/>
      <c r="AO777" s="370"/>
      <c r="AP777" s="370"/>
      <c r="AQ777" s="370"/>
      <c r="AR777" s="370"/>
      <c r="AS777" s="370"/>
    </row>
    <row r="778">
      <c r="A778" s="395"/>
      <c r="B778" s="387"/>
      <c r="C778" s="181"/>
      <c r="D778" s="181"/>
      <c r="E778" s="181"/>
      <c r="F778" s="395"/>
      <c r="G778" s="387"/>
      <c r="H778" s="181"/>
      <c r="I778" s="181"/>
      <c r="J778" s="181"/>
      <c r="K778" s="88"/>
      <c r="L778" s="387"/>
      <c r="M778" s="181"/>
      <c r="N778" s="181"/>
      <c r="O778" s="181"/>
      <c r="P778" s="88"/>
      <c r="Q778" s="155"/>
      <c r="R778" s="181"/>
      <c r="S778" s="181"/>
      <c r="T778" s="181"/>
      <c r="U778" s="395"/>
      <c r="V778" s="387"/>
      <c r="W778" s="181"/>
      <c r="X778" s="181"/>
      <c r="Y778" s="181"/>
      <c r="Z778" s="395"/>
      <c r="AA778" s="387"/>
      <c r="AB778" s="181"/>
      <c r="AC778" s="181"/>
      <c r="AD778" s="181"/>
      <c r="AE778" s="395"/>
      <c r="AF778" s="387"/>
      <c r="AG778" s="181"/>
      <c r="AH778" s="181"/>
      <c r="AI778" s="181"/>
      <c r="AJ778" s="395"/>
      <c r="AK778" s="387"/>
      <c r="AL778" s="181"/>
      <c r="AM778" s="181"/>
      <c r="AN778" s="181"/>
      <c r="AO778" s="370"/>
      <c r="AP778" s="370"/>
      <c r="AQ778" s="370"/>
      <c r="AR778" s="370"/>
      <c r="AS778" s="370"/>
    </row>
    <row r="779">
      <c r="A779" s="395"/>
      <c r="B779" s="387"/>
      <c r="C779" s="181"/>
      <c r="D779" s="181"/>
      <c r="E779" s="181"/>
      <c r="F779" s="395"/>
      <c r="G779" s="387"/>
      <c r="H779" s="181"/>
      <c r="I779" s="181"/>
      <c r="J779" s="181"/>
      <c r="K779" s="88"/>
      <c r="L779" s="387"/>
      <c r="M779" s="181"/>
      <c r="N779" s="181"/>
      <c r="O779" s="181"/>
      <c r="P779" s="88"/>
      <c r="Q779" s="155"/>
      <c r="R779" s="181"/>
      <c r="S779" s="181"/>
      <c r="T779" s="181"/>
      <c r="U779" s="395"/>
      <c r="V779" s="387"/>
      <c r="W779" s="181"/>
      <c r="X779" s="181"/>
      <c r="Y779" s="181"/>
      <c r="Z779" s="395"/>
      <c r="AA779" s="387"/>
      <c r="AB779" s="181"/>
      <c r="AC779" s="181"/>
      <c r="AD779" s="181"/>
      <c r="AE779" s="395"/>
      <c r="AF779" s="387"/>
      <c r="AG779" s="181"/>
      <c r="AH779" s="181"/>
      <c r="AI779" s="181"/>
      <c r="AJ779" s="395"/>
      <c r="AK779" s="387"/>
      <c r="AL779" s="181"/>
      <c r="AM779" s="181"/>
      <c r="AN779" s="181"/>
      <c r="AO779" s="370"/>
      <c r="AP779" s="370"/>
      <c r="AQ779" s="370"/>
      <c r="AR779" s="370"/>
      <c r="AS779" s="370"/>
    </row>
    <row r="780">
      <c r="A780" s="395"/>
      <c r="B780" s="387"/>
      <c r="C780" s="181"/>
      <c r="D780" s="181"/>
      <c r="E780" s="181"/>
      <c r="F780" s="395"/>
      <c r="G780" s="387"/>
      <c r="H780" s="181"/>
      <c r="I780" s="181"/>
      <c r="J780" s="181"/>
      <c r="K780" s="88"/>
      <c r="L780" s="387"/>
      <c r="M780" s="181"/>
      <c r="N780" s="181"/>
      <c r="O780" s="181"/>
      <c r="P780" s="88"/>
      <c r="Q780" s="155"/>
      <c r="R780" s="181"/>
      <c r="S780" s="181"/>
      <c r="T780" s="181"/>
      <c r="U780" s="395"/>
      <c r="V780" s="387"/>
      <c r="W780" s="181"/>
      <c r="X780" s="181"/>
      <c r="Y780" s="181"/>
      <c r="Z780" s="395"/>
      <c r="AA780" s="387"/>
      <c r="AB780" s="181"/>
      <c r="AC780" s="181"/>
      <c r="AD780" s="181"/>
      <c r="AE780" s="395"/>
      <c r="AF780" s="387"/>
      <c r="AG780" s="181"/>
      <c r="AH780" s="181"/>
      <c r="AI780" s="181"/>
      <c r="AJ780" s="395"/>
      <c r="AK780" s="387"/>
      <c r="AL780" s="181"/>
      <c r="AM780" s="181"/>
      <c r="AN780" s="181"/>
      <c r="AO780" s="370"/>
      <c r="AP780" s="370"/>
      <c r="AQ780" s="370"/>
      <c r="AR780" s="370"/>
      <c r="AS780" s="370"/>
    </row>
    <row r="781">
      <c r="A781" s="395"/>
      <c r="B781" s="387"/>
      <c r="C781" s="181"/>
      <c r="D781" s="181"/>
      <c r="E781" s="181"/>
      <c r="F781" s="395"/>
      <c r="G781" s="387"/>
      <c r="H781" s="181"/>
      <c r="I781" s="181"/>
      <c r="J781" s="181"/>
      <c r="K781" s="88"/>
      <c r="L781" s="387"/>
      <c r="M781" s="181"/>
      <c r="N781" s="181"/>
      <c r="O781" s="181"/>
      <c r="P781" s="88"/>
      <c r="Q781" s="155"/>
      <c r="R781" s="181"/>
      <c r="S781" s="181"/>
      <c r="T781" s="181"/>
      <c r="U781" s="395"/>
      <c r="V781" s="387"/>
      <c r="W781" s="181"/>
      <c r="X781" s="181"/>
      <c r="Y781" s="181"/>
      <c r="Z781" s="395"/>
      <c r="AA781" s="387"/>
      <c r="AB781" s="181"/>
      <c r="AC781" s="181"/>
      <c r="AD781" s="181"/>
      <c r="AE781" s="395"/>
      <c r="AF781" s="387"/>
      <c r="AG781" s="181"/>
      <c r="AH781" s="181"/>
      <c r="AI781" s="181"/>
      <c r="AJ781" s="395"/>
      <c r="AK781" s="387"/>
      <c r="AL781" s="181"/>
      <c r="AM781" s="181"/>
      <c r="AN781" s="181"/>
      <c r="AO781" s="370"/>
      <c r="AP781" s="370"/>
      <c r="AQ781" s="370"/>
      <c r="AR781" s="370"/>
      <c r="AS781" s="370"/>
    </row>
    <row r="782">
      <c r="A782" s="395"/>
      <c r="B782" s="387"/>
      <c r="C782" s="181"/>
      <c r="D782" s="181"/>
      <c r="E782" s="181"/>
      <c r="F782" s="395"/>
      <c r="G782" s="387"/>
      <c r="H782" s="181"/>
      <c r="I782" s="181"/>
      <c r="J782" s="181"/>
      <c r="K782" s="88"/>
      <c r="L782" s="387"/>
      <c r="M782" s="181"/>
      <c r="N782" s="181"/>
      <c r="O782" s="181"/>
      <c r="P782" s="88"/>
      <c r="Q782" s="155"/>
      <c r="R782" s="181"/>
      <c r="S782" s="181"/>
      <c r="T782" s="181"/>
      <c r="U782" s="395"/>
      <c r="V782" s="387"/>
      <c r="W782" s="181"/>
      <c r="X782" s="181"/>
      <c r="Y782" s="181"/>
      <c r="Z782" s="395"/>
      <c r="AA782" s="387"/>
      <c r="AB782" s="181"/>
      <c r="AC782" s="181"/>
      <c r="AD782" s="181"/>
      <c r="AE782" s="395"/>
      <c r="AF782" s="387"/>
      <c r="AG782" s="181"/>
      <c r="AH782" s="181"/>
      <c r="AI782" s="181"/>
      <c r="AJ782" s="395"/>
      <c r="AK782" s="387"/>
      <c r="AL782" s="181"/>
      <c r="AM782" s="181"/>
      <c r="AN782" s="181"/>
      <c r="AO782" s="370"/>
      <c r="AP782" s="370"/>
      <c r="AQ782" s="370"/>
      <c r="AR782" s="370"/>
      <c r="AS782" s="370"/>
    </row>
    <row r="783">
      <c r="A783" s="395"/>
      <c r="B783" s="387"/>
      <c r="C783" s="181"/>
      <c r="D783" s="181"/>
      <c r="E783" s="181"/>
      <c r="F783" s="395"/>
      <c r="G783" s="387"/>
      <c r="H783" s="181"/>
      <c r="I783" s="181"/>
      <c r="J783" s="181"/>
      <c r="K783" s="88"/>
      <c r="L783" s="387"/>
      <c r="M783" s="181"/>
      <c r="N783" s="181"/>
      <c r="O783" s="181"/>
      <c r="P783" s="88"/>
      <c r="Q783" s="155"/>
      <c r="R783" s="181"/>
      <c r="S783" s="181"/>
      <c r="T783" s="181"/>
      <c r="U783" s="395"/>
      <c r="V783" s="387"/>
      <c r="W783" s="181"/>
      <c r="X783" s="181"/>
      <c r="Y783" s="181"/>
      <c r="Z783" s="395"/>
      <c r="AA783" s="387"/>
      <c r="AB783" s="181"/>
      <c r="AC783" s="181"/>
      <c r="AD783" s="181"/>
      <c r="AE783" s="395"/>
      <c r="AF783" s="387"/>
      <c r="AG783" s="181"/>
      <c r="AH783" s="181"/>
      <c r="AI783" s="181"/>
      <c r="AJ783" s="395"/>
      <c r="AK783" s="387"/>
      <c r="AL783" s="181"/>
      <c r="AM783" s="181"/>
      <c r="AN783" s="181"/>
      <c r="AO783" s="370"/>
      <c r="AP783" s="370"/>
      <c r="AQ783" s="370"/>
      <c r="AR783" s="370"/>
      <c r="AS783" s="370"/>
    </row>
    <row r="784">
      <c r="A784" s="395"/>
      <c r="B784" s="387"/>
      <c r="C784" s="181"/>
      <c r="D784" s="181"/>
      <c r="E784" s="181"/>
      <c r="F784" s="395"/>
      <c r="G784" s="387"/>
      <c r="H784" s="181"/>
      <c r="I784" s="181"/>
      <c r="J784" s="181"/>
      <c r="K784" s="88"/>
      <c r="L784" s="387"/>
      <c r="M784" s="181"/>
      <c r="N784" s="181"/>
      <c r="O784" s="181"/>
      <c r="P784" s="88"/>
      <c r="Q784" s="155"/>
      <c r="R784" s="181"/>
      <c r="S784" s="181"/>
      <c r="T784" s="181"/>
      <c r="U784" s="395"/>
      <c r="V784" s="387"/>
      <c r="W784" s="181"/>
      <c r="X784" s="181"/>
      <c r="Y784" s="181"/>
      <c r="Z784" s="395"/>
      <c r="AA784" s="387"/>
      <c r="AB784" s="181"/>
      <c r="AC784" s="181"/>
      <c r="AD784" s="181"/>
      <c r="AE784" s="395"/>
      <c r="AF784" s="387"/>
      <c r="AG784" s="181"/>
      <c r="AH784" s="181"/>
      <c r="AI784" s="181"/>
      <c r="AJ784" s="395"/>
      <c r="AK784" s="387"/>
      <c r="AL784" s="181"/>
      <c r="AM784" s="181"/>
      <c r="AN784" s="181"/>
      <c r="AO784" s="370"/>
      <c r="AP784" s="370"/>
      <c r="AQ784" s="370"/>
      <c r="AR784" s="370"/>
      <c r="AS784" s="370"/>
    </row>
    <row r="785">
      <c r="A785" s="395"/>
      <c r="B785" s="387"/>
      <c r="C785" s="181"/>
      <c r="D785" s="181"/>
      <c r="E785" s="181"/>
      <c r="F785" s="395"/>
      <c r="G785" s="387"/>
      <c r="H785" s="181"/>
      <c r="I785" s="181"/>
      <c r="J785" s="181"/>
      <c r="K785" s="88"/>
      <c r="L785" s="387"/>
      <c r="M785" s="181"/>
      <c r="N785" s="181"/>
      <c r="O785" s="181"/>
      <c r="P785" s="88"/>
      <c r="Q785" s="155"/>
      <c r="R785" s="181"/>
      <c r="S785" s="181"/>
      <c r="T785" s="181"/>
      <c r="U785" s="395"/>
      <c r="V785" s="387"/>
      <c r="W785" s="181"/>
      <c r="X785" s="181"/>
      <c r="Y785" s="181"/>
      <c r="Z785" s="395"/>
      <c r="AA785" s="387"/>
      <c r="AB785" s="181"/>
      <c r="AC785" s="181"/>
      <c r="AD785" s="181"/>
      <c r="AE785" s="395"/>
      <c r="AF785" s="387"/>
      <c r="AG785" s="181"/>
      <c r="AH785" s="181"/>
      <c r="AI785" s="181"/>
      <c r="AJ785" s="395"/>
      <c r="AK785" s="387"/>
      <c r="AL785" s="181"/>
      <c r="AM785" s="181"/>
      <c r="AN785" s="181"/>
      <c r="AO785" s="370"/>
      <c r="AP785" s="370"/>
      <c r="AQ785" s="370"/>
      <c r="AR785" s="370"/>
      <c r="AS785" s="370"/>
    </row>
    <row r="786">
      <c r="A786" s="395"/>
      <c r="B786" s="387"/>
      <c r="C786" s="181"/>
      <c r="D786" s="181"/>
      <c r="E786" s="181"/>
      <c r="F786" s="395"/>
      <c r="G786" s="387"/>
      <c r="H786" s="181"/>
      <c r="I786" s="181"/>
      <c r="J786" s="181"/>
      <c r="K786" s="88"/>
      <c r="L786" s="387"/>
      <c r="M786" s="181"/>
      <c r="N786" s="181"/>
      <c r="O786" s="181"/>
      <c r="P786" s="88"/>
      <c r="Q786" s="155"/>
      <c r="R786" s="181"/>
      <c r="S786" s="181"/>
      <c r="T786" s="181"/>
      <c r="U786" s="395"/>
      <c r="V786" s="387"/>
      <c r="W786" s="181"/>
      <c r="X786" s="181"/>
      <c r="Y786" s="181"/>
      <c r="Z786" s="395"/>
      <c r="AA786" s="387"/>
      <c r="AB786" s="181"/>
      <c r="AC786" s="181"/>
      <c r="AD786" s="181"/>
      <c r="AE786" s="395"/>
      <c r="AF786" s="387"/>
      <c r="AG786" s="181"/>
      <c r="AH786" s="181"/>
      <c r="AI786" s="181"/>
      <c r="AJ786" s="395"/>
      <c r="AK786" s="387"/>
      <c r="AL786" s="181"/>
      <c r="AM786" s="181"/>
      <c r="AN786" s="181"/>
      <c r="AO786" s="370"/>
      <c r="AP786" s="370"/>
      <c r="AQ786" s="370"/>
      <c r="AR786" s="370"/>
      <c r="AS786" s="370"/>
    </row>
    <row r="787">
      <c r="A787" s="395"/>
      <c r="B787" s="387"/>
      <c r="C787" s="181"/>
      <c r="D787" s="181"/>
      <c r="E787" s="181"/>
      <c r="F787" s="395"/>
      <c r="G787" s="387"/>
      <c r="H787" s="181"/>
      <c r="I787" s="181"/>
      <c r="J787" s="181"/>
      <c r="K787" s="88"/>
      <c r="L787" s="387"/>
      <c r="M787" s="181"/>
      <c r="N787" s="181"/>
      <c r="O787" s="181"/>
      <c r="P787" s="88"/>
      <c r="Q787" s="155"/>
      <c r="R787" s="181"/>
      <c r="S787" s="181"/>
      <c r="T787" s="181"/>
      <c r="U787" s="395"/>
      <c r="V787" s="387"/>
      <c r="W787" s="181"/>
      <c r="X787" s="181"/>
      <c r="Y787" s="181"/>
      <c r="Z787" s="395"/>
      <c r="AA787" s="387"/>
      <c r="AB787" s="181"/>
      <c r="AC787" s="181"/>
      <c r="AD787" s="181"/>
      <c r="AE787" s="395"/>
      <c r="AF787" s="387"/>
      <c r="AG787" s="181"/>
      <c r="AH787" s="181"/>
      <c r="AI787" s="181"/>
      <c r="AJ787" s="395"/>
      <c r="AK787" s="387"/>
      <c r="AL787" s="181"/>
      <c r="AM787" s="181"/>
      <c r="AN787" s="181"/>
      <c r="AO787" s="370"/>
      <c r="AP787" s="370"/>
      <c r="AQ787" s="370"/>
      <c r="AR787" s="370"/>
      <c r="AS787" s="370"/>
    </row>
    <row r="788">
      <c r="A788" s="395"/>
      <c r="B788" s="387"/>
      <c r="C788" s="181"/>
      <c r="D788" s="181"/>
      <c r="E788" s="181"/>
      <c r="F788" s="395"/>
      <c r="G788" s="387"/>
      <c r="H788" s="181"/>
      <c r="I788" s="181"/>
      <c r="J788" s="181"/>
      <c r="K788" s="88"/>
      <c r="L788" s="387"/>
      <c r="M788" s="181"/>
      <c r="N788" s="181"/>
      <c r="O788" s="181"/>
      <c r="P788" s="88"/>
      <c r="Q788" s="155"/>
      <c r="R788" s="181"/>
      <c r="S788" s="181"/>
      <c r="T788" s="181"/>
      <c r="U788" s="395"/>
      <c r="V788" s="387"/>
      <c r="W788" s="181"/>
      <c r="X788" s="181"/>
      <c r="Y788" s="181"/>
      <c r="Z788" s="395"/>
      <c r="AA788" s="387"/>
      <c r="AB788" s="181"/>
      <c r="AC788" s="181"/>
      <c r="AD788" s="181"/>
      <c r="AE788" s="395"/>
      <c r="AF788" s="387"/>
      <c r="AG788" s="181"/>
      <c r="AH788" s="181"/>
      <c r="AI788" s="181"/>
      <c r="AJ788" s="395"/>
      <c r="AK788" s="387"/>
      <c r="AL788" s="181"/>
      <c r="AM788" s="181"/>
      <c r="AN788" s="181"/>
      <c r="AO788" s="370"/>
      <c r="AP788" s="370"/>
      <c r="AQ788" s="370"/>
      <c r="AR788" s="370"/>
      <c r="AS788" s="370"/>
    </row>
    <row r="789">
      <c r="A789" s="395"/>
      <c r="B789" s="387"/>
      <c r="C789" s="181"/>
      <c r="D789" s="181"/>
      <c r="E789" s="181"/>
      <c r="F789" s="395"/>
      <c r="G789" s="387"/>
      <c r="H789" s="181"/>
      <c r="I789" s="181"/>
      <c r="J789" s="181"/>
      <c r="K789" s="88"/>
      <c r="L789" s="387"/>
      <c r="M789" s="181"/>
      <c r="N789" s="181"/>
      <c r="O789" s="181"/>
      <c r="P789" s="88"/>
      <c r="Q789" s="155"/>
      <c r="R789" s="181"/>
      <c r="S789" s="181"/>
      <c r="T789" s="181"/>
      <c r="U789" s="395"/>
      <c r="V789" s="387"/>
      <c r="W789" s="181"/>
      <c r="X789" s="181"/>
      <c r="Y789" s="181"/>
      <c r="Z789" s="395"/>
      <c r="AA789" s="387"/>
      <c r="AB789" s="181"/>
      <c r="AC789" s="181"/>
      <c r="AD789" s="181"/>
      <c r="AE789" s="395"/>
      <c r="AF789" s="387"/>
      <c r="AG789" s="181"/>
      <c r="AH789" s="181"/>
      <c r="AI789" s="181"/>
      <c r="AJ789" s="395"/>
      <c r="AK789" s="387"/>
      <c r="AL789" s="181"/>
      <c r="AM789" s="181"/>
      <c r="AN789" s="181"/>
      <c r="AO789" s="370"/>
      <c r="AP789" s="370"/>
      <c r="AQ789" s="370"/>
      <c r="AR789" s="370"/>
      <c r="AS789" s="370"/>
    </row>
    <row r="790">
      <c r="A790" s="395"/>
      <c r="B790" s="387"/>
      <c r="C790" s="181"/>
      <c r="D790" s="181"/>
      <c r="E790" s="181"/>
      <c r="F790" s="395"/>
      <c r="G790" s="387"/>
      <c r="H790" s="181"/>
      <c r="I790" s="181"/>
      <c r="J790" s="181"/>
      <c r="K790" s="88"/>
      <c r="L790" s="387"/>
      <c r="M790" s="181"/>
      <c r="N790" s="181"/>
      <c r="O790" s="181"/>
      <c r="P790" s="88"/>
      <c r="Q790" s="155"/>
      <c r="R790" s="181"/>
      <c r="S790" s="181"/>
      <c r="T790" s="181"/>
      <c r="U790" s="395"/>
      <c r="V790" s="387"/>
      <c r="W790" s="181"/>
      <c r="X790" s="181"/>
      <c r="Y790" s="181"/>
      <c r="Z790" s="395"/>
      <c r="AA790" s="387"/>
      <c r="AB790" s="181"/>
      <c r="AC790" s="181"/>
      <c r="AD790" s="181"/>
      <c r="AE790" s="395"/>
      <c r="AF790" s="387"/>
      <c r="AG790" s="181"/>
      <c r="AH790" s="181"/>
      <c r="AI790" s="181"/>
      <c r="AJ790" s="395"/>
      <c r="AK790" s="387"/>
      <c r="AL790" s="181"/>
      <c r="AM790" s="181"/>
      <c r="AN790" s="181"/>
      <c r="AO790" s="370"/>
      <c r="AP790" s="370"/>
      <c r="AQ790" s="370"/>
      <c r="AR790" s="370"/>
      <c r="AS790" s="370"/>
    </row>
    <row r="791">
      <c r="A791" s="395"/>
      <c r="B791" s="387"/>
      <c r="C791" s="181"/>
      <c r="D791" s="181"/>
      <c r="E791" s="181"/>
      <c r="F791" s="395"/>
      <c r="G791" s="387"/>
      <c r="H791" s="181"/>
      <c r="I791" s="181"/>
      <c r="J791" s="181"/>
      <c r="K791" s="88"/>
      <c r="L791" s="387"/>
      <c r="M791" s="181"/>
      <c r="N791" s="181"/>
      <c r="O791" s="181"/>
      <c r="P791" s="88"/>
      <c r="Q791" s="155"/>
      <c r="R791" s="181"/>
      <c r="S791" s="181"/>
      <c r="T791" s="181"/>
      <c r="U791" s="395"/>
      <c r="V791" s="387"/>
      <c r="W791" s="181"/>
      <c r="X791" s="181"/>
      <c r="Y791" s="181"/>
      <c r="Z791" s="395"/>
      <c r="AA791" s="387"/>
      <c r="AB791" s="181"/>
      <c r="AC791" s="181"/>
      <c r="AD791" s="181"/>
      <c r="AE791" s="395"/>
      <c r="AF791" s="387"/>
      <c r="AG791" s="181"/>
      <c r="AH791" s="181"/>
      <c r="AI791" s="181"/>
      <c r="AJ791" s="395"/>
      <c r="AK791" s="387"/>
      <c r="AL791" s="181"/>
      <c r="AM791" s="181"/>
      <c r="AN791" s="181"/>
      <c r="AO791" s="370"/>
      <c r="AP791" s="370"/>
      <c r="AQ791" s="370"/>
      <c r="AR791" s="370"/>
      <c r="AS791" s="370"/>
    </row>
    <row r="792">
      <c r="A792" s="395"/>
      <c r="B792" s="387"/>
      <c r="C792" s="181"/>
      <c r="D792" s="181"/>
      <c r="E792" s="181"/>
      <c r="F792" s="395"/>
      <c r="G792" s="387"/>
      <c r="H792" s="181"/>
      <c r="I792" s="181"/>
      <c r="J792" s="181"/>
      <c r="K792" s="88"/>
      <c r="L792" s="387"/>
      <c r="M792" s="181"/>
      <c r="N792" s="181"/>
      <c r="O792" s="181"/>
      <c r="P792" s="88"/>
      <c r="Q792" s="155"/>
      <c r="R792" s="181"/>
      <c r="S792" s="181"/>
      <c r="T792" s="181"/>
      <c r="U792" s="395"/>
      <c r="V792" s="387"/>
      <c r="W792" s="181"/>
      <c r="X792" s="181"/>
      <c r="Y792" s="181"/>
      <c r="Z792" s="395"/>
      <c r="AA792" s="387"/>
      <c r="AB792" s="181"/>
      <c r="AC792" s="181"/>
      <c r="AD792" s="181"/>
      <c r="AE792" s="395"/>
      <c r="AF792" s="387"/>
      <c r="AG792" s="181"/>
      <c r="AH792" s="181"/>
      <c r="AI792" s="181"/>
      <c r="AJ792" s="395"/>
      <c r="AK792" s="387"/>
      <c r="AL792" s="181"/>
      <c r="AM792" s="181"/>
      <c r="AN792" s="181"/>
      <c r="AO792" s="370"/>
      <c r="AP792" s="370"/>
      <c r="AQ792" s="370"/>
      <c r="AR792" s="370"/>
      <c r="AS792" s="370"/>
    </row>
    <row r="793">
      <c r="A793" s="395"/>
      <c r="B793" s="387"/>
      <c r="C793" s="181"/>
      <c r="D793" s="181"/>
      <c r="E793" s="181"/>
      <c r="F793" s="395"/>
      <c r="G793" s="387"/>
      <c r="H793" s="181"/>
      <c r="I793" s="181"/>
      <c r="J793" s="181"/>
      <c r="K793" s="88"/>
      <c r="L793" s="387"/>
      <c r="M793" s="181"/>
      <c r="N793" s="181"/>
      <c r="O793" s="181"/>
      <c r="P793" s="88"/>
      <c r="Q793" s="155"/>
      <c r="R793" s="181"/>
      <c r="S793" s="181"/>
      <c r="T793" s="181"/>
      <c r="U793" s="395"/>
      <c r="V793" s="387"/>
      <c r="W793" s="181"/>
      <c r="X793" s="181"/>
      <c r="Y793" s="181"/>
      <c r="Z793" s="395"/>
      <c r="AA793" s="387"/>
      <c r="AB793" s="181"/>
      <c r="AC793" s="181"/>
      <c r="AD793" s="181"/>
      <c r="AE793" s="395"/>
      <c r="AF793" s="387"/>
      <c r="AG793" s="181"/>
      <c r="AH793" s="181"/>
      <c r="AI793" s="181"/>
      <c r="AJ793" s="395"/>
      <c r="AK793" s="387"/>
      <c r="AL793" s="181"/>
      <c r="AM793" s="181"/>
      <c r="AN793" s="181"/>
      <c r="AO793" s="370"/>
      <c r="AP793" s="370"/>
      <c r="AQ793" s="370"/>
      <c r="AR793" s="370"/>
      <c r="AS793" s="370"/>
    </row>
    <row r="794">
      <c r="A794" s="395"/>
      <c r="B794" s="387"/>
      <c r="C794" s="181"/>
      <c r="D794" s="181"/>
      <c r="E794" s="181"/>
      <c r="F794" s="395"/>
      <c r="G794" s="387"/>
      <c r="H794" s="181"/>
      <c r="I794" s="181"/>
      <c r="J794" s="181"/>
      <c r="K794" s="88"/>
      <c r="L794" s="387"/>
      <c r="M794" s="181"/>
      <c r="N794" s="181"/>
      <c r="O794" s="181"/>
      <c r="P794" s="88"/>
      <c r="Q794" s="155"/>
      <c r="R794" s="181"/>
      <c r="S794" s="181"/>
      <c r="T794" s="181"/>
      <c r="U794" s="395"/>
      <c r="V794" s="387"/>
      <c r="W794" s="181"/>
      <c r="X794" s="181"/>
      <c r="Y794" s="181"/>
      <c r="Z794" s="395"/>
      <c r="AA794" s="387"/>
      <c r="AB794" s="181"/>
      <c r="AC794" s="181"/>
      <c r="AD794" s="181"/>
      <c r="AE794" s="395"/>
      <c r="AF794" s="387"/>
      <c r="AG794" s="181"/>
      <c r="AH794" s="181"/>
      <c r="AI794" s="181"/>
      <c r="AJ794" s="395"/>
      <c r="AK794" s="387"/>
      <c r="AL794" s="181"/>
      <c r="AM794" s="181"/>
      <c r="AN794" s="181"/>
      <c r="AO794" s="370"/>
      <c r="AP794" s="370"/>
      <c r="AQ794" s="370"/>
      <c r="AR794" s="370"/>
      <c r="AS794" s="370"/>
    </row>
    <row r="795">
      <c r="A795" s="395"/>
      <c r="B795" s="387"/>
      <c r="C795" s="181"/>
      <c r="D795" s="181"/>
      <c r="E795" s="181"/>
      <c r="F795" s="395"/>
      <c r="G795" s="387"/>
      <c r="H795" s="181"/>
      <c r="I795" s="181"/>
      <c r="J795" s="181"/>
      <c r="K795" s="88"/>
      <c r="L795" s="387"/>
      <c r="M795" s="181"/>
      <c r="N795" s="181"/>
      <c r="O795" s="181"/>
      <c r="P795" s="88"/>
      <c r="Q795" s="155"/>
      <c r="R795" s="181"/>
      <c r="S795" s="181"/>
      <c r="T795" s="181"/>
      <c r="U795" s="395"/>
      <c r="V795" s="387"/>
      <c r="W795" s="181"/>
      <c r="X795" s="181"/>
      <c r="Y795" s="181"/>
      <c r="Z795" s="395"/>
      <c r="AA795" s="387"/>
      <c r="AB795" s="181"/>
      <c r="AC795" s="181"/>
      <c r="AD795" s="181"/>
      <c r="AE795" s="395"/>
      <c r="AF795" s="387"/>
      <c r="AG795" s="181"/>
      <c r="AH795" s="181"/>
      <c r="AI795" s="181"/>
      <c r="AJ795" s="395"/>
      <c r="AK795" s="387"/>
      <c r="AL795" s="181"/>
      <c r="AM795" s="181"/>
      <c r="AN795" s="181"/>
      <c r="AO795" s="370"/>
      <c r="AP795" s="370"/>
      <c r="AQ795" s="370"/>
      <c r="AR795" s="370"/>
      <c r="AS795" s="370"/>
    </row>
    <row r="796">
      <c r="A796" s="395"/>
      <c r="B796" s="387"/>
      <c r="C796" s="181"/>
      <c r="D796" s="181"/>
      <c r="E796" s="181"/>
      <c r="F796" s="395"/>
      <c r="G796" s="387"/>
      <c r="H796" s="181"/>
      <c r="I796" s="181"/>
      <c r="J796" s="181"/>
      <c r="K796" s="88"/>
      <c r="L796" s="387"/>
      <c r="M796" s="181"/>
      <c r="N796" s="181"/>
      <c r="O796" s="181"/>
      <c r="P796" s="88"/>
      <c r="Q796" s="155"/>
      <c r="R796" s="181"/>
      <c r="S796" s="181"/>
      <c r="T796" s="181"/>
      <c r="U796" s="395"/>
      <c r="V796" s="387"/>
      <c r="W796" s="181"/>
      <c r="X796" s="181"/>
      <c r="Y796" s="181"/>
      <c r="Z796" s="395"/>
      <c r="AA796" s="387"/>
      <c r="AB796" s="181"/>
      <c r="AC796" s="181"/>
      <c r="AD796" s="181"/>
      <c r="AE796" s="395"/>
      <c r="AF796" s="387"/>
      <c r="AG796" s="181"/>
      <c r="AH796" s="181"/>
      <c r="AI796" s="181"/>
      <c r="AJ796" s="395"/>
      <c r="AK796" s="387"/>
      <c r="AL796" s="181"/>
      <c r="AM796" s="181"/>
      <c r="AN796" s="181"/>
      <c r="AO796" s="370"/>
      <c r="AP796" s="370"/>
      <c r="AQ796" s="370"/>
      <c r="AR796" s="370"/>
      <c r="AS796" s="370"/>
    </row>
    <row r="797">
      <c r="A797" s="395"/>
      <c r="B797" s="387"/>
      <c r="C797" s="181"/>
      <c r="D797" s="181"/>
      <c r="E797" s="181"/>
      <c r="F797" s="395"/>
      <c r="G797" s="387"/>
      <c r="H797" s="181"/>
      <c r="I797" s="181"/>
      <c r="J797" s="181"/>
      <c r="K797" s="88"/>
      <c r="L797" s="387"/>
      <c r="M797" s="181"/>
      <c r="N797" s="181"/>
      <c r="O797" s="181"/>
      <c r="P797" s="88"/>
      <c r="Q797" s="155"/>
      <c r="R797" s="181"/>
      <c r="S797" s="181"/>
      <c r="T797" s="181"/>
      <c r="U797" s="395"/>
      <c r="V797" s="387"/>
      <c r="W797" s="181"/>
      <c r="X797" s="181"/>
      <c r="Y797" s="181"/>
      <c r="Z797" s="395"/>
      <c r="AA797" s="387"/>
      <c r="AB797" s="181"/>
      <c r="AC797" s="181"/>
      <c r="AD797" s="181"/>
      <c r="AE797" s="395"/>
      <c r="AF797" s="387"/>
      <c r="AG797" s="181"/>
      <c r="AH797" s="181"/>
      <c r="AI797" s="181"/>
      <c r="AJ797" s="395"/>
      <c r="AK797" s="387"/>
      <c r="AL797" s="181"/>
      <c r="AM797" s="181"/>
      <c r="AN797" s="181"/>
      <c r="AO797" s="370"/>
      <c r="AP797" s="370"/>
      <c r="AQ797" s="370"/>
      <c r="AR797" s="370"/>
      <c r="AS797" s="370"/>
    </row>
    <row r="798">
      <c r="A798" s="395"/>
      <c r="B798" s="387"/>
      <c r="C798" s="181"/>
      <c r="D798" s="181"/>
      <c r="E798" s="181"/>
      <c r="F798" s="395"/>
      <c r="G798" s="387"/>
      <c r="H798" s="181"/>
      <c r="I798" s="181"/>
      <c r="J798" s="181"/>
      <c r="K798" s="88"/>
      <c r="L798" s="387"/>
      <c r="M798" s="181"/>
      <c r="N798" s="181"/>
      <c r="O798" s="181"/>
      <c r="P798" s="88"/>
      <c r="Q798" s="155"/>
      <c r="R798" s="181"/>
      <c r="S798" s="181"/>
      <c r="T798" s="181"/>
      <c r="U798" s="395"/>
      <c r="V798" s="387"/>
      <c r="W798" s="181"/>
      <c r="X798" s="181"/>
      <c r="Y798" s="181"/>
      <c r="Z798" s="395"/>
      <c r="AA798" s="387"/>
      <c r="AB798" s="181"/>
      <c r="AC798" s="181"/>
      <c r="AD798" s="181"/>
      <c r="AE798" s="395"/>
      <c r="AF798" s="387"/>
      <c r="AG798" s="181"/>
      <c r="AH798" s="181"/>
      <c r="AI798" s="181"/>
      <c r="AJ798" s="395"/>
      <c r="AK798" s="387"/>
      <c r="AL798" s="181"/>
      <c r="AM798" s="181"/>
      <c r="AN798" s="181"/>
      <c r="AO798" s="370"/>
      <c r="AP798" s="370"/>
      <c r="AQ798" s="370"/>
      <c r="AR798" s="370"/>
      <c r="AS798" s="370"/>
    </row>
    <row r="799">
      <c r="A799" s="395"/>
      <c r="B799" s="387"/>
      <c r="C799" s="181"/>
      <c r="D799" s="181"/>
      <c r="E799" s="181"/>
      <c r="F799" s="395"/>
      <c r="G799" s="387"/>
      <c r="H799" s="181"/>
      <c r="I799" s="181"/>
      <c r="J799" s="181"/>
      <c r="K799" s="88"/>
      <c r="L799" s="387"/>
      <c r="M799" s="181"/>
      <c r="N799" s="181"/>
      <c r="O799" s="181"/>
      <c r="P799" s="88"/>
      <c r="Q799" s="155"/>
      <c r="R799" s="181"/>
      <c r="S799" s="181"/>
      <c r="T799" s="181"/>
      <c r="U799" s="395"/>
      <c r="V799" s="387"/>
      <c r="W799" s="181"/>
      <c r="X799" s="181"/>
      <c r="Y799" s="181"/>
      <c r="Z799" s="395"/>
      <c r="AA799" s="387"/>
      <c r="AB799" s="181"/>
      <c r="AC799" s="181"/>
      <c r="AD799" s="181"/>
      <c r="AE799" s="395"/>
      <c r="AF799" s="387"/>
      <c r="AG799" s="181"/>
      <c r="AH799" s="181"/>
      <c r="AI799" s="181"/>
      <c r="AJ799" s="395"/>
      <c r="AK799" s="387"/>
      <c r="AL799" s="181"/>
      <c r="AM799" s="181"/>
      <c r="AN799" s="181"/>
      <c r="AO799" s="370"/>
      <c r="AP799" s="370"/>
      <c r="AQ799" s="370"/>
      <c r="AR799" s="370"/>
      <c r="AS799" s="370"/>
    </row>
    <row r="800">
      <c r="A800" s="395"/>
      <c r="B800" s="387"/>
      <c r="C800" s="181"/>
      <c r="D800" s="181"/>
      <c r="E800" s="181"/>
      <c r="F800" s="395"/>
      <c r="G800" s="387"/>
      <c r="H800" s="181"/>
      <c r="I800" s="181"/>
      <c r="J800" s="181"/>
      <c r="K800" s="88"/>
      <c r="L800" s="387"/>
      <c r="M800" s="181"/>
      <c r="N800" s="181"/>
      <c r="O800" s="181"/>
      <c r="P800" s="88"/>
      <c r="Q800" s="155"/>
      <c r="R800" s="181"/>
      <c r="S800" s="181"/>
      <c r="T800" s="181"/>
      <c r="U800" s="395"/>
      <c r="V800" s="387"/>
      <c r="W800" s="181"/>
      <c r="X800" s="181"/>
      <c r="Y800" s="181"/>
      <c r="Z800" s="395"/>
      <c r="AA800" s="387"/>
      <c r="AB800" s="181"/>
      <c r="AC800" s="181"/>
      <c r="AD800" s="181"/>
      <c r="AE800" s="395"/>
      <c r="AF800" s="387"/>
      <c r="AG800" s="181"/>
      <c r="AH800" s="181"/>
      <c r="AI800" s="181"/>
      <c r="AJ800" s="395"/>
      <c r="AK800" s="387"/>
      <c r="AL800" s="181"/>
      <c r="AM800" s="181"/>
      <c r="AN800" s="181"/>
      <c r="AO800" s="370"/>
      <c r="AP800" s="370"/>
      <c r="AQ800" s="370"/>
      <c r="AR800" s="370"/>
      <c r="AS800" s="370"/>
    </row>
    <row r="801">
      <c r="A801" s="395"/>
      <c r="B801" s="387"/>
      <c r="C801" s="181"/>
      <c r="D801" s="181"/>
      <c r="E801" s="181"/>
      <c r="F801" s="395"/>
      <c r="G801" s="387"/>
      <c r="H801" s="181"/>
      <c r="I801" s="181"/>
      <c r="J801" s="181"/>
      <c r="K801" s="88"/>
      <c r="L801" s="387"/>
      <c r="M801" s="181"/>
      <c r="N801" s="181"/>
      <c r="O801" s="181"/>
      <c r="P801" s="88"/>
      <c r="Q801" s="155"/>
      <c r="R801" s="181"/>
      <c r="S801" s="181"/>
      <c r="T801" s="181"/>
      <c r="U801" s="395"/>
      <c r="V801" s="387"/>
      <c r="W801" s="181"/>
      <c r="X801" s="181"/>
      <c r="Y801" s="181"/>
      <c r="Z801" s="395"/>
      <c r="AA801" s="387"/>
      <c r="AB801" s="181"/>
      <c r="AC801" s="181"/>
      <c r="AD801" s="181"/>
      <c r="AE801" s="395"/>
      <c r="AF801" s="387"/>
      <c r="AG801" s="181"/>
      <c r="AH801" s="181"/>
      <c r="AI801" s="181"/>
      <c r="AJ801" s="395"/>
      <c r="AK801" s="387"/>
      <c r="AL801" s="181"/>
      <c r="AM801" s="181"/>
      <c r="AN801" s="181"/>
      <c r="AO801" s="370"/>
      <c r="AP801" s="370"/>
      <c r="AQ801" s="370"/>
      <c r="AR801" s="370"/>
      <c r="AS801" s="370"/>
    </row>
    <row r="802">
      <c r="A802" s="395"/>
      <c r="B802" s="387"/>
      <c r="C802" s="181"/>
      <c r="D802" s="181"/>
      <c r="E802" s="181"/>
      <c r="F802" s="395"/>
      <c r="G802" s="387"/>
      <c r="H802" s="181"/>
      <c r="I802" s="181"/>
      <c r="J802" s="181"/>
      <c r="K802" s="88"/>
      <c r="L802" s="387"/>
      <c r="M802" s="181"/>
      <c r="N802" s="181"/>
      <c r="O802" s="181"/>
      <c r="P802" s="88"/>
      <c r="Q802" s="155"/>
      <c r="R802" s="181"/>
      <c r="S802" s="181"/>
      <c r="T802" s="181"/>
      <c r="U802" s="395"/>
      <c r="V802" s="387"/>
      <c r="W802" s="181"/>
      <c r="X802" s="181"/>
      <c r="Y802" s="181"/>
      <c r="Z802" s="395"/>
      <c r="AA802" s="387"/>
      <c r="AB802" s="181"/>
      <c r="AC802" s="181"/>
      <c r="AD802" s="181"/>
      <c r="AE802" s="395"/>
      <c r="AF802" s="387"/>
      <c r="AG802" s="181"/>
      <c r="AH802" s="181"/>
      <c r="AI802" s="181"/>
      <c r="AJ802" s="395"/>
      <c r="AK802" s="387"/>
      <c r="AL802" s="181"/>
      <c r="AM802" s="181"/>
      <c r="AN802" s="181"/>
      <c r="AO802" s="370"/>
      <c r="AP802" s="370"/>
      <c r="AQ802" s="370"/>
      <c r="AR802" s="370"/>
      <c r="AS802" s="370"/>
    </row>
    <row r="803">
      <c r="A803" s="395"/>
      <c r="B803" s="387"/>
      <c r="C803" s="181"/>
      <c r="D803" s="181"/>
      <c r="E803" s="181"/>
      <c r="F803" s="395"/>
      <c r="G803" s="387"/>
      <c r="H803" s="181"/>
      <c r="I803" s="181"/>
      <c r="J803" s="181"/>
      <c r="K803" s="88"/>
      <c r="L803" s="387"/>
      <c r="M803" s="181"/>
      <c r="N803" s="181"/>
      <c r="O803" s="181"/>
      <c r="P803" s="88"/>
      <c r="Q803" s="155"/>
      <c r="R803" s="181"/>
      <c r="S803" s="181"/>
      <c r="T803" s="181"/>
      <c r="U803" s="395"/>
      <c r="V803" s="387"/>
      <c r="W803" s="181"/>
      <c r="X803" s="181"/>
      <c r="Y803" s="181"/>
      <c r="Z803" s="395"/>
      <c r="AA803" s="387"/>
      <c r="AB803" s="181"/>
      <c r="AC803" s="181"/>
      <c r="AD803" s="181"/>
      <c r="AE803" s="395"/>
      <c r="AF803" s="387"/>
      <c r="AG803" s="181"/>
      <c r="AH803" s="181"/>
      <c r="AI803" s="181"/>
      <c r="AJ803" s="395"/>
      <c r="AK803" s="387"/>
      <c r="AL803" s="181"/>
      <c r="AM803" s="181"/>
      <c r="AN803" s="181"/>
      <c r="AO803" s="370"/>
      <c r="AP803" s="370"/>
      <c r="AQ803" s="370"/>
      <c r="AR803" s="370"/>
      <c r="AS803" s="370"/>
    </row>
    <row r="804">
      <c r="A804" s="395"/>
      <c r="B804" s="387"/>
      <c r="C804" s="181"/>
      <c r="D804" s="181"/>
      <c r="E804" s="181"/>
      <c r="F804" s="395"/>
      <c r="G804" s="387"/>
      <c r="H804" s="181"/>
      <c r="I804" s="181"/>
      <c r="J804" s="181"/>
      <c r="K804" s="88"/>
      <c r="L804" s="387"/>
      <c r="M804" s="181"/>
      <c r="N804" s="181"/>
      <c r="O804" s="181"/>
      <c r="P804" s="88"/>
      <c r="Q804" s="155"/>
      <c r="R804" s="181"/>
      <c r="S804" s="181"/>
      <c r="T804" s="181"/>
      <c r="U804" s="395"/>
      <c r="V804" s="387"/>
      <c r="W804" s="181"/>
      <c r="X804" s="181"/>
      <c r="Y804" s="181"/>
      <c r="Z804" s="395"/>
      <c r="AA804" s="387"/>
      <c r="AB804" s="181"/>
      <c r="AC804" s="181"/>
      <c r="AD804" s="181"/>
      <c r="AE804" s="395"/>
      <c r="AF804" s="387"/>
      <c r="AG804" s="181"/>
      <c r="AH804" s="181"/>
      <c r="AI804" s="181"/>
      <c r="AJ804" s="395"/>
      <c r="AK804" s="387"/>
      <c r="AL804" s="181"/>
      <c r="AM804" s="181"/>
      <c r="AN804" s="181"/>
      <c r="AO804" s="370"/>
      <c r="AP804" s="370"/>
      <c r="AQ804" s="370"/>
      <c r="AR804" s="370"/>
      <c r="AS804" s="370"/>
    </row>
    <row r="805">
      <c r="A805" s="395"/>
      <c r="B805" s="387"/>
      <c r="C805" s="181"/>
      <c r="D805" s="181"/>
      <c r="E805" s="181"/>
      <c r="F805" s="395"/>
      <c r="G805" s="387"/>
      <c r="H805" s="181"/>
      <c r="I805" s="181"/>
      <c r="J805" s="181"/>
      <c r="K805" s="88"/>
      <c r="L805" s="387"/>
      <c r="M805" s="181"/>
      <c r="N805" s="181"/>
      <c r="O805" s="181"/>
      <c r="P805" s="88"/>
      <c r="Q805" s="155"/>
      <c r="R805" s="181"/>
      <c r="S805" s="181"/>
      <c r="T805" s="181"/>
      <c r="U805" s="395"/>
      <c r="V805" s="387"/>
      <c r="W805" s="181"/>
      <c r="X805" s="181"/>
      <c r="Y805" s="181"/>
      <c r="Z805" s="395"/>
      <c r="AA805" s="387"/>
      <c r="AB805" s="181"/>
      <c r="AC805" s="181"/>
      <c r="AD805" s="181"/>
      <c r="AE805" s="395"/>
      <c r="AF805" s="387"/>
      <c r="AG805" s="181"/>
      <c r="AH805" s="181"/>
      <c r="AI805" s="181"/>
      <c r="AJ805" s="395"/>
      <c r="AK805" s="387"/>
      <c r="AL805" s="181"/>
      <c r="AM805" s="181"/>
      <c r="AN805" s="181"/>
      <c r="AO805" s="370"/>
      <c r="AP805" s="370"/>
      <c r="AQ805" s="370"/>
      <c r="AR805" s="370"/>
      <c r="AS805" s="370"/>
    </row>
    <row r="806">
      <c r="A806" s="395"/>
      <c r="B806" s="387"/>
      <c r="C806" s="181"/>
      <c r="D806" s="181"/>
      <c r="E806" s="181"/>
      <c r="F806" s="395"/>
      <c r="G806" s="387"/>
      <c r="H806" s="181"/>
      <c r="I806" s="181"/>
      <c r="J806" s="181"/>
      <c r="K806" s="88"/>
      <c r="L806" s="387"/>
      <c r="M806" s="181"/>
      <c r="N806" s="181"/>
      <c r="O806" s="181"/>
      <c r="P806" s="88"/>
      <c r="Q806" s="155"/>
      <c r="R806" s="181"/>
      <c r="S806" s="181"/>
      <c r="T806" s="181"/>
      <c r="U806" s="395"/>
      <c r="V806" s="387"/>
      <c r="W806" s="181"/>
      <c r="X806" s="181"/>
      <c r="Y806" s="181"/>
      <c r="Z806" s="395"/>
      <c r="AA806" s="387"/>
      <c r="AB806" s="181"/>
      <c r="AC806" s="181"/>
      <c r="AD806" s="181"/>
      <c r="AE806" s="395"/>
      <c r="AF806" s="387"/>
      <c r="AG806" s="181"/>
      <c r="AH806" s="181"/>
      <c r="AI806" s="181"/>
      <c r="AJ806" s="395"/>
      <c r="AK806" s="387"/>
      <c r="AL806" s="181"/>
      <c r="AM806" s="181"/>
      <c r="AN806" s="181"/>
      <c r="AO806" s="370"/>
      <c r="AP806" s="370"/>
      <c r="AQ806" s="370"/>
      <c r="AR806" s="370"/>
      <c r="AS806" s="370"/>
    </row>
    <row r="807">
      <c r="A807" s="395"/>
      <c r="B807" s="387"/>
      <c r="C807" s="181"/>
      <c r="D807" s="181"/>
      <c r="E807" s="181"/>
      <c r="F807" s="395"/>
      <c r="G807" s="387"/>
      <c r="H807" s="181"/>
      <c r="I807" s="181"/>
      <c r="J807" s="181"/>
      <c r="K807" s="88"/>
      <c r="L807" s="387"/>
      <c r="M807" s="181"/>
      <c r="N807" s="181"/>
      <c r="O807" s="181"/>
      <c r="P807" s="88"/>
      <c r="Q807" s="155"/>
      <c r="R807" s="181"/>
      <c r="S807" s="181"/>
      <c r="T807" s="181"/>
      <c r="U807" s="395"/>
      <c r="V807" s="387"/>
      <c r="W807" s="181"/>
      <c r="X807" s="181"/>
      <c r="Y807" s="181"/>
      <c r="Z807" s="395"/>
      <c r="AA807" s="387"/>
      <c r="AB807" s="181"/>
      <c r="AC807" s="181"/>
      <c r="AD807" s="181"/>
      <c r="AE807" s="395"/>
      <c r="AF807" s="387"/>
      <c r="AG807" s="181"/>
      <c r="AH807" s="181"/>
      <c r="AI807" s="181"/>
      <c r="AJ807" s="395"/>
      <c r="AK807" s="387"/>
      <c r="AL807" s="181"/>
      <c r="AM807" s="181"/>
      <c r="AN807" s="181"/>
      <c r="AO807" s="370"/>
      <c r="AP807" s="370"/>
      <c r="AQ807" s="370"/>
      <c r="AR807" s="370"/>
      <c r="AS807" s="370"/>
    </row>
    <row r="808">
      <c r="A808" s="395"/>
      <c r="B808" s="387"/>
      <c r="C808" s="181"/>
      <c r="D808" s="181"/>
      <c r="E808" s="181"/>
      <c r="F808" s="395"/>
      <c r="G808" s="387"/>
      <c r="H808" s="181"/>
      <c r="I808" s="181"/>
      <c r="J808" s="181"/>
      <c r="K808" s="88"/>
      <c r="L808" s="387"/>
      <c r="M808" s="181"/>
      <c r="N808" s="181"/>
      <c r="O808" s="181"/>
      <c r="P808" s="88"/>
      <c r="Q808" s="155"/>
      <c r="R808" s="181"/>
      <c r="S808" s="181"/>
      <c r="T808" s="181"/>
      <c r="U808" s="395"/>
      <c r="V808" s="387"/>
      <c r="W808" s="181"/>
      <c r="X808" s="181"/>
      <c r="Y808" s="181"/>
      <c r="Z808" s="395"/>
      <c r="AA808" s="387"/>
      <c r="AB808" s="181"/>
      <c r="AC808" s="181"/>
      <c r="AD808" s="181"/>
      <c r="AE808" s="395"/>
      <c r="AF808" s="387"/>
      <c r="AG808" s="181"/>
      <c r="AH808" s="181"/>
      <c r="AI808" s="181"/>
      <c r="AJ808" s="395"/>
      <c r="AK808" s="387"/>
      <c r="AL808" s="181"/>
      <c r="AM808" s="181"/>
      <c r="AN808" s="181"/>
      <c r="AO808" s="370"/>
      <c r="AP808" s="370"/>
      <c r="AQ808" s="370"/>
      <c r="AR808" s="370"/>
      <c r="AS808" s="370"/>
    </row>
    <row r="809">
      <c r="A809" s="395"/>
      <c r="B809" s="387"/>
      <c r="C809" s="181"/>
      <c r="D809" s="181"/>
      <c r="E809" s="181"/>
      <c r="F809" s="395"/>
      <c r="G809" s="387"/>
      <c r="H809" s="181"/>
      <c r="I809" s="181"/>
      <c r="J809" s="181"/>
      <c r="K809" s="88"/>
      <c r="L809" s="387"/>
      <c r="M809" s="181"/>
      <c r="N809" s="181"/>
      <c r="O809" s="181"/>
      <c r="P809" s="88"/>
      <c r="Q809" s="155"/>
      <c r="R809" s="181"/>
      <c r="S809" s="181"/>
      <c r="T809" s="181"/>
      <c r="U809" s="395"/>
      <c r="V809" s="387"/>
      <c r="W809" s="181"/>
      <c r="X809" s="181"/>
      <c r="Y809" s="181"/>
      <c r="Z809" s="395"/>
      <c r="AA809" s="387"/>
      <c r="AB809" s="181"/>
      <c r="AC809" s="181"/>
      <c r="AD809" s="181"/>
      <c r="AE809" s="395"/>
      <c r="AF809" s="387"/>
      <c r="AG809" s="181"/>
      <c r="AH809" s="181"/>
      <c r="AI809" s="181"/>
      <c r="AJ809" s="395"/>
      <c r="AK809" s="387"/>
      <c r="AL809" s="181"/>
      <c r="AM809" s="181"/>
      <c r="AN809" s="181"/>
      <c r="AO809" s="370"/>
      <c r="AP809" s="370"/>
      <c r="AQ809" s="370"/>
      <c r="AR809" s="370"/>
      <c r="AS809" s="370"/>
    </row>
    <row r="810">
      <c r="A810" s="395"/>
      <c r="B810" s="387"/>
      <c r="C810" s="181"/>
      <c r="D810" s="181"/>
      <c r="E810" s="181"/>
      <c r="F810" s="395"/>
      <c r="G810" s="387"/>
      <c r="H810" s="181"/>
      <c r="I810" s="181"/>
      <c r="J810" s="181"/>
      <c r="K810" s="88"/>
      <c r="L810" s="387"/>
      <c r="M810" s="181"/>
      <c r="N810" s="181"/>
      <c r="O810" s="181"/>
      <c r="P810" s="88"/>
      <c r="Q810" s="155"/>
      <c r="R810" s="181"/>
      <c r="S810" s="181"/>
      <c r="T810" s="181"/>
      <c r="U810" s="395"/>
      <c r="V810" s="387"/>
      <c r="W810" s="181"/>
      <c r="X810" s="181"/>
      <c r="Y810" s="181"/>
      <c r="Z810" s="395"/>
      <c r="AA810" s="387"/>
      <c r="AB810" s="181"/>
      <c r="AC810" s="181"/>
      <c r="AD810" s="181"/>
      <c r="AE810" s="395"/>
      <c r="AF810" s="387"/>
      <c r="AG810" s="181"/>
      <c r="AH810" s="181"/>
      <c r="AI810" s="181"/>
      <c r="AJ810" s="395"/>
      <c r="AK810" s="387"/>
      <c r="AL810" s="181"/>
      <c r="AM810" s="181"/>
      <c r="AN810" s="181"/>
      <c r="AO810" s="370"/>
      <c r="AP810" s="370"/>
      <c r="AQ810" s="370"/>
      <c r="AR810" s="370"/>
      <c r="AS810" s="370"/>
    </row>
    <row r="811">
      <c r="A811" s="395"/>
      <c r="B811" s="387"/>
      <c r="C811" s="181"/>
      <c r="D811" s="181"/>
      <c r="E811" s="181"/>
      <c r="F811" s="395"/>
      <c r="G811" s="387"/>
      <c r="H811" s="181"/>
      <c r="I811" s="181"/>
      <c r="J811" s="181"/>
      <c r="K811" s="88"/>
      <c r="L811" s="387"/>
      <c r="M811" s="181"/>
      <c r="N811" s="181"/>
      <c r="O811" s="181"/>
      <c r="P811" s="88"/>
      <c r="Q811" s="155"/>
      <c r="R811" s="181"/>
      <c r="S811" s="181"/>
      <c r="T811" s="181"/>
      <c r="U811" s="395"/>
      <c r="V811" s="387"/>
      <c r="W811" s="181"/>
      <c r="X811" s="181"/>
      <c r="Y811" s="181"/>
      <c r="Z811" s="395"/>
      <c r="AA811" s="387"/>
      <c r="AB811" s="181"/>
      <c r="AC811" s="181"/>
      <c r="AD811" s="181"/>
      <c r="AE811" s="395"/>
      <c r="AF811" s="387"/>
      <c r="AG811" s="181"/>
      <c r="AH811" s="181"/>
      <c r="AI811" s="181"/>
      <c r="AJ811" s="395"/>
      <c r="AK811" s="387"/>
      <c r="AL811" s="181"/>
      <c r="AM811" s="181"/>
      <c r="AN811" s="181"/>
      <c r="AO811" s="370"/>
      <c r="AP811" s="370"/>
      <c r="AQ811" s="370"/>
      <c r="AR811" s="370"/>
      <c r="AS811" s="370"/>
    </row>
    <row r="812">
      <c r="A812" s="395"/>
      <c r="B812" s="387"/>
      <c r="C812" s="181"/>
      <c r="D812" s="181"/>
      <c r="E812" s="181"/>
      <c r="F812" s="395"/>
      <c r="G812" s="387"/>
      <c r="H812" s="181"/>
      <c r="I812" s="181"/>
      <c r="J812" s="181"/>
      <c r="K812" s="88"/>
      <c r="L812" s="387"/>
      <c r="M812" s="181"/>
      <c r="N812" s="181"/>
      <c r="O812" s="181"/>
      <c r="P812" s="88"/>
      <c r="Q812" s="155"/>
      <c r="R812" s="181"/>
      <c r="S812" s="181"/>
      <c r="T812" s="181"/>
      <c r="U812" s="395"/>
      <c r="V812" s="387"/>
      <c r="W812" s="181"/>
      <c r="X812" s="181"/>
      <c r="Y812" s="181"/>
      <c r="Z812" s="395"/>
      <c r="AA812" s="387"/>
      <c r="AB812" s="181"/>
      <c r="AC812" s="181"/>
      <c r="AD812" s="181"/>
      <c r="AE812" s="395"/>
      <c r="AF812" s="387"/>
      <c r="AG812" s="181"/>
      <c r="AH812" s="181"/>
      <c r="AI812" s="181"/>
      <c r="AJ812" s="395"/>
      <c r="AK812" s="387"/>
      <c r="AL812" s="181"/>
      <c r="AM812" s="181"/>
      <c r="AN812" s="181"/>
      <c r="AO812" s="370"/>
      <c r="AP812" s="370"/>
      <c r="AQ812" s="370"/>
      <c r="AR812" s="370"/>
      <c r="AS812" s="370"/>
    </row>
    <row r="813">
      <c r="A813" s="395"/>
      <c r="B813" s="387"/>
      <c r="C813" s="181"/>
      <c r="D813" s="181"/>
      <c r="E813" s="181"/>
      <c r="F813" s="395"/>
      <c r="G813" s="387"/>
      <c r="H813" s="181"/>
      <c r="I813" s="181"/>
      <c r="J813" s="181"/>
      <c r="K813" s="88"/>
      <c r="L813" s="387"/>
      <c r="M813" s="181"/>
      <c r="N813" s="181"/>
      <c r="O813" s="181"/>
      <c r="P813" s="88"/>
      <c r="Q813" s="155"/>
      <c r="R813" s="181"/>
      <c r="S813" s="181"/>
      <c r="T813" s="181"/>
      <c r="U813" s="395"/>
      <c r="V813" s="387"/>
      <c r="W813" s="181"/>
      <c r="X813" s="181"/>
      <c r="Y813" s="181"/>
      <c r="Z813" s="395"/>
      <c r="AA813" s="387"/>
      <c r="AB813" s="181"/>
      <c r="AC813" s="181"/>
      <c r="AD813" s="181"/>
      <c r="AE813" s="395"/>
      <c r="AF813" s="387"/>
      <c r="AG813" s="181"/>
      <c r="AH813" s="181"/>
      <c r="AI813" s="181"/>
      <c r="AJ813" s="395"/>
      <c r="AK813" s="387"/>
      <c r="AL813" s="181"/>
      <c r="AM813" s="181"/>
      <c r="AN813" s="181"/>
      <c r="AO813" s="370"/>
      <c r="AP813" s="370"/>
      <c r="AQ813" s="370"/>
      <c r="AR813" s="370"/>
      <c r="AS813" s="370"/>
    </row>
    <row r="814">
      <c r="A814" s="395"/>
      <c r="B814" s="387"/>
      <c r="C814" s="181"/>
      <c r="D814" s="181"/>
      <c r="E814" s="181"/>
      <c r="F814" s="395"/>
      <c r="G814" s="387"/>
      <c r="H814" s="181"/>
      <c r="I814" s="181"/>
      <c r="J814" s="181"/>
      <c r="K814" s="88"/>
      <c r="L814" s="387"/>
      <c r="M814" s="181"/>
      <c r="N814" s="181"/>
      <c r="O814" s="181"/>
      <c r="P814" s="88"/>
      <c r="Q814" s="155"/>
      <c r="R814" s="181"/>
      <c r="S814" s="181"/>
      <c r="T814" s="181"/>
      <c r="U814" s="395"/>
      <c r="V814" s="387"/>
      <c r="W814" s="181"/>
      <c r="X814" s="181"/>
      <c r="Y814" s="181"/>
      <c r="Z814" s="395"/>
      <c r="AA814" s="387"/>
      <c r="AB814" s="181"/>
      <c r="AC814" s="181"/>
      <c r="AD814" s="181"/>
      <c r="AE814" s="395"/>
      <c r="AF814" s="387"/>
      <c r="AG814" s="181"/>
      <c r="AH814" s="181"/>
      <c r="AI814" s="181"/>
      <c r="AJ814" s="395"/>
      <c r="AK814" s="387"/>
      <c r="AL814" s="181"/>
      <c r="AM814" s="181"/>
      <c r="AN814" s="181"/>
      <c r="AO814" s="370"/>
      <c r="AP814" s="370"/>
      <c r="AQ814" s="370"/>
      <c r="AR814" s="370"/>
      <c r="AS814" s="370"/>
    </row>
    <row r="815">
      <c r="A815" s="395"/>
      <c r="B815" s="387"/>
      <c r="C815" s="181"/>
      <c r="D815" s="181"/>
      <c r="E815" s="181"/>
      <c r="F815" s="395"/>
      <c r="G815" s="387"/>
      <c r="H815" s="181"/>
      <c r="I815" s="181"/>
      <c r="J815" s="181"/>
      <c r="K815" s="88"/>
      <c r="L815" s="387"/>
      <c r="M815" s="181"/>
      <c r="N815" s="181"/>
      <c r="O815" s="181"/>
      <c r="P815" s="88"/>
      <c r="Q815" s="155"/>
      <c r="R815" s="181"/>
      <c r="S815" s="181"/>
      <c r="T815" s="181"/>
      <c r="U815" s="395"/>
      <c r="V815" s="387"/>
      <c r="W815" s="181"/>
      <c r="X815" s="181"/>
      <c r="Y815" s="181"/>
      <c r="Z815" s="395"/>
      <c r="AA815" s="387"/>
      <c r="AB815" s="181"/>
      <c r="AC815" s="181"/>
      <c r="AD815" s="181"/>
      <c r="AE815" s="395"/>
      <c r="AF815" s="387"/>
      <c r="AG815" s="181"/>
      <c r="AH815" s="181"/>
      <c r="AI815" s="181"/>
      <c r="AJ815" s="395"/>
      <c r="AK815" s="387"/>
      <c r="AL815" s="181"/>
      <c r="AM815" s="181"/>
      <c r="AN815" s="181"/>
      <c r="AO815" s="370"/>
      <c r="AP815" s="370"/>
      <c r="AQ815" s="370"/>
      <c r="AR815" s="370"/>
      <c r="AS815" s="370"/>
    </row>
    <row r="816">
      <c r="A816" s="395"/>
      <c r="B816" s="387"/>
      <c r="C816" s="181"/>
      <c r="D816" s="181"/>
      <c r="E816" s="181"/>
      <c r="F816" s="395"/>
      <c r="G816" s="387"/>
      <c r="H816" s="181"/>
      <c r="I816" s="181"/>
      <c r="J816" s="181"/>
      <c r="K816" s="88"/>
      <c r="L816" s="387"/>
      <c r="M816" s="181"/>
      <c r="N816" s="181"/>
      <c r="O816" s="181"/>
      <c r="P816" s="88"/>
      <c r="Q816" s="155"/>
      <c r="R816" s="181"/>
      <c r="S816" s="181"/>
      <c r="T816" s="181"/>
      <c r="U816" s="395"/>
      <c r="V816" s="387"/>
      <c r="W816" s="181"/>
      <c r="X816" s="181"/>
      <c r="Y816" s="181"/>
      <c r="Z816" s="395"/>
      <c r="AA816" s="387"/>
      <c r="AB816" s="181"/>
      <c r="AC816" s="181"/>
      <c r="AD816" s="181"/>
      <c r="AE816" s="395"/>
      <c r="AF816" s="387"/>
      <c r="AG816" s="181"/>
      <c r="AH816" s="181"/>
      <c r="AI816" s="181"/>
      <c r="AJ816" s="395"/>
      <c r="AK816" s="387"/>
      <c r="AL816" s="181"/>
      <c r="AM816" s="181"/>
      <c r="AN816" s="181"/>
      <c r="AO816" s="370"/>
      <c r="AP816" s="370"/>
      <c r="AQ816" s="370"/>
      <c r="AR816" s="370"/>
      <c r="AS816" s="370"/>
    </row>
    <row r="817">
      <c r="A817" s="395"/>
      <c r="B817" s="387"/>
      <c r="C817" s="181"/>
      <c r="D817" s="181"/>
      <c r="E817" s="181"/>
      <c r="F817" s="395"/>
      <c r="G817" s="387"/>
      <c r="H817" s="181"/>
      <c r="I817" s="181"/>
      <c r="J817" s="181"/>
      <c r="K817" s="88"/>
      <c r="L817" s="387"/>
      <c r="M817" s="181"/>
      <c r="N817" s="181"/>
      <c r="O817" s="181"/>
      <c r="P817" s="88"/>
      <c r="Q817" s="155"/>
      <c r="R817" s="181"/>
      <c r="S817" s="181"/>
      <c r="T817" s="181"/>
      <c r="U817" s="395"/>
      <c r="V817" s="387"/>
      <c r="W817" s="181"/>
      <c r="X817" s="181"/>
      <c r="Y817" s="181"/>
      <c r="Z817" s="395"/>
      <c r="AA817" s="387"/>
      <c r="AB817" s="181"/>
      <c r="AC817" s="181"/>
      <c r="AD817" s="181"/>
      <c r="AE817" s="395"/>
      <c r="AF817" s="387"/>
      <c r="AG817" s="181"/>
      <c r="AH817" s="181"/>
      <c r="AI817" s="181"/>
      <c r="AJ817" s="395"/>
      <c r="AK817" s="387"/>
      <c r="AL817" s="181"/>
      <c r="AM817" s="181"/>
      <c r="AN817" s="181"/>
      <c r="AO817" s="370"/>
      <c r="AP817" s="370"/>
      <c r="AQ817" s="370"/>
      <c r="AR817" s="370"/>
      <c r="AS817" s="370"/>
    </row>
    <row r="818">
      <c r="A818" s="395"/>
      <c r="B818" s="387"/>
      <c r="C818" s="181"/>
      <c r="D818" s="181"/>
      <c r="E818" s="181"/>
      <c r="F818" s="395"/>
      <c r="G818" s="387"/>
      <c r="H818" s="181"/>
      <c r="I818" s="181"/>
      <c r="J818" s="181"/>
      <c r="K818" s="88"/>
      <c r="L818" s="387"/>
      <c r="M818" s="181"/>
      <c r="N818" s="181"/>
      <c r="O818" s="181"/>
      <c r="P818" s="88"/>
      <c r="Q818" s="155"/>
      <c r="R818" s="181"/>
      <c r="S818" s="181"/>
      <c r="T818" s="181"/>
      <c r="U818" s="395"/>
      <c r="V818" s="387"/>
      <c r="W818" s="181"/>
      <c r="X818" s="181"/>
      <c r="Y818" s="181"/>
      <c r="Z818" s="395"/>
      <c r="AA818" s="387"/>
      <c r="AB818" s="181"/>
      <c r="AC818" s="181"/>
      <c r="AD818" s="181"/>
      <c r="AE818" s="395"/>
      <c r="AF818" s="387"/>
      <c r="AG818" s="181"/>
      <c r="AH818" s="181"/>
      <c r="AI818" s="181"/>
      <c r="AJ818" s="395"/>
      <c r="AK818" s="387"/>
      <c r="AL818" s="181"/>
      <c r="AM818" s="181"/>
      <c r="AN818" s="181"/>
      <c r="AO818" s="370"/>
      <c r="AP818" s="370"/>
      <c r="AQ818" s="370"/>
      <c r="AR818" s="370"/>
      <c r="AS818" s="370"/>
    </row>
    <row r="819">
      <c r="A819" s="395"/>
      <c r="B819" s="387"/>
      <c r="C819" s="181"/>
      <c r="D819" s="181"/>
      <c r="E819" s="181"/>
      <c r="F819" s="395"/>
      <c r="G819" s="387"/>
      <c r="H819" s="181"/>
      <c r="I819" s="181"/>
      <c r="J819" s="181"/>
      <c r="K819" s="88"/>
      <c r="L819" s="387"/>
      <c r="M819" s="181"/>
      <c r="N819" s="181"/>
      <c r="O819" s="181"/>
      <c r="P819" s="88"/>
      <c r="Q819" s="155"/>
      <c r="R819" s="181"/>
      <c r="S819" s="181"/>
      <c r="T819" s="181"/>
      <c r="U819" s="395"/>
      <c r="V819" s="387"/>
      <c r="W819" s="181"/>
      <c r="X819" s="181"/>
      <c r="Y819" s="181"/>
      <c r="Z819" s="395"/>
      <c r="AA819" s="387"/>
      <c r="AB819" s="181"/>
      <c r="AC819" s="181"/>
      <c r="AD819" s="181"/>
      <c r="AE819" s="395"/>
      <c r="AF819" s="387"/>
      <c r="AG819" s="181"/>
      <c r="AH819" s="181"/>
      <c r="AI819" s="181"/>
      <c r="AJ819" s="395"/>
      <c r="AK819" s="387"/>
      <c r="AL819" s="181"/>
      <c r="AM819" s="181"/>
      <c r="AN819" s="181"/>
      <c r="AO819" s="370"/>
      <c r="AP819" s="370"/>
      <c r="AQ819" s="370"/>
      <c r="AR819" s="370"/>
      <c r="AS819" s="370"/>
    </row>
    <row r="820">
      <c r="A820" s="395"/>
      <c r="B820" s="387"/>
      <c r="C820" s="181"/>
      <c r="D820" s="181"/>
      <c r="E820" s="181"/>
      <c r="F820" s="395"/>
      <c r="G820" s="387"/>
      <c r="H820" s="181"/>
      <c r="I820" s="181"/>
      <c r="J820" s="181"/>
      <c r="K820" s="88"/>
      <c r="L820" s="387"/>
      <c r="M820" s="181"/>
      <c r="N820" s="181"/>
      <c r="O820" s="181"/>
      <c r="P820" s="88"/>
      <c r="Q820" s="155"/>
      <c r="R820" s="181"/>
      <c r="S820" s="181"/>
      <c r="T820" s="181"/>
      <c r="U820" s="395"/>
      <c r="V820" s="387"/>
      <c r="W820" s="181"/>
      <c r="X820" s="181"/>
      <c r="Y820" s="181"/>
      <c r="Z820" s="395"/>
      <c r="AA820" s="387"/>
      <c r="AB820" s="181"/>
      <c r="AC820" s="181"/>
      <c r="AD820" s="181"/>
      <c r="AE820" s="395"/>
      <c r="AF820" s="387"/>
      <c r="AG820" s="181"/>
      <c r="AH820" s="181"/>
      <c r="AI820" s="181"/>
      <c r="AJ820" s="395"/>
      <c r="AK820" s="387"/>
      <c r="AL820" s="181"/>
      <c r="AM820" s="181"/>
      <c r="AN820" s="181"/>
      <c r="AO820" s="370"/>
      <c r="AP820" s="370"/>
      <c r="AQ820" s="370"/>
      <c r="AR820" s="370"/>
      <c r="AS820" s="370"/>
    </row>
    <row r="821">
      <c r="A821" s="395"/>
      <c r="B821" s="387"/>
      <c r="C821" s="181"/>
      <c r="D821" s="181"/>
      <c r="E821" s="181"/>
      <c r="F821" s="395"/>
      <c r="G821" s="387"/>
      <c r="H821" s="181"/>
      <c r="I821" s="181"/>
      <c r="J821" s="181"/>
      <c r="K821" s="88"/>
      <c r="L821" s="387"/>
      <c r="M821" s="181"/>
      <c r="N821" s="181"/>
      <c r="O821" s="181"/>
      <c r="P821" s="88"/>
      <c r="Q821" s="155"/>
      <c r="R821" s="181"/>
      <c r="S821" s="181"/>
      <c r="T821" s="181"/>
      <c r="U821" s="395"/>
      <c r="V821" s="387"/>
      <c r="W821" s="181"/>
      <c r="X821" s="181"/>
      <c r="Y821" s="181"/>
      <c r="Z821" s="395"/>
      <c r="AA821" s="387"/>
      <c r="AB821" s="181"/>
      <c r="AC821" s="181"/>
      <c r="AD821" s="181"/>
      <c r="AE821" s="395"/>
      <c r="AF821" s="387"/>
      <c r="AG821" s="181"/>
      <c r="AH821" s="181"/>
      <c r="AI821" s="181"/>
      <c r="AJ821" s="395"/>
      <c r="AK821" s="387"/>
      <c r="AL821" s="181"/>
      <c r="AM821" s="181"/>
      <c r="AN821" s="181"/>
      <c r="AO821" s="370"/>
      <c r="AP821" s="370"/>
      <c r="AQ821" s="370"/>
      <c r="AR821" s="370"/>
      <c r="AS821" s="370"/>
    </row>
    <row r="822">
      <c r="A822" s="395"/>
      <c r="B822" s="387"/>
      <c r="C822" s="181"/>
      <c r="D822" s="181"/>
      <c r="E822" s="181"/>
      <c r="F822" s="395"/>
      <c r="G822" s="387"/>
      <c r="H822" s="181"/>
      <c r="I822" s="181"/>
      <c r="J822" s="181"/>
      <c r="K822" s="88"/>
      <c r="L822" s="387"/>
      <c r="M822" s="181"/>
      <c r="N822" s="181"/>
      <c r="O822" s="181"/>
      <c r="P822" s="88"/>
      <c r="Q822" s="155"/>
      <c r="R822" s="181"/>
      <c r="S822" s="181"/>
      <c r="T822" s="181"/>
      <c r="U822" s="395"/>
      <c r="V822" s="387"/>
      <c r="W822" s="181"/>
      <c r="X822" s="181"/>
      <c r="Y822" s="181"/>
      <c r="Z822" s="395"/>
      <c r="AA822" s="387"/>
      <c r="AB822" s="181"/>
      <c r="AC822" s="181"/>
      <c r="AD822" s="181"/>
      <c r="AE822" s="395"/>
      <c r="AF822" s="387"/>
      <c r="AG822" s="181"/>
      <c r="AH822" s="181"/>
      <c r="AI822" s="181"/>
      <c r="AJ822" s="395"/>
      <c r="AK822" s="387"/>
      <c r="AL822" s="181"/>
      <c r="AM822" s="181"/>
      <c r="AN822" s="181"/>
      <c r="AO822" s="370"/>
      <c r="AP822" s="370"/>
      <c r="AQ822" s="370"/>
      <c r="AR822" s="370"/>
      <c r="AS822" s="370"/>
    </row>
    <row r="823">
      <c r="A823" s="395"/>
      <c r="B823" s="387"/>
      <c r="C823" s="181"/>
      <c r="D823" s="181"/>
      <c r="E823" s="181"/>
      <c r="F823" s="395"/>
      <c r="G823" s="387"/>
      <c r="H823" s="181"/>
      <c r="I823" s="181"/>
      <c r="J823" s="181"/>
      <c r="K823" s="88"/>
      <c r="L823" s="387"/>
      <c r="M823" s="181"/>
      <c r="N823" s="181"/>
      <c r="O823" s="181"/>
      <c r="P823" s="88"/>
      <c r="Q823" s="155"/>
      <c r="R823" s="181"/>
      <c r="S823" s="181"/>
      <c r="T823" s="181"/>
      <c r="U823" s="395"/>
      <c r="V823" s="387"/>
      <c r="W823" s="181"/>
      <c r="X823" s="181"/>
      <c r="Y823" s="181"/>
      <c r="Z823" s="395"/>
      <c r="AA823" s="387"/>
      <c r="AB823" s="181"/>
      <c r="AC823" s="181"/>
      <c r="AD823" s="181"/>
      <c r="AE823" s="395"/>
      <c r="AF823" s="387"/>
      <c r="AG823" s="181"/>
      <c r="AH823" s="181"/>
      <c r="AI823" s="181"/>
      <c r="AJ823" s="395"/>
      <c r="AK823" s="387"/>
      <c r="AL823" s="181"/>
      <c r="AM823" s="181"/>
      <c r="AN823" s="181"/>
      <c r="AO823" s="370"/>
      <c r="AP823" s="370"/>
      <c r="AQ823" s="370"/>
      <c r="AR823" s="370"/>
      <c r="AS823" s="370"/>
    </row>
    <row r="824">
      <c r="A824" s="395"/>
      <c r="B824" s="387"/>
      <c r="C824" s="181"/>
      <c r="D824" s="181"/>
      <c r="E824" s="181"/>
      <c r="F824" s="395"/>
      <c r="G824" s="387"/>
      <c r="H824" s="181"/>
      <c r="I824" s="181"/>
      <c r="J824" s="181"/>
      <c r="K824" s="88"/>
      <c r="L824" s="387"/>
      <c r="M824" s="181"/>
      <c r="N824" s="181"/>
      <c r="O824" s="181"/>
      <c r="P824" s="88"/>
      <c r="Q824" s="155"/>
      <c r="R824" s="181"/>
      <c r="S824" s="181"/>
      <c r="T824" s="181"/>
      <c r="U824" s="395"/>
      <c r="V824" s="387"/>
      <c r="W824" s="181"/>
      <c r="X824" s="181"/>
      <c r="Y824" s="181"/>
      <c r="Z824" s="395"/>
      <c r="AA824" s="387"/>
      <c r="AB824" s="181"/>
      <c r="AC824" s="181"/>
      <c r="AD824" s="181"/>
      <c r="AE824" s="395"/>
      <c r="AF824" s="387"/>
      <c r="AG824" s="181"/>
      <c r="AH824" s="181"/>
      <c r="AI824" s="181"/>
      <c r="AJ824" s="395"/>
      <c r="AK824" s="387"/>
      <c r="AL824" s="181"/>
      <c r="AM824" s="181"/>
      <c r="AN824" s="181"/>
      <c r="AO824" s="370"/>
      <c r="AP824" s="370"/>
      <c r="AQ824" s="370"/>
      <c r="AR824" s="370"/>
      <c r="AS824" s="370"/>
    </row>
    <row r="825">
      <c r="A825" s="395"/>
      <c r="B825" s="387"/>
      <c r="C825" s="181"/>
      <c r="D825" s="181"/>
      <c r="E825" s="181"/>
      <c r="F825" s="395"/>
      <c r="G825" s="387"/>
      <c r="H825" s="181"/>
      <c r="I825" s="181"/>
      <c r="J825" s="181"/>
      <c r="K825" s="88"/>
      <c r="L825" s="387"/>
      <c r="M825" s="181"/>
      <c r="N825" s="181"/>
      <c r="O825" s="181"/>
      <c r="P825" s="88"/>
      <c r="Q825" s="155"/>
      <c r="R825" s="181"/>
      <c r="S825" s="181"/>
      <c r="T825" s="181"/>
      <c r="U825" s="395"/>
      <c r="V825" s="387"/>
      <c r="W825" s="181"/>
      <c r="X825" s="181"/>
      <c r="Y825" s="181"/>
      <c r="Z825" s="395"/>
      <c r="AA825" s="387"/>
      <c r="AB825" s="181"/>
      <c r="AC825" s="181"/>
      <c r="AD825" s="181"/>
      <c r="AE825" s="395"/>
      <c r="AF825" s="387"/>
      <c r="AG825" s="181"/>
      <c r="AH825" s="181"/>
      <c r="AI825" s="181"/>
      <c r="AJ825" s="395"/>
      <c r="AK825" s="387"/>
      <c r="AL825" s="181"/>
      <c r="AM825" s="181"/>
      <c r="AN825" s="181"/>
      <c r="AO825" s="370"/>
      <c r="AP825" s="370"/>
      <c r="AQ825" s="370"/>
      <c r="AR825" s="370"/>
      <c r="AS825" s="370"/>
    </row>
    <row r="826">
      <c r="A826" s="395"/>
      <c r="B826" s="387"/>
      <c r="C826" s="181"/>
      <c r="D826" s="181"/>
      <c r="E826" s="181"/>
      <c r="F826" s="395"/>
      <c r="G826" s="387"/>
      <c r="H826" s="181"/>
      <c r="I826" s="181"/>
      <c r="J826" s="181"/>
      <c r="K826" s="88"/>
      <c r="L826" s="387"/>
      <c r="M826" s="181"/>
      <c r="N826" s="181"/>
      <c r="O826" s="181"/>
      <c r="P826" s="88"/>
      <c r="Q826" s="155"/>
      <c r="R826" s="181"/>
      <c r="S826" s="181"/>
      <c r="T826" s="181"/>
      <c r="U826" s="395"/>
      <c r="V826" s="387"/>
      <c r="W826" s="181"/>
      <c r="X826" s="181"/>
      <c r="Y826" s="181"/>
      <c r="Z826" s="395"/>
      <c r="AA826" s="387"/>
      <c r="AB826" s="181"/>
      <c r="AC826" s="181"/>
      <c r="AD826" s="181"/>
      <c r="AE826" s="395"/>
      <c r="AF826" s="387"/>
      <c r="AG826" s="181"/>
      <c r="AH826" s="181"/>
      <c r="AI826" s="181"/>
      <c r="AJ826" s="395"/>
      <c r="AK826" s="387"/>
      <c r="AL826" s="181"/>
      <c r="AM826" s="181"/>
      <c r="AN826" s="181"/>
      <c r="AO826" s="370"/>
      <c r="AP826" s="370"/>
      <c r="AQ826" s="370"/>
      <c r="AR826" s="370"/>
      <c r="AS826" s="370"/>
    </row>
    <row r="827">
      <c r="A827" s="395"/>
      <c r="B827" s="387"/>
      <c r="C827" s="181"/>
      <c r="D827" s="181"/>
      <c r="E827" s="181"/>
      <c r="F827" s="395"/>
      <c r="G827" s="387"/>
      <c r="H827" s="181"/>
      <c r="I827" s="181"/>
      <c r="J827" s="181"/>
      <c r="K827" s="88"/>
      <c r="L827" s="387"/>
      <c r="M827" s="181"/>
      <c r="N827" s="181"/>
      <c r="O827" s="181"/>
      <c r="P827" s="88"/>
      <c r="Q827" s="155"/>
      <c r="R827" s="181"/>
      <c r="S827" s="181"/>
      <c r="T827" s="181"/>
      <c r="U827" s="395"/>
      <c r="V827" s="387"/>
      <c r="W827" s="181"/>
      <c r="X827" s="181"/>
      <c r="Y827" s="181"/>
      <c r="Z827" s="395"/>
      <c r="AA827" s="387"/>
      <c r="AB827" s="181"/>
      <c r="AC827" s="181"/>
      <c r="AD827" s="181"/>
      <c r="AE827" s="395"/>
      <c r="AF827" s="387"/>
      <c r="AG827" s="181"/>
      <c r="AH827" s="181"/>
      <c r="AI827" s="181"/>
      <c r="AJ827" s="395"/>
      <c r="AK827" s="387"/>
      <c r="AL827" s="181"/>
      <c r="AM827" s="181"/>
      <c r="AN827" s="181"/>
      <c r="AO827" s="370"/>
      <c r="AP827" s="370"/>
      <c r="AQ827" s="370"/>
      <c r="AR827" s="370"/>
      <c r="AS827" s="370"/>
    </row>
    <row r="828">
      <c r="A828" s="395"/>
      <c r="B828" s="387"/>
      <c r="C828" s="181"/>
      <c r="D828" s="181"/>
      <c r="E828" s="181"/>
      <c r="F828" s="395"/>
      <c r="G828" s="387"/>
      <c r="H828" s="181"/>
      <c r="I828" s="181"/>
      <c r="J828" s="181"/>
      <c r="K828" s="88"/>
      <c r="L828" s="387"/>
      <c r="M828" s="181"/>
      <c r="N828" s="181"/>
      <c r="O828" s="181"/>
      <c r="P828" s="88"/>
      <c r="Q828" s="155"/>
      <c r="R828" s="181"/>
      <c r="S828" s="181"/>
      <c r="T828" s="181"/>
      <c r="U828" s="395"/>
      <c r="V828" s="387"/>
      <c r="W828" s="181"/>
      <c r="X828" s="181"/>
      <c r="Y828" s="181"/>
      <c r="Z828" s="395"/>
      <c r="AA828" s="387"/>
      <c r="AB828" s="181"/>
      <c r="AC828" s="181"/>
      <c r="AD828" s="181"/>
      <c r="AE828" s="395"/>
      <c r="AF828" s="387"/>
      <c r="AG828" s="181"/>
      <c r="AH828" s="181"/>
      <c r="AI828" s="181"/>
      <c r="AJ828" s="395"/>
      <c r="AK828" s="387"/>
      <c r="AL828" s="181"/>
      <c r="AM828" s="181"/>
      <c r="AN828" s="181"/>
      <c r="AO828" s="370"/>
      <c r="AP828" s="370"/>
      <c r="AQ828" s="370"/>
      <c r="AR828" s="370"/>
      <c r="AS828" s="370"/>
    </row>
    <row r="829">
      <c r="A829" s="395"/>
      <c r="B829" s="387"/>
      <c r="C829" s="181"/>
      <c r="D829" s="181"/>
      <c r="E829" s="181"/>
      <c r="F829" s="395"/>
      <c r="G829" s="387"/>
      <c r="H829" s="181"/>
      <c r="I829" s="181"/>
      <c r="J829" s="181"/>
      <c r="K829" s="88"/>
      <c r="L829" s="387"/>
      <c r="M829" s="181"/>
      <c r="N829" s="181"/>
      <c r="O829" s="181"/>
      <c r="P829" s="88"/>
      <c r="Q829" s="155"/>
      <c r="R829" s="181"/>
      <c r="S829" s="181"/>
      <c r="T829" s="181"/>
      <c r="U829" s="395"/>
      <c r="V829" s="387"/>
      <c r="W829" s="181"/>
      <c r="X829" s="181"/>
      <c r="Y829" s="181"/>
      <c r="Z829" s="395"/>
      <c r="AA829" s="387"/>
      <c r="AB829" s="181"/>
      <c r="AC829" s="181"/>
      <c r="AD829" s="181"/>
      <c r="AE829" s="395"/>
      <c r="AF829" s="387"/>
      <c r="AG829" s="181"/>
      <c r="AH829" s="181"/>
      <c r="AI829" s="181"/>
      <c r="AJ829" s="395"/>
      <c r="AK829" s="387"/>
      <c r="AL829" s="181"/>
      <c r="AM829" s="181"/>
      <c r="AN829" s="181"/>
      <c r="AO829" s="370"/>
      <c r="AP829" s="370"/>
      <c r="AQ829" s="370"/>
      <c r="AR829" s="370"/>
      <c r="AS829" s="370"/>
    </row>
    <row r="830">
      <c r="A830" s="395"/>
      <c r="B830" s="387"/>
      <c r="C830" s="181"/>
      <c r="D830" s="181"/>
      <c r="E830" s="181"/>
      <c r="F830" s="395"/>
      <c r="G830" s="387"/>
      <c r="H830" s="181"/>
      <c r="I830" s="181"/>
      <c r="J830" s="181"/>
      <c r="K830" s="88"/>
      <c r="L830" s="387"/>
      <c r="M830" s="181"/>
      <c r="N830" s="181"/>
      <c r="O830" s="181"/>
      <c r="P830" s="88"/>
      <c r="Q830" s="155"/>
      <c r="R830" s="181"/>
      <c r="S830" s="181"/>
      <c r="T830" s="181"/>
      <c r="U830" s="395"/>
      <c r="V830" s="387"/>
      <c r="W830" s="181"/>
      <c r="X830" s="181"/>
      <c r="Y830" s="181"/>
      <c r="Z830" s="395"/>
      <c r="AA830" s="387"/>
      <c r="AB830" s="181"/>
      <c r="AC830" s="181"/>
      <c r="AD830" s="181"/>
      <c r="AE830" s="395"/>
      <c r="AF830" s="387"/>
      <c r="AG830" s="181"/>
      <c r="AH830" s="181"/>
      <c r="AI830" s="181"/>
      <c r="AJ830" s="395"/>
      <c r="AK830" s="387"/>
      <c r="AL830" s="181"/>
      <c r="AM830" s="181"/>
      <c r="AN830" s="181"/>
      <c r="AO830" s="370"/>
      <c r="AP830" s="370"/>
      <c r="AQ830" s="370"/>
      <c r="AR830" s="370"/>
      <c r="AS830" s="370"/>
    </row>
    <row r="831">
      <c r="A831" s="395"/>
      <c r="B831" s="387"/>
      <c r="C831" s="181"/>
      <c r="D831" s="181"/>
      <c r="E831" s="181"/>
      <c r="F831" s="395"/>
      <c r="G831" s="387"/>
      <c r="H831" s="181"/>
      <c r="I831" s="181"/>
      <c r="J831" s="181"/>
      <c r="K831" s="88"/>
      <c r="L831" s="387"/>
      <c r="M831" s="181"/>
      <c r="N831" s="181"/>
      <c r="O831" s="181"/>
      <c r="P831" s="88"/>
      <c r="Q831" s="155"/>
      <c r="R831" s="181"/>
      <c r="S831" s="181"/>
      <c r="T831" s="181"/>
      <c r="U831" s="395"/>
      <c r="V831" s="387"/>
      <c r="W831" s="181"/>
      <c r="X831" s="181"/>
      <c r="Y831" s="181"/>
      <c r="Z831" s="395"/>
      <c r="AA831" s="387"/>
      <c r="AB831" s="181"/>
      <c r="AC831" s="181"/>
      <c r="AD831" s="181"/>
      <c r="AE831" s="395"/>
      <c r="AF831" s="387"/>
      <c r="AG831" s="181"/>
      <c r="AH831" s="181"/>
      <c r="AI831" s="181"/>
      <c r="AJ831" s="395"/>
      <c r="AK831" s="387"/>
      <c r="AL831" s="181"/>
      <c r="AM831" s="181"/>
      <c r="AN831" s="181"/>
      <c r="AO831" s="370"/>
      <c r="AP831" s="370"/>
      <c r="AQ831" s="370"/>
      <c r="AR831" s="370"/>
      <c r="AS831" s="370"/>
    </row>
    <row r="832">
      <c r="A832" s="395"/>
      <c r="B832" s="387"/>
      <c r="C832" s="181"/>
      <c r="D832" s="181"/>
      <c r="E832" s="181"/>
      <c r="F832" s="395"/>
      <c r="G832" s="387"/>
      <c r="H832" s="181"/>
      <c r="I832" s="181"/>
      <c r="J832" s="181"/>
      <c r="K832" s="88"/>
      <c r="L832" s="387"/>
      <c r="M832" s="181"/>
      <c r="N832" s="181"/>
      <c r="O832" s="181"/>
      <c r="P832" s="88"/>
      <c r="Q832" s="155"/>
      <c r="R832" s="181"/>
      <c r="S832" s="181"/>
      <c r="T832" s="181"/>
      <c r="U832" s="395"/>
      <c r="V832" s="387"/>
      <c r="W832" s="181"/>
      <c r="X832" s="181"/>
      <c r="Y832" s="181"/>
      <c r="Z832" s="395"/>
      <c r="AA832" s="387"/>
      <c r="AB832" s="181"/>
      <c r="AC832" s="181"/>
      <c r="AD832" s="181"/>
      <c r="AE832" s="395"/>
      <c r="AF832" s="387"/>
      <c r="AG832" s="181"/>
      <c r="AH832" s="181"/>
      <c r="AI832" s="181"/>
      <c r="AJ832" s="395"/>
      <c r="AK832" s="387"/>
      <c r="AL832" s="181"/>
      <c r="AM832" s="181"/>
      <c r="AN832" s="181"/>
      <c r="AO832" s="370"/>
      <c r="AP832" s="370"/>
      <c r="AQ832" s="370"/>
      <c r="AR832" s="370"/>
      <c r="AS832" s="370"/>
    </row>
    <row r="833">
      <c r="A833" s="395"/>
      <c r="B833" s="387"/>
      <c r="C833" s="181"/>
      <c r="D833" s="181"/>
      <c r="E833" s="181"/>
      <c r="F833" s="395"/>
      <c r="G833" s="387"/>
      <c r="H833" s="181"/>
      <c r="I833" s="181"/>
      <c r="J833" s="181"/>
      <c r="K833" s="88"/>
      <c r="L833" s="387"/>
      <c r="M833" s="181"/>
      <c r="N833" s="181"/>
      <c r="O833" s="181"/>
      <c r="P833" s="88"/>
      <c r="Q833" s="155"/>
      <c r="R833" s="181"/>
      <c r="S833" s="181"/>
      <c r="T833" s="181"/>
      <c r="U833" s="395"/>
      <c r="V833" s="387"/>
      <c r="W833" s="181"/>
      <c r="X833" s="181"/>
      <c r="Y833" s="181"/>
      <c r="Z833" s="395"/>
      <c r="AA833" s="387"/>
      <c r="AB833" s="181"/>
      <c r="AC833" s="181"/>
      <c r="AD833" s="181"/>
      <c r="AE833" s="395"/>
      <c r="AF833" s="387"/>
      <c r="AG833" s="181"/>
      <c r="AH833" s="181"/>
      <c r="AI833" s="181"/>
      <c r="AJ833" s="395"/>
      <c r="AK833" s="387"/>
      <c r="AL833" s="181"/>
      <c r="AM833" s="181"/>
      <c r="AN833" s="181"/>
      <c r="AO833" s="370"/>
      <c r="AP833" s="370"/>
      <c r="AQ833" s="370"/>
      <c r="AR833" s="370"/>
      <c r="AS833" s="370"/>
    </row>
    <row r="834">
      <c r="A834" s="395"/>
      <c r="B834" s="387"/>
      <c r="C834" s="181"/>
      <c r="D834" s="181"/>
      <c r="E834" s="181"/>
      <c r="F834" s="395"/>
      <c r="G834" s="387"/>
      <c r="H834" s="181"/>
      <c r="I834" s="181"/>
      <c r="J834" s="181"/>
      <c r="K834" s="88"/>
      <c r="L834" s="387"/>
      <c r="M834" s="181"/>
      <c r="N834" s="181"/>
      <c r="O834" s="181"/>
      <c r="P834" s="88"/>
      <c r="Q834" s="155"/>
      <c r="R834" s="181"/>
      <c r="S834" s="181"/>
      <c r="T834" s="181"/>
      <c r="U834" s="395"/>
      <c r="V834" s="387"/>
      <c r="W834" s="181"/>
      <c r="X834" s="181"/>
      <c r="Y834" s="181"/>
      <c r="Z834" s="395"/>
      <c r="AA834" s="387"/>
      <c r="AB834" s="181"/>
      <c r="AC834" s="181"/>
      <c r="AD834" s="181"/>
      <c r="AE834" s="395"/>
      <c r="AF834" s="387"/>
      <c r="AG834" s="181"/>
      <c r="AH834" s="181"/>
      <c r="AI834" s="181"/>
      <c r="AJ834" s="395"/>
      <c r="AK834" s="387"/>
      <c r="AL834" s="181"/>
      <c r="AM834" s="181"/>
      <c r="AN834" s="181"/>
      <c r="AO834" s="370"/>
      <c r="AP834" s="370"/>
      <c r="AQ834" s="370"/>
      <c r="AR834" s="370"/>
      <c r="AS834" s="370"/>
    </row>
    <row r="835">
      <c r="A835" s="395"/>
      <c r="B835" s="387"/>
      <c r="C835" s="181"/>
      <c r="D835" s="181"/>
      <c r="E835" s="181"/>
      <c r="F835" s="395"/>
      <c r="G835" s="387"/>
      <c r="H835" s="181"/>
      <c r="I835" s="181"/>
      <c r="J835" s="181"/>
      <c r="K835" s="88"/>
      <c r="L835" s="387"/>
      <c r="M835" s="181"/>
      <c r="N835" s="181"/>
      <c r="O835" s="181"/>
      <c r="P835" s="88"/>
      <c r="Q835" s="155"/>
      <c r="R835" s="181"/>
      <c r="S835" s="181"/>
      <c r="T835" s="181"/>
      <c r="U835" s="395"/>
      <c r="V835" s="387"/>
      <c r="W835" s="181"/>
      <c r="X835" s="181"/>
      <c r="Y835" s="181"/>
      <c r="Z835" s="395"/>
      <c r="AA835" s="387"/>
      <c r="AB835" s="181"/>
      <c r="AC835" s="181"/>
      <c r="AD835" s="181"/>
      <c r="AE835" s="395"/>
      <c r="AF835" s="387"/>
      <c r="AG835" s="181"/>
      <c r="AH835" s="181"/>
      <c r="AI835" s="181"/>
      <c r="AJ835" s="395"/>
      <c r="AK835" s="387"/>
      <c r="AL835" s="181"/>
      <c r="AM835" s="181"/>
      <c r="AN835" s="181"/>
      <c r="AO835" s="370"/>
      <c r="AP835" s="370"/>
      <c r="AQ835" s="370"/>
      <c r="AR835" s="370"/>
      <c r="AS835" s="370"/>
    </row>
    <row r="836">
      <c r="A836" s="395"/>
      <c r="B836" s="387"/>
      <c r="C836" s="181"/>
      <c r="D836" s="181"/>
      <c r="E836" s="181"/>
      <c r="F836" s="395"/>
      <c r="G836" s="387"/>
      <c r="H836" s="181"/>
      <c r="I836" s="181"/>
      <c r="J836" s="181"/>
      <c r="K836" s="88"/>
      <c r="L836" s="387"/>
      <c r="M836" s="181"/>
      <c r="N836" s="181"/>
      <c r="O836" s="181"/>
      <c r="P836" s="88"/>
      <c r="Q836" s="155"/>
      <c r="R836" s="181"/>
      <c r="S836" s="181"/>
      <c r="T836" s="181"/>
      <c r="U836" s="395"/>
      <c r="V836" s="387"/>
      <c r="W836" s="181"/>
      <c r="X836" s="181"/>
      <c r="Y836" s="181"/>
      <c r="Z836" s="395"/>
      <c r="AA836" s="387"/>
      <c r="AB836" s="181"/>
      <c r="AC836" s="181"/>
      <c r="AD836" s="181"/>
      <c r="AE836" s="395"/>
      <c r="AF836" s="387"/>
      <c r="AG836" s="181"/>
      <c r="AH836" s="181"/>
      <c r="AI836" s="181"/>
      <c r="AJ836" s="395"/>
      <c r="AK836" s="387"/>
      <c r="AL836" s="181"/>
      <c r="AM836" s="181"/>
      <c r="AN836" s="181"/>
      <c r="AO836" s="370"/>
      <c r="AP836" s="370"/>
      <c r="AQ836" s="370"/>
      <c r="AR836" s="370"/>
      <c r="AS836" s="370"/>
    </row>
    <row r="837">
      <c r="A837" s="395"/>
      <c r="B837" s="387"/>
      <c r="C837" s="181"/>
      <c r="D837" s="181"/>
      <c r="E837" s="181"/>
      <c r="F837" s="395"/>
      <c r="G837" s="387"/>
      <c r="H837" s="181"/>
      <c r="I837" s="181"/>
      <c r="J837" s="181"/>
      <c r="K837" s="88"/>
      <c r="L837" s="387"/>
      <c r="M837" s="181"/>
      <c r="N837" s="181"/>
      <c r="O837" s="181"/>
      <c r="P837" s="88"/>
      <c r="Q837" s="155"/>
      <c r="R837" s="181"/>
      <c r="S837" s="181"/>
      <c r="T837" s="181"/>
      <c r="U837" s="395"/>
      <c r="V837" s="387"/>
      <c r="W837" s="181"/>
      <c r="X837" s="181"/>
      <c r="Y837" s="181"/>
      <c r="Z837" s="395"/>
      <c r="AA837" s="387"/>
      <c r="AB837" s="181"/>
      <c r="AC837" s="181"/>
      <c r="AD837" s="181"/>
      <c r="AE837" s="395"/>
      <c r="AF837" s="387"/>
      <c r="AG837" s="181"/>
      <c r="AH837" s="181"/>
      <c r="AI837" s="181"/>
      <c r="AJ837" s="395"/>
      <c r="AK837" s="387"/>
      <c r="AL837" s="181"/>
      <c r="AM837" s="181"/>
      <c r="AN837" s="181"/>
      <c r="AO837" s="370"/>
      <c r="AP837" s="370"/>
      <c r="AQ837" s="370"/>
      <c r="AR837" s="370"/>
      <c r="AS837" s="370"/>
    </row>
    <row r="838">
      <c r="A838" s="395"/>
      <c r="B838" s="387"/>
      <c r="C838" s="181"/>
      <c r="D838" s="181"/>
      <c r="E838" s="181"/>
      <c r="F838" s="395"/>
      <c r="G838" s="387"/>
      <c r="H838" s="181"/>
      <c r="I838" s="181"/>
      <c r="J838" s="181"/>
      <c r="K838" s="88"/>
      <c r="L838" s="387"/>
      <c r="M838" s="181"/>
      <c r="N838" s="181"/>
      <c r="O838" s="181"/>
      <c r="P838" s="88"/>
      <c r="Q838" s="155"/>
      <c r="R838" s="181"/>
      <c r="S838" s="181"/>
      <c r="T838" s="181"/>
      <c r="U838" s="395"/>
      <c r="V838" s="387"/>
      <c r="W838" s="181"/>
      <c r="X838" s="181"/>
      <c r="Y838" s="181"/>
      <c r="Z838" s="395"/>
      <c r="AA838" s="387"/>
      <c r="AB838" s="181"/>
      <c r="AC838" s="181"/>
      <c r="AD838" s="181"/>
      <c r="AE838" s="395"/>
      <c r="AF838" s="387"/>
      <c r="AG838" s="181"/>
      <c r="AH838" s="181"/>
      <c r="AI838" s="181"/>
      <c r="AJ838" s="395"/>
      <c r="AK838" s="387"/>
      <c r="AL838" s="181"/>
      <c r="AM838" s="181"/>
      <c r="AN838" s="181"/>
      <c r="AO838" s="370"/>
      <c r="AP838" s="370"/>
      <c r="AQ838" s="370"/>
      <c r="AR838" s="370"/>
      <c r="AS838" s="370"/>
    </row>
    <row r="839">
      <c r="A839" s="395"/>
      <c r="B839" s="387"/>
      <c r="C839" s="181"/>
      <c r="D839" s="181"/>
      <c r="E839" s="181"/>
      <c r="F839" s="395"/>
      <c r="G839" s="387"/>
      <c r="H839" s="181"/>
      <c r="I839" s="181"/>
      <c r="J839" s="181"/>
      <c r="K839" s="88"/>
      <c r="L839" s="387"/>
      <c r="M839" s="181"/>
      <c r="N839" s="181"/>
      <c r="O839" s="181"/>
      <c r="P839" s="88"/>
      <c r="Q839" s="155"/>
      <c r="R839" s="181"/>
      <c r="S839" s="181"/>
      <c r="T839" s="181"/>
      <c r="U839" s="395"/>
      <c r="V839" s="387"/>
      <c r="W839" s="181"/>
      <c r="X839" s="181"/>
      <c r="Y839" s="181"/>
      <c r="Z839" s="395"/>
      <c r="AA839" s="387"/>
      <c r="AB839" s="181"/>
      <c r="AC839" s="181"/>
      <c r="AD839" s="181"/>
      <c r="AE839" s="395"/>
      <c r="AF839" s="387"/>
      <c r="AG839" s="181"/>
      <c r="AH839" s="181"/>
      <c r="AI839" s="181"/>
      <c r="AJ839" s="395"/>
      <c r="AK839" s="387"/>
      <c r="AL839" s="181"/>
      <c r="AM839" s="181"/>
      <c r="AN839" s="181"/>
      <c r="AO839" s="370"/>
      <c r="AP839" s="370"/>
      <c r="AQ839" s="370"/>
      <c r="AR839" s="370"/>
      <c r="AS839" s="370"/>
    </row>
    <row r="840">
      <c r="A840" s="395"/>
      <c r="B840" s="387"/>
      <c r="C840" s="181"/>
      <c r="D840" s="181"/>
      <c r="E840" s="181"/>
      <c r="F840" s="395"/>
      <c r="G840" s="387"/>
      <c r="H840" s="181"/>
      <c r="I840" s="181"/>
      <c r="J840" s="181"/>
      <c r="K840" s="88"/>
      <c r="L840" s="387"/>
      <c r="M840" s="181"/>
      <c r="N840" s="181"/>
      <c r="O840" s="181"/>
      <c r="P840" s="88"/>
      <c r="Q840" s="155"/>
      <c r="R840" s="181"/>
      <c r="S840" s="181"/>
      <c r="T840" s="181"/>
      <c r="U840" s="395"/>
      <c r="V840" s="387"/>
      <c r="W840" s="181"/>
      <c r="X840" s="181"/>
      <c r="Y840" s="181"/>
      <c r="Z840" s="395"/>
      <c r="AA840" s="387"/>
      <c r="AB840" s="181"/>
      <c r="AC840" s="181"/>
      <c r="AD840" s="181"/>
      <c r="AE840" s="395"/>
      <c r="AF840" s="387"/>
      <c r="AG840" s="181"/>
      <c r="AH840" s="181"/>
      <c r="AI840" s="181"/>
      <c r="AJ840" s="395"/>
      <c r="AK840" s="387"/>
      <c r="AL840" s="181"/>
      <c r="AM840" s="181"/>
      <c r="AN840" s="181"/>
      <c r="AO840" s="370"/>
      <c r="AP840" s="370"/>
      <c r="AQ840" s="370"/>
      <c r="AR840" s="370"/>
      <c r="AS840" s="370"/>
    </row>
    <row r="841">
      <c r="A841" s="395"/>
      <c r="B841" s="387"/>
      <c r="C841" s="181"/>
      <c r="D841" s="181"/>
      <c r="E841" s="181"/>
      <c r="F841" s="395"/>
      <c r="G841" s="387"/>
      <c r="H841" s="181"/>
      <c r="I841" s="181"/>
      <c r="J841" s="181"/>
      <c r="K841" s="88"/>
      <c r="L841" s="387"/>
      <c r="M841" s="181"/>
      <c r="N841" s="181"/>
      <c r="O841" s="181"/>
      <c r="P841" s="88"/>
      <c r="Q841" s="155"/>
      <c r="R841" s="181"/>
      <c r="S841" s="181"/>
      <c r="T841" s="181"/>
      <c r="U841" s="395"/>
      <c r="V841" s="387"/>
      <c r="W841" s="181"/>
      <c r="X841" s="181"/>
      <c r="Y841" s="181"/>
      <c r="Z841" s="395"/>
      <c r="AA841" s="387"/>
      <c r="AB841" s="181"/>
      <c r="AC841" s="181"/>
      <c r="AD841" s="181"/>
      <c r="AE841" s="395"/>
      <c r="AF841" s="387"/>
      <c r="AG841" s="181"/>
      <c r="AH841" s="181"/>
      <c r="AI841" s="181"/>
      <c r="AJ841" s="395"/>
      <c r="AK841" s="387"/>
      <c r="AL841" s="181"/>
      <c r="AM841" s="181"/>
      <c r="AN841" s="181"/>
      <c r="AO841" s="370"/>
      <c r="AP841" s="370"/>
      <c r="AQ841" s="370"/>
      <c r="AR841" s="370"/>
      <c r="AS841" s="370"/>
    </row>
    <row r="842">
      <c r="A842" s="395"/>
      <c r="B842" s="387"/>
      <c r="C842" s="181"/>
      <c r="D842" s="181"/>
      <c r="E842" s="181"/>
      <c r="F842" s="395"/>
      <c r="G842" s="387"/>
      <c r="H842" s="181"/>
      <c r="I842" s="181"/>
      <c r="J842" s="181"/>
      <c r="K842" s="88"/>
      <c r="L842" s="387"/>
      <c r="M842" s="181"/>
      <c r="N842" s="181"/>
      <c r="O842" s="181"/>
      <c r="P842" s="88"/>
      <c r="Q842" s="155"/>
      <c r="R842" s="181"/>
      <c r="S842" s="181"/>
      <c r="T842" s="181"/>
      <c r="U842" s="395"/>
      <c r="V842" s="387"/>
      <c r="W842" s="181"/>
      <c r="X842" s="181"/>
      <c r="Y842" s="181"/>
      <c r="Z842" s="395"/>
      <c r="AA842" s="387"/>
      <c r="AB842" s="181"/>
      <c r="AC842" s="181"/>
      <c r="AD842" s="181"/>
      <c r="AE842" s="395"/>
      <c r="AF842" s="387"/>
      <c r="AG842" s="181"/>
      <c r="AH842" s="181"/>
      <c r="AI842" s="181"/>
      <c r="AJ842" s="395"/>
      <c r="AK842" s="387"/>
      <c r="AL842" s="181"/>
      <c r="AM842" s="181"/>
      <c r="AN842" s="181"/>
      <c r="AO842" s="370"/>
      <c r="AP842" s="370"/>
      <c r="AQ842" s="370"/>
      <c r="AR842" s="370"/>
      <c r="AS842" s="370"/>
    </row>
    <row r="843">
      <c r="A843" s="395"/>
      <c r="B843" s="387"/>
      <c r="C843" s="181"/>
      <c r="D843" s="181"/>
      <c r="E843" s="181"/>
      <c r="F843" s="395"/>
      <c r="G843" s="387"/>
      <c r="H843" s="181"/>
      <c r="I843" s="181"/>
      <c r="J843" s="181"/>
      <c r="K843" s="88"/>
      <c r="L843" s="387"/>
      <c r="M843" s="181"/>
      <c r="N843" s="181"/>
      <c r="O843" s="181"/>
      <c r="P843" s="88"/>
      <c r="Q843" s="155"/>
      <c r="R843" s="181"/>
      <c r="S843" s="181"/>
      <c r="T843" s="181"/>
      <c r="U843" s="395"/>
      <c r="V843" s="387"/>
      <c r="W843" s="181"/>
      <c r="X843" s="181"/>
      <c r="Y843" s="181"/>
      <c r="Z843" s="395"/>
      <c r="AA843" s="387"/>
      <c r="AB843" s="181"/>
      <c r="AC843" s="181"/>
      <c r="AD843" s="181"/>
      <c r="AE843" s="395"/>
      <c r="AF843" s="387"/>
      <c r="AG843" s="181"/>
      <c r="AH843" s="181"/>
      <c r="AI843" s="181"/>
      <c r="AJ843" s="395"/>
      <c r="AK843" s="387"/>
      <c r="AL843" s="181"/>
      <c r="AM843" s="181"/>
      <c r="AN843" s="181"/>
      <c r="AO843" s="370"/>
      <c r="AP843" s="370"/>
      <c r="AQ843" s="370"/>
      <c r="AR843" s="370"/>
      <c r="AS843" s="370"/>
    </row>
    <row r="844">
      <c r="A844" s="395"/>
      <c r="B844" s="387"/>
      <c r="C844" s="181"/>
      <c r="D844" s="181"/>
      <c r="E844" s="181"/>
      <c r="F844" s="395"/>
      <c r="G844" s="387"/>
      <c r="H844" s="181"/>
      <c r="I844" s="181"/>
      <c r="J844" s="181"/>
      <c r="K844" s="88"/>
      <c r="L844" s="387"/>
      <c r="M844" s="181"/>
      <c r="N844" s="181"/>
      <c r="O844" s="181"/>
      <c r="P844" s="88"/>
      <c r="Q844" s="155"/>
      <c r="R844" s="181"/>
      <c r="S844" s="181"/>
      <c r="T844" s="181"/>
      <c r="U844" s="395"/>
      <c r="V844" s="387"/>
      <c r="W844" s="181"/>
      <c r="X844" s="181"/>
      <c r="Y844" s="181"/>
      <c r="Z844" s="395"/>
      <c r="AA844" s="387"/>
      <c r="AB844" s="181"/>
      <c r="AC844" s="181"/>
      <c r="AD844" s="181"/>
      <c r="AE844" s="395"/>
      <c r="AF844" s="387"/>
      <c r="AG844" s="181"/>
      <c r="AH844" s="181"/>
      <c r="AI844" s="181"/>
      <c r="AJ844" s="395"/>
      <c r="AK844" s="387"/>
      <c r="AL844" s="181"/>
      <c r="AM844" s="181"/>
      <c r="AN844" s="181"/>
      <c r="AO844" s="370"/>
      <c r="AP844" s="370"/>
      <c r="AQ844" s="370"/>
      <c r="AR844" s="370"/>
      <c r="AS844" s="370"/>
    </row>
    <row r="845">
      <c r="A845" s="395"/>
      <c r="B845" s="387"/>
      <c r="C845" s="181"/>
      <c r="D845" s="181"/>
      <c r="E845" s="181"/>
      <c r="F845" s="395"/>
      <c r="G845" s="387"/>
      <c r="H845" s="181"/>
      <c r="I845" s="181"/>
      <c r="J845" s="181"/>
      <c r="K845" s="88"/>
      <c r="L845" s="387"/>
      <c r="M845" s="181"/>
      <c r="N845" s="181"/>
      <c r="O845" s="181"/>
      <c r="P845" s="88"/>
      <c r="Q845" s="155"/>
      <c r="R845" s="181"/>
      <c r="S845" s="181"/>
      <c r="T845" s="181"/>
      <c r="U845" s="395"/>
      <c r="V845" s="387"/>
      <c r="W845" s="181"/>
      <c r="X845" s="181"/>
      <c r="Y845" s="181"/>
      <c r="Z845" s="395"/>
      <c r="AA845" s="387"/>
      <c r="AB845" s="181"/>
      <c r="AC845" s="181"/>
      <c r="AD845" s="181"/>
      <c r="AE845" s="395"/>
      <c r="AF845" s="387"/>
      <c r="AG845" s="181"/>
      <c r="AH845" s="181"/>
      <c r="AI845" s="181"/>
      <c r="AJ845" s="395"/>
      <c r="AK845" s="387"/>
      <c r="AL845" s="181"/>
      <c r="AM845" s="181"/>
      <c r="AN845" s="181"/>
      <c r="AO845" s="370"/>
      <c r="AP845" s="370"/>
      <c r="AQ845" s="370"/>
      <c r="AR845" s="370"/>
      <c r="AS845" s="370"/>
    </row>
    <row r="846">
      <c r="A846" s="395"/>
      <c r="B846" s="387"/>
      <c r="C846" s="181"/>
      <c r="D846" s="181"/>
      <c r="E846" s="181"/>
      <c r="F846" s="395"/>
      <c r="G846" s="387"/>
      <c r="H846" s="181"/>
      <c r="I846" s="181"/>
      <c r="J846" s="181"/>
      <c r="K846" s="88"/>
      <c r="L846" s="387"/>
      <c r="M846" s="181"/>
      <c r="N846" s="181"/>
      <c r="O846" s="181"/>
      <c r="P846" s="88"/>
      <c r="Q846" s="155"/>
      <c r="R846" s="181"/>
      <c r="S846" s="181"/>
      <c r="T846" s="181"/>
      <c r="U846" s="395"/>
      <c r="V846" s="387"/>
      <c r="W846" s="181"/>
      <c r="X846" s="181"/>
      <c r="Y846" s="181"/>
      <c r="Z846" s="395"/>
      <c r="AA846" s="387"/>
      <c r="AB846" s="181"/>
      <c r="AC846" s="181"/>
      <c r="AD846" s="181"/>
      <c r="AE846" s="395"/>
      <c r="AF846" s="387"/>
      <c r="AG846" s="181"/>
      <c r="AH846" s="181"/>
      <c r="AI846" s="181"/>
      <c r="AJ846" s="395"/>
      <c r="AK846" s="387"/>
      <c r="AL846" s="181"/>
      <c r="AM846" s="181"/>
      <c r="AN846" s="181"/>
      <c r="AO846" s="370"/>
      <c r="AP846" s="370"/>
      <c r="AQ846" s="370"/>
      <c r="AR846" s="370"/>
      <c r="AS846" s="370"/>
    </row>
    <row r="847">
      <c r="A847" s="395"/>
      <c r="B847" s="387"/>
      <c r="C847" s="181"/>
      <c r="D847" s="181"/>
      <c r="E847" s="181"/>
      <c r="F847" s="395"/>
      <c r="G847" s="387"/>
      <c r="H847" s="181"/>
      <c r="I847" s="181"/>
      <c r="J847" s="181"/>
      <c r="K847" s="88"/>
      <c r="L847" s="387"/>
      <c r="M847" s="181"/>
      <c r="N847" s="181"/>
      <c r="O847" s="181"/>
      <c r="P847" s="88"/>
      <c r="Q847" s="155"/>
      <c r="R847" s="181"/>
      <c r="S847" s="181"/>
      <c r="T847" s="181"/>
      <c r="U847" s="395"/>
      <c r="V847" s="387"/>
      <c r="W847" s="181"/>
      <c r="X847" s="181"/>
      <c r="Y847" s="181"/>
      <c r="Z847" s="395"/>
      <c r="AA847" s="387"/>
      <c r="AB847" s="181"/>
      <c r="AC847" s="181"/>
      <c r="AD847" s="181"/>
      <c r="AE847" s="395"/>
      <c r="AF847" s="387"/>
      <c r="AG847" s="181"/>
      <c r="AH847" s="181"/>
      <c r="AI847" s="181"/>
      <c r="AJ847" s="395"/>
      <c r="AK847" s="387"/>
      <c r="AL847" s="181"/>
      <c r="AM847" s="181"/>
      <c r="AN847" s="181"/>
      <c r="AO847" s="370"/>
      <c r="AP847" s="370"/>
      <c r="AQ847" s="370"/>
      <c r="AR847" s="370"/>
      <c r="AS847" s="370"/>
    </row>
    <row r="848">
      <c r="A848" s="395"/>
      <c r="B848" s="387"/>
      <c r="C848" s="181"/>
      <c r="D848" s="181"/>
      <c r="E848" s="181"/>
      <c r="F848" s="395"/>
      <c r="G848" s="387"/>
      <c r="H848" s="181"/>
      <c r="I848" s="181"/>
      <c r="J848" s="181"/>
      <c r="K848" s="88"/>
      <c r="L848" s="387"/>
      <c r="M848" s="181"/>
      <c r="N848" s="181"/>
      <c r="O848" s="181"/>
      <c r="P848" s="88"/>
      <c r="Q848" s="155"/>
      <c r="R848" s="181"/>
      <c r="S848" s="181"/>
      <c r="T848" s="181"/>
      <c r="U848" s="395"/>
      <c r="V848" s="387"/>
      <c r="W848" s="181"/>
      <c r="X848" s="181"/>
      <c r="Y848" s="181"/>
      <c r="Z848" s="395"/>
      <c r="AA848" s="387"/>
      <c r="AB848" s="181"/>
      <c r="AC848" s="181"/>
      <c r="AD848" s="181"/>
      <c r="AE848" s="395"/>
      <c r="AF848" s="387"/>
      <c r="AG848" s="181"/>
      <c r="AH848" s="181"/>
      <c r="AI848" s="181"/>
      <c r="AJ848" s="395"/>
      <c r="AK848" s="387"/>
      <c r="AL848" s="181"/>
      <c r="AM848" s="181"/>
      <c r="AN848" s="181"/>
      <c r="AO848" s="370"/>
      <c r="AP848" s="370"/>
      <c r="AQ848" s="370"/>
      <c r="AR848" s="370"/>
      <c r="AS848" s="370"/>
    </row>
    <row r="849">
      <c r="A849" s="395"/>
      <c r="B849" s="387"/>
      <c r="C849" s="181"/>
      <c r="D849" s="181"/>
      <c r="E849" s="181"/>
      <c r="F849" s="395"/>
      <c r="G849" s="387"/>
      <c r="H849" s="181"/>
      <c r="I849" s="181"/>
      <c r="J849" s="181"/>
      <c r="K849" s="88"/>
      <c r="L849" s="387"/>
      <c r="M849" s="181"/>
      <c r="N849" s="181"/>
      <c r="O849" s="181"/>
      <c r="P849" s="88"/>
      <c r="Q849" s="155"/>
      <c r="R849" s="181"/>
      <c r="S849" s="181"/>
      <c r="T849" s="181"/>
      <c r="U849" s="395"/>
      <c r="V849" s="387"/>
      <c r="W849" s="181"/>
      <c r="X849" s="181"/>
      <c r="Y849" s="181"/>
      <c r="Z849" s="395"/>
      <c r="AA849" s="387"/>
      <c r="AB849" s="181"/>
      <c r="AC849" s="181"/>
      <c r="AD849" s="181"/>
      <c r="AE849" s="395"/>
      <c r="AF849" s="387"/>
      <c r="AG849" s="181"/>
      <c r="AH849" s="181"/>
      <c r="AI849" s="181"/>
      <c r="AJ849" s="395"/>
      <c r="AK849" s="387"/>
      <c r="AL849" s="181"/>
      <c r="AM849" s="181"/>
      <c r="AN849" s="181"/>
      <c r="AO849" s="370"/>
      <c r="AP849" s="370"/>
      <c r="AQ849" s="370"/>
      <c r="AR849" s="370"/>
      <c r="AS849" s="370"/>
    </row>
    <row r="850">
      <c r="A850" s="395"/>
      <c r="B850" s="387"/>
      <c r="C850" s="181"/>
      <c r="D850" s="181"/>
      <c r="E850" s="181"/>
      <c r="F850" s="395"/>
      <c r="G850" s="387"/>
      <c r="H850" s="181"/>
      <c r="I850" s="181"/>
      <c r="J850" s="181"/>
      <c r="K850" s="88"/>
      <c r="L850" s="387"/>
      <c r="M850" s="181"/>
      <c r="N850" s="181"/>
      <c r="O850" s="181"/>
      <c r="P850" s="88"/>
      <c r="Q850" s="155"/>
      <c r="R850" s="181"/>
      <c r="S850" s="181"/>
      <c r="T850" s="181"/>
      <c r="U850" s="395"/>
      <c r="V850" s="387"/>
      <c r="W850" s="181"/>
      <c r="X850" s="181"/>
      <c r="Y850" s="181"/>
      <c r="Z850" s="395"/>
      <c r="AA850" s="387"/>
      <c r="AB850" s="181"/>
      <c r="AC850" s="181"/>
      <c r="AD850" s="181"/>
      <c r="AE850" s="395"/>
      <c r="AF850" s="387"/>
      <c r="AG850" s="181"/>
      <c r="AH850" s="181"/>
      <c r="AI850" s="181"/>
      <c r="AJ850" s="395"/>
      <c r="AK850" s="387"/>
      <c r="AL850" s="181"/>
      <c r="AM850" s="181"/>
      <c r="AN850" s="181"/>
      <c r="AO850" s="370"/>
      <c r="AP850" s="370"/>
      <c r="AQ850" s="370"/>
      <c r="AR850" s="370"/>
      <c r="AS850" s="370"/>
    </row>
    <row r="851">
      <c r="A851" s="395"/>
      <c r="B851" s="387"/>
      <c r="C851" s="181"/>
      <c r="D851" s="181"/>
      <c r="E851" s="181"/>
      <c r="F851" s="395"/>
      <c r="G851" s="387"/>
      <c r="H851" s="181"/>
      <c r="I851" s="181"/>
      <c r="J851" s="181"/>
      <c r="K851" s="88"/>
      <c r="L851" s="387"/>
      <c r="M851" s="181"/>
      <c r="N851" s="181"/>
      <c r="O851" s="181"/>
      <c r="P851" s="88"/>
      <c r="Q851" s="155"/>
      <c r="R851" s="181"/>
      <c r="S851" s="181"/>
      <c r="T851" s="181"/>
      <c r="U851" s="395"/>
      <c r="V851" s="387"/>
      <c r="W851" s="181"/>
      <c r="X851" s="181"/>
      <c r="Y851" s="181"/>
      <c r="Z851" s="395"/>
      <c r="AA851" s="387"/>
      <c r="AB851" s="181"/>
      <c r="AC851" s="181"/>
      <c r="AD851" s="181"/>
      <c r="AE851" s="395"/>
      <c r="AF851" s="387"/>
      <c r="AG851" s="181"/>
      <c r="AH851" s="181"/>
      <c r="AI851" s="181"/>
      <c r="AJ851" s="395"/>
      <c r="AK851" s="387"/>
      <c r="AL851" s="181"/>
      <c r="AM851" s="181"/>
      <c r="AN851" s="181"/>
      <c r="AO851" s="370"/>
      <c r="AP851" s="370"/>
      <c r="AQ851" s="370"/>
      <c r="AR851" s="370"/>
      <c r="AS851" s="370"/>
    </row>
    <row r="852">
      <c r="A852" s="395"/>
      <c r="B852" s="387"/>
      <c r="C852" s="181"/>
      <c r="D852" s="181"/>
      <c r="E852" s="181"/>
      <c r="F852" s="395"/>
      <c r="G852" s="387"/>
      <c r="H852" s="181"/>
      <c r="I852" s="181"/>
      <c r="J852" s="181"/>
      <c r="K852" s="88"/>
      <c r="L852" s="387"/>
      <c r="M852" s="181"/>
      <c r="N852" s="181"/>
      <c r="O852" s="181"/>
      <c r="P852" s="88"/>
      <c r="Q852" s="155"/>
      <c r="R852" s="181"/>
      <c r="S852" s="181"/>
      <c r="T852" s="181"/>
      <c r="U852" s="395"/>
      <c r="V852" s="387"/>
      <c r="W852" s="181"/>
      <c r="X852" s="181"/>
      <c r="Y852" s="181"/>
      <c r="Z852" s="395"/>
      <c r="AA852" s="387"/>
      <c r="AB852" s="181"/>
      <c r="AC852" s="181"/>
      <c r="AD852" s="181"/>
      <c r="AE852" s="395"/>
      <c r="AF852" s="387"/>
      <c r="AG852" s="181"/>
      <c r="AH852" s="181"/>
      <c r="AI852" s="181"/>
      <c r="AJ852" s="395"/>
      <c r="AK852" s="387"/>
      <c r="AL852" s="181"/>
      <c r="AM852" s="181"/>
      <c r="AN852" s="181"/>
      <c r="AO852" s="370"/>
      <c r="AP852" s="370"/>
      <c r="AQ852" s="370"/>
      <c r="AR852" s="370"/>
      <c r="AS852" s="370"/>
    </row>
    <row r="853">
      <c r="A853" s="395"/>
      <c r="B853" s="387"/>
      <c r="C853" s="181"/>
      <c r="D853" s="181"/>
      <c r="E853" s="181"/>
      <c r="F853" s="395"/>
      <c r="G853" s="387"/>
      <c r="H853" s="181"/>
      <c r="I853" s="181"/>
      <c r="J853" s="181"/>
      <c r="K853" s="88"/>
      <c r="L853" s="387"/>
      <c r="M853" s="181"/>
      <c r="N853" s="181"/>
      <c r="O853" s="181"/>
      <c r="P853" s="88"/>
      <c r="Q853" s="155"/>
      <c r="R853" s="181"/>
      <c r="S853" s="181"/>
      <c r="T853" s="181"/>
      <c r="U853" s="395"/>
      <c r="V853" s="387"/>
      <c r="W853" s="181"/>
      <c r="X853" s="181"/>
      <c r="Y853" s="181"/>
      <c r="Z853" s="395"/>
      <c r="AA853" s="387"/>
      <c r="AB853" s="181"/>
      <c r="AC853" s="181"/>
      <c r="AD853" s="181"/>
      <c r="AE853" s="395"/>
      <c r="AF853" s="387"/>
      <c r="AG853" s="181"/>
      <c r="AH853" s="181"/>
      <c r="AI853" s="181"/>
      <c r="AJ853" s="395"/>
      <c r="AK853" s="387"/>
      <c r="AL853" s="181"/>
      <c r="AM853" s="181"/>
      <c r="AN853" s="181"/>
      <c r="AO853" s="370"/>
      <c r="AP853" s="370"/>
      <c r="AQ853" s="370"/>
      <c r="AR853" s="370"/>
      <c r="AS853" s="370"/>
    </row>
    <row r="854">
      <c r="A854" s="395"/>
      <c r="B854" s="387"/>
      <c r="C854" s="181"/>
      <c r="D854" s="181"/>
      <c r="E854" s="181"/>
      <c r="F854" s="395"/>
      <c r="G854" s="387"/>
      <c r="H854" s="181"/>
      <c r="I854" s="181"/>
      <c r="J854" s="181"/>
      <c r="K854" s="88"/>
      <c r="L854" s="387"/>
      <c r="M854" s="181"/>
      <c r="N854" s="181"/>
      <c r="O854" s="181"/>
      <c r="P854" s="88"/>
      <c r="Q854" s="155"/>
      <c r="R854" s="181"/>
      <c r="S854" s="181"/>
      <c r="T854" s="181"/>
      <c r="U854" s="395"/>
      <c r="V854" s="387"/>
      <c r="W854" s="181"/>
      <c r="X854" s="181"/>
      <c r="Y854" s="181"/>
      <c r="Z854" s="395"/>
      <c r="AA854" s="387"/>
      <c r="AB854" s="181"/>
      <c r="AC854" s="181"/>
      <c r="AD854" s="181"/>
      <c r="AE854" s="395"/>
      <c r="AF854" s="387"/>
      <c r="AG854" s="181"/>
      <c r="AH854" s="181"/>
      <c r="AI854" s="181"/>
      <c r="AJ854" s="395"/>
      <c r="AK854" s="387"/>
      <c r="AL854" s="181"/>
      <c r="AM854" s="181"/>
      <c r="AN854" s="181"/>
      <c r="AO854" s="370"/>
      <c r="AP854" s="370"/>
      <c r="AQ854" s="370"/>
      <c r="AR854" s="370"/>
      <c r="AS854" s="370"/>
    </row>
    <row r="855">
      <c r="A855" s="395"/>
      <c r="B855" s="387"/>
      <c r="C855" s="181"/>
      <c r="D855" s="181"/>
      <c r="E855" s="181"/>
      <c r="F855" s="395"/>
      <c r="G855" s="387"/>
      <c r="H855" s="181"/>
      <c r="I855" s="181"/>
      <c r="J855" s="181"/>
      <c r="K855" s="88"/>
      <c r="L855" s="387"/>
      <c r="M855" s="181"/>
      <c r="N855" s="181"/>
      <c r="O855" s="181"/>
      <c r="P855" s="88"/>
      <c r="Q855" s="155"/>
      <c r="R855" s="181"/>
      <c r="S855" s="181"/>
      <c r="T855" s="181"/>
      <c r="U855" s="395"/>
      <c r="V855" s="387"/>
      <c r="W855" s="181"/>
      <c r="X855" s="181"/>
      <c r="Y855" s="181"/>
      <c r="Z855" s="395"/>
      <c r="AA855" s="387"/>
      <c r="AB855" s="181"/>
      <c r="AC855" s="181"/>
      <c r="AD855" s="181"/>
      <c r="AE855" s="395"/>
      <c r="AF855" s="387"/>
      <c r="AG855" s="181"/>
      <c r="AH855" s="181"/>
      <c r="AI855" s="181"/>
      <c r="AJ855" s="395"/>
      <c r="AK855" s="387"/>
      <c r="AL855" s="181"/>
      <c r="AM855" s="181"/>
      <c r="AN855" s="181"/>
      <c r="AO855" s="370"/>
      <c r="AP855" s="370"/>
      <c r="AQ855" s="370"/>
      <c r="AR855" s="370"/>
      <c r="AS855" s="370"/>
    </row>
    <row r="856">
      <c r="A856" s="395"/>
      <c r="B856" s="387"/>
      <c r="C856" s="181"/>
      <c r="D856" s="181"/>
      <c r="E856" s="181"/>
      <c r="F856" s="395"/>
      <c r="G856" s="387"/>
      <c r="H856" s="181"/>
      <c r="I856" s="181"/>
      <c r="J856" s="181"/>
      <c r="K856" s="88"/>
      <c r="L856" s="387"/>
      <c r="M856" s="181"/>
      <c r="N856" s="181"/>
      <c r="O856" s="181"/>
      <c r="P856" s="88"/>
      <c r="Q856" s="155"/>
      <c r="R856" s="181"/>
      <c r="S856" s="181"/>
      <c r="T856" s="181"/>
      <c r="U856" s="395"/>
      <c r="V856" s="387"/>
      <c r="W856" s="181"/>
      <c r="X856" s="181"/>
      <c r="Y856" s="181"/>
      <c r="Z856" s="395"/>
      <c r="AA856" s="387"/>
      <c r="AB856" s="181"/>
      <c r="AC856" s="181"/>
      <c r="AD856" s="181"/>
      <c r="AE856" s="395"/>
      <c r="AF856" s="387"/>
      <c r="AG856" s="181"/>
      <c r="AH856" s="181"/>
      <c r="AI856" s="181"/>
      <c r="AJ856" s="395"/>
      <c r="AK856" s="387"/>
      <c r="AL856" s="181"/>
      <c r="AM856" s="181"/>
      <c r="AN856" s="181"/>
      <c r="AO856" s="370"/>
      <c r="AP856" s="370"/>
      <c r="AQ856" s="370"/>
      <c r="AR856" s="370"/>
      <c r="AS856" s="370"/>
    </row>
    <row r="857">
      <c r="A857" s="395"/>
      <c r="B857" s="387"/>
      <c r="C857" s="181"/>
      <c r="D857" s="181"/>
      <c r="E857" s="181"/>
      <c r="F857" s="395"/>
      <c r="G857" s="387"/>
      <c r="H857" s="181"/>
      <c r="I857" s="181"/>
      <c r="J857" s="181"/>
      <c r="K857" s="88"/>
      <c r="L857" s="387"/>
      <c r="M857" s="181"/>
      <c r="N857" s="181"/>
      <c r="O857" s="181"/>
      <c r="P857" s="88"/>
      <c r="Q857" s="155"/>
      <c r="R857" s="181"/>
      <c r="S857" s="181"/>
      <c r="T857" s="181"/>
      <c r="U857" s="395"/>
      <c r="V857" s="387"/>
      <c r="W857" s="181"/>
      <c r="X857" s="181"/>
      <c r="Y857" s="181"/>
      <c r="Z857" s="395"/>
      <c r="AA857" s="387"/>
      <c r="AB857" s="181"/>
      <c r="AC857" s="181"/>
      <c r="AD857" s="181"/>
      <c r="AE857" s="395"/>
      <c r="AF857" s="387"/>
      <c r="AG857" s="181"/>
      <c r="AH857" s="181"/>
      <c r="AI857" s="181"/>
      <c r="AJ857" s="395"/>
      <c r="AK857" s="387"/>
      <c r="AL857" s="181"/>
      <c r="AM857" s="181"/>
      <c r="AN857" s="181"/>
      <c r="AO857" s="370"/>
      <c r="AP857" s="370"/>
      <c r="AQ857" s="370"/>
      <c r="AR857" s="370"/>
      <c r="AS857" s="370"/>
    </row>
    <row r="858">
      <c r="A858" s="395"/>
      <c r="B858" s="387"/>
      <c r="C858" s="181"/>
      <c r="D858" s="181"/>
      <c r="E858" s="181"/>
      <c r="F858" s="395"/>
      <c r="G858" s="387"/>
      <c r="H858" s="181"/>
      <c r="I858" s="181"/>
      <c r="J858" s="181"/>
      <c r="K858" s="88"/>
      <c r="L858" s="387"/>
      <c r="M858" s="181"/>
      <c r="N858" s="181"/>
      <c r="O858" s="181"/>
      <c r="P858" s="88"/>
      <c r="Q858" s="155"/>
      <c r="R858" s="181"/>
      <c r="S858" s="181"/>
      <c r="T858" s="181"/>
      <c r="U858" s="395"/>
      <c r="V858" s="387"/>
      <c r="W858" s="181"/>
      <c r="X858" s="181"/>
      <c r="Y858" s="181"/>
      <c r="Z858" s="395"/>
      <c r="AA858" s="387"/>
      <c r="AB858" s="181"/>
      <c r="AC858" s="181"/>
      <c r="AD858" s="181"/>
      <c r="AE858" s="395"/>
      <c r="AF858" s="387"/>
      <c r="AG858" s="181"/>
      <c r="AH858" s="181"/>
      <c r="AI858" s="181"/>
      <c r="AJ858" s="395"/>
      <c r="AK858" s="387"/>
      <c r="AL858" s="181"/>
      <c r="AM858" s="181"/>
      <c r="AN858" s="181"/>
      <c r="AO858" s="370"/>
      <c r="AP858" s="370"/>
      <c r="AQ858" s="370"/>
      <c r="AR858" s="370"/>
      <c r="AS858" s="370"/>
    </row>
    <row r="859">
      <c r="A859" s="395"/>
      <c r="B859" s="387"/>
      <c r="C859" s="181"/>
      <c r="D859" s="181"/>
      <c r="E859" s="181"/>
      <c r="F859" s="395"/>
      <c r="G859" s="387"/>
      <c r="H859" s="181"/>
      <c r="I859" s="181"/>
      <c r="J859" s="181"/>
      <c r="K859" s="88"/>
      <c r="L859" s="387"/>
      <c r="M859" s="181"/>
      <c r="N859" s="181"/>
      <c r="O859" s="181"/>
      <c r="P859" s="88"/>
      <c r="Q859" s="155"/>
      <c r="R859" s="181"/>
      <c r="S859" s="181"/>
      <c r="T859" s="181"/>
      <c r="U859" s="395"/>
      <c r="V859" s="387"/>
      <c r="W859" s="181"/>
      <c r="X859" s="181"/>
      <c r="Y859" s="181"/>
      <c r="Z859" s="395"/>
      <c r="AA859" s="387"/>
      <c r="AB859" s="181"/>
      <c r="AC859" s="181"/>
      <c r="AD859" s="181"/>
      <c r="AE859" s="395"/>
      <c r="AF859" s="387"/>
      <c r="AG859" s="181"/>
      <c r="AH859" s="181"/>
      <c r="AI859" s="181"/>
      <c r="AJ859" s="395"/>
      <c r="AK859" s="387"/>
      <c r="AL859" s="181"/>
      <c r="AM859" s="181"/>
      <c r="AN859" s="181"/>
      <c r="AO859" s="370"/>
      <c r="AP859" s="370"/>
      <c r="AQ859" s="370"/>
      <c r="AR859" s="370"/>
      <c r="AS859" s="370"/>
    </row>
    <row r="860">
      <c r="A860" s="395"/>
      <c r="B860" s="387"/>
      <c r="C860" s="181"/>
      <c r="D860" s="181"/>
      <c r="E860" s="181"/>
      <c r="F860" s="395"/>
      <c r="G860" s="387"/>
      <c r="H860" s="181"/>
      <c r="I860" s="181"/>
      <c r="J860" s="181"/>
      <c r="K860" s="88"/>
      <c r="L860" s="387"/>
      <c r="M860" s="181"/>
      <c r="N860" s="181"/>
      <c r="O860" s="181"/>
      <c r="P860" s="88"/>
      <c r="Q860" s="155"/>
      <c r="R860" s="181"/>
      <c r="S860" s="181"/>
      <c r="T860" s="181"/>
      <c r="U860" s="395"/>
      <c r="V860" s="387"/>
      <c r="W860" s="181"/>
      <c r="X860" s="181"/>
      <c r="Y860" s="181"/>
      <c r="Z860" s="395"/>
      <c r="AA860" s="387"/>
      <c r="AB860" s="181"/>
      <c r="AC860" s="181"/>
      <c r="AD860" s="181"/>
      <c r="AE860" s="395"/>
      <c r="AF860" s="387"/>
      <c r="AG860" s="181"/>
      <c r="AH860" s="181"/>
      <c r="AI860" s="181"/>
      <c r="AJ860" s="395"/>
      <c r="AK860" s="387"/>
      <c r="AL860" s="181"/>
      <c r="AM860" s="181"/>
      <c r="AN860" s="181"/>
      <c r="AO860" s="370"/>
      <c r="AP860" s="370"/>
      <c r="AQ860" s="370"/>
      <c r="AR860" s="370"/>
      <c r="AS860" s="370"/>
    </row>
    <row r="861">
      <c r="A861" s="395"/>
      <c r="B861" s="387"/>
      <c r="C861" s="181"/>
      <c r="D861" s="181"/>
      <c r="E861" s="181"/>
      <c r="F861" s="395"/>
      <c r="G861" s="387"/>
      <c r="H861" s="181"/>
      <c r="I861" s="181"/>
      <c r="J861" s="181"/>
      <c r="K861" s="88"/>
      <c r="L861" s="387"/>
      <c r="M861" s="181"/>
      <c r="N861" s="181"/>
      <c r="O861" s="181"/>
      <c r="P861" s="88"/>
      <c r="Q861" s="155"/>
      <c r="R861" s="181"/>
      <c r="S861" s="181"/>
      <c r="T861" s="181"/>
      <c r="U861" s="395"/>
      <c r="V861" s="387"/>
      <c r="W861" s="181"/>
      <c r="X861" s="181"/>
      <c r="Y861" s="181"/>
      <c r="Z861" s="395"/>
      <c r="AA861" s="387"/>
      <c r="AB861" s="181"/>
      <c r="AC861" s="181"/>
      <c r="AD861" s="181"/>
      <c r="AE861" s="395"/>
      <c r="AF861" s="387"/>
      <c r="AG861" s="181"/>
      <c r="AH861" s="181"/>
      <c r="AI861" s="181"/>
      <c r="AJ861" s="395"/>
      <c r="AK861" s="387"/>
      <c r="AL861" s="181"/>
      <c r="AM861" s="181"/>
      <c r="AN861" s="181"/>
      <c r="AO861" s="370"/>
      <c r="AP861" s="370"/>
      <c r="AQ861" s="370"/>
      <c r="AR861" s="370"/>
      <c r="AS861" s="370"/>
    </row>
    <row r="862">
      <c r="A862" s="395"/>
      <c r="B862" s="387"/>
      <c r="C862" s="181"/>
      <c r="D862" s="181"/>
      <c r="E862" s="181"/>
      <c r="F862" s="395"/>
      <c r="G862" s="387"/>
      <c r="H862" s="181"/>
      <c r="I862" s="181"/>
      <c r="J862" s="181"/>
      <c r="K862" s="88"/>
      <c r="L862" s="387"/>
      <c r="M862" s="181"/>
      <c r="N862" s="181"/>
      <c r="O862" s="181"/>
      <c r="P862" s="88"/>
      <c r="Q862" s="155"/>
      <c r="R862" s="181"/>
      <c r="S862" s="181"/>
      <c r="T862" s="181"/>
      <c r="U862" s="395"/>
      <c r="V862" s="387"/>
      <c r="W862" s="181"/>
      <c r="X862" s="181"/>
      <c r="Y862" s="181"/>
      <c r="Z862" s="395"/>
      <c r="AA862" s="387"/>
      <c r="AB862" s="181"/>
      <c r="AC862" s="181"/>
      <c r="AD862" s="181"/>
      <c r="AE862" s="395"/>
      <c r="AF862" s="387"/>
      <c r="AG862" s="181"/>
      <c r="AH862" s="181"/>
      <c r="AI862" s="181"/>
      <c r="AJ862" s="395"/>
      <c r="AK862" s="387"/>
      <c r="AL862" s="181"/>
      <c r="AM862" s="181"/>
      <c r="AN862" s="181"/>
      <c r="AO862" s="370"/>
      <c r="AP862" s="370"/>
      <c r="AQ862" s="370"/>
      <c r="AR862" s="370"/>
      <c r="AS862" s="370"/>
    </row>
    <row r="863">
      <c r="A863" s="395"/>
      <c r="B863" s="387"/>
      <c r="C863" s="181"/>
      <c r="D863" s="181"/>
      <c r="E863" s="181"/>
      <c r="F863" s="395"/>
      <c r="G863" s="387"/>
      <c r="H863" s="181"/>
      <c r="I863" s="181"/>
      <c r="J863" s="181"/>
      <c r="K863" s="88"/>
      <c r="L863" s="387"/>
      <c r="M863" s="181"/>
      <c r="N863" s="181"/>
      <c r="O863" s="181"/>
      <c r="P863" s="88"/>
      <c r="Q863" s="155"/>
      <c r="R863" s="181"/>
      <c r="S863" s="181"/>
      <c r="T863" s="181"/>
      <c r="U863" s="395"/>
      <c r="V863" s="387"/>
      <c r="W863" s="181"/>
      <c r="X863" s="181"/>
      <c r="Y863" s="181"/>
      <c r="Z863" s="395"/>
      <c r="AA863" s="387"/>
      <c r="AB863" s="181"/>
      <c r="AC863" s="181"/>
      <c r="AD863" s="181"/>
      <c r="AE863" s="395"/>
      <c r="AF863" s="387"/>
      <c r="AG863" s="181"/>
      <c r="AH863" s="181"/>
      <c r="AI863" s="181"/>
      <c r="AJ863" s="395"/>
      <c r="AK863" s="387"/>
      <c r="AL863" s="181"/>
      <c r="AM863" s="181"/>
      <c r="AN863" s="181"/>
      <c r="AO863" s="370"/>
      <c r="AP863" s="370"/>
      <c r="AQ863" s="370"/>
      <c r="AR863" s="370"/>
      <c r="AS863" s="370"/>
    </row>
    <row r="864">
      <c r="A864" s="395"/>
      <c r="B864" s="387"/>
      <c r="C864" s="181"/>
      <c r="D864" s="181"/>
      <c r="E864" s="181"/>
      <c r="F864" s="395"/>
      <c r="G864" s="387"/>
      <c r="H864" s="181"/>
      <c r="I864" s="181"/>
      <c r="J864" s="181"/>
      <c r="K864" s="88"/>
      <c r="L864" s="387"/>
      <c r="M864" s="181"/>
      <c r="N864" s="181"/>
      <c r="O864" s="181"/>
      <c r="P864" s="88"/>
      <c r="Q864" s="155"/>
      <c r="R864" s="181"/>
      <c r="S864" s="181"/>
      <c r="T864" s="181"/>
      <c r="U864" s="395"/>
      <c r="V864" s="387"/>
      <c r="W864" s="181"/>
      <c r="X864" s="181"/>
      <c r="Y864" s="181"/>
      <c r="Z864" s="395"/>
      <c r="AA864" s="387"/>
      <c r="AB864" s="181"/>
      <c r="AC864" s="181"/>
      <c r="AD864" s="181"/>
      <c r="AE864" s="395"/>
      <c r="AF864" s="387"/>
      <c r="AG864" s="181"/>
      <c r="AH864" s="181"/>
      <c r="AI864" s="181"/>
      <c r="AJ864" s="395"/>
      <c r="AK864" s="387"/>
      <c r="AL864" s="181"/>
      <c r="AM864" s="181"/>
      <c r="AN864" s="181"/>
      <c r="AO864" s="370"/>
      <c r="AP864" s="370"/>
      <c r="AQ864" s="370"/>
      <c r="AR864" s="370"/>
      <c r="AS864" s="370"/>
    </row>
    <row r="865">
      <c r="A865" s="395"/>
      <c r="B865" s="387"/>
      <c r="C865" s="181"/>
      <c r="D865" s="181"/>
      <c r="E865" s="181"/>
      <c r="F865" s="395"/>
      <c r="G865" s="387"/>
      <c r="H865" s="181"/>
      <c r="I865" s="181"/>
      <c r="J865" s="181"/>
      <c r="K865" s="88"/>
      <c r="L865" s="387"/>
      <c r="M865" s="181"/>
      <c r="N865" s="181"/>
      <c r="O865" s="181"/>
      <c r="P865" s="88"/>
      <c r="Q865" s="155"/>
      <c r="R865" s="181"/>
      <c r="S865" s="181"/>
      <c r="T865" s="181"/>
      <c r="U865" s="395"/>
      <c r="V865" s="387"/>
      <c r="W865" s="181"/>
      <c r="X865" s="181"/>
      <c r="Y865" s="181"/>
      <c r="Z865" s="395"/>
      <c r="AA865" s="387"/>
      <c r="AB865" s="181"/>
      <c r="AC865" s="181"/>
      <c r="AD865" s="181"/>
      <c r="AE865" s="395"/>
      <c r="AF865" s="387"/>
      <c r="AG865" s="181"/>
      <c r="AH865" s="181"/>
      <c r="AI865" s="181"/>
      <c r="AJ865" s="395"/>
      <c r="AK865" s="387"/>
      <c r="AL865" s="181"/>
      <c r="AM865" s="181"/>
      <c r="AN865" s="181"/>
      <c r="AO865" s="370"/>
      <c r="AP865" s="370"/>
      <c r="AQ865" s="370"/>
      <c r="AR865" s="370"/>
      <c r="AS865" s="370"/>
    </row>
    <row r="866">
      <c r="A866" s="395"/>
      <c r="B866" s="387"/>
      <c r="C866" s="181"/>
      <c r="D866" s="181"/>
      <c r="E866" s="181"/>
      <c r="F866" s="395"/>
      <c r="G866" s="387"/>
      <c r="H866" s="181"/>
      <c r="I866" s="181"/>
      <c r="J866" s="181"/>
      <c r="K866" s="88"/>
      <c r="L866" s="387"/>
      <c r="M866" s="181"/>
      <c r="N866" s="181"/>
      <c r="O866" s="181"/>
      <c r="P866" s="88"/>
      <c r="Q866" s="155"/>
      <c r="R866" s="181"/>
      <c r="S866" s="181"/>
      <c r="T866" s="181"/>
      <c r="U866" s="395"/>
      <c r="V866" s="387"/>
      <c r="W866" s="181"/>
      <c r="X866" s="181"/>
      <c r="Y866" s="181"/>
      <c r="Z866" s="395"/>
      <c r="AA866" s="387"/>
      <c r="AB866" s="181"/>
      <c r="AC866" s="181"/>
      <c r="AD866" s="181"/>
      <c r="AE866" s="395"/>
      <c r="AF866" s="387"/>
      <c r="AG866" s="181"/>
      <c r="AH866" s="181"/>
      <c r="AI866" s="181"/>
      <c r="AJ866" s="395"/>
      <c r="AK866" s="387"/>
      <c r="AL866" s="181"/>
      <c r="AM866" s="181"/>
      <c r="AN866" s="181"/>
      <c r="AO866" s="370"/>
      <c r="AP866" s="370"/>
      <c r="AQ866" s="370"/>
      <c r="AR866" s="370"/>
      <c r="AS866" s="370"/>
    </row>
    <row r="867">
      <c r="A867" s="395"/>
      <c r="B867" s="387"/>
      <c r="C867" s="181"/>
      <c r="D867" s="181"/>
      <c r="E867" s="181"/>
      <c r="F867" s="395"/>
      <c r="G867" s="387"/>
      <c r="H867" s="181"/>
      <c r="I867" s="181"/>
      <c r="J867" s="181"/>
      <c r="K867" s="88"/>
      <c r="L867" s="387"/>
      <c r="M867" s="181"/>
      <c r="N867" s="181"/>
      <c r="O867" s="181"/>
      <c r="P867" s="88"/>
      <c r="Q867" s="155"/>
      <c r="R867" s="181"/>
      <c r="S867" s="181"/>
      <c r="T867" s="181"/>
      <c r="U867" s="395"/>
      <c r="V867" s="387"/>
      <c r="W867" s="181"/>
      <c r="X867" s="181"/>
      <c r="Y867" s="181"/>
      <c r="Z867" s="395"/>
      <c r="AA867" s="387"/>
      <c r="AB867" s="181"/>
      <c r="AC867" s="181"/>
      <c r="AD867" s="181"/>
      <c r="AE867" s="395"/>
      <c r="AF867" s="387"/>
      <c r="AG867" s="181"/>
      <c r="AH867" s="181"/>
      <c r="AI867" s="181"/>
      <c r="AJ867" s="395"/>
      <c r="AK867" s="387"/>
      <c r="AL867" s="181"/>
      <c r="AM867" s="181"/>
      <c r="AN867" s="181"/>
      <c r="AO867" s="370"/>
      <c r="AP867" s="370"/>
      <c r="AQ867" s="370"/>
      <c r="AR867" s="370"/>
      <c r="AS867" s="370"/>
    </row>
    <row r="868">
      <c r="A868" s="395"/>
      <c r="B868" s="387"/>
      <c r="C868" s="181"/>
      <c r="D868" s="181"/>
      <c r="E868" s="181"/>
      <c r="F868" s="395"/>
      <c r="G868" s="387"/>
      <c r="H868" s="181"/>
      <c r="I868" s="181"/>
      <c r="J868" s="181"/>
      <c r="K868" s="88"/>
      <c r="L868" s="387"/>
      <c r="M868" s="181"/>
      <c r="N868" s="181"/>
      <c r="O868" s="181"/>
      <c r="P868" s="88"/>
      <c r="Q868" s="155"/>
      <c r="R868" s="181"/>
      <c r="S868" s="181"/>
      <c r="T868" s="181"/>
      <c r="U868" s="395"/>
      <c r="V868" s="387"/>
      <c r="W868" s="181"/>
      <c r="X868" s="181"/>
      <c r="Y868" s="181"/>
      <c r="Z868" s="395"/>
      <c r="AA868" s="387"/>
      <c r="AB868" s="181"/>
      <c r="AC868" s="181"/>
      <c r="AD868" s="181"/>
      <c r="AE868" s="395"/>
      <c r="AF868" s="387"/>
      <c r="AG868" s="181"/>
      <c r="AH868" s="181"/>
      <c r="AI868" s="181"/>
      <c r="AJ868" s="395"/>
      <c r="AK868" s="387"/>
      <c r="AL868" s="181"/>
      <c r="AM868" s="181"/>
      <c r="AN868" s="181"/>
      <c r="AO868" s="370"/>
      <c r="AP868" s="370"/>
      <c r="AQ868" s="370"/>
      <c r="AR868" s="370"/>
      <c r="AS868" s="370"/>
    </row>
    <row r="869">
      <c r="A869" s="395"/>
      <c r="B869" s="387"/>
      <c r="C869" s="181"/>
      <c r="D869" s="181"/>
      <c r="E869" s="181"/>
      <c r="F869" s="395"/>
      <c r="G869" s="387"/>
      <c r="H869" s="181"/>
      <c r="I869" s="181"/>
      <c r="J869" s="181"/>
      <c r="K869" s="88"/>
      <c r="L869" s="387"/>
      <c r="M869" s="181"/>
      <c r="N869" s="181"/>
      <c r="O869" s="181"/>
      <c r="P869" s="88"/>
      <c r="Q869" s="155"/>
      <c r="R869" s="181"/>
      <c r="S869" s="181"/>
      <c r="T869" s="181"/>
      <c r="U869" s="395"/>
      <c r="V869" s="387"/>
      <c r="W869" s="181"/>
      <c r="X869" s="181"/>
      <c r="Y869" s="181"/>
      <c r="Z869" s="395"/>
      <c r="AA869" s="387"/>
      <c r="AB869" s="181"/>
      <c r="AC869" s="181"/>
      <c r="AD869" s="181"/>
      <c r="AE869" s="395"/>
      <c r="AF869" s="387"/>
      <c r="AG869" s="181"/>
      <c r="AH869" s="181"/>
      <c r="AI869" s="181"/>
      <c r="AJ869" s="395"/>
      <c r="AK869" s="387"/>
      <c r="AL869" s="181"/>
      <c r="AM869" s="181"/>
      <c r="AN869" s="181"/>
      <c r="AO869" s="370"/>
      <c r="AP869" s="370"/>
      <c r="AQ869" s="370"/>
      <c r="AR869" s="370"/>
      <c r="AS869" s="370"/>
    </row>
    <row r="870">
      <c r="A870" s="395"/>
      <c r="B870" s="387"/>
      <c r="C870" s="181"/>
      <c r="D870" s="181"/>
      <c r="E870" s="181"/>
      <c r="F870" s="395"/>
      <c r="G870" s="387"/>
      <c r="H870" s="181"/>
      <c r="I870" s="181"/>
      <c r="J870" s="181"/>
      <c r="K870" s="88"/>
      <c r="L870" s="387"/>
      <c r="M870" s="181"/>
      <c r="N870" s="181"/>
      <c r="O870" s="181"/>
      <c r="P870" s="88"/>
      <c r="Q870" s="155"/>
      <c r="R870" s="181"/>
      <c r="S870" s="181"/>
      <c r="T870" s="181"/>
      <c r="U870" s="395"/>
      <c r="V870" s="387"/>
      <c r="W870" s="181"/>
      <c r="X870" s="181"/>
      <c r="Y870" s="181"/>
      <c r="Z870" s="395"/>
      <c r="AA870" s="387"/>
      <c r="AB870" s="181"/>
      <c r="AC870" s="181"/>
      <c r="AD870" s="181"/>
      <c r="AE870" s="395"/>
      <c r="AF870" s="387"/>
      <c r="AG870" s="181"/>
      <c r="AH870" s="181"/>
      <c r="AI870" s="181"/>
      <c r="AJ870" s="395"/>
      <c r="AK870" s="387"/>
      <c r="AL870" s="181"/>
      <c r="AM870" s="181"/>
      <c r="AN870" s="181"/>
      <c r="AO870" s="370"/>
      <c r="AP870" s="370"/>
      <c r="AQ870" s="370"/>
      <c r="AR870" s="370"/>
      <c r="AS870" s="370"/>
    </row>
    <row r="871">
      <c r="A871" s="395"/>
      <c r="B871" s="387"/>
      <c r="C871" s="181"/>
      <c r="D871" s="181"/>
      <c r="E871" s="181"/>
      <c r="F871" s="395"/>
      <c r="G871" s="387"/>
      <c r="H871" s="181"/>
      <c r="I871" s="181"/>
      <c r="J871" s="181"/>
      <c r="K871" s="88"/>
      <c r="L871" s="387"/>
      <c r="M871" s="181"/>
      <c r="N871" s="181"/>
      <c r="O871" s="181"/>
      <c r="P871" s="88"/>
      <c r="Q871" s="155"/>
      <c r="R871" s="181"/>
      <c r="S871" s="181"/>
      <c r="T871" s="181"/>
      <c r="U871" s="395"/>
      <c r="V871" s="387"/>
      <c r="W871" s="181"/>
      <c r="X871" s="181"/>
      <c r="Y871" s="181"/>
      <c r="Z871" s="395"/>
      <c r="AA871" s="387"/>
      <c r="AB871" s="181"/>
      <c r="AC871" s="181"/>
      <c r="AD871" s="181"/>
      <c r="AE871" s="395"/>
      <c r="AF871" s="387"/>
      <c r="AG871" s="181"/>
      <c r="AH871" s="181"/>
      <c r="AI871" s="181"/>
      <c r="AJ871" s="395"/>
      <c r="AK871" s="387"/>
      <c r="AL871" s="181"/>
      <c r="AM871" s="181"/>
      <c r="AN871" s="181"/>
      <c r="AO871" s="370"/>
      <c r="AP871" s="370"/>
      <c r="AQ871" s="370"/>
      <c r="AR871" s="370"/>
      <c r="AS871" s="370"/>
    </row>
    <row r="872">
      <c r="A872" s="395"/>
      <c r="B872" s="387"/>
      <c r="C872" s="181"/>
      <c r="D872" s="181"/>
      <c r="E872" s="181"/>
      <c r="F872" s="395"/>
      <c r="G872" s="387"/>
      <c r="H872" s="181"/>
      <c r="I872" s="181"/>
      <c r="J872" s="181"/>
      <c r="K872" s="88"/>
      <c r="L872" s="387"/>
      <c r="M872" s="181"/>
      <c r="N872" s="181"/>
      <c r="O872" s="181"/>
      <c r="P872" s="88"/>
      <c r="Q872" s="155"/>
      <c r="R872" s="181"/>
      <c r="S872" s="181"/>
      <c r="T872" s="181"/>
      <c r="U872" s="395"/>
      <c r="V872" s="387"/>
      <c r="W872" s="181"/>
      <c r="X872" s="181"/>
      <c r="Y872" s="181"/>
      <c r="Z872" s="395"/>
      <c r="AA872" s="387"/>
      <c r="AB872" s="181"/>
      <c r="AC872" s="181"/>
      <c r="AD872" s="181"/>
      <c r="AE872" s="395"/>
      <c r="AF872" s="387"/>
      <c r="AG872" s="181"/>
      <c r="AH872" s="181"/>
      <c r="AI872" s="181"/>
      <c r="AJ872" s="395"/>
      <c r="AK872" s="387"/>
      <c r="AL872" s="181"/>
      <c r="AM872" s="181"/>
      <c r="AN872" s="181"/>
      <c r="AO872" s="370"/>
      <c r="AP872" s="370"/>
      <c r="AQ872" s="370"/>
      <c r="AR872" s="370"/>
      <c r="AS872" s="370"/>
    </row>
    <row r="873">
      <c r="A873" s="395"/>
      <c r="B873" s="387"/>
      <c r="C873" s="181"/>
      <c r="D873" s="181"/>
      <c r="E873" s="181"/>
      <c r="F873" s="395"/>
      <c r="G873" s="387"/>
      <c r="H873" s="181"/>
      <c r="I873" s="181"/>
      <c r="J873" s="181"/>
      <c r="K873" s="88"/>
      <c r="L873" s="387"/>
      <c r="M873" s="181"/>
      <c r="N873" s="181"/>
      <c r="O873" s="181"/>
      <c r="P873" s="88"/>
      <c r="Q873" s="155"/>
      <c r="R873" s="181"/>
      <c r="S873" s="181"/>
      <c r="T873" s="181"/>
      <c r="U873" s="395"/>
      <c r="V873" s="387"/>
      <c r="W873" s="181"/>
      <c r="X873" s="181"/>
      <c r="Y873" s="181"/>
      <c r="Z873" s="395"/>
      <c r="AA873" s="387"/>
      <c r="AB873" s="181"/>
      <c r="AC873" s="181"/>
      <c r="AD873" s="181"/>
      <c r="AE873" s="395"/>
      <c r="AF873" s="387"/>
      <c r="AG873" s="181"/>
      <c r="AH873" s="181"/>
      <c r="AI873" s="181"/>
      <c r="AJ873" s="395"/>
      <c r="AK873" s="387"/>
      <c r="AL873" s="181"/>
      <c r="AM873" s="181"/>
      <c r="AN873" s="181"/>
      <c r="AO873" s="370"/>
      <c r="AP873" s="370"/>
      <c r="AQ873" s="370"/>
      <c r="AR873" s="370"/>
      <c r="AS873" s="370"/>
    </row>
    <row r="874">
      <c r="A874" s="395"/>
      <c r="B874" s="387"/>
      <c r="C874" s="181"/>
      <c r="D874" s="181"/>
      <c r="E874" s="181"/>
      <c r="F874" s="395"/>
      <c r="G874" s="387"/>
      <c r="H874" s="181"/>
      <c r="I874" s="181"/>
      <c r="J874" s="181"/>
      <c r="K874" s="88"/>
      <c r="L874" s="387"/>
      <c r="M874" s="181"/>
      <c r="N874" s="181"/>
      <c r="O874" s="181"/>
      <c r="P874" s="88"/>
      <c r="Q874" s="155"/>
      <c r="R874" s="181"/>
      <c r="S874" s="181"/>
      <c r="T874" s="181"/>
      <c r="U874" s="395"/>
      <c r="V874" s="387"/>
      <c r="W874" s="181"/>
      <c r="X874" s="181"/>
      <c r="Y874" s="181"/>
      <c r="Z874" s="395"/>
      <c r="AA874" s="387"/>
      <c r="AB874" s="181"/>
      <c r="AC874" s="181"/>
      <c r="AD874" s="181"/>
      <c r="AE874" s="395"/>
      <c r="AF874" s="387"/>
      <c r="AG874" s="181"/>
      <c r="AH874" s="181"/>
      <c r="AI874" s="181"/>
      <c r="AJ874" s="395"/>
      <c r="AK874" s="387"/>
      <c r="AL874" s="181"/>
      <c r="AM874" s="181"/>
      <c r="AN874" s="181"/>
      <c r="AO874" s="370"/>
      <c r="AP874" s="370"/>
      <c r="AQ874" s="370"/>
      <c r="AR874" s="370"/>
      <c r="AS874" s="370"/>
    </row>
    <row r="875">
      <c r="A875" s="395"/>
      <c r="B875" s="387"/>
      <c r="C875" s="181"/>
      <c r="D875" s="181"/>
      <c r="E875" s="181"/>
      <c r="F875" s="395"/>
      <c r="G875" s="387"/>
      <c r="H875" s="181"/>
      <c r="I875" s="181"/>
      <c r="J875" s="181"/>
      <c r="K875" s="88"/>
      <c r="L875" s="387"/>
      <c r="M875" s="181"/>
      <c r="N875" s="181"/>
      <c r="O875" s="181"/>
      <c r="P875" s="88"/>
      <c r="Q875" s="155"/>
      <c r="R875" s="181"/>
      <c r="S875" s="181"/>
      <c r="T875" s="181"/>
      <c r="U875" s="395"/>
      <c r="V875" s="387"/>
      <c r="W875" s="181"/>
      <c r="X875" s="181"/>
      <c r="Y875" s="181"/>
      <c r="Z875" s="395"/>
      <c r="AA875" s="387"/>
      <c r="AB875" s="181"/>
      <c r="AC875" s="181"/>
      <c r="AD875" s="181"/>
      <c r="AE875" s="395"/>
      <c r="AF875" s="387"/>
      <c r="AG875" s="181"/>
      <c r="AH875" s="181"/>
      <c r="AI875" s="181"/>
      <c r="AJ875" s="395"/>
      <c r="AK875" s="387"/>
      <c r="AL875" s="181"/>
      <c r="AM875" s="181"/>
      <c r="AN875" s="181"/>
      <c r="AO875" s="370"/>
      <c r="AP875" s="370"/>
      <c r="AQ875" s="370"/>
      <c r="AR875" s="370"/>
      <c r="AS875" s="370"/>
    </row>
    <row r="876">
      <c r="A876" s="395"/>
      <c r="B876" s="387"/>
      <c r="C876" s="181"/>
      <c r="D876" s="181"/>
      <c r="E876" s="181"/>
      <c r="F876" s="395"/>
      <c r="G876" s="387"/>
      <c r="H876" s="181"/>
      <c r="I876" s="181"/>
      <c r="J876" s="181"/>
      <c r="K876" s="88"/>
      <c r="L876" s="387"/>
      <c r="M876" s="181"/>
      <c r="N876" s="181"/>
      <c r="O876" s="181"/>
      <c r="P876" s="88"/>
      <c r="Q876" s="155"/>
      <c r="R876" s="181"/>
      <c r="S876" s="181"/>
      <c r="T876" s="181"/>
      <c r="U876" s="395"/>
      <c r="V876" s="387"/>
      <c r="W876" s="181"/>
      <c r="X876" s="181"/>
      <c r="Y876" s="181"/>
      <c r="Z876" s="395"/>
      <c r="AA876" s="387"/>
      <c r="AB876" s="181"/>
      <c r="AC876" s="181"/>
      <c r="AD876" s="181"/>
      <c r="AE876" s="395"/>
      <c r="AF876" s="387"/>
      <c r="AG876" s="181"/>
      <c r="AH876" s="181"/>
      <c r="AI876" s="181"/>
      <c r="AJ876" s="395"/>
      <c r="AK876" s="387"/>
      <c r="AL876" s="181"/>
      <c r="AM876" s="181"/>
      <c r="AN876" s="181"/>
      <c r="AO876" s="370"/>
      <c r="AP876" s="370"/>
      <c r="AQ876" s="370"/>
      <c r="AR876" s="370"/>
      <c r="AS876" s="370"/>
    </row>
    <row r="877">
      <c r="A877" s="395"/>
      <c r="B877" s="387"/>
      <c r="C877" s="181"/>
      <c r="D877" s="181"/>
      <c r="E877" s="181"/>
      <c r="F877" s="395"/>
      <c r="G877" s="387"/>
      <c r="H877" s="181"/>
      <c r="I877" s="181"/>
      <c r="J877" s="181"/>
      <c r="K877" s="88"/>
      <c r="L877" s="387"/>
      <c r="M877" s="181"/>
      <c r="N877" s="181"/>
      <c r="O877" s="181"/>
      <c r="P877" s="88"/>
      <c r="Q877" s="155"/>
      <c r="R877" s="181"/>
      <c r="S877" s="181"/>
      <c r="T877" s="181"/>
      <c r="U877" s="395"/>
      <c r="V877" s="387"/>
      <c r="W877" s="181"/>
      <c r="X877" s="181"/>
      <c r="Y877" s="181"/>
      <c r="Z877" s="395"/>
      <c r="AA877" s="387"/>
      <c r="AB877" s="181"/>
      <c r="AC877" s="181"/>
      <c r="AD877" s="181"/>
      <c r="AE877" s="395"/>
      <c r="AF877" s="387"/>
      <c r="AG877" s="181"/>
      <c r="AH877" s="181"/>
      <c r="AI877" s="181"/>
      <c r="AJ877" s="395"/>
      <c r="AK877" s="387"/>
      <c r="AL877" s="181"/>
      <c r="AM877" s="181"/>
      <c r="AN877" s="181"/>
      <c r="AO877" s="370"/>
      <c r="AP877" s="370"/>
      <c r="AQ877" s="370"/>
      <c r="AR877" s="370"/>
      <c r="AS877" s="370"/>
    </row>
    <row r="878">
      <c r="A878" s="395"/>
      <c r="B878" s="387"/>
      <c r="C878" s="181"/>
      <c r="D878" s="181"/>
      <c r="E878" s="181"/>
      <c r="F878" s="395"/>
      <c r="G878" s="387"/>
      <c r="H878" s="181"/>
      <c r="I878" s="181"/>
      <c r="J878" s="181"/>
      <c r="K878" s="88"/>
      <c r="L878" s="387"/>
      <c r="M878" s="181"/>
      <c r="N878" s="181"/>
      <c r="O878" s="181"/>
      <c r="P878" s="88"/>
      <c r="Q878" s="155"/>
      <c r="R878" s="181"/>
      <c r="S878" s="181"/>
      <c r="T878" s="181"/>
      <c r="U878" s="395"/>
      <c r="V878" s="387"/>
      <c r="W878" s="181"/>
      <c r="X878" s="181"/>
      <c r="Y878" s="181"/>
      <c r="Z878" s="395"/>
      <c r="AA878" s="387"/>
      <c r="AB878" s="181"/>
      <c r="AC878" s="181"/>
      <c r="AD878" s="181"/>
      <c r="AE878" s="395"/>
      <c r="AF878" s="387"/>
      <c r="AG878" s="181"/>
      <c r="AH878" s="181"/>
      <c r="AI878" s="181"/>
      <c r="AJ878" s="395"/>
      <c r="AK878" s="387"/>
      <c r="AL878" s="181"/>
      <c r="AM878" s="181"/>
      <c r="AN878" s="181"/>
      <c r="AO878" s="370"/>
      <c r="AP878" s="370"/>
      <c r="AQ878" s="370"/>
      <c r="AR878" s="370"/>
      <c r="AS878" s="370"/>
    </row>
    <row r="879">
      <c r="A879" s="395"/>
      <c r="B879" s="387"/>
      <c r="C879" s="181"/>
      <c r="D879" s="181"/>
      <c r="E879" s="181"/>
      <c r="F879" s="395"/>
      <c r="G879" s="387"/>
      <c r="H879" s="181"/>
      <c r="I879" s="181"/>
      <c r="J879" s="181"/>
      <c r="K879" s="88"/>
      <c r="L879" s="387"/>
      <c r="M879" s="181"/>
      <c r="N879" s="181"/>
      <c r="O879" s="181"/>
      <c r="P879" s="88"/>
      <c r="Q879" s="155"/>
      <c r="R879" s="181"/>
      <c r="S879" s="181"/>
      <c r="T879" s="181"/>
      <c r="U879" s="395"/>
      <c r="V879" s="387"/>
      <c r="W879" s="181"/>
      <c r="X879" s="181"/>
      <c r="Y879" s="181"/>
      <c r="Z879" s="395"/>
      <c r="AA879" s="387"/>
      <c r="AB879" s="181"/>
      <c r="AC879" s="181"/>
      <c r="AD879" s="181"/>
      <c r="AE879" s="395"/>
      <c r="AF879" s="387"/>
      <c r="AG879" s="181"/>
      <c r="AH879" s="181"/>
      <c r="AI879" s="181"/>
      <c r="AJ879" s="395"/>
      <c r="AK879" s="387"/>
      <c r="AL879" s="181"/>
      <c r="AM879" s="181"/>
      <c r="AN879" s="181"/>
      <c r="AO879" s="370"/>
      <c r="AP879" s="370"/>
      <c r="AQ879" s="370"/>
      <c r="AR879" s="370"/>
      <c r="AS879" s="370"/>
    </row>
    <row r="880">
      <c r="A880" s="395"/>
      <c r="B880" s="387"/>
      <c r="C880" s="181"/>
      <c r="D880" s="181"/>
      <c r="E880" s="181"/>
      <c r="F880" s="395"/>
      <c r="G880" s="387"/>
      <c r="H880" s="181"/>
      <c r="I880" s="181"/>
      <c r="J880" s="181"/>
      <c r="K880" s="88"/>
      <c r="L880" s="387"/>
      <c r="M880" s="181"/>
      <c r="N880" s="181"/>
      <c r="O880" s="181"/>
      <c r="P880" s="88"/>
      <c r="Q880" s="155"/>
      <c r="R880" s="181"/>
      <c r="S880" s="181"/>
      <c r="T880" s="181"/>
      <c r="U880" s="395"/>
      <c r="V880" s="387"/>
      <c r="W880" s="181"/>
      <c r="X880" s="181"/>
      <c r="Y880" s="181"/>
      <c r="Z880" s="395"/>
      <c r="AA880" s="387"/>
      <c r="AB880" s="181"/>
      <c r="AC880" s="181"/>
      <c r="AD880" s="181"/>
      <c r="AE880" s="395"/>
      <c r="AF880" s="387"/>
      <c r="AG880" s="181"/>
      <c r="AH880" s="181"/>
      <c r="AI880" s="181"/>
      <c r="AJ880" s="395"/>
      <c r="AK880" s="387"/>
      <c r="AL880" s="181"/>
      <c r="AM880" s="181"/>
      <c r="AN880" s="181"/>
      <c r="AO880" s="370"/>
      <c r="AP880" s="370"/>
      <c r="AQ880" s="370"/>
      <c r="AR880" s="370"/>
      <c r="AS880" s="370"/>
    </row>
    <row r="881">
      <c r="A881" s="395"/>
      <c r="B881" s="387"/>
      <c r="C881" s="181"/>
      <c r="D881" s="181"/>
      <c r="E881" s="181"/>
      <c r="F881" s="395"/>
      <c r="G881" s="387"/>
      <c r="H881" s="181"/>
      <c r="I881" s="181"/>
      <c r="J881" s="181"/>
      <c r="K881" s="88"/>
      <c r="L881" s="387"/>
      <c r="M881" s="181"/>
      <c r="N881" s="181"/>
      <c r="O881" s="181"/>
      <c r="P881" s="88"/>
      <c r="Q881" s="155"/>
      <c r="R881" s="181"/>
      <c r="S881" s="181"/>
      <c r="T881" s="181"/>
      <c r="U881" s="395"/>
      <c r="V881" s="387"/>
      <c r="W881" s="181"/>
      <c r="X881" s="181"/>
      <c r="Y881" s="181"/>
      <c r="Z881" s="395"/>
      <c r="AA881" s="387"/>
      <c r="AB881" s="181"/>
      <c r="AC881" s="181"/>
      <c r="AD881" s="181"/>
      <c r="AE881" s="395"/>
      <c r="AF881" s="387"/>
      <c r="AG881" s="181"/>
      <c r="AH881" s="181"/>
      <c r="AI881" s="181"/>
      <c r="AJ881" s="395"/>
      <c r="AK881" s="387"/>
      <c r="AL881" s="181"/>
      <c r="AM881" s="181"/>
      <c r="AN881" s="181"/>
      <c r="AO881" s="370"/>
      <c r="AP881" s="370"/>
      <c r="AQ881" s="370"/>
      <c r="AR881" s="370"/>
      <c r="AS881" s="370"/>
    </row>
    <row r="882">
      <c r="A882" s="395"/>
      <c r="B882" s="387"/>
      <c r="C882" s="181"/>
      <c r="D882" s="181"/>
      <c r="E882" s="181"/>
      <c r="F882" s="395"/>
      <c r="G882" s="387"/>
      <c r="H882" s="181"/>
      <c r="I882" s="181"/>
      <c r="J882" s="181"/>
      <c r="K882" s="88"/>
      <c r="L882" s="387"/>
      <c r="M882" s="181"/>
      <c r="N882" s="181"/>
      <c r="O882" s="181"/>
      <c r="P882" s="88"/>
      <c r="Q882" s="155"/>
      <c r="R882" s="181"/>
      <c r="S882" s="181"/>
      <c r="T882" s="181"/>
      <c r="U882" s="395"/>
      <c r="V882" s="387"/>
      <c r="W882" s="181"/>
      <c r="X882" s="181"/>
      <c r="Y882" s="181"/>
      <c r="Z882" s="395"/>
      <c r="AA882" s="387"/>
      <c r="AB882" s="181"/>
      <c r="AC882" s="181"/>
      <c r="AD882" s="181"/>
      <c r="AE882" s="395"/>
      <c r="AF882" s="387"/>
      <c r="AG882" s="181"/>
      <c r="AH882" s="181"/>
      <c r="AI882" s="181"/>
      <c r="AJ882" s="395"/>
      <c r="AK882" s="387"/>
      <c r="AL882" s="181"/>
      <c r="AM882" s="181"/>
      <c r="AN882" s="181"/>
      <c r="AO882" s="370"/>
      <c r="AP882" s="370"/>
      <c r="AQ882" s="370"/>
      <c r="AR882" s="370"/>
      <c r="AS882" s="370"/>
    </row>
    <row r="883">
      <c r="A883" s="395"/>
      <c r="B883" s="387"/>
      <c r="C883" s="181"/>
      <c r="D883" s="181"/>
      <c r="E883" s="181"/>
      <c r="F883" s="395"/>
      <c r="G883" s="387"/>
      <c r="H883" s="181"/>
      <c r="I883" s="181"/>
      <c r="J883" s="181"/>
      <c r="K883" s="88"/>
      <c r="L883" s="387"/>
      <c r="M883" s="181"/>
      <c r="N883" s="181"/>
      <c r="O883" s="181"/>
      <c r="P883" s="88"/>
      <c r="Q883" s="155"/>
      <c r="R883" s="181"/>
      <c r="S883" s="181"/>
      <c r="T883" s="181"/>
      <c r="U883" s="395"/>
      <c r="V883" s="387"/>
      <c r="W883" s="181"/>
      <c r="X883" s="181"/>
      <c r="Y883" s="181"/>
      <c r="Z883" s="395"/>
      <c r="AA883" s="387"/>
      <c r="AB883" s="181"/>
      <c r="AC883" s="181"/>
      <c r="AD883" s="181"/>
      <c r="AE883" s="395"/>
      <c r="AF883" s="387"/>
      <c r="AG883" s="181"/>
      <c r="AH883" s="181"/>
      <c r="AI883" s="181"/>
      <c r="AJ883" s="395"/>
      <c r="AK883" s="387"/>
      <c r="AL883" s="181"/>
      <c r="AM883" s="181"/>
      <c r="AN883" s="181"/>
      <c r="AO883" s="370"/>
      <c r="AP883" s="370"/>
      <c r="AQ883" s="370"/>
      <c r="AR883" s="370"/>
      <c r="AS883" s="370"/>
    </row>
    <row r="884">
      <c r="A884" s="395"/>
      <c r="B884" s="387"/>
      <c r="C884" s="181"/>
      <c r="D884" s="181"/>
      <c r="E884" s="181"/>
      <c r="F884" s="395"/>
      <c r="G884" s="387"/>
      <c r="H884" s="181"/>
      <c r="I884" s="181"/>
      <c r="J884" s="181"/>
      <c r="K884" s="88"/>
      <c r="L884" s="387"/>
      <c r="M884" s="181"/>
      <c r="N884" s="181"/>
      <c r="O884" s="181"/>
      <c r="P884" s="88"/>
      <c r="Q884" s="155"/>
      <c r="R884" s="181"/>
      <c r="S884" s="181"/>
      <c r="T884" s="181"/>
      <c r="U884" s="395"/>
      <c r="V884" s="387"/>
      <c r="W884" s="181"/>
      <c r="X884" s="181"/>
      <c r="Y884" s="181"/>
      <c r="Z884" s="395"/>
      <c r="AA884" s="387"/>
      <c r="AB884" s="181"/>
      <c r="AC884" s="181"/>
      <c r="AD884" s="181"/>
      <c r="AE884" s="395"/>
      <c r="AF884" s="387"/>
      <c r="AG884" s="181"/>
      <c r="AH884" s="181"/>
      <c r="AI884" s="181"/>
      <c r="AJ884" s="395"/>
      <c r="AK884" s="387"/>
      <c r="AL884" s="181"/>
      <c r="AM884" s="181"/>
      <c r="AN884" s="181"/>
      <c r="AO884" s="370"/>
      <c r="AP884" s="370"/>
      <c r="AQ884" s="370"/>
      <c r="AR884" s="370"/>
      <c r="AS884" s="370"/>
    </row>
    <row r="885">
      <c r="A885" s="395"/>
      <c r="B885" s="387"/>
      <c r="C885" s="181"/>
      <c r="D885" s="181"/>
      <c r="E885" s="181"/>
      <c r="F885" s="395"/>
      <c r="G885" s="387"/>
      <c r="H885" s="181"/>
      <c r="I885" s="181"/>
      <c r="J885" s="181"/>
      <c r="K885" s="88"/>
      <c r="L885" s="387"/>
      <c r="M885" s="181"/>
      <c r="N885" s="181"/>
      <c r="O885" s="181"/>
      <c r="P885" s="88"/>
      <c r="Q885" s="155"/>
      <c r="R885" s="181"/>
      <c r="S885" s="181"/>
      <c r="T885" s="181"/>
      <c r="U885" s="395"/>
      <c r="V885" s="387"/>
      <c r="W885" s="181"/>
      <c r="X885" s="181"/>
      <c r="Y885" s="181"/>
      <c r="Z885" s="395"/>
      <c r="AA885" s="387"/>
      <c r="AB885" s="181"/>
      <c r="AC885" s="181"/>
      <c r="AD885" s="181"/>
      <c r="AE885" s="395"/>
      <c r="AF885" s="387"/>
      <c r="AG885" s="181"/>
      <c r="AH885" s="181"/>
      <c r="AI885" s="181"/>
      <c r="AJ885" s="395"/>
      <c r="AK885" s="387"/>
      <c r="AL885" s="181"/>
      <c r="AM885" s="181"/>
      <c r="AN885" s="181"/>
      <c r="AO885" s="370"/>
      <c r="AP885" s="370"/>
      <c r="AQ885" s="370"/>
      <c r="AR885" s="370"/>
      <c r="AS885" s="370"/>
    </row>
    <row r="886">
      <c r="A886" s="395"/>
      <c r="B886" s="387"/>
      <c r="C886" s="181"/>
      <c r="D886" s="181"/>
      <c r="E886" s="181"/>
      <c r="F886" s="395"/>
      <c r="G886" s="387"/>
      <c r="H886" s="181"/>
      <c r="I886" s="181"/>
      <c r="J886" s="181"/>
      <c r="K886" s="88"/>
      <c r="L886" s="387"/>
      <c r="M886" s="181"/>
      <c r="N886" s="181"/>
      <c r="O886" s="181"/>
      <c r="P886" s="88"/>
      <c r="Q886" s="155"/>
      <c r="R886" s="181"/>
      <c r="S886" s="181"/>
      <c r="T886" s="181"/>
      <c r="U886" s="395"/>
      <c r="V886" s="387"/>
      <c r="W886" s="181"/>
      <c r="X886" s="181"/>
      <c r="Y886" s="181"/>
      <c r="Z886" s="395"/>
      <c r="AA886" s="387"/>
      <c r="AB886" s="181"/>
      <c r="AC886" s="181"/>
      <c r="AD886" s="181"/>
      <c r="AE886" s="395"/>
      <c r="AF886" s="387"/>
      <c r="AG886" s="181"/>
      <c r="AH886" s="181"/>
      <c r="AI886" s="181"/>
      <c r="AJ886" s="395"/>
      <c r="AK886" s="387"/>
      <c r="AL886" s="181"/>
      <c r="AM886" s="181"/>
      <c r="AN886" s="181"/>
      <c r="AO886" s="370"/>
      <c r="AP886" s="370"/>
      <c r="AQ886" s="370"/>
      <c r="AR886" s="370"/>
      <c r="AS886" s="370"/>
    </row>
    <row r="887">
      <c r="A887" s="395"/>
      <c r="B887" s="387"/>
      <c r="C887" s="181"/>
      <c r="D887" s="181"/>
      <c r="E887" s="181"/>
      <c r="F887" s="395"/>
      <c r="G887" s="387"/>
      <c r="H887" s="181"/>
      <c r="I887" s="181"/>
      <c r="J887" s="181"/>
      <c r="K887" s="88"/>
      <c r="L887" s="387"/>
      <c r="M887" s="181"/>
      <c r="N887" s="181"/>
      <c r="O887" s="181"/>
      <c r="P887" s="88"/>
      <c r="Q887" s="155"/>
      <c r="R887" s="181"/>
      <c r="S887" s="181"/>
      <c r="T887" s="181"/>
      <c r="U887" s="395"/>
      <c r="V887" s="387"/>
      <c r="W887" s="181"/>
      <c r="X887" s="181"/>
      <c r="Y887" s="181"/>
      <c r="Z887" s="395"/>
      <c r="AA887" s="387"/>
      <c r="AB887" s="181"/>
      <c r="AC887" s="181"/>
      <c r="AD887" s="181"/>
      <c r="AE887" s="395"/>
      <c r="AF887" s="387"/>
      <c r="AG887" s="181"/>
      <c r="AH887" s="181"/>
      <c r="AI887" s="181"/>
      <c r="AJ887" s="395"/>
      <c r="AK887" s="387"/>
      <c r="AL887" s="181"/>
      <c r="AM887" s="181"/>
      <c r="AN887" s="181"/>
      <c r="AO887" s="370"/>
      <c r="AP887" s="370"/>
      <c r="AQ887" s="370"/>
      <c r="AR887" s="370"/>
      <c r="AS887" s="370"/>
    </row>
    <row r="888">
      <c r="A888" s="395"/>
      <c r="B888" s="387"/>
      <c r="C888" s="181"/>
      <c r="D888" s="181"/>
      <c r="E888" s="181"/>
      <c r="F888" s="395"/>
      <c r="G888" s="387"/>
      <c r="H888" s="181"/>
      <c r="I888" s="181"/>
      <c r="J888" s="181"/>
      <c r="K888" s="88"/>
      <c r="L888" s="387"/>
      <c r="M888" s="181"/>
      <c r="N888" s="181"/>
      <c r="O888" s="181"/>
      <c r="P888" s="88"/>
      <c r="Q888" s="155"/>
      <c r="R888" s="181"/>
      <c r="S888" s="181"/>
      <c r="T888" s="181"/>
      <c r="U888" s="395"/>
      <c r="V888" s="387"/>
      <c r="W888" s="181"/>
      <c r="X888" s="181"/>
      <c r="Y888" s="181"/>
      <c r="Z888" s="395"/>
      <c r="AA888" s="387"/>
      <c r="AB888" s="181"/>
      <c r="AC888" s="181"/>
      <c r="AD888" s="181"/>
      <c r="AE888" s="395"/>
      <c r="AF888" s="387"/>
      <c r="AG888" s="181"/>
      <c r="AH888" s="181"/>
      <c r="AI888" s="181"/>
      <c r="AJ888" s="395"/>
      <c r="AK888" s="387"/>
      <c r="AL888" s="181"/>
      <c r="AM888" s="181"/>
      <c r="AN888" s="181"/>
      <c r="AO888" s="370"/>
      <c r="AP888" s="370"/>
      <c r="AQ888" s="370"/>
      <c r="AR888" s="370"/>
      <c r="AS888" s="370"/>
    </row>
    <row r="889">
      <c r="A889" s="395"/>
      <c r="B889" s="387"/>
      <c r="C889" s="181"/>
      <c r="D889" s="181"/>
      <c r="E889" s="181"/>
      <c r="F889" s="395"/>
      <c r="G889" s="387"/>
      <c r="H889" s="181"/>
      <c r="I889" s="181"/>
      <c r="J889" s="181"/>
      <c r="K889" s="88"/>
      <c r="L889" s="387"/>
      <c r="M889" s="181"/>
      <c r="N889" s="181"/>
      <c r="O889" s="181"/>
      <c r="P889" s="88"/>
      <c r="Q889" s="155"/>
      <c r="R889" s="181"/>
      <c r="S889" s="181"/>
      <c r="T889" s="181"/>
      <c r="U889" s="395"/>
      <c r="V889" s="387"/>
      <c r="W889" s="181"/>
      <c r="X889" s="181"/>
      <c r="Y889" s="181"/>
      <c r="Z889" s="395"/>
      <c r="AA889" s="387"/>
      <c r="AB889" s="181"/>
      <c r="AC889" s="181"/>
      <c r="AD889" s="181"/>
      <c r="AE889" s="395"/>
      <c r="AF889" s="387"/>
      <c r="AG889" s="181"/>
      <c r="AH889" s="181"/>
      <c r="AI889" s="181"/>
      <c r="AJ889" s="395"/>
      <c r="AK889" s="387"/>
      <c r="AL889" s="181"/>
      <c r="AM889" s="181"/>
      <c r="AN889" s="181"/>
      <c r="AO889" s="370"/>
      <c r="AP889" s="370"/>
      <c r="AQ889" s="370"/>
      <c r="AR889" s="370"/>
      <c r="AS889" s="370"/>
    </row>
    <row r="890">
      <c r="A890" s="395"/>
      <c r="B890" s="387"/>
      <c r="C890" s="181"/>
      <c r="D890" s="181"/>
      <c r="E890" s="181"/>
      <c r="F890" s="395"/>
      <c r="G890" s="387"/>
      <c r="H890" s="181"/>
      <c r="I890" s="181"/>
      <c r="J890" s="181"/>
      <c r="K890" s="88"/>
      <c r="L890" s="387"/>
      <c r="M890" s="181"/>
      <c r="N890" s="181"/>
      <c r="O890" s="181"/>
      <c r="P890" s="88"/>
      <c r="Q890" s="155"/>
      <c r="R890" s="181"/>
      <c r="S890" s="181"/>
      <c r="T890" s="181"/>
      <c r="U890" s="395"/>
      <c r="V890" s="387"/>
      <c r="W890" s="181"/>
      <c r="X890" s="181"/>
      <c r="Y890" s="181"/>
      <c r="Z890" s="395"/>
      <c r="AA890" s="387"/>
      <c r="AB890" s="181"/>
      <c r="AC890" s="181"/>
      <c r="AD890" s="181"/>
      <c r="AE890" s="395"/>
      <c r="AF890" s="387"/>
      <c r="AG890" s="181"/>
      <c r="AH890" s="181"/>
      <c r="AI890" s="181"/>
      <c r="AJ890" s="395"/>
      <c r="AK890" s="387"/>
      <c r="AL890" s="181"/>
      <c r="AM890" s="181"/>
      <c r="AN890" s="181"/>
      <c r="AO890" s="370"/>
      <c r="AP890" s="370"/>
      <c r="AQ890" s="370"/>
      <c r="AR890" s="370"/>
      <c r="AS890" s="370"/>
    </row>
    <row r="891">
      <c r="A891" s="395"/>
      <c r="B891" s="387"/>
      <c r="C891" s="181"/>
      <c r="D891" s="181"/>
      <c r="E891" s="181"/>
      <c r="F891" s="395"/>
      <c r="G891" s="387"/>
      <c r="H891" s="181"/>
      <c r="I891" s="181"/>
      <c r="J891" s="181"/>
      <c r="K891" s="88"/>
      <c r="L891" s="387"/>
      <c r="M891" s="181"/>
      <c r="N891" s="181"/>
      <c r="O891" s="181"/>
      <c r="P891" s="88"/>
      <c r="Q891" s="155"/>
      <c r="R891" s="181"/>
      <c r="S891" s="181"/>
      <c r="T891" s="181"/>
      <c r="U891" s="395"/>
      <c r="V891" s="387"/>
      <c r="W891" s="181"/>
      <c r="X891" s="181"/>
      <c r="Y891" s="181"/>
      <c r="Z891" s="395"/>
      <c r="AA891" s="387"/>
      <c r="AB891" s="181"/>
      <c r="AC891" s="181"/>
      <c r="AD891" s="181"/>
      <c r="AE891" s="395"/>
      <c r="AF891" s="387"/>
      <c r="AG891" s="181"/>
      <c r="AH891" s="181"/>
      <c r="AI891" s="181"/>
      <c r="AJ891" s="395"/>
      <c r="AK891" s="387"/>
      <c r="AL891" s="181"/>
      <c r="AM891" s="181"/>
      <c r="AN891" s="181"/>
      <c r="AO891" s="370"/>
      <c r="AP891" s="370"/>
      <c r="AQ891" s="370"/>
      <c r="AR891" s="370"/>
      <c r="AS891" s="370"/>
    </row>
    <row r="892">
      <c r="A892" s="395"/>
      <c r="B892" s="387"/>
      <c r="C892" s="181"/>
      <c r="D892" s="181"/>
      <c r="E892" s="181"/>
      <c r="F892" s="395"/>
      <c r="G892" s="387"/>
      <c r="H892" s="181"/>
      <c r="I892" s="181"/>
      <c r="J892" s="181"/>
      <c r="K892" s="88"/>
      <c r="L892" s="387"/>
      <c r="M892" s="181"/>
      <c r="N892" s="181"/>
      <c r="O892" s="181"/>
      <c r="P892" s="88"/>
      <c r="Q892" s="155"/>
      <c r="R892" s="181"/>
      <c r="S892" s="181"/>
      <c r="T892" s="181"/>
      <c r="U892" s="395"/>
      <c r="V892" s="387"/>
      <c r="W892" s="181"/>
      <c r="X892" s="181"/>
      <c r="Y892" s="181"/>
      <c r="Z892" s="395"/>
      <c r="AA892" s="387"/>
      <c r="AB892" s="181"/>
      <c r="AC892" s="181"/>
      <c r="AD892" s="181"/>
      <c r="AE892" s="395"/>
      <c r="AF892" s="387"/>
      <c r="AG892" s="181"/>
      <c r="AH892" s="181"/>
      <c r="AI892" s="181"/>
      <c r="AJ892" s="395"/>
      <c r="AK892" s="387"/>
      <c r="AL892" s="181"/>
      <c r="AM892" s="181"/>
      <c r="AN892" s="181"/>
      <c r="AO892" s="370"/>
      <c r="AP892" s="370"/>
      <c r="AQ892" s="370"/>
      <c r="AR892" s="370"/>
      <c r="AS892" s="370"/>
    </row>
    <row r="893">
      <c r="A893" s="395"/>
      <c r="B893" s="387"/>
      <c r="C893" s="181"/>
      <c r="D893" s="181"/>
      <c r="E893" s="181"/>
      <c r="F893" s="395"/>
      <c r="G893" s="387"/>
      <c r="H893" s="181"/>
      <c r="I893" s="181"/>
      <c r="J893" s="181"/>
      <c r="K893" s="88"/>
      <c r="L893" s="387"/>
      <c r="M893" s="181"/>
      <c r="N893" s="181"/>
      <c r="O893" s="181"/>
      <c r="P893" s="88"/>
      <c r="Q893" s="155"/>
      <c r="R893" s="181"/>
      <c r="S893" s="181"/>
      <c r="T893" s="181"/>
      <c r="U893" s="395"/>
      <c r="V893" s="387"/>
      <c r="W893" s="181"/>
      <c r="X893" s="181"/>
      <c r="Y893" s="181"/>
      <c r="Z893" s="395"/>
      <c r="AA893" s="387"/>
      <c r="AB893" s="181"/>
      <c r="AC893" s="181"/>
      <c r="AD893" s="181"/>
      <c r="AE893" s="395"/>
      <c r="AF893" s="387"/>
      <c r="AG893" s="181"/>
      <c r="AH893" s="181"/>
      <c r="AI893" s="181"/>
      <c r="AJ893" s="395"/>
      <c r="AK893" s="387"/>
      <c r="AL893" s="181"/>
      <c r="AM893" s="181"/>
      <c r="AN893" s="181"/>
      <c r="AO893" s="370"/>
      <c r="AP893" s="370"/>
      <c r="AQ893" s="370"/>
      <c r="AR893" s="370"/>
      <c r="AS893" s="370"/>
    </row>
    <row r="894">
      <c r="A894" s="395"/>
      <c r="B894" s="387"/>
      <c r="C894" s="181"/>
      <c r="D894" s="181"/>
      <c r="E894" s="181"/>
      <c r="F894" s="395"/>
      <c r="G894" s="387"/>
      <c r="H894" s="181"/>
      <c r="I894" s="181"/>
      <c r="J894" s="181"/>
      <c r="K894" s="88"/>
      <c r="L894" s="387"/>
      <c r="M894" s="181"/>
      <c r="N894" s="181"/>
      <c r="O894" s="181"/>
      <c r="P894" s="88"/>
      <c r="Q894" s="155"/>
      <c r="R894" s="181"/>
      <c r="S894" s="181"/>
      <c r="T894" s="181"/>
      <c r="U894" s="395"/>
      <c r="V894" s="387"/>
      <c r="W894" s="181"/>
      <c r="X894" s="181"/>
      <c r="Y894" s="181"/>
      <c r="Z894" s="395"/>
      <c r="AA894" s="387"/>
      <c r="AB894" s="181"/>
      <c r="AC894" s="181"/>
      <c r="AD894" s="181"/>
      <c r="AE894" s="395"/>
      <c r="AF894" s="387"/>
      <c r="AG894" s="181"/>
      <c r="AH894" s="181"/>
      <c r="AI894" s="181"/>
      <c r="AJ894" s="395"/>
      <c r="AK894" s="387"/>
      <c r="AL894" s="181"/>
      <c r="AM894" s="181"/>
      <c r="AN894" s="181"/>
      <c r="AO894" s="370"/>
      <c r="AP894" s="370"/>
      <c r="AQ894" s="370"/>
      <c r="AR894" s="370"/>
      <c r="AS894" s="370"/>
    </row>
    <row r="895">
      <c r="A895" s="395"/>
      <c r="B895" s="387"/>
      <c r="C895" s="181"/>
      <c r="D895" s="181"/>
      <c r="E895" s="181"/>
      <c r="F895" s="395"/>
      <c r="G895" s="387"/>
      <c r="H895" s="181"/>
      <c r="I895" s="181"/>
      <c r="J895" s="181"/>
      <c r="K895" s="88"/>
      <c r="L895" s="387"/>
      <c r="M895" s="181"/>
      <c r="N895" s="181"/>
      <c r="O895" s="181"/>
      <c r="P895" s="88"/>
      <c r="Q895" s="155"/>
      <c r="R895" s="181"/>
      <c r="S895" s="181"/>
      <c r="T895" s="181"/>
      <c r="U895" s="395"/>
      <c r="V895" s="387"/>
      <c r="W895" s="181"/>
      <c r="X895" s="181"/>
      <c r="Y895" s="181"/>
      <c r="Z895" s="395"/>
      <c r="AA895" s="387"/>
      <c r="AB895" s="181"/>
      <c r="AC895" s="181"/>
      <c r="AD895" s="181"/>
      <c r="AE895" s="395"/>
      <c r="AF895" s="387"/>
      <c r="AG895" s="181"/>
      <c r="AH895" s="181"/>
      <c r="AI895" s="181"/>
      <c r="AJ895" s="395"/>
      <c r="AK895" s="387"/>
      <c r="AL895" s="181"/>
      <c r="AM895" s="181"/>
      <c r="AN895" s="181"/>
      <c r="AO895" s="370"/>
      <c r="AP895" s="370"/>
      <c r="AQ895" s="370"/>
      <c r="AR895" s="370"/>
      <c r="AS895" s="370"/>
    </row>
    <row r="896">
      <c r="A896" s="395"/>
      <c r="B896" s="387"/>
      <c r="C896" s="181"/>
      <c r="D896" s="181"/>
      <c r="E896" s="181"/>
      <c r="F896" s="395"/>
      <c r="G896" s="387"/>
      <c r="H896" s="181"/>
      <c r="I896" s="181"/>
      <c r="J896" s="181"/>
      <c r="K896" s="88"/>
      <c r="L896" s="387"/>
      <c r="M896" s="181"/>
      <c r="N896" s="181"/>
      <c r="O896" s="181"/>
      <c r="P896" s="88"/>
      <c r="Q896" s="155"/>
      <c r="R896" s="181"/>
      <c r="S896" s="181"/>
      <c r="T896" s="181"/>
      <c r="U896" s="395"/>
      <c r="V896" s="387"/>
      <c r="W896" s="181"/>
      <c r="X896" s="181"/>
      <c r="Y896" s="181"/>
      <c r="Z896" s="395"/>
      <c r="AA896" s="387"/>
      <c r="AB896" s="181"/>
      <c r="AC896" s="181"/>
      <c r="AD896" s="181"/>
      <c r="AE896" s="395"/>
      <c r="AF896" s="387"/>
      <c r="AG896" s="181"/>
      <c r="AH896" s="181"/>
      <c r="AI896" s="181"/>
      <c r="AJ896" s="395"/>
      <c r="AK896" s="387"/>
      <c r="AL896" s="181"/>
      <c r="AM896" s="181"/>
      <c r="AN896" s="181"/>
      <c r="AO896" s="370"/>
      <c r="AP896" s="370"/>
      <c r="AQ896" s="370"/>
      <c r="AR896" s="370"/>
      <c r="AS896" s="370"/>
    </row>
    <row r="897">
      <c r="A897" s="395"/>
      <c r="B897" s="387"/>
      <c r="C897" s="181"/>
      <c r="D897" s="181"/>
      <c r="E897" s="181"/>
      <c r="F897" s="395"/>
      <c r="G897" s="387"/>
      <c r="H897" s="181"/>
      <c r="I897" s="181"/>
      <c r="J897" s="181"/>
      <c r="K897" s="88"/>
      <c r="L897" s="387"/>
      <c r="M897" s="181"/>
      <c r="N897" s="181"/>
      <c r="O897" s="181"/>
      <c r="P897" s="88"/>
      <c r="Q897" s="155"/>
      <c r="R897" s="181"/>
      <c r="S897" s="181"/>
      <c r="T897" s="181"/>
      <c r="U897" s="395"/>
      <c r="V897" s="387"/>
      <c r="W897" s="181"/>
      <c r="X897" s="181"/>
      <c r="Y897" s="181"/>
      <c r="Z897" s="395"/>
      <c r="AA897" s="387"/>
      <c r="AB897" s="181"/>
      <c r="AC897" s="181"/>
      <c r="AD897" s="181"/>
      <c r="AE897" s="395"/>
      <c r="AF897" s="387"/>
      <c r="AG897" s="181"/>
      <c r="AH897" s="181"/>
      <c r="AI897" s="181"/>
      <c r="AJ897" s="395"/>
      <c r="AK897" s="387"/>
      <c r="AL897" s="181"/>
      <c r="AM897" s="181"/>
      <c r="AN897" s="181"/>
      <c r="AO897" s="370"/>
      <c r="AP897" s="370"/>
      <c r="AQ897" s="370"/>
      <c r="AR897" s="370"/>
      <c r="AS897" s="370"/>
    </row>
    <row r="898">
      <c r="A898" s="395"/>
      <c r="B898" s="387"/>
      <c r="C898" s="181"/>
      <c r="D898" s="181"/>
      <c r="E898" s="181"/>
      <c r="F898" s="395"/>
      <c r="G898" s="387"/>
      <c r="H898" s="181"/>
      <c r="I898" s="181"/>
      <c r="J898" s="181"/>
      <c r="K898" s="88"/>
      <c r="L898" s="387"/>
      <c r="M898" s="181"/>
      <c r="N898" s="181"/>
      <c r="O898" s="181"/>
      <c r="P898" s="88"/>
      <c r="Q898" s="155"/>
      <c r="R898" s="181"/>
      <c r="S898" s="181"/>
      <c r="T898" s="181"/>
      <c r="U898" s="395"/>
      <c r="V898" s="387"/>
      <c r="W898" s="181"/>
      <c r="X898" s="181"/>
      <c r="Y898" s="181"/>
      <c r="Z898" s="395"/>
      <c r="AA898" s="387"/>
      <c r="AB898" s="181"/>
      <c r="AC898" s="181"/>
      <c r="AD898" s="181"/>
      <c r="AE898" s="395"/>
      <c r="AF898" s="387"/>
      <c r="AG898" s="181"/>
      <c r="AH898" s="181"/>
      <c r="AI898" s="181"/>
      <c r="AJ898" s="395"/>
      <c r="AK898" s="387"/>
      <c r="AL898" s="181"/>
      <c r="AM898" s="181"/>
      <c r="AN898" s="181"/>
      <c r="AO898" s="370"/>
      <c r="AP898" s="370"/>
      <c r="AQ898" s="370"/>
      <c r="AR898" s="370"/>
      <c r="AS898" s="370"/>
    </row>
    <row r="899">
      <c r="A899" s="395"/>
      <c r="B899" s="387"/>
      <c r="C899" s="181"/>
      <c r="D899" s="181"/>
      <c r="E899" s="181"/>
      <c r="F899" s="395"/>
      <c r="G899" s="387"/>
      <c r="H899" s="181"/>
      <c r="I899" s="181"/>
      <c r="J899" s="181"/>
      <c r="K899" s="88"/>
      <c r="L899" s="387"/>
      <c r="M899" s="181"/>
      <c r="N899" s="181"/>
      <c r="O899" s="181"/>
      <c r="P899" s="88"/>
      <c r="Q899" s="155"/>
      <c r="R899" s="181"/>
      <c r="S899" s="181"/>
      <c r="T899" s="181"/>
      <c r="U899" s="395"/>
      <c r="V899" s="387"/>
      <c r="W899" s="181"/>
      <c r="X899" s="181"/>
      <c r="Y899" s="181"/>
      <c r="Z899" s="395"/>
      <c r="AA899" s="387"/>
      <c r="AB899" s="181"/>
      <c r="AC899" s="181"/>
      <c r="AD899" s="181"/>
      <c r="AE899" s="395"/>
      <c r="AF899" s="387"/>
      <c r="AG899" s="181"/>
      <c r="AH899" s="181"/>
      <c r="AI899" s="181"/>
      <c r="AJ899" s="395"/>
      <c r="AK899" s="387"/>
      <c r="AL899" s="181"/>
      <c r="AM899" s="181"/>
      <c r="AN899" s="181"/>
      <c r="AO899" s="370"/>
      <c r="AP899" s="370"/>
      <c r="AQ899" s="370"/>
      <c r="AR899" s="370"/>
      <c r="AS899" s="370"/>
    </row>
    <row r="900">
      <c r="A900" s="395"/>
      <c r="B900" s="387"/>
      <c r="C900" s="181"/>
      <c r="D900" s="181"/>
      <c r="E900" s="181"/>
      <c r="F900" s="395"/>
      <c r="G900" s="387"/>
      <c r="H900" s="181"/>
      <c r="I900" s="181"/>
      <c r="J900" s="181"/>
      <c r="K900" s="88"/>
      <c r="L900" s="387"/>
      <c r="M900" s="181"/>
      <c r="N900" s="181"/>
      <c r="O900" s="181"/>
      <c r="P900" s="88"/>
      <c r="Q900" s="155"/>
      <c r="R900" s="181"/>
      <c r="S900" s="181"/>
      <c r="T900" s="181"/>
      <c r="U900" s="395"/>
      <c r="V900" s="387"/>
      <c r="W900" s="181"/>
      <c r="X900" s="181"/>
      <c r="Y900" s="181"/>
      <c r="Z900" s="395"/>
      <c r="AA900" s="387"/>
      <c r="AB900" s="181"/>
      <c r="AC900" s="181"/>
      <c r="AD900" s="181"/>
      <c r="AE900" s="395"/>
      <c r="AF900" s="387"/>
      <c r="AG900" s="181"/>
      <c r="AH900" s="181"/>
      <c r="AI900" s="181"/>
      <c r="AJ900" s="395"/>
      <c r="AK900" s="387"/>
      <c r="AL900" s="181"/>
      <c r="AM900" s="181"/>
      <c r="AN900" s="181"/>
      <c r="AO900" s="370"/>
      <c r="AP900" s="370"/>
      <c r="AQ900" s="370"/>
      <c r="AR900" s="370"/>
      <c r="AS900" s="370"/>
    </row>
    <row r="901">
      <c r="A901" s="395"/>
      <c r="B901" s="387"/>
      <c r="C901" s="181"/>
      <c r="D901" s="181"/>
      <c r="E901" s="181"/>
      <c r="F901" s="395"/>
      <c r="G901" s="387"/>
      <c r="H901" s="181"/>
      <c r="I901" s="181"/>
      <c r="J901" s="181"/>
      <c r="K901" s="88"/>
      <c r="L901" s="387"/>
      <c r="M901" s="181"/>
      <c r="N901" s="181"/>
      <c r="O901" s="181"/>
      <c r="P901" s="88"/>
      <c r="Q901" s="155"/>
      <c r="R901" s="181"/>
      <c r="S901" s="181"/>
      <c r="T901" s="181"/>
      <c r="U901" s="395"/>
      <c r="V901" s="387"/>
      <c r="W901" s="181"/>
      <c r="X901" s="181"/>
      <c r="Y901" s="181"/>
      <c r="Z901" s="395"/>
      <c r="AA901" s="387"/>
      <c r="AB901" s="181"/>
      <c r="AC901" s="181"/>
      <c r="AD901" s="181"/>
      <c r="AE901" s="395"/>
      <c r="AF901" s="387"/>
      <c r="AG901" s="181"/>
      <c r="AH901" s="181"/>
      <c r="AI901" s="181"/>
      <c r="AJ901" s="395"/>
      <c r="AK901" s="387"/>
      <c r="AL901" s="181"/>
      <c r="AM901" s="181"/>
      <c r="AN901" s="181"/>
      <c r="AO901" s="370"/>
      <c r="AP901" s="370"/>
      <c r="AQ901" s="370"/>
      <c r="AR901" s="370"/>
      <c r="AS901" s="370"/>
    </row>
    <row r="902">
      <c r="A902" s="395"/>
      <c r="B902" s="387"/>
      <c r="C902" s="181"/>
      <c r="D902" s="181"/>
      <c r="E902" s="181"/>
      <c r="F902" s="395"/>
      <c r="G902" s="387"/>
      <c r="H902" s="181"/>
      <c r="I902" s="181"/>
      <c r="J902" s="181"/>
      <c r="K902" s="88"/>
      <c r="L902" s="387"/>
      <c r="M902" s="181"/>
      <c r="N902" s="181"/>
      <c r="O902" s="181"/>
      <c r="P902" s="88"/>
      <c r="Q902" s="155"/>
      <c r="R902" s="181"/>
      <c r="S902" s="181"/>
      <c r="T902" s="181"/>
      <c r="U902" s="395"/>
      <c r="V902" s="387"/>
      <c r="W902" s="181"/>
      <c r="X902" s="181"/>
      <c r="Y902" s="181"/>
      <c r="Z902" s="395"/>
      <c r="AA902" s="387"/>
      <c r="AB902" s="181"/>
      <c r="AC902" s="181"/>
      <c r="AD902" s="181"/>
      <c r="AE902" s="395"/>
      <c r="AF902" s="387"/>
      <c r="AG902" s="181"/>
      <c r="AH902" s="181"/>
      <c r="AI902" s="181"/>
      <c r="AJ902" s="395"/>
      <c r="AK902" s="387"/>
      <c r="AL902" s="181"/>
      <c r="AM902" s="181"/>
      <c r="AN902" s="181"/>
      <c r="AO902" s="370"/>
      <c r="AP902" s="370"/>
      <c r="AQ902" s="370"/>
      <c r="AR902" s="370"/>
      <c r="AS902" s="370"/>
    </row>
    <row r="903">
      <c r="A903" s="395"/>
      <c r="B903" s="387"/>
      <c r="C903" s="181"/>
      <c r="D903" s="181"/>
      <c r="E903" s="181"/>
      <c r="F903" s="395"/>
      <c r="G903" s="387"/>
      <c r="H903" s="181"/>
      <c r="I903" s="181"/>
      <c r="J903" s="181"/>
      <c r="K903" s="88"/>
      <c r="L903" s="387"/>
      <c r="M903" s="181"/>
      <c r="N903" s="181"/>
      <c r="O903" s="181"/>
      <c r="P903" s="88"/>
      <c r="Q903" s="155"/>
      <c r="R903" s="181"/>
      <c r="S903" s="181"/>
      <c r="T903" s="181"/>
      <c r="U903" s="395"/>
      <c r="V903" s="387"/>
      <c r="W903" s="181"/>
      <c r="X903" s="181"/>
      <c r="Y903" s="181"/>
      <c r="Z903" s="395"/>
      <c r="AA903" s="387"/>
      <c r="AB903" s="181"/>
      <c r="AC903" s="181"/>
      <c r="AD903" s="181"/>
      <c r="AE903" s="395"/>
      <c r="AF903" s="387"/>
      <c r="AG903" s="181"/>
      <c r="AH903" s="181"/>
      <c r="AI903" s="181"/>
      <c r="AJ903" s="395"/>
      <c r="AK903" s="387"/>
      <c r="AL903" s="181"/>
      <c r="AM903" s="181"/>
      <c r="AN903" s="181"/>
      <c r="AO903" s="370"/>
      <c r="AP903" s="370"/>
      <c r="AQ903" s="370"/>
      <c r="AR903" s="370"/>
      <c r="AS903" s="370"/>
    </row>
    <row r="904">
      <c r="A904" s="395"/>
      <c r="B904" s="387"/>
      <c r="C904" s="181"/>
      <c r="D904" s="181"/>
      <c r="E904" s="181"/>
      <c r="F904" s="395"/>
      <c r="G904" s="387"/>
      <c r="H904" s="181"/>
      <c r="I904" s="181"/>
      <c r="J904" s="181"/>
      <c r="K904" s="88"/>
      <c r="L904" s="387"/>
      <c r="M904" s="181"/>
      <c r="N904" s="181"/>
      <c r="O904" s="181"/>
      <c r="P904" s="88"/>
      <c r="Q904" s="155"/>
      <c r="R904" s="181"/>
      <c r="S904" s="181"/>
      <c r="T904" s="181"/>
      <c r="U904" s="395"/>
      <c r="V904" s="387"/>
      <c r="W904" s="181"/>
      <c r="X904" s="181"/>
      <c r="Y904" s="181"/>
      <c r="Z904" s="395"/>
      <c r="AA904" s="387"/>
      <c r="AB904" s="181"/>
      <c r="AC904" s="181"/>
      <c r="AD904" s="181"/>
      <c r="AE904" s="395"/>
      <c r="AF904" s="387"/>
      <c r="AG904" s="181"/>
      <c r="AH904" s="181"/>
      <c r="AI904" s="181"/>
      <c r="AJ904" s="395"/>
      <c r="AK904" s="387"/>
      <c r="AL904" s="181"/>
      <c r="AM904" s="181"/>
      <c r="AN904" s="181"/>
      <c r="AO904" s="370"/>
      <c r="AP904" s="370"/>
      <c r="AQ904" s="370"/>
      <c r="AR904" s="370"/>
      <c r="AS904" s="370"/>
    </row>
    <row r="905">
      <c r="A905" s="395"/>
      <c r="B905" s="387"/>
      <c r="C905" s="181"/>
      <c r="D905" s="181"/>
      <c r="E905" s="181"/>
      <c r="F905" s="395"/>
      <c r="G905" s="387"/>
      <c r="H905" s="181"/>
      <c r="I905" s="181"/>
      <c r="J905" s="181"/>
      <c r="K905" s="88"/>
      <c r="L905" s="387"/>
      <c r="M905" s="181"/>
      <c r="N905" s="181"/>
      <c r="O905" s="181"/>
      <c r="P905" s="88"/>
      <c r="Q905" s="155"/>
      <c r="R905" s="181"/>
      <c r="S905" s="181"/>
      <c r="T905" s="181"/>
      <c r="U905" s="395"/>
      <c r="V905" s="387"/>
      <c r="W905" s="181"/>
      <c r="X905" s="181"/>
      <c r="Y905" s="181"/>
      <c r="Z905" s="395"/>
      <c r="AA905" s="387"/>
      <c r="AB905" s="181"/>
      <c r="AC905" s="181"/>
      <c r="AD905" s="181"/>
      <c r="AE905" s="395"/>
      <c r="AF905" s="387"/>
      <c r="AG905" s="181"/>
      <c r="AH905" s="181"/>
      <c r="AI905" s="181"/>
      <c r="AJ905" s="395"/>
      <c r="AK905" s="387"/>
      <c r="AL905" s="181"/>
      <c r="AM905" s="181"/>
      <c r="AN905" s="181"/>
      <c r="AO905" s="370"/>
      <c r="AP905" s="370"/>
      <c r="AQ905" s="370"/>
      <c r="AR905" s="370"/>
      <c r="AS905" s="370"/>
    </row>
    <row r="906">
      <c r="A906" s="395"/>
      <c r="B906" s="387"/>
      <c r="C906" s="181"/>
      <c r="D906" s="181"/>
      <c r="E906" s="181"/>
      <c r="F906" s="395"/>
      <c r="G906" s="387"/>
      <c r="H906" s="181"/>
      <c r="I906" s="181"/>
      <c r="J906" s="181"/>
      <c r="K906" s="88"/>
      <c r="L906" s="387"/>
      <c r="M906" s="181"/>
      <c r="N906" s="181"/>
      <c r="O906" s="181"/>
      <c r="P906" s="88"/>
      <c r="Q906" s="155"/>
      <c r="R906" s="181"/>
      <c r="S906" s="181"/>
      <c r="T906" s="181"/>
      <c r="U906" s="395"/>
      <c r="V906" s="387"/>
      <c r="W906" s="181"/>
      <c r="X906" s="181"/>
      <c r="Y906" s="181"/>
      <c r="Z906" s="395"/>
      <c r="AA906" s="387"/>
      <c r="AB906" s="181"/>
      <c r="AC906" s="181"/>
      <c r="AD906" s="181"/>
      <c r="AE906" s="395"/>
      <c r="AF906" s="387"/>
      <c r="AG906" s="181"/>
      <c r="AH906" s="181"/>
      <c r="AI906" s="181"/>
      <c r="AJ906" s="395"/>
      <c r="AK906" s="387"/>
      <c r="AL906" s="181"/>
      <c r="AM906" s="181"/>
      <c r="AN906" s="181"/>
      <c r="AO906" s="370"/>
      <c r="AP906" s="370"/>
      <c r="AQ906" s="370"/>
      <c r="AR906" s="370"/>
      <c r="AS906" s="370"/>
    </row>
    <row r="907">
      <c r="A907" s="395"/>
      <c r="B907" s="387"/>
      <c r="C907" s="181"/>
      <c r="D907" s="181"/>
      <c r="E907" s="181"/>
      <c r="F907" s="395"/>
      <c r="G907" s="387"/>
      <c r="H907" s="181"/>
      <c r="I907" s="181"/>
      <c r="J907" s="181"/>
      <c r="K907" s="88"/>
      <c r="L907" s="387"/>
      <c r="M907" s="181"/>
      <c r="N907" s="181"/>
      <c r="O907" s="181"/>
      <c r="P907" s="88"/>
      <c r="Q907" s="155"/>
      <c r="R907" s="181"/>
      <c r="S907" s="181"/>
      <c r="T907" s="181"/>
      <c r="U907" s="395"/>
      <c r="V907" s="387"/>
      <c r="W907" s="181"/>
      <c r="X907" s="181"/>
      <c r="Y907" s="181"/>
      <c r="Z907" s="395"/>
      <c r="AA907" s="387"/>
      <c r="AB907" s="181"/>
      <c r="AC907" s="181"/>
      <c r="AD907" s="181"/>
      <c r="AE907" s="395"/>
      <c r="AF907" s="387"/>
      <c r="AG907" s="181"/>
      <c r="AH907" s="181"/>
      <c r="AI907" s="181"/>
      <c r="AJ907" s="395"/>
      <c r="AK907" s="387"/>
      <c r="AL907" s="181"/>
      <c r="AM907" s="181"/>
      <c r="AN907" s="181"/>
      <c r="AO907" s="370"/>
      <c r="AP907" s="370"/>
      <c r="AQ907" s="370"/>
      <c r="AR907" s="370"/>
      <c r="AS907" s="370"/>
    </row>
    <row r="908">
      <c r="A908" s="395"/>
      <c r="B908" s="387"/>
      <c r="C908" s="181"/>
      <c r="D908" s="181"/>
      <c r="E908" s="181"/>
      <c r="F908" s="395"/>
      <c r="G908" s="387"/>
      <c r="H908" s="181"/>
      <c r="I908" s="181"/>
      <c r="J908" s="181"/>
      <c r="K908" s="88"/>
      <c r="L908" s="387"/>
      <c r="M908" s="181"/>
      <c r="N908" s="181"/>
      <c r="O908" s="181"/>
      <c r="P908" s="88"/>
      <c r="Q908" s="155"/>
      <c r="R908" s="181"/>
      <c r="S908" s="181"/>
      <c r="T908" s="181"/>
      <c r="U908" s="395"/>
      <c r="V908" s="387"/>
      <c r="W908" s="181"/>
      <c r="X908" s="181"/>
      <c r="Y908" s="181"/>
      <c r="Z908" s="395"/>
      <c r="AA908" s="387"/>
      <c r="AB908" s="181"/>
      <c r="AC908" s="181"/>
      <c r="AD908" s="181"/>
      <c r="AE908" s="395"/>
      <c r="AF908" s="387"/>
      <c r="AG908" s="181"/>
      <c r="AH908" s="181"/>
      <c r="AI908" s="181"/>
      <c r="AJ908" s="395"/>
      <c r="AK908" s="387"/>
      <c r="AL908" s="181"/>
      <c r="AM908" s="181"/>
      <c r="AN908" s="181"/>
      <c r="AO908" s="370"/>
      <c r="AP908" s="370"/>
      <c r="AQ908" s="370"/>
      <c r="AR908" s="370"/>
      <c r="AS908" s="370"/>
    </row>
    <row r="909">
      <c r="A909" s="395"/>
      <c r="B909" s="387"/>
      <c r="C909" s="181"/>
      <c r="D909" s="181"/>
      <c r="E909" s="181"/>
      <c r="F909" s="395"/>
      <c r="G909" s="387"/>
      <c r="H909" s="181"/>
      <c r="I909" s="181"/>
      <c r="J909" s="181"/>
      <c r="K909" s="88"/>
      <c r="L909" s="387"/>
      <c r="M909" s="181"/>
      <c r="N909" s="181"/>
      <c r="O909" s="181"/>
      <c r="P909" s="88"/>
      <c r="Q909" s="155"/>
      <c r="R909" s="181"/>
      <c r="S909" s="181"/>
      <c r="T909" s="181"/>
      <c r="U909" s="395"/>
      <c r="V909" s="387"/>
      <c r="W909" s="181"/>
      <c r="X909" s="181"/>
      <c r="Y909" s="181"/>
      <c r="Z909" s="395"/>
      <c r="AA909" s="387"/>
      <c r="AB909" s="181"/>
      <c r="AC909" s="181"/>
      <c r="AD909" s="181"/>
      <c r="AE909" s="395"/>
      <c r="AF909" s="387"/>
      <c r="AG909" s="181"/>
      <c r="AH909" s="181"/>
      <c r="AI909" s="181"/>
      <c r="AJ909" s="395"/>
      <c r="AK909" s="387"/>
      <c r="AL909" s="181"/>
      <c r="AM909" s="181"/>
      <c r="AN909" s="181"/>
      <c r="AO909" s="370"/>
      <c r="AP909" s="370"/>
      <c r="AQ909" s="370"/>
      <c r="AR909" s="370"/>
      <c r="AS909" s="370"/>
    </row>
    <row r="910">
      <c r="A910" s="395"/>
      <c r="B910" s="387"/>
      <c r="C910" s="181"/>
      <c r="D910" s="181"/>
      <c r="E910" s="181"/>
      <c r="F910" s="395"/>
      <c r="G910" s="387"/>
      <c r="H910" s="181"/>
      <c r="I910" s="181"/>
      <c r="J910" s="181"/>
      <c r="K910" s="88"/>
      <c r="L910" s="387"/>
      <c r="M910" s="181"/>
      <c r="N910" s="181"/>
      <c r="O910" s="181"/>
      <c r="P910" s="88"/>
      <c r="Q910" s="155"/>
      <c r="R910" s="181"/>
      <c r="S910" s="181"/>
      <c r="T910" s="181"/>
      <c r="U910" s="395"/>
      <c r="V910" s="387"/>
      <c r="W910" s="181"/>
      <c r="X910" s="181"/>
      <c r="Y910" s="181"/>
      <c r="Z910" s="395"/>
      <c r="AA910" s="387"/>
      <c r="AB910" s="181"/>
      <c r="AC910" s="181"/>
      <c r="AD910" s="181"/>
      <c r="AE910" s="395"/>
      <c r="AF910" s="387"/>
      <c r="AG910" s="181"/>
      <c r="AH910" s="181"/>
      <c r="AI910" s="181"/>
      <c r="AJ910" s="395"/>
      <c r="AK910" s="387"/>
      <c r="AL910" s="181"/>
      <c r="AM910" s="181"/>
      <c r="AN910" s="181"/>
      <c r="AO910" s="370"/>
      <c r="AP910" s="370"/>
      <c r="AQ910" s="370"/>
      <c r="AR910" s="370"/>
      <c r="AS910" s="370"/>
    </row>
    <row r="911">
      <c r="A911" s="395"/>
      <c r="B911" s="387"/>
      <c r="C911" s="181"/>
      <c r="D911" s="181"/>
      <c r="E911" s="181"/>
      <c r="F911" s="395"/>
      <c r="G911" s="387"/>
      <c r="H911" s="181"/>
      <c r="I911" s="181"/>
      <c r="J911" s="181"/>
      <c r="K911" s="88"/>
      <c r="L911" s="387"/>
      <c r="M911" s="181"/>
      <c r="N911" s="181"/>
      <c r="O911" s="181"/>
      <c r="P911" s="88"/>
      <c r="Q911" s="155"/>
      <c r="R911" s="181"/>
      <c r="S911" s="181"/>
      <c r="T911" s="181"/>
      <c r="U911" s="395"/>
      <c r="V911" s="387"/>
      <c r="W911" s="181"/>
      <c r="X911" s="181"/>
      <c r="Y911" s="181"/>
      <c r="Z911" s="395"/>
      <c r="AA911" s="387"/>
      <c r="AB911" s="181"/>
      <c r="AC911" s="181"/>
      <c r="AD911" s="181"/>
      <c r="AE911" s="395"/>
      <c r="AF911" s="387"/>
      <c r="AG911" s="181"/>
      <c r="AH911" s="181"/>
      <c r="AI911" s="181"/>
      <c r="AJ911" s="395"/>
      <c r="AK911" s="387"/>
      <c r="AL911" s="181"/>
      <c r="AM911" s="181"/>
      <c r="AN911" s="181"/>
      <c r="AO911" s="370"/>
      <c r="AP911" s="370"/>
      <c r="AQ911" s="370"/>
      <c r="AR911" s="370"/>
      <c r="AS911" s="370"/>
    </row>
    <row r="912">
      <c r="A912" s="395"/>
      <c r="B912" s="387"/>
      <c r="C912" s="181"/>
      <c r="D912" s="181"/>
      <c r="E912" s="181"/>
      <c r="F912" s="395"/>
      <c r="G912" s="387"/>
      <c r="H912" s="181"/>
      <c r="I912" s="181"/>
      <c r="J912" s="181"/>
      <c r="K912" s="88"/>
      <c r="L912" s="387"/>
      <c r="M912" s="181"/>
      <c r="N912" s="181"/>
      <c r="O912" s="181"/>
      <c r="P912" s="88"/>
      <c r="Q912" s="155"/>
      <c r="R912" s="181"/>
      <c r="S912" s="181"/>
      <c r="T912" s="181"/>
      <c r="U912" s="395"/>
      <c r="V912" s="387"/>
      <c r="W912" s="181"/>
      <c r="X912" s="181"/>
      <c r="Y912" s="181"/>
      <c r="Z912" s="395"/>
      <c r="AA912" s="387"/>
      <c r="AB912" s="181"/>
      <c r="AC912" s="181"/>
      <c r="AD912" s="181"/>
      <c r="AE912" s="395"/>
      <c r="AF912" s="387"/>
      <c r="AG912" s="181"/>
      <c r="AH912" s="181"/>
      <c r="AI912" s="181"/>
      <c r="AJ912" s="395"/>
      <c r="AK912" s="387"/>
      <c r="AL912" s="181"/>
      <c r="AM912" s="181"/>
      <c r="AN912" s="181"/>
      <c r="AO912" s="370"/>
      <c r="AP912" s="370"/>
      <c r="AQ912" s="370"/>
      <c r="AR912" s="370"/>
      <c r="AS912" s="370"/>
    </row>
    <row r="913">
      <c r="A913" s="395"/>
      <c r="B913" s="387"/>
      <c r="C913" s="181"/>
      <c r="D913" s="181"/>
      <c r="E913" s="181"/>
      <c r="F913" s="395"/>
      <c r="G913" s="387"/>
      <c r="H913" s="181"/>
      <c r="I913" s="181"/>
      <c r="J913" s="181"/>
      <c r="K913" s="88"/>
      <c r="L913" s="387"/>
      <c r="M913" s="181"/>
      <c r="N913" s="181"/>
      <c r="O913" s="181"/>
      <c r="P913" s="88"/>
      <c r="Q913" s="155"/>
      <c r="R913" s="181"/>
      <c r="S913" s="181"/>
      <c r="T913" s="181"/>
      <c r="U913" s="395"/>
      <c r="V913" s="387"/>
      <c r="W913" s="181"/>
      <c r="X913" s="181"/>
      <c r="Y913" s="181"/>
      <c r="Z913" s="395"/>
      <c r="AA913" s="387"/>
      <c r="AB913" s="181"/>
      <c r="AC913" s="181"/>
      <c r="AD913" s="181"/>
      <c r="AE913" s="395"/>
      <c r="AF913" s="387"/>
      <c r="AG913" s="181"/>
      <c r="AH913" s="181"/>
      <c r="AI913" s="181"/>
      <c r="AJ913" s="395"/>
      <c r="AK913" s="387"/>
      <c r="AL913" s="181"/>
      <c r="AM913" s="181"/>
      <c r="AN913" s="181"/>
      <c r="AO913" s="370"/>
      <c r="AP913" s="370"/>
      <c r="AQ913" s="370"/>
      <c r="AR913" s="370"/>
      <c r="AS913" s="370"/>
    </row>
    <row r="914">
      <c r="A914" s="395"/>
      <c r="B914" s="387"/>
      <c r="C914" s="181"/>
      <c r="D914" s="181"/>
      <c r="E914" s="181"/>
      <c r="F914" s="395"/>
      <c r="G914" s="387"/>
      <c r="H914" s="181"/>
      <c r="I914" s="181"/>
      <c r="J914" s="181"/>
      <c r="K914" s="88"/>
      <c r="L914" s="387"/>
      <c r="M914" s="181"/>
      <c r="N914" s="181"/>
      <c r="O914" s="181"/>
      <c r="P914" s="88"/>
      <c r="Q914" s="155"/>
      <c r="R914" s="181"/>
      <c r="S914" s="181"/>
      <c r="T914" s="181"/>
      <c r="U914" s="395"/>
      <c r="V914" s="387"/>
      <c r="W914" s="181"/>
      <c r="X914" s="181"/>
      <c r="Y914" s="181"/>
      <c r="Z914" s="395"/>
      <c r="AA914" s="387"/>
      <c r="AB914" s="181"/>
      <c r="AC914" s="181"/>
      <c r="AD914" s="181"/>
      <c r="AE914" s="395"/>
      <c r="AF914" s="387"/>
      <c r="AG914" s="181"/>
      <c r="AH914" s="181"/>
      <c r="AI914" s="181"/>
      <c r="AJ914" s="395"/>
      <c r="AK914" s="387"/>
      <c r="AL914" s="181"/>
      <c r="AM914" s="181"/>
      <c r="AN914" s="181"/>
      <c r="AO914" s="370"/>
      <c r="AP914" s="370"/>
      <c r="AQ914" s="370"/>
      <c r="AR914" s="370"/>
      <c r="AS914" s="370"/>
    </row>
    <row r="915">
      <c r="A915" s="395"/>
      <c r="B915" s="387"/>
      <c r="C915" s="181"/>
      <c r="D915" s="181"/>
      <c r="E915" s="181"/>
      <c r="F915" s="395"/>
      <c r="G915" s="387"/>
      <c r="H915" s="181"/>
      <c r="I915" s="181"/>
      <c r="J915" s="181"/>
      <c r="K915" s="88"/>
      <c r="L915" s="387"/>
      <c r="M915" s="181"/>
      <c r="N915" s="181"/>
      <c r="O915" s="181"/>
      <c r="P915" s="88"/>
      <c r="Q915" s="155"/>
      <c r="R915" s="181"/>
      <c r="S915" s="181"/>
      <c r="T915" s="181"/>
      <c r="U915" s="395"/>
      <c r="V915" s="387"/>
      <c r="W915" s="181"/>
      <c r="X915" s="181"/>
      <c r="Y915" s="181"/>
      <c r="Z915" s="395"/>
      <c r="AA915" s="387"/>
      <c r="AB915" s="181"/>
      <c r="AC915" s="181"/>
      <c r="AD915" s="181"/>
      <c r="AE915" s="395"/>
      <c r="AF915" s="387"/>
      <c r="AG915" s="181"/>
      <c r="AH915" s="181"/>
      <c r="AI915" s="181"/>
      <c r="AJ915" s="395"/>
      <c r="AK915" s="387"/>
      <c r="AL915" s="181"/>
      <c r="AM915" s="181"/>
      <c r="AN915" s="181"/>
      <c r="AO915" s="370"/>
      <c r="AP915" s="370"/>
      <c r="AQ915" s="370"/>
      <c r="AR915" s="370"/>
      <c r="AS915" s="370"/>
    </row>
    <row r="916">
      <c r="A916" s="395"/>
      <c r="B916" s="387"/>
      <c r="C916" s="181"/>
      <c r="D916" s="181"/>
      <c r="E916" s="181"/>
      <c r="F916" s="395"/>
      <c r="G916" s="387"/>
      <c r="H916" s="181"/>
      <c r="I916" s="181"/>
      <c r="J916" s="181"/>
      <c r="K916" s="88"/>
      <c r="L916" s="387"/>
      <c r="M916" s="181"/>
      <c r="N916" s="181"/>
      <c r="O916" s="181"/>
      <c r="P916" s="88"/>
      <c r="Q916" s="155"/>
      <c r="R916" s="181"/>
      <c r="S916" s="181"/>
      <c r="T916" s="181"/>
      <c r="U916" s="395"/>
      <c r="V916" s="387"/>
      <c r="W916" s="181"/>
      <c r="X916" s="181"/>
      <c r="Y916" s="181"/>
      <c r="Z916" s="395"/>
      <c r="AA916" s="387"/>
      <c r="AB916" s="181"/>
      <c r="AC916" s="181"/>
      <c r="AD916" s="181"/>
      <c r="AE916" s="395"/>
      <c r="AF916" s="387"/>
      <c r="AG916" s="181"/>
      <c r="AH916" s="181"/>
      <c r="AI916" s="181"/>
      <c r="AJ916" s="395"/>
      <c r="AK916" s="387"/>
      <c r="AL916" s="181"/>
      <c r="AM916" s="181"/>
      <c r="AN916" s="181"/>
      <c r="AO916" s="370"/>
      <c r="AP916" s="370"/>
      <c r="AQ916" s="370"/>
      <c r="AR916" s="370"/>
      <c r="AS916" s="370"/>
    </row>
    <row r="917">
      <c r="A917" s="395"/>
      <c r="B917" s="387"/>
      <c r="C917" s="181"/>
      <c r="D917" s="181"/>
      <c r="E917" s="181"/>
      <c r="F917" s="395"/>
      <c r="G917" s="387"/>
      <c r="H917" s="181"/>
      <c r="I917" s="181"/>
      <c r="J917" s="181"/>
      <c r="K917" s="88"/>
      <c r="L917" s="387"/>
      <c r="M917" s="181"/>
      <c r="N917" s="181"/>
      <c r="O917" s="181"/>
      <c r="P917" s="88"/>
      <c r="Q917" s="155"/>
      <c r="R917" s="181"/>
      <c r="S917" s="181"/>
      <c r="T917" s="181"/>
      <c r="U917" s="395"/>
      <c r="V917" s="387"/>
      <c r="W917" s="181"/>
      <c r="X917" s="181"/>
      <c r="Y917" s="181"/>
      <c r="Z917" s="395"/>
      <c r="AA917" s="387"/>
      <c r="AB917" s="181"/>
      <c r="AC917" s="181"/>
      <c r="AD917" s="181"/>
      <c r="AE917" s="395"/>
      <c r="AF917" s="387"/>
      <c r="AG917" s="181"/>
      <c r="AH917" s="181"/>
      <c r="AI917" s="181"/>
      <c r="AJ917" s="395"/>
      <c r="AK917" s="387"/>
      <c r="AL917" s="181"/>
      <c r="AM917" s="181"/>
      <c r="AN917" s="181"/>
      <c r="AO917" s="370"/>
      <c r="AP917" s="370"/>
      <c r="AQ917" s="370"/>
      <c r="AR917" s="370"/>
      <c r="AS917" s="370"/>
    </row>
    <row r="918">
      <c r="A918" s="395"/>
      <c r="B918" s="387"/>
      <c r="C918" s="181"/>
      <c r="D918" s="181"/>
      <c r="E918" s="181"/>
      <c r="F918" s="395"/>
      <c r="G918" s="387"/>
      <c r="H918" s="181"/>
      <c r="I918" s="181"/>
      <c r="J918" s="181"/>
      <c r="K918" s="88"/>
      <c r="L918" s="387"/>
      <c r="M918" s="181"/>
      <c r="N918" s="181"/>
      <c r="O918" s="181"/>
      <c r="P918" s="88"/>
      <c r="Q918" s="155"/>
      <c r="R918" s="181"/>
      <c r="S918" s="181"/>
      <c r="T918" s="181"/>
      <c r="U918" s="395"/>
      <c r="V918" s="387"/>
      <c r="W918" s="181"/>
      <c r="X918" s="181"/>
      <c r="Y918" s="181"/>
      <c r="Z918" s="395"/>
      <c r="AA918" s="387"/>
      <c r="AB918" s="181"/>
      <c r="AC918" s="181"/>
      <c r="AD918" s="181"/>
      <c r="AE918" s="395"/>
      <c r="AF918" s="387"/>
      <c r="AG918" s="181"/>
      <c r="AH918" s="181"/>
      <c r="AI918" s="181"/>
      <c r="AJ918" s="395"/>
      <c r="AK918" s="387"/>
      <c r="AL918" s="181"/>
      <c r="AM918" s="181"/>
      <c r="AN918" s="181"/>
      <c r="AO918" s="370"/>
      <c r="AP918" s="370"/>
      <c r="AQ918" s="370"/>
      <c r="AR918" s="370"/>
      <c r="AS918" s="370"/>
    </row>
    <row r="919">
      <c r="A919" s="395"/>
      <c r="B919" s="387"/>
      <c r="C919" s="181"/>
      <c r="D919" s="181"/>
      <c r="E919" s="181"/>
      <c r="F919" s="395"/>
      <c r="G919" s="387"/>
      <c r="H919" s="181"/>
      <c r="I919" s="181"/>
      <c r="J919" s="181"/>
      <c r="K919" s="88"/>
      <c r="L919" s="387"/>
      <c r="M919" s="181"/>
      <c r="N919" s="181"/>
      <c r="O919" s="181"/>
      <c r="P919" s="88"/>
      <c r="Q919" s="155"/>
      <c r="R919" s="181"/>
      <c r="S919" s="181"/>
      <c r="T919" s="181"/>
      <c r="U919" s="395"/>
      <c r="V919" s="387"/>
      <c r="W919" s="181"/>
      <c r="X919" s="181"/>
      <c r="Y919" s="181"/>
      <c r="Z919" s="395"/>
      <c r="AA919" s="387"/>
      <c r="AB919" s="181"/>
      <c r="AC919" s="181"/>
      <c r="AD919" s="181"/>
      <c r="AE919" s="395"/>
      <c r="AF919" s="387"/>
      <c r="AG919" s="181"/>
      <c r="AH919" s="181"/>
      <c r="AI919" s="181"/>
      <c r="AJ919" s="395"/>
      <c r="AK919" s="387"/>
      <c r="AL919" s="181"/>
      <c r="AM919" s="181"/>
      <c r="AN919" s="181"/>
      <c r="AO919" s="370"/>
      <c r="AP919" s="370"/>
      <c r="AQ919" s="370"/>
      <c r="AR919" s="370"/>
      <c r="AS919" s="370"/>
    </row>
    <row r="920">
      <c r="A920" s="395"/>
      <c r="B920" s="387"/>
      <c r="C920" s="181"/>
      <c r="D920" s="181"/>
      <c r="E920" s="181"/>
      <c r="F920" s="395"/>
      <c r="G920" s="387"/>
      <c r="H920" s="181"/>
      <c r="I920" s="181"/>
      <c r="J920" s="181"/>
      <c r="K920" s="88"/>
      <c r="L920" s="387"/>
      <c r="M920" s="181"/>
      <c r="N920" s="181"/>
      <c r="O920" s="181"/>
      <c r="P920" s="88"/>
      <c r="Q920" s="155"/>
      <c r="R920" s="181"/>
      <c r="S920" s="181"/>
      <c r="T920" s="181"/>
      <c r="U920" s="395"/>
      <c r="V920" s="387"/>
      <c r="W920" s="181"/>
      <c r="X920" s="181"/>
      <c r="Y920" s="181"/>
      <c r="Z920" s="395"/>
      <c r="AA920" s="387"/>
      <c r="AB920" s="181"/>
      <c r="AC920" s="181"/>
      <c r="AD920" s="181"/>
      <c r="AE920" s="395"/>
      <c r="AF920" s="387"/>
      <c r="AG920" s="181"/>
      <c r="AH920" s="181"/>
      <c r="AI920" s="181"/>
      <c r="AJ920" s="395"/>
      <c r="AK920" s="387"/>
      <c r="AL920" s="181"/>
      <c r="AM920" s="181"/>
      <c r="AN920" s="181"/>
      <c r="AO920" s="370"/>
      <c r="AP920" s="370"/>
      <c r="AQ920" s="370"/>
      <c r="AR920" s="370"/>
      <c r="AS920" s="370"/>
    </row>
    <row r="921">
      <c r="A921" s="395"/>
      <c r="B921" s="387"/>
      <c r="C921" s="181"/>
      <c r="D921" s="181"/>
      <c r="E921" s="181"/>
      <c r="F921" s="395"/>
      <c r="G921" s="387"/>
      <c r="H921" s="181"/>
      <c r="I921" s="181"/>
      <c r="J921" s="181"/>
      <c r="K921" s="88"/>
      <c r="L921" s="387"/>
      <c r="M921" s="181"/>
      <c r="N921" s="181"/>
      <c r="O921" s="181"/>
      <c r="P921" s="88"/>
      <c r="Q921" s="155"/>
      <c r="R921" s="181"/>
      <c r="S921" s="181"/>
      <c r="T921" s="181"/>
      <c r="U921" s="395"/>
      <c r="V921" s="387"/>
      <c r="W921" s="181"/>
      <c r="X921" s="181"/>
      <c r="Y921" s="181"/>
      <c r="Z921" s="395"/>
      <c r="AA921" s="387"/>
      <c r="AB921" s="181"/>
      <c r="AC921" s="181"/>
      <c r="AD921" s="181"/>
      <c r="AE921" s="395"/>
      <c r="AF921" s="387"/>
      <c r="AG921" s="181"/>
      <c r="AH921" s="181"/>
      <c r="AI921" s="181"/>
      <c r="AJ921" s="395"/>
      <c r="AK921" s="387"/>
      <c r="AL921" s="181"/>
      <c r="AM921" s="181"/>
      <c r="AN921" s="181"/>
      <c r="AO921" s="370"/>
      <c r="AP921" s="370"/>
      <c r="AQ921" s="370"/>
      <c r="AR921" s="370"/>
      <c r="AS921" s="370"/>
    </row>
    <row r="922">
      <c r="A922" s="395"/>
      <c r="B922" s="387"/>
      <c r="C922" s="181"/>
      <c r="D922" s="181"/>
      <c r="E922" s="181"/>
      <c r="F922" s="395"/>
      <c r="G922" s="387"/>
      <c r="H922" s="181"/>
      <c r="I922" s="181"/>
      <c r="J922" s="181"/>
      <c r="K922" s="88"/>
      <c r="L922" s="387"/>
      <c r="M922" s="181"/>
      <c r="N922" s="181"/>
      <c r="O922" s="181"/>
      <c r="P922" s="88"/>
      <c r="Q922" s="155"/>
      <c r="R922" s="181"/>
      <c r="S922" s="181"/>
      <c r="T922" s="181"/>
      <c r="U922" s="395"/>
      <c r="V922" s="387"/>
      <c r="W922" s="181"/>
      <c r="X922" s="181"/>
      <c r="Y922" s="181"/>
      <c r="Z922" s="395"/>
      <c r="AA922" s="387"/>
      <c r="AB922" s="181"/>
      <c r="AC922" s="181"/>
      <c r="AD922" s="181"/>
      <c r="AE922" s="395"/>
      <c r="AF922" s="387"/>
      <c r="AG922" s="181"/>
      <c r="AH922" s="181"/>
      <c r="AI922" s="181"/>
      <c r="AJ922" s="395"/>
      <c r="AK922" s="387"/>
      <c r="AL922" s="181"/>
      <c r="AM922" s="181"/>
      <c r="AN922" s="181"/>
      <c r="AO922" s="370"/>
      <c r="AP922" s="370"/>
      <c r="AQ922" s="370"/>
      <c r="AR922" s="370"/>
      <c r="AS922" s="370"/>
    </row>
    <row r="923">
      <c r="A923" s="395"/>
      <c r="B923" s="387"/>
      <c r="C923" s="181"/>
      <c r="D923" s="181"/>
      <c r="E923" s="181"/>
      <c r="F923" s="395"/>
      <c r="G923" s="387"/>
      <c r="H923" s="181"/>
      <c r="I923" s="181"/>
      <c r="J923" s="181"/>
      <c r="K923" s="88"/>
      <c r="L923" s="387"/>
      <c r="M923" s="181"/>
      <c r="N923" s="181"/>
      <c r="O923" s="181"/>
      <c r="P923" s="88"/>
      <c r="Q923" s="155"/>
      <c r="R923" s="181"/>
      <c r="S923" s="181"/>
      <c r="T923" s="181"/>
      <c r="U923" s="395"/>
      <c r="V923" s="387"/>
      <c r="W923" s="181"/>
      <c r="X923" s="181"/>
      <c r="Y923" s="181"/>
      <c r="Z923" s="395"/>
      <c r="AA923" s="387"/>
      <c r="AB923" s="181"/>
      <c r="AC923" s="181"/>
      <c r="AD923" s="181"/>
      <c r="AE923" s="395"/>
      <c r="AF923" s="387"/>
      <c r="AG923" s="181"/>
      <c r="AH923" s="181"/>
      <c r="AI923" s="181"/>
      <c r="AJ923" s="395"/>
      <c r="AK923" s="387"/>
      <c r="AL923" s="181"/>
      <c r="AM923" s="181"/>
      <c r="AN923" s="181"/>
      <c r="AO923" s="370"/>
      <c r="AP923" s="370"/>
      <c r="AQ923" s="370"/>
      <c r="AR923" s="370"/>
      <c r="AS923" s="370"/>
    </row>
    <row r="924">
      <c r="A924" s="395"/>
      <c r="B924" s="387"/>
      <c r="C924" s="181"/>
      <c r="D924" s="181"/>
      <c r="E924" s="181"/>
      <c r="F924" s="395"/>
      <c r="G924" s="387"/>
      <c r="H924" s="181"/>
      <c r="I924" s="181"/>
      <c r="J924" s="181"/>
      <c r="K924" s="88"/>
      <c r="L924" s="387"/>
      <c r="M924" s="181"/>
      <c r="N924" s="181"/>
      <c r="O924" s="181"/>
      <c r="P924" s="88"/>
      <c r="Q924" s="155"/>
      <c r="R924" s="181"/>
      <c r="S924" s="181"/>
      <c r="T924" s="181"/>
      <c r="U924" s="395"/>
      <c r="V924" s="387"/>
      <c r="W924" s="181"/>
      <c r="X924" s="181"/>
      <c r="Y924" s="181"/>
      <c r="Z924" s="395"/>
      <c r="AA924" s="387"/>
      <c r="AB924" s="181"/>
      <c r="AC924" s="181"/>
      <c r="AD924" s="181"/>
      <c r="AE924" s="395"/>
      <c r="AF924" s="387"/>
      <c r="AG924" s="181"/>
      <c r="AH924" s="181"/>
      <c r="AI924" s="181"/>
      <c r="AJ924" s="395"/>
      <c r="AK924" s="387"/>
      <c r="AL924" s="181"/>
      <c r="AM924" s="181"/>
      <c r="AN924" s="181"/>
      <c r="AO924" s="370"/>
      <c r="AP924" s="370"/>
      <c r="AQ924" s="370"/>
      <c r="AR924" s="370"/>
      <c r="AS924" s="370"/>
    </row>
    <row r="925">
      <c r="A925" s="395"/>
      <c r="B925" s="387"/>
      <c r="C925" s="181"/>
      <c r="D925" s="181"/>
      <c r="E925" s="181"/>
      <c r="F925" s="395"/>
      <c r="G925" s="387"/>
      <c r="H925" s="181"/>
      <c r="I925" s="181"/>
      <c r="J925" s="181"/>
      <c r="K925" s="88"/>
      <c r="L925" s="387"/>
      <c r="M925" s="181"/>
      <c r="N925" s="181"/>
      <c r="O925" s="181"/>
      <c r="P925" s="88"/>
      <c r="Q925" s="155"/>
      <c r="R925" s="181"/>
      <c r="S925" s="181"/>
      <c r="T925" s="181"/>
      <c r="U925" s="395"/>
      <c r="V925" s="387"/>
      <c r="W925" s="181"/>
      <c r="X925" s="181"/>
      <c r="Y925" s="181"/>
      <c r="Z925" s="395"/>
      <c r="AA925" s="387"/>
      <c r="AB925" s="181"/>
      <c r="AC925" s="181"/>
      <c r="AD925" s="181"/>
      <c r="AE925" s="395"/>
      <c r="AF925" s="387"/>
      <c r="AG925" s="181"/>
      <c r="AH925" s="181"/>
      <c r="AI925" s="181"/>
      <c r="AJ925" s="395"/>
      <c r="AK925" s="387"/>
      <c r="AL925" s="181"/>
      <c r="AM925" s="181"/>
      <c r="AN925" s="181"/>
      <c r="AO925" s="370"/>
      <c r="AP925" s="370"/>
      <c r="AQ925" s="370"/>
      <c r="AR925" s="370"/>
      <c r="AS925" s="370"/>
    </row>
    <row r="926">
      <c r="A926" s="395"/>
      <c r="B926" s="387"/>
      <c r="C926" s="181"/>
      <c r="D926" s="181"/>
      <c r="E926" s="181"/>
      <c r="F926" s="395"/>
      <c r="G926" s="387"/>
      <c r="H926" s="181"/>
      <c r="I926" s="181"/>
      <c r="J926" s="181"/>
      <c r="K926" s="88"/>
      <c r="L926" s="387"/>
      <c r="M926" s="181"/>
      <c r="N926" s="181"/>
      <c r="O926" s="181"/>
      <c r="P926" s="88"/>
      <c r="Q926" s="155"/>
      <c r="R926" s="181"/>
      <c r="S926" s="181"/>
      <c r="T926" s="181"/>
      <c r="U926" s="395"/>
      <c r="V926" s="387"/>
      <c r="W926" s="181"/>
      <c r="X926" s="181"/>
      <c r="Y926" s="181"/>
      <c r="Z926" s="395"/>
      <c r="AA926" s="387"/>
      <c r="AB926" s="181"/>
      <c r="AC926" s="181"/>
      <c r="AD926" s="181"/>
      <c r="AE926" s="395"/>
      <c r="AF926" s="387"/>
      <c r="AG926" s="181"/>
      <c r="AH926" s="181"/>
      <c r="AI926" s="181"/>
      <c r="AJ926" s="395"/>
      <c r="AK926" s="387"/>
      <c r="AL926" s="181"/>
      <c r="AM926" s="181"/>
      <c r="AN926" s="181"/>
      <c r="AO926" s="370"/>
      <c r="AP926" s="370"/>
      <c r="AQ926" s="370"/>
      <c r="AR926" s="370"/>
      <c r="AS926" s="370"/>
    </row>
    <row r="927">
      <c r="A927" s="395"/>
      <c r="B927" s="387"/>
      <c r="C927" s="181"/>
      <c r="D927" s="181"/>
      <c r="E927" s="181"/>
      <c r="F927" s="395"/>
      <c r="G927" s="387"/>
      <c r="H927" s="181"/>
      <c r="I927" s="181"/>
      <c r="J927" s="181"/>
      <c r="K927" s="88"/>
      <c r="L927" s="387"/>
      <c r="M927" s="181"/>
      <c r="N927" s="181"/>
      <c r="O927" s="181"/>
      <c r="P927" s="88"/>
      <c r="Q927" s="155"/>
      <c r="R927" s="181"/>
      <c r="S927" s="181"/>
      <c r="T927" s="181"/>
      <c r="U927" s="395"/>
      <c r="V927" s="387"/>
      <c r="W927" s="181"/>
      <c r="X927" s="181"/>
      <c r="Y927" s="181"/>
      <c r="Z927" s="395"/>
      <c r="AA927" s="387"/>
      <c r="AB927" s="181"/>
      <c r="AC927" s="181"/>
      <c r="AD927" s="181"/>
      <c r="AE927" s="395"/>
      <c r="AF927" s="387"/>
      <c r="AG927" s="181"/>
      <c r="AH927" s="181"/>
      <c r="AI927" s="181"/>
      <c r="AJ927" s="395"/>
      <c r="AK927" s="387"/>
      <c r="AL927" s="181"/>
      <c r="AM927" s="181"/>
      <c r="AN927" s="181"/>
      <c r="AO927" s="370"/>
      <c r="AP927" s="370"/>
      <c r="AQ927" s="370"/>
      <c r="AR927" s="370"/>
      <c r="AS927" s="370"/>
    </row>
    <row r="928">
      <c r="A928" s="395"/>
      <c r="B928" s="387"/>
      <c r="C928" s="181"/>
      <c r="D928" s="181"/>
      <c r="E928" s="181"/>
      <c r="F928" s="395"/>
      <c r="G928" s="387"/>
      <c r="H928" s="181"/>
      <c r="I928" s="181"/>
      <c r="J928" s="181"/>
      <c r="K928" s="88"/>
      <c r="L928" s="387"/>
      <c r="M928" s="181"/>
      <c r="N928" s="181"/>
      <c r="O928" s="181"/>
      <c r="P928" s="88"/>
      <c r="Q928" s="155"/>
      <c r="R928" s="181"/>
      <c r="S928" s="181"/>
      <c r="T928" s="181"/>
      <c r="U928" s="395"/>
      <c r="V928" s="387"/>
      <c r="W928" s="181"/>
      <c r="X928" s="181"/>
      <c r="Y928" s="181"/>
      <c r="Z928" s="395"/>
      <c r="AA928" s="387"/>
      <c r="AB928" s="181"/>
      <c r="AC928" s="181"/>
      <c r="AD928" s="181"/>
      <c r="AE928" s="395"/>
      <c r="AF928" s="387"/>
      <c r="AG928" s="181"/>
      <c r="AH928" s="181"/>
      <c r="AI928" s="181"/>
      <c r="AJ928" s="395"/>
      <c r="AK928" s="387"/>
      <c r="AL928" s="181"/>
      <c r="AM928" s="181"/>
      <c r="AN928" s="181"/>
      <c r="AO928" s="370"/>
      <c r="AP928" s="370"/>
      <c r="AQ928" s="370"/>
      <c r="AR928" s="370"/>
      <c r="AS928" s="370"/>
    </row>
    <row r="929">
      <c r="A929" s="395"/>
      <c r="B929" s="387"/>
      <c r="C929" s="181"/>
      <c r="D929" s="181"/>
      <c r="E929" s="181"/>
      <c r="F929" s="395"/>
      <c r="G929" s="387"/>
      <c r="H929" s="181"/>
      <c r="I929" s="181"/>
      <c r="J929" s="181"/>
      <c r="K929" s="88"/>
      <c r="L929" s="387"/>
      <c r="M929" s="181"/>
      <c r="N929" s="181"/>
      <c r="O929" s="181"/>
      <c r="P929" s="88"/>
      <c r="Q929" s="155"/>
      <c r="R929" s="181"/>
      <c r="S929" s="181"/>
      <c r="T929" s="181"/>
      <c r="U929" s="395"/>
      <c r="V929" s="387"/>
      <c r="W929" s="181"/>
      <c r="X929" s="181"/>
      <c r="Y929" s="181"/>
      <c r="Z929" s="395"/>
      <c r="AA929" s="387"/>
      <c r="AB929" s="181"/>
      <c r="AC929" s="181"/>
      <c r="AD929" s="181"/>
      <c r="AE929" s="395"/>
      <c r="AF929" s="387"/>
      <c r="AG929" s="181"/>
      <c r="AH929" s="181"/>
      <c r="AI929" s="181"/>
      <c r="AJ929" s="395"/>
      <c r="AK929" s="387"/>
      <c r="AL929" s="181"/>
      <c r="AM929" s="181"/>
      <c r="AN929" s="181"/>
      <c r="AO929" s="370"/>
      <c r="AP929" s="370"/>
      <c r="AQ929" s="370"/>
      <c r="AR929" s="370"/>
      <c r="AS929" s="370"/>
    </row>
    <row r="930">
      <c r="A930" s="395"/>
      <c r="B930" s="387"/>
      <c r="C930" s="181"/>
      <c r="D930" s="181"/>
      <c r="E930" s="181"/>
      <c r="F930" s="395"/>
      <c r="G930" s="387"/>
      <c r="H930" s="181"/>
      <c r="I930" s="181"/>
      <c r="J930" s="181"/>
      <c r="K930" s="88"/>
      <c r="L930" s="387"/>
      <c r="M930" s="181"/>
      <c r="N930" s="181"/>
      <c r="O930" s="181"/>
      <c r="P930" s="88"/>
      <c r="Q930" s="155"/>
      <c r="R930" s="181"/>
      <c r="S930" s="181"/>
      <c r="T930" s="181"/>
      <c r="U930" s="395"/>
      <c r="V930" s="387"/>
      <c r="W930" s="181"/>
      <c r="X930" s="181"/>
      <c r="Y930" s="181"/>
      <c r="Z930" s="395"/>
      <c r="AA930" s="387"/>
      <c r="AB930" s="181"/>
      <c r="AC930" s="181"/>
      <c r="AD930" s="181"/>
      <c r="AE930" s="395"/>
      <c r="AF930" s="387"/>
      <c r="AG930" s="181"/>
      <c r="AH930" s="181"/>
      <c r="AI930" s="181"/>
      <c r="AJ930" s="395"/>
      <c r="AK930" s="387"/>
      <c r="AL930" s="181"/>
      <c r="AM930" s="181"/>
      <c r="AN930" s="181"/>
      <c r="AO930" s="370"/>
      <c r="AP930" s="370"/>
      <c r="AQ930" s="370"/>
      <c r="AR930" s="370"/>
      <c r="AS930" s="370"/>
    </row>
    <row r="931">
      <c r="A931" s="395"/>
      <c r="B931" s="387"/>
      <c r="C931" s="181"/>
      <c r="D931" s="181"/>
      <c r="E931" s="181"/>
      <c r="F931" s="395"/>
      <c r="G931" s="387"/>
      <c r="H931" s="181"/>
      <c r="I931" s="181"/>
      <c r="J931" s="181"/>
      <c r="K931" s="88"/>
      <c r="L931" s="387"/>
      <c r="M931" s="181"/>
      <c r="N931" s="181"/>
      <c r="O931" s="181"/>
      <c r="P931" s="88"/>
      <c r="Q931" s="155"/>
      <c r="R931" s="181"/>
      <c r="S931" s="181"/>
      <c r="T931" s="181"/>
      <c r="U931" s="395"/>
      <c r="V931" s="387"/>
      <c r="W931" s="181"/>
      <c r="X931" s="181"/>
      <c r="Y931" s="181"/>
      <c r="Z931" s="395"/>
      <c r="AA931" s="387"/>
      <c r="AB931" s="181"/>
      <c r="AC931" s="181"/>
      <c r="AD931" s="181"/>
      <c r="AE931" s="395"/>
      <c r="AF931" s="387"/>
      <c r="AG931" s="181"/>
      <c r="AH931" s="181"/>
      <c r="AI931" s="181"/>
      <c r="AJ931" s="395"/>
      <c r="AK931" s="387"/>
      <c r="AL931" s="181"/>
      <c r="AM931" s="181"/>
      <c r="AN931" s="181"/>
      <c r="AO931" s="370"/>
      <c r="AP931" s="370"/>
      <c r="AQ931" s="370"/>
      <c r="AR931" s="370"/>
      <c r="AS931" s="370"/>
    </row>
    <row r="932">
      <c r="A932" s="395"/>
      <c r="B932" s="387"/>
      <c r="C932" s="181"/>
      <c r="D932" s="181"/>
      <c r="E932" s="181"/>
      <c r="F932" s="395"/>
      <c r="G932" s="387"/>
      <c r="H932" s="181"/>
      <c r="I932" s="181"/>
      <c r="J932" s="181"/>
      <c r="K932" s="88"/>
      <c r="L932" s="387"/>
      <c r="M932" s="181"/>
      <c r="N932" s="181"/>
      <c r="O932" s="181"/>
      <c r="P932" s="88"/>
      <c r="Q932" s="155"/>
      <c r="R932" s="181"/>
      <c r="S932" s="181"/>
      <c r="T932" s="181"/>
      <c r="U932" s="395"/>
      <c r="V932" s="387"/>
      <c r="W932" s="181"/>
      <c r="X932" s="181"/>
      <c r="Y932" s="181"/>
      <c r="Z932" s="395"/>
      <c r="AA932" s="387"/>
      <c r="AB932" s="181"/>
      <c r="AC932" s="181"/>
      <c r="AD932" s="181"/>
      <c r="AE932" s="395"/>
      <c r="AF932" s="387"/>
      <c r="AG932" s="181"/>
      <c r="AH932" s="181"/>
      <c r="AI932" s="181"/>
      <c r="AJ932" s="395"/>
      <c r="AK932" s="387"/>
      <c r="AL932" s="181"/>
      <c r="AM932" s="181"/>
      <c r="AN932" s="181"/>
      <c r="AO932" s="370"/>
      <c r="AP932" s="370"/>
      <c r="AQ932" s="370"/>
      <c r="AR932" s="370"/>
      <c r="AS932" s="370"/>
    </row>
    <row r="933">
      <c r="A933" s="395"/>
      <c r="B933" s="387"/>
      <c r="C933" s="181"/>
      <c r="D933" s="181"/>
      <c r="E933" s="181"/>
      <c r="F933" s="395"/>
      <c r="G933" s="387"/>
      <c r="H933" s="181"/>
      <c r="I933" s="181"/>
      <c r="J933" s="181"/>
      <c r="K933" s="88"/>
      <c r="L933" s="387"/>
      <c r="M933" s="181"/>
      <c r="N933" s="181"/>
      <c r="O933" s="181"/>
      <c r="P933" s="88"/>
      <c r="Q933" s="155"/>
      <c r="R933" s="181"/>
      <c r="S933" s="181"/>
      <c r="T933" s="181"/>
      <c r="U933" s="395"/>
      <c r="V933" s="387"/>
      <c r="W933" s="181"/>
      <c r="X933" s="181"/>
      <c r="Y933" s="181"/>
      <c r="Z933" s="395"/>
      <c r="AA933" s="387"/>
      <c r="AB933" s="181"/>
      <c r="AC933" s="181"/>
      <c r="AD933" s="181"/>
      <c r="AE933" s="395"/>
      <c r="AF933" s="387"/>
      <c r="AG933" s="181"/>
      <c r="AH933" s="181"/>
      <c r="AI933" s="181"/>
      <c r="AJ933" s="395"/>
      <c r="AK933" s="387"/>
      <c r="AL933" s="181"/>
      <c r="AM933" s="181"/>
      <c r="AN933" s="181"/>
      <c r="AO933" s="370"/>
      <c r="AP933" s="370"/>
      <c r="AQ933" s="370"/>
      <c r="AR933" s="370"/>
      <c r="AS933" s="370"/>
    </row>
    <row r="934">
      <c r="A934" s="395"/>
      <c r="B934" s="387"/>
      <c r="C934" s="181"/>
      <c r="D934" s="181"/>
      <c r="E934" s="181"/>
      <c r="F934" s="395"/>
      <c r="G934" s="387"/>
      <c r="H934" s="181"/>
      <c r="I934" s="181"/>
      <c r="J934" s="181"/>
      <c r="K934" s="88"/>
      <c r="L934" s="387"/>
      <c r="M934" s="181"/>
      <c r="N934" s="181"/>
      <c r="O934" s="181"/>
      <c r="P934" s="88"/>
      <c r="Q934" s="155"/>
      <c r="R934" s="181"/>
      <c r="S934" s="181"/>
      <c r="T934" s="181"/>
      <c r="U934" s="395"/>
      <c r="V934" s="387"/>
      <c r="W934" s="181"/>
      <c r="X934" s="181"/>
      <c r="Y934" s="181"/>
      <c r="Z934" s="395"/>
      <c r="AA934" s="387"/>
      <c r="AB934" s="181"/>
      <c r="AC934" s="181"/>
      <c r="AD934" s="181"/>
      <c r="AE934" s="395"/>
      <c r="AF934" s="387"/>
      <c r="AG934" s="181"/>
      <c r="AH934" s="181"/>
      <c r="AI934" s="181"/>
      <c r="AJ934" s="395"/>
      <c r="AK934" s="387"/>
      <c r="AL934" s="181"/>
      <c r="AM934" s="181"/>
      <c r="AN934" s="181"/>
      <c r="AO934" s="370"/>
      <c r="AP934" s="370"/>
      <c r="AQ934" s="370"/>
      <c r="AR934" s="370"/>
      <c r="AS934" s="370"/>
    </row>
    <row r="935">
      <c r="A935" s="395"/>
      <c r="B935" s="387"/>
      <c r="C935" s="181"/>
      <c r="D935" s="181"/>
      <c r="E935" s="181"/>
      <c r="F935" s="395"/>
      <c r="G935" s="387"/>
      <c r="H935" s="181"/>
      <c r="I935" s="181"/>
      <c r="J935" s="181"/>
      <c r="K935" s="88"/>
      <c r="L935" s="387"/>
      <c r="M935" s="181"/>
      <c r="N935" s="181"/>
      <c r="O935" s="181"/>
      <c r="P935" s="88"/>
      <c r="Q935" s="155"/>
      <c r="R935" s="181"/>
      <c r="S935" s="181"/>
      <c r="T935" s="181"/>
      <c r="U935" s="395"/>
      <c r="V935" s="387"/>
      <c r="W935" s="181"/>
      <c r="X935" s="181"/>
      <c r="Y935" s="181"/>
      <c r="Z935" s="395"/>
      <c r="AA935" s="387"/>
      <c r="AB935" s="181"/>
      <c r="AC935" s="181"/>
      <c r="AD935" s="181"/>
      <c r="AE935" s="395"/>
      <c r="AF935" s="387"/>
      <c r="AG935" s="181"/>
      <c r="AH935" s="181"/>
      <c r="AI935" s="181"/>
      <c r="AJ935" s="395"/>
      <c r="AK935" s="387"/>
      <c r="AL935" s="181"/>
      <c r="AM935" s="181"/>
      <c r="AN935" s="181"/>
      <c r="AO935" s="370"/>
      <c r="AP935" s="370"/>
      <c r="AQ935" s="370"/>
      <c r="AR935" s="370"/>
      <c r="AS935" s="370"/>
    </row>
    <row r="936">
      <c r="A936" s="395"/>
      <c r="B936" s="387"/>
      <c r="C936" s="181"/>
      <c r="D936" s="181"/>
      <c r="E936" s="181"/>
      <c r="F936" s="395"/>
      <c r="G936" s="387"/>
      <c r="H936" s="181"/>
      <c r="I936" s="181"/>
      <c r="J936" s="181"/>
      <c r="K936" s="88"/>
      <c r="L936" s="387"/>
      <c r="M936" s="181"/>
      <c r="N936" s="181"/>
      <c r="O936" s="181"/>
      <c r="P936" s="88"/>
      <c r="Q936" s="155"/>
      <c r="R936" s="181"/>
      <c r="S936" s="181"/>
      <c r="T936" s="181"/>
      <c r="U936" s="395"/>
      <c r="V936" s="387"/>
      <c r="W936" s="181"/>
      <c r="X936" s="181"/>
      <c r="Y936" s="181"/>
      <c r="Z936" s="395"/>
      <c r="AA936" s="387"/>
      <c r="AB936" s="181"/>
      <c r="AC936" s="181"/>
      <c r="AD936" s="181"/>
      <c r="AE936" s="395"/>
      <c r="AF936" s="387"/>
      <c r="AG936" s="181"/>
      <c r="AH936" s="181"/>
      <c r="AI936" s="181"/>
      <c r="AJ936" s="395"/>
      <c r="AK936" s="387"/>
      <c r="AL936" s="181"/>
      <c r="AM936" s="181"/>
      <c r="AN936" s="181"/>
      <c r="AO936" s="370"/>
      <c r="AP936" s="370"/>
      <c r="AQ936" s="370"/>
      <c r="AR936" s="370"/>
      <c r="AS936" s="370"/>
    </row>
    <row r="937">
      <c r="A937" s="395"/>
      <c r="B937" s="387"/>
      <c r="C937" s="181"/>
      <c r="D937" s="181"/>
      <c r="E937" s="181"/>
      <c r="F937" s="395"/>
      <c r="G937" s="387"/>
      <c r="H937" s="181"/>
      <c r="I937" s="181"/>
      <c r="J937" s="181"/>
      <c r="K937" s="88"/>
      <c r="L937" s="387"/>
      <c r="M937" s="181"/>
      <c r="N937" s="181"/>
      <c r="O937" s="181"/>
      <c r="P937" s="88"/>
      <c r="Q937" s="155"/>
      <c r="R937" s="181"/>
      <c r="S937" s="181"/>
      <c r="T937" s="181"/>
      <c r="U937" s="395"/>
      <c r="V937" s="387"/>
      <c r="W937" s="181"/>
      <c r="X937" s="181"/>
      <c r="Y937" s="181"/>
      <c r="Z937" s="395"/>
      <c r="AA937" s="387"/>
      <c r="AB937" s="181"/>
      <c r="AC937" s="181"/>
      <c r="AD937" s="181"/>
      <c r="AE937" s="395"/>
      <c r="AF937" s="387"/>
      <c r="AG937" s="181"/>
      <c r="AH937" s="181"/>
      <c r="AI937" s="181"/>
      <c r="AJ937" s="395"/>
      <c r="AK937" s="387"/>
      <c r="AL937" s="181"/>
      <c r="AM937" s="181"/>
      <c r="AN937" s="181"/>
      <c r="AO937" s="370"/>
      <c r="AP937" s="370"/>
      <c r="AQ937" s="370"/>
      <c r="AR937" s="370"/>
      <c r="AS937" s="370"/>
    </row>
    <row r="938">
      <c r="A938" s="395"/>
      <c r="B938" s="387"/>
      <c r="C938" s="181"/>
      <c r="D938" s="181"/>
      <c r="E938" s="181"/>
      <c r="F938" s="395"/>
      <c r="G938" s="387"/>
      <c r="H938" s="181"/>
      <c r="I938" s="181"/>
      <c r="J938" s="181"/>
      <c r="K938" s="88"/>
      <c r="L938" s="387"/>
      <c r="M938" s="181"/>
      <c r="N938" s="181"/>
      <c r="O938" s="181"/>
      <c r="P938" s="88"/>
      <c r="Q938" s="155"/>
      <c r="R938" s="181"/>
      <c r="S938" s="181"/>
      <c r="T938" s="181"/>
      <c r="U938" s="395"/>
      <c r="V938" s="387"/>
      <c r="W938" s="181"/>
      <c r="X938" s="181"/>
      <c r="Y938" s="181"/>
      <c r="Z938" s="395"/>
      <c r="AA938" s="387"/>
      <c r="AB938" s="181"/>
      <c r="AC938" s="181"/>
      <c r="AD938" s="181"/>
      <c r="AE938" s="395"/>
      <c r="AF938" s="387"/>
      <c r="AG938" s="181"/>
      <c r="AH938" s="181"/>
      <c r="AI938" s="181"/>
      <c r="AJ938" s="395"/>
      <c r="AK938" s="387"/>
      <c r="AL938" s="181"/>
      <c r="AM938" s="181"/>
      <c r="AN938" s="181"/>
      <c r="AO938" s="370"/>
      <c r="AP938" s="370"/>
      <c r="AQ938" s="370"/>
      <c r="AR938" s="370"/>
      <c r="AS938" s="370"/>
    </row>
    <row r="939">
      <c r="A939" s="395"/>
      <c r="B939" s="387"/>
      <c r="C939" s="181"/>
      <c r="D939" s="181"/>
      <c r="E939" s="181"/>
      <c r="F939" s="395"/>
      <c r="G939" s="387"/>
      <c r="H939" s="181"/>
      <c r="I939" s="181"/>
      <c r="J939" s="181"/>
      <c r="K939" s="88"/>
      <c r="L939" s="387"/>
      <c r="M939" s="181"/>
      <c r="N939" s="181"/>
      <c r="O939" s="181"/>
      <c r="P939" s="88"/>
      <c r="Q939" s="155"/>
      <c r="R939" s="181"/>
      <c r="S939" s="181"/>
      <c r="T939" s="181"/>
      <c r="U939" s="395"/>
      <c r="V939" s="387"/>
      <c r="W939" s="181"/>
      <c r="X939" s="181"/>
      <c r="Y939" s="181"/>
      <c r="Z939" s="395"/>
      <c r="AA939" s="387"/>
      <c r="AB939" s="181"/>
      <c r="AC939" s="181"/>
      <c r="AD939" s="181"/>
      <c r="AE939" s="395"/>
      <c r="AF939" s="387"/>
      <c r="AG939" s="181"/>
      <c r="AH939" s="181"/>
      <c r="AI939" s="181"/>
      <c r="AJ939" s="395"/>
      <c r="AK939" s="387"/>
      <c r="AL939" s="181"/>
      <c r="AM939" s="181"/>
      <c r="AN939" s="181"/>
      <c r="AO939" s="370"/>
      <c r="AP939" s="370"/>
      <c r="AQ939" s="370"/>
      <c r="AR939" s="370"/>
      <c r="AS939" s="370"/>
    </row>
    <row r="940">
      <c r="A940" s="395"/>
      <c r="B940" s="387"/>
      <c r="C940" s="181"/>
      <c r="D940" s="181"/>
      <c r="E940" s="181"/>
      <c r="F940" s="395"/>
      <c r="G940" s="387"/>
      <c r="H940" s="181"/>
      <c r="I940" s="181"/>
      <c r="J940" s="181"/>
      <c r="K940" s="88"/>
      <c r="L940" s="387"/>
      <c r="M940" s="181"/>
      <c r="N940" s="181"/>
      <c r="O940" s="181"/>
      <c r="P940" s="88"/>
      <c r="Q940" s="155"/>
      <c r="R940" s="181"/>
      <c r="S940" s="181"/>
      <c r="T940" s="181"/>
      <c r="U940" s="395"/>
      <c r="V940" s="387"/>
      <c r="W940" s="181"/>
      <c r="X940" s="181"/>
      <c r="Y940" s="181"/>
      <c r="Z940" s="395"/>
      <c r="AA940" s="387"/>
      <c r="AB940" s="181"/>
      <c r="AC940" s="181"/>
      <c r="AD940" s="181"/>
      <c r="AE940" s="395"/>
      <c r="AF940" s="387"/>
      <c r="AG940" s="181"/>
      <c r="AH940" s="181"/>
      <c r="AI940" s="181"/>
      <c r="AJ940" s="395"/>
      <c r="AK940" s="387"/>
      <c r="AL940" s="181"/>
      <c r="AM940" s="181"/>
      <c r="AN940" s="181"/>
      <c r="AO940" s="370"/>
      <c r="AP940" s="370"/>
      <c r="AQ940" s="370"/>
      <c r="AR940" s="370"/>
      <c r="AS940" s="370"/>
    </row>
    <row r="941">
      <c r="A941" s="395"/>
      <c r="B941" s="387"/>
      <c r="C941" s="181"/>
      <c r="D941" s="181"/>
      <c r="E941" s="181"/>
      <c r="F941" s="395"/>
      <c r="G941" s="387"/>
      <c r="H941" s="181"/>
      <c r="I941" s="181"/>
      <c r="J941" s="181"/>
      <c r="K941" s="88"/>
      <c r="L941" s="387"/>
      <c r="M941" s="181"/>
      <c r="N941" s="181"/>
      <c r="O941" s="181"/>
      <c r="P941" s="88"/>
      <c r="Q941" s="155"/>
      <c r="R941" s="181"/>
      <c r="S941" s="181"/>
      <c r="T941" s="181"/>
      <c r="U941" s="395"/>
      <c r="V941" s="387"/>
      <c r="W941" s="181"/>
      <c r="X941" s="181"/>
      <c r="Y941" s="181"/>
      <c r="Z941" s="395"/>
      <c r="AA941" s="387"/>
      <c r="AB941" s="181"/>
      <c r="AC941" s="181"/>
      <c r="AD941" s="181"/>
      <c r="AE941" s="395"/>
      <c r="AF941" s="387"/>
      <c r="AG941" s="181"/>
      <c r="AH941" s="181"/>
      <c r="AI941" s="181"/>
      <c r="AJ941" s="395"/>
      <c r="AK941" s="387"/>
      <c r="AL941" s="181"/>
      <c r="AM941" s="181"/>
      <c r="AN941" s="181"/>
      <c r="AO941" s="370"/>
      <c r="AP941" s="370"/>
      <c r="AQ941" s="370"/>
      <c r="AR941" s="370"/>
      <c r="AS941" s="370"/>
    </row>
    <row r="942">
      <c r="A942" s="395"/>
      <c r="B942" s="387"/>
      <c r="C942" s="181"/>
      <c r="D942" s="181"/>
      <c r="E942" s="181"/>
      <c r="F942" s="395"/>
      <c r="G942" s="387"/>
      <c r="H942" s="181"/>
      <c r="I942" s="181"/>
      <c r="J942" s="181"/>
      <c r="K942" s="88"/>
      <c r="L942" s="387"/>
      <c r="M942" s="181"/>
      <c r="N942" s="181"/>
      <c r="O942" s="181"/>
      <c r="P942" s="88"/>
      <c r="Q942" s="155"/>
      <c r="R942" s="181"/>
      <c r="S942" s="181"/>
      <c r="T942" s="181"/>
      <c r="U942" s="395"/>
      <c r="V942" s="387"/>
      <c r="W942" s="181"/>
      <c r="X942" s="181"/>
      <c r="Y942" s="181"/>
      <c r="Z942" s="395"/>
      <c r="AA942" s="387"/>
      <c r="AB942" s="181"/>
      <c r="AC942" s="181"/>
      <c r="AD942" s="181"/>
      <c r="AE942" s="395"/>
      <c r="AF942" s="387"/>
      <c r="AG942" s="181"/>
      <c r="AH942" s="181"/>
      <c r="AI942" s="181"/>
      <c r="AJ942" s="395"/>
      <c r="AK942" s="387"/>
      <c r="AL942" s="181"/>
      <c r="AM942" s="181"/>
      <c r="AN942" s="181"/>
      <c r="AO942" s="370"/>
      <c r="AP942" s="370"/>
      <c r="AQ942" s="370"/>
      <c r="AR942" s="370"/>
      <c r="AS942" s="370"/>
    </row>
    <row r="943">
      <c r="A943" s="395"/>
      <c r="B943" s="387"/>
      <c r="C943" s="181"/>
      <c r="D943" s="181"/>
      <c r="E943" s="181"/>
      <c r="F943" s="395"/>
      <c r="G943" s="387"/>
      <c r="H943" s="181"/>
      <c r="I943" s="181"/>
      <c r="J943" s="181"/>
      <c r="K943" s="88"/>
      <c r="L943" s="387"/>
      <c r="M943" s="181"/>
      <c r="N943" s="181"/>
      <c r="O943" s="181"/>
      <c r="P943" s="88"/>
      <c r="Q943" s="155"/>
      <c r="R943" s="181"/>
      <c r="S943" s="181"/>
      <c r="T943" s="181"/>
      <c r="U943" s="395"/>
      <c r="V943" s="387"/>
      <c r="W943" s="181"/>
      <c r="X943" s="181"/>
      <c r="Y943" s="181"/>
      <c r="Z943" s="395"/>
      <c r="AA943" s="387"/>
      <c r="AB943" s="181"/>
      <c r="AC943" s="181"/>
      <c r="AD943" s="181"/>
      <c r="AE943" s="395"/>
      <c r="AF943" s="387"/>
      <c r="AG943" s="181"/>
      <c r="AH943" s="181"/>
      <c r="AI943" s="181"/>
      <c r="AJ943" s="395"/>
      <c r="AK943" s="387"/>
      <c r="AL943" s="181"/>
      <c r="AM943" s="181"/>
      <c r="AN943" s="181"/>
      <c r="AO943" s="370"/>
      <c r="AP943" s="370"/>
      <c r="AQ943" s="370"/>
      <c r="AR943" s="370"/>
      <c r="AS943" s="370"/>
    </row>
    <row r="944">
      <c r="A944" s="395"/>
      <c r="B944" s="387"/>
      <c r="C944" s="181"/>
      <c r="D944" s="181"/>
      <c r="E944" s="181"/>
      <c r="F944" s="395"/>
      <c r="G944" s="387"/>
      <c r="H944" s="181"/>
      <c r="I944" s="181"/>
      <c r="J944" s="181"/>
      <c r="K944" s="88"/>
      <c r="L944" s="387"/>
      <c r="M944" s="181"/>
      <c r="N944" s="181"/>
      <c r="O944" s="181"/>
      <c r="P944" s="88"/>
      <c r="Q944" s="155"/>
      <c r="R944" s="181"/>
      <c r="S944" s="181"/>
      <c r="T944" s="181"/>
      <c r="U944" s="395"/>
      <c r="V944" s="387"/>
      <c r="W944" s="181"/>
      <c r="X944" s="181"/>
      <c r="Y944" s="181"/>
      <c r="Z944" s="395"/>
      <c r="AA944" s="387"/>
      <c r="AB944" s="181"/>
      <c r="AC944" s="181"/>
      <c r="AD944" s="181"/>
      <c r="AE944" s="395"/>
      <c r="AF944" s="387"/>
      <c r="AG944" s="181"/>
      <c r="AH944" s="181"/>
      <c r="AI944" s="181"/>
      <c r="AJ944" s="395"/>
      <c r="AK944" s="387"/>
      <c r="AL944" s="181"/>
      <c r="AM944" s="181"/>
      <c r="AN944" s="181"/>
      <c r="AO944" s="370"/>
      <c r="AP944" s="370"/>
      <c r="AQ944" s="370"/>
      <c r="AR944" s="370"/>
      <c r="AS944" s="370"/>
    </row>
    <row r="945">
      <c r="A945" s="395"/>
      <c r="B945" s="387"/>
      <c r="C945" s="181"/>
      <c r="D945" s="181"/>
      <c r="E945" s="181"/>
      <c r="F945" s="395"/>
      <c r="G945" s="387"/>
      <c r="H945" s="181"/>
      <c r="I945" s="181"/>
      <c r="J945" s="181"/>
      <c r="K945" s="88"/>
      <c r="L945" s="387"/>
      <c r="M945" s="181"/>
      <c r="N945" s="181"/>
      <c r="O945" s="181"/>
      <c r="P945" s="88"/>
      <c r="Q945" s="155"/>
      <c r="R945" s="181"/>
      <c r="S945" s="181"/>
      <c r="T945" s="181"/>
      <c r="U945" s="395"/>
      <c r="V945" s="387"/>
      <c r="W945" s="181"/>
      <c r="X945" s="181"/>
      <c r="Y945" s="181"/>
      <c r="Z945" s="395"/>
      <c r="AA945" s="387"/>
      <c r="AB945" s="181"/>
      <c r="AC945" s="181"/>
      <c r="AD945" s="181"/>
      <c r="AE945" s="395"/>
      <c r="AF945" s="387"/>
      <c r="AG945" s="181"/>
      <c r="AH945" s="181"/>
      <c r="AI945" s="181"/>
      <c r="AJ945" s="395"/>
      <c r="AK945" s="387"/>
      <c r="AL945" s="181"/>
      <c r="AM945" s="181"/>
      <c r="AN945" s="181"/>
      <c r="AO945" s="370"/>
      <c r="AP945" s="370"/>
      <c r="AQ945" s="370"/>
      <c r="AR945" s="370"/>
      <c r="AS945" s="370"/>
    </row>
    <row r="946">
      <c r="A946" s="395"/>
      <c r="B946" s="387"/>
      <c r="C946" s="181"/>
      <c r="D946" s="181"/>
      <c r="E946" s="181"/>
      <c r="F946" s="395"/>
      <c r="G946" s="387"/>
      <c r="H946" s="181"/>
      <c r="I946" s="181"/>
      <c r="J946" s="181"/>
      <c r="K946" s="88"/>
      <c r="L946" s="387"/>
      <c r="M946" s="181"/>
      <c r="N946" s="181"/>
      <c r="O946" s="181"/>
      <c r="P946" s="88"/>
      <c r="Q946" s="155"/>
      <c r="R946" s="181"/>
      <c r="S946" s="181"/>
      <c r="T946" s="181"/>
      <c r="U946" s="395"/>
      <c r="V946" s="387"/>
      <c r="W946" s="181"/>
      <c r="X946" s="181"/>
      <c r="Y946" s="181"/>
      <c r="Z946" s="395"/>
      <c r="AA946" s="387"/>
      <c r="AB946" s="181"/>
      <c r="AC946" s="181"/>
      <c r="AD946" s="181"/>
      <c r="AE946" s="395"/>
      <c r="AF946" s="387"/>
      <c r="AG946" s="181"/>
      <c r="AH946" s="181"/>
      <c r="AI946" s="181"/>
      <c r="AJ946" s="395"/>
      <c r="AK946" s="387"/>
      <c r="AL946" s="181"/>
      <c r="AM946" s="181"/>
      <c r="AN946" s="181"/>
      <c r="AO946" s="370"/>
      <c r="AP946" s="370"/>
      <c r="AQ946" s="370"/>
      <c r="AR946" s="370"/>
      <c r="AS946" s="370"/>
    </row>
    <row r="947">
      <c r="A947" s="395"/>
      <c r="B947" s="387"/>
      <c r="C947" s="181"/>
      <c r="D947" s="181"/>
      <c r="E947" s="181"/>
      <c r="F947" s="395"/>
      <c r="G947" s="387"/>
      <c r="H947" s="181"/>
      <c r="I947" s="181"/>
      <c r="J947" s="181"/>
      <c r="K947" s="88"/>
      <c r="L947" s="387"/>
      <c r="M947" s="181"/>
      <c r="N947" s="181"/>
      <c r="O947" s="181"/>
      <c r="P947" s="88"/>
      <c r="Q947" s="155"/>
      <c r="R947" s="181"/>
      <c r="S947" s="181"/>
      <c r="T947" s="181"/>
      <c r="U947" s="395"/>
      <c r="V947" s="387"/>
      <c r="W947" s="181"/>
      <c r="X947" s="181"/>
      <c r="Y947" s="181"/>
      <c r="Z947" s="395"/>
      <c r="AA947" s="387"/>
      <c r="AB947" s="181"/>
      <c r="AC947" s="181"/>
      <c r="AD947" s="181"/>
      <c r="AE947" s="395"/>
      <c r="AF947" s="387"/>
      <c r="AG947" s="181"/>
      <c r="AH947" s="181"/>
      <c r="AI947" s="181"/>
      <c r="AJ947" s="395"/>
      <c r="AK947" s="387"/>
      <c r="AL947" s="181"/>
      <c r="AM947" s="181"/>
      <c r="AN947" s="181"/>
      <c r="AO947" s="370"/>
      <c r="AP947" s="370"/>
      <c r="AQ947" s="370"/>
      <c r="AR947" s="370"/>
      <c r="AS947" s="370"/>
    </row>
    <row r="948">
      <c r="A948" s="395"/>
      <c r="B948" s="387"/>
      <c r="C948" s="181"/>
      <c r="D948" s="181"/>
      <c r="E948" s="181"/>
      <c r="F948" s="395"/>
      <c r="G948" s="387"/>
      <c r="H948" s="181"/>
      <c r="I948" s="181"/>
      <c r="J948" s="181"/>
      <c r="K948" s="88"/>
      <c r="L948" s="387"/>
      <c r="M948" s="181"/>
      <c r="N948" s="181"/>
      <c r="O948" s="181"/>
      <c r="P948" s="88"/>
      <c r="Q948" s="155"/>
      <c r="R948" s="181"/>
      <c r="S948" s="181"/>
      <c r="T948" s="181"/>
      <c r="U948" s="395"/>
      <c r="V948" s="387"/>
      <c r="W948" s="181"/>
      <c r="X948" s="181"/>
      <c r="Y948" s="181"/>
      <c r="Z948" s="395"/>
      <c r="AA948" s="387"/>
      <c r="AB948" s="181"/>
      <c r="AC948" s="181"/>
      <c r="AD948" s="181"/>
      <c r="AE948" s="395"/>
      <c r="AF948" s="387"/>
      <c r="AG948" s="181"/>
      <c r="AH948" s="181"/>
      <c r="AI948" s="181"/>
      <c r="AJ948" s="395"/>
      <c r="AK948" s="387"/>
      <c r="AL948" s="181"/>
      <c r="AM948" s="181"/>
      <c r="AN948" s="181"/>
      <c r="AO948" s="370"/>
      <c r="AP948" s="370"/>
      <c r="AQ948" s="370"/>
      <c r="AR948" s="370"/>
      <c r="AS948" s="370"/>
    </row>
    <row r="949">
      <c r="A949" s="395"/>
      <c r="B949" s="387"/>
      <c r="C949" s="181"/>
      <c r="D949" s="181"/>
      <c r="E949" s="181"/>
      <c r="F949" s="395"/>
      <c r="G949" s="387"/>
      <c r="H949" s="181"/>
      <c r="I949" s="181"/>
      <c r="J949" s="181"/>
      <c r="K949" s="88"/>
      <c r="L949" s="387"/>
      <c r="M949" s="181"/>
      <c r="N949" s="181"/>
      <c r="O949" s="181"/>
      <c r="P949" s="88"/>
      <c r="Q949" s="155"/>
      <c r="R949" s="181"/>
      <c r="S949" s="181"/>
      <c r="T949" s="181"/>
      <c r="U949" s="395"/>
      <c r="V949" s="387"/>
      <c r="W949" s="181"/>
      <c r="X949" s="181"/>
      <c r="Y949" s="181"/>
      <c r="Z949" s="395"/>
      <c r="AA949" s="387"/>
      <c r="AB949" s="181"/>
      <c r="AC949" s="181"/>
      <c r="AD949" s="181"/>
      <c r="AE949" s="395"/>
      <c r="AF949" s="387"/>
      <c r="AG949" s="181"/>
      <c r="AH949" s="181"/>
      <c r="AI949" s="181"/>
      <c r="AJ949" s="395"/>
      <c r="AK949" s="387"/>
      <c r="AL949" s="181"/>
      <c r="AM949" s="181"/>
      <c r="AN949" s="181"/>
      <c r="AO949" s="370"/>
      <c r="AP949" s="370"/>
      <c r="AQ949" s="370"/>
      <c r="AR949" s="370"/>
      <c r="AS949" s="370"/>
    </row>
    <row r="950">
      <c r="A950" s="395"/>
      <c r="B950" s="387"/>
      <c r="C950" s="181"/>
      <c r="D950" s="181"/>
      <c r="E950" s="181"/>
      <c r="F950" s="395"/>
      <c r="G950" s="387"/>
      <c r="H950" s="181"/>
      <c r="I950" s="181"/>
      <c r="J950" s="181"/>
      <c r="K950" s="88"/>
      <c r="L950" s="387"/>
      <c r="M950" s="181"/>
      <c r="N950" s="181"/>
      <c r="O950" s="181"/>
      <c r="P950" s="88"/>
      <c r="Q950" s="155"/>
      <c r="R950" s="181"/>
      <c r="S950" s="181"/>
      <c r="T950" s="181"/>
      <c r="U950" s="395"/>
      <c r="V950" s="387"/>
      <c r="W950" s="181"/>
      <c r="X950" s="181"/>
      <c r="Y950" s="181"/>
      <c r="Z950" s="395"/>
      <c r="AA950" s="387"/>
      <c r="AB950" s="181"/>
      <c r="AC950" s="181"/>
      <c r="AD950" s="181"/>
      <c r="AE950" s="395"/>
      <c r="AF950" s="387"/>
      <c r="AG950" s="181"/>
      <c r="AH950" s="181"/>
      <c r="AI950" s="181"/>
      <c r="AJ950" s="395"/>
      <c r="AK950" s="387"/>
      <c r="AL950" s="181"/>
      <c r="AM950" s="181"/>
      <c r="AN950" s="181"/>
      <c r="AO950" s="370"/>
      <c r="AP950" s="370"/>
      <c r="AQ950" s="370"/>
      <c r="AR950" s="370"/>
      <c r="AS950" s="370"/>
    </row>
    <row r="951">
      <c r="A951" s="395"/>
      <c r="B951" s="387"/>
      <c r="C951" s="181"/>
      <c r="D951" s="181"/>
      <c r="E951" s="181"/>
      <c r="F951" s="395"/>
      <c r="G951" s="387"/>
      <c r="H951" s="181"/>
      <c r="I951" s="181"/>
      <c r="J951" s="181"/>
      <c r="K951" s="88"/>
      <c r="L951" s="387"/>
      <c r="M951" s="181"/>
      <c r="N951" s="181"/>
      <c r="O951" s="181"/>
      <c r="P951" s="88"/>
      <c r="Q951" s="155"/>
      <c r="R951" s="181"/>
      <c r="S951" s="181"/>
      <c r="T951" s="181"/>
      <c r="U951" s="395"/>
      <c r="V951" s="387"/>
      <c r="W951" s="181"/>
      <c r="X951" s="181"/>
      <c r="Y951" s="181"/>
      <c r="Z951" s="395"/>
      <c r="AA951" s="387"/>
      <c r="AB951" s="181"/>
      <c r="AC951" s="181"/>
      <c r="AD951" s="181"/>
      <c r="AE951" s="395"/>
      <c r="AF951" s="387"/>
      <c r="AG951" s="181"/>
      <c r="AH951" s="181"/>
      <c r="AI951" s="181"/>
      <c r="AJ951" s="395"/>
      <c r="AK951" s="387"/>
      <c r="AL951" s="181"/>
      <c r="AM951" s="181"/>
      <c r="AN951" s="181"/>
      <c r="AO951" s="370"/>
      <c r="AP951" s="370"/>
      <c r="AQ951" s="370"/>
      <c r="AR951" s="370"/>
      <c r="AS951" s="370"/>
    </row>
    <row r="952">
      <c r="A952" s="395"/>
      <c r="B952" s="387"/>
      <c r="C952" s="181"/>
      <c r="D952" s="181"/>
      <c r="E952" s="181"/>
      <c r="F952" s="395"/>
      <c r="G952" s="387"/>
      <c r="H952" s="181"/>
      <c r="I952" s="181"/>
      <c r="J952" s="181"/>
      <c r="K952" s="88"/>
      <c r="L952" s="387"/>
      <c r="M952" s="181"/>
      <c r="N952" s="181"/>
      <c r="O952" s="181"/>
      <c r="P952" s="88"/>
      <c r="Q952" s="155"/>
      <c r="R952" s="181"/>
      <c r="S952" s="181"/>
      <c r="T952" s="181"/>
      <c r="U952" s="395"/>
      <c r="V952" s="387"/>
      <c r="W952" s="181"/>
      <c r="X952" s="181"/>
      <c r="Y952" s="181"/>
      <c r="Z952" s="395"/>
      <c r="AA952" s="387"/>
      <c r="AB952" s="181"/>
      <c r="AC952" s="181"/>
      <c r="AD952" s="181"/>
      <c r="AE952" s="395"/>
      <c r="AF952" s="387"/>
      <c r="AG952" s="181"/>
      <c r="AH952" s="181"/>
      <c r="AI952" s="181"/>
      <c r="AJ952" s="395"/>
      <c r="AK952" s="387"/>
      <c r="AL952" s="181"/>
      <c r="AM952" s="181"/>
      <c r="AN952" s="181"/>
      <c r="AO952" s="370"/>
      <c r="AP952" s="370"/>
      <c r="AQ952" s="370"/>
      <c r="AR952" s="370"/>
      <c r="AS952" s="370"/>
    </row>
    <row r="953">
      <c r="A953" s="395"/>
      <c r="B953" s="387"/>
      <c r="C953" s="181"/>
      <c r="D953" s="181"/>
      <c r="E953" s="181"/>
      <c r="F953" s="395"/>
      <c r="G953" s="387"/>
      <c r="H953" s="181"/>
      <c r="I953" s="181"/>
      <c r="J953" s="181"/>
      <c r="K953" s="88"/>
      <c r="L953" s="387"/>
      <c r="M953" s="181"/>
      <c r="N953" s="181"/>
      <c r="O953" s="181"/>
      <c r="P953" s="88"/>
      <c r="Q953" s="155"/>
      <c r="R953" s="181"/>
      <c r="S953" s="181"/>
      <c r="T953" s="181"/>
      <c r="U953" s="395"/>
      <c r="V953" s="387"/>
      <c r="W953" s="181"/>
      <c r="X953" s="181"/>
      <c r="Y953" s="181"/>
      <c r="Z953" s="395"/>
      <c r="AA953" s="387"/>
      <c r="AB953" s="181"/>
      <c r="AC953" s="181"/>
      <c r="AD953" s="181"/>
      <c r="AE953" s="395"/>
      <c r="AF953" s="387"/>
      <c r="AG953" s="181"/>
      <c r="AH953" s="181"/>
      <c r="AI953" s="181"/>
      <c r="AJ953" s="395"/>
      <c r="AK953" s="387"/>
      <c r="AL953" s="181"/>
      <c r="AM953" s="181"/>
      <c r="AN953" s="181"/>
      <c r="AO953" s="370"/>
      <c r="AP953" s="370"/>
      <c r="AQ953" s="370"/>
      <c r="AR953" s="370"/>
      <c r="AS953" s="370"/>
    </row>
    <row r="954">
      <c r="A954" s="395"/>
      <c r="B954" s="387"/>
      <c r="C954" s="181"/>
      <c r="D954" s="181"/>
      <c r="E954" s="181"/>
      <c r="F954" s="395"/>
      <c r="G954" s="387"/>
      <c r="H954" s="181"/>
      <c r="I954" s="181"/>
      <c r="J954" s="181"/>
      <c r="K954" s="88"/>
      <c r="L954" s="387"/>
      <c r="M954" s="181"/>
      <c r="N954" s="181"/>
      <c r="O954" s="181"/>
      <c r="P954" s="88"/>
      <c r="Q954" s="155"/>
      <c r="R954" s="181"/>
      <c r="S954" s="181"/>
      <c r="T954" s="181"/>
      <c r="U954" s="395"/>
      <c r="V954" s="387"/>
      <c r="W954" s="181"/>
      <c r="X954" s="181"/>
      <c r="Y954" s="181"/>
      <c r="Z954" s="395"/>
      <c r="AA954" s="387"/>
      <c r="AB954" s="181"/>
      <c r="AC954" s="181"/>
      <c r="AD954" s="181"/>
      <c r="AE954" s="395"/>
      <c r="AF954" s="387"/>
      <c r="AG954" s="181"/>
      <c r="AH954" s="181"/>
      <c r="AI954" s="181"/>
      <c r="AJ954" s="395"/>
      <c r="AK954" s="387"/>
      <c r="AL954" s="181"/>
      <c r="AM954" s="181"/>
      <c r="AN954" s="181"/>
      <c r="AO954" s="370"/>
      <c r="AP954" s="370"/>
      <c r="AQ954" s="370"/>
      <c r="AR954" s="370"/>
      <c r="AS954" s="370"/>
    </row>
    <row r="955">
      <c r="A955" s="395"/>
      <c r="B955" s="387"/>
      <c r="C955" s="181"/>
      <c r="D955" s="181"/>
      <c r="E955" s="181"/>
      <c r="F955" s="395"/>
      <c r="G955" s="387"/>
      <c r="H955" s="181"/>
      <c r="I955" s="181"/>
      <c r="J955" s="181"/>
      <c r="K955" s="88"/>
      <c r="L955" s="387"/>
      <c r="M955" s="181"/>
      <c r="N955" s="181"/>
      <c r="O955" s="181"/>
      <c r="P955" s="88"/>
      <c r="Q955" s="155"/>
      <c r="R955" s="181"/>
      <c r="S955" s="181"/>
      <c r="T955" s="181"/>
      <c r="U955" s="395"/>
      <c r="V955" s="387"/>
      <c r="W955" s="181"/>
      <c r="X955" s="181"/>
      <c r="Y955" s="181"/>
      <c r="Z955" s="395"/>
      <c r="AA955" s="387"/>
      <c r="AB955" s="181"/>
      <c r="AC955" s="181"/>
      <c r="AD955" s="181"/>
      <c r="AE955" s="395"/>
      <c r="AF955" s="387"/>
      <c r="AG955" s="181"/>
      <c r="AH955" s="181"/>
      <c r="AI955" s="181"/>
      <c r="AJ955" s="395"/>
      <c r="AK955" s="387"/>
      <c r="AL955" s="181"/>
      <c r="AM955" s="181"/>
      <c r="AN955" s="181"/>
      <c r="AO955" s="370"/>
      <c r="AP955" s="370"/>
      <c r="AQ955" s="370"/>
      <c r="AR955" s="370"/>
      <c r="AS955" s="370"/>
    </row>
    <row r="956">
      <c r="A956" s="395"/>
      <c r="B956" s="387"/>
      <c r="C956" s="181"/>
      <c r="D956" s="181"/>
      <c r="E956" s="181"/>
      <c r="F956" s="395"/>
      <c r="G956" s="387"/>
      <c r="H956" s="181"/>
      <c r="I956" s="181"/>
      <c r="J956" s="181"/>
      <c r="K956" s="88"/>
      <c r="L956" s="387"/>
      <c r="M956" s="181"/>
      <c r="N956" s="181"/>
      <c r="O956" s="181"/>
      <c r="P956" s="88"/>
      <c r="Q956" s="155"/>
      <c r="R956" s="181"/>
      <c r="S956" s="181"/>
      <c r="T956" s="181"/>
      <c r="U956" s="395"/>
      <c r="V956" s="387"/>
      <c r="W956" s="181"/>
      <c r="X956" s="181"/>
      <c r="Y956" s="181"/>
      <c r="Z956" s="395"/>
      <c r="AA956" s="387"/>
      <c r="AB956" s="181"/>
      <c r="AC956" s="181"/>
      <c r="AD956" s="181"/>
      <c r="AE956" s="395"/>
      <c r="AF956" s="387"/>
      <c r="AG956" s="181"/>
      <c r="AH956" s="181"/>
      <c r="AI956" s="181"/>
      <c r="AJ956" s="395"/>
      <c r="AK956" s="387"/>
      <c r="AL956" s="181"/>
      <c r="AM956" s="181"/>
      <c r="AN956" s="181"/>
      <c r="AO956" s="370"/>
      <c r="AP956" s="370"/>
      <c r="AQ956" s="370"/>
      <c r="AR956" s="370"/>
      <c r="AS956" s="370"/>
    </row>
    <row r="957">
      <c r="A957" s="395"/>
      <c r="B957" s="387"/>
      <c r="C957" s="181"/>
      <c r="D957" s="181"/>
      <c r="E957" s="181"/>
      <c r="F957" s="395"/>
      <c r="G957" s="387"/>
      <c r="H957" s="181"/>
      <c r="I957" s="181"/>
      <c r="J957" s="181"/>
      <c r="K957" s="88"/>
      <c r="L957" s="387"/>
      <c r="M957" s="181"/>
      <c r="N957" s="181"/>
      <c r="O957" s="181"/>
      <c r="P957" s="88"/>
      <c r="Q957" s="155"/>
      <c r="R957" s="181"/>
      <c r="S957" s="181"/>
      <c r="T957" s="181"/>
      <c r="U957" s="395"/>
      <c r="V957" s="387"/>
      <c r="W957" s="181"/>
      <c r="X957" s="181"/>
      <c r="Y957" s="181"/>
      <c r="Z957" s="395"/>
      <c r="AA957" s="387"/>
      <c r="AB957" s="181"/>
      <c r="AC957" s="181"/>
      <c r="AD957" s="181"/>
      <c r="AE957" s="395"/>
      <c r="AF957" s="387"/>
      <c r="AG957" s="181"/>
      <c r="AH957" s="181"/>
      <c r="AI957" s="181"/>
      <c r="AJ957" s="395"/>
      <c r="AK957" s="387"/>
      <c r="AL957" s="181"/>
      <c r="AM957" s="181"/>
      <c r="AN957" s="181"/>
      <c r="AO957" s="370"/>
      <c r="AP957" s="370"/>
      <c r="AQ957" s="370"/>
      <c r="AR957" s="370"/>
      <c r="AS957" s="370"/>
    </row>
    <row r="958">
      <c r="A958" s="395"/>
      <c r="B958" s="387"/>
      <c r="C958" s="181"/>
      <c r="D958" s="181"/>
      <c r="E958" s="181"/>
      <c r="F958" s="395"/>
      <c r="G958" s="387"/>
      <c r="H958" s="181"/>
      <c r="I958" s="181"/>
      <c r="J958" s="181"/>
      <c r="K958" s="88"/>
      <c r="L958" s="387"/>
      <c r="M958" s="181"/>
      <c r="N958" s="181"/>
      <c r="O958" s="181"/>
      <c r="P958" s="88"/>
      <c r="Q958" s="155"/>
      <c r="R958" s="181"/>
      <c r="S958" s="181"/>
      <c r="T958" s="181"/>
      <c r="U958" s="395"/>
      <c r="V958" s="387"/>
      <c r="W958" s="181"/>
      <c r="X958" s="181"/>
      <c r="Y958" s="181"/>
      <c r="Z958" s="395"/>
      <c r="AA958" s="387"/>
      <c r="AB958" s="181"/>
      <c r="AC958" s="181"/>
      <c r="AD958" s="181"/>
      <c r="AE958" s="395"/>
      <c r="AF958" s="387"/>
      <c r="AG958" s="181"/>
      <c r="AH958" s="181"/>
      <c r="AI958" s="181"/>
      <c r="AJ958" s="395"/>
      <c r="AK958" s="387"/>
      <c r="AL958" s="181"/>
      <c r="AM958" s="181"/>
      <c r="AN958" s="181"/>
      <c r="AO958" s="370"/>
      <c r="AP958" s="370"/>
      <c r="AQ958" s="370"/>
      <c r="AR958" s="370"/>
      <c r="AS958" s="370"/>
    </row>
    <row r="959">
      <c r="A959" s="395"/>
      <c r="B959" s="387"/>
      <c r="C959" s="181"/>
      <c r="D959" s="181"/>
      <c r="E959" s="181"/>
      <c r="F959" s="395"/>
      <c r="G959" s="387"/>
      <c r="H959" s="181"/>
      <c r="I959" s="181"/>
      <c r="J959" s="181"/>
      <c r="K959" s="88"/>
      <c r="L959" s="387"/>
      <c r="M959" s="181"/>
      <c r="N959" s="181"/>
      <c r="O959" s="181"/>
      <c r="P959" s="88"/>
      <c r="Q959" s="155"/>
      <c r="R959" s="181"/>
      <c r="S959" s="181"/>
      <c r="T959" s="181"/>
      <c r="U959" s="395"/>
      <c r="V959" s="387"/>
      <c r="W959" s="181"/>
      <c r="X959" s="181"/>
      <c r="Y959" s="181"/>
      <c r="Z959" s="395"/>
      <c r="AA959" s="387"/>
      <c r="AB959" s="181"/>
      <c r="AC959" s="181"/>
      <c r="AD959" s="181"/>
      <c r="AE959" s="395"/>
      <c r="AF959" s="387"/>
      <c r="AG959" s="181"/>
      <c r="AH959" s="181"/>
      <c r="AI959" s="181"/>
      <c r="AJ959" s="395"/>
      <c r="AK959" s="387"/>
      <c r="AL959" s="181"/>
      <c r="AM959" s="181"/>
      <c r="AN959" s="181"/>
      <c r="AO959" s="370"/>
      <c r="AP959" s="370"/>
      <c r="AQ959" s="370"/>
      <c r="AR959" s="370"/>
      <c r="AS959" s="370"/>
    </row>
    <row r="960">
      <c r="A960" s="395"/>
      <c r="B960" s="387"/>
      <c r="C960" s="181"/>
      <c r="D960" s="181"/>
      <c r="E960" s="181"/>
      <c r="F960" s="395"/>
      <c r="G960" s="387"/>
      <c r="H960" s="181"/>
      <c r="I960" s="181"/>
      <c r="J960" s="181"/>
      <c r="K960" s="88"/>
      <c r="L960" s="387"/>
      <c r="M960" s="181"/>
      <c r="N960" s="181"/>
      <c r="O960" s="181"/>
      <c r="P960" s="88"/>
      <c r="Q960" s="155"/>
      <c r="R960" s="181"/>
      <c r="S960" s="181"/>
      <c r="T960" s="181"/>
      <c r="U960" s="395"/>
      <c r="V960" s="387"/>
      <c r="W960" s="181"/>
      <c r="X960" s="181"/>
      <c r="Y960" s="181"/>
      <c r="Z960" s="395"/>
      <c r="AA960" s="387"/>
      <c r="AB960" s="181"/>
      <c r="AC960" s="181"/>
      <c r="AD960" s="181"/>
      <c r="AE960" s="395"/>
      <c r="AF960" s="387"/>
      <c r="AG960" s="181"/>
      <c r="AH960" s="181"/>
      <c r="AI960" s="181"/>
      <c r="AJ960" s="395"/>
      <c r="AK960" s="387"/>
      <c r="AL960" s="181"/>
      <c r="AM960" s="181"/>
      <c r="AN960" s="181"/>
      <c r="AO960" s="370"/>
      <c r="AP960" s="370"/>
      <c r="AQ960" s="370"/>
      <c r="AR960" s="370"/>
      <c r="AS960" s="370"/>
    </row>
    <row r="961">
      <c r="A961" s="395"/>
      <c r="B961" s="387"/>
      <c r="C961" s="181"/>
      <c r="D961" s="181"/>
      <c r="E961" s="181"/>
      <c r="F961" s="395"/>
      <c r="G961" s="387"/>
      <c r="H961" s="181"/>
      <c r="I961" s="181"/>
      <c r="J961" s="181"/>
      <c r="K961" s="88"/>
      <c r="L961" s="387"/>
      <c r="M961" s="181"/>
      <c r="N961" s="181"/>
      <c r="O961" s="181"/>
      <c r="P961" s="88"/>
      <c r="Q961" s="155"/>
      <c r="R961" s="181"/>
      <c r="S961" s="181"/>
      <c r="T961" s="181"/>
      <c r="U961" s="395"/>
      <c r="V961" s="387"/>
      <c r="W961" s="181"/>
      <c r="X961" s="181"/>
      <c r="Y961" s="181"/>
      <c r="Z961" s="395"/>
      <c r="AA961" s="387"/>
      <c r="AB961" s="181"/>
      <c r="AC961" s="181"/>
      <c r="AD961" s="181"/>
      <c r="AE961" s="395"/>
      <c r="AF961" s="387"/>
      <c r="AG961" s="181"/>
      <c r="AH961" s="181"/>
      <c r="AI961" s="181"/>
      <c r="AJ961" s="395"/>
      <c r="AK961" s="387"/>
      <c r="AL961" s="181"/>
      <c r="AM961" s="181"/>
      <c r="AN961" s="181"/>
      <c r="AO961" s="370"/>
      <c r="AP961" s="370"/>
      <c r="AQ961" s="370"/>
      <c r="AR961" s="370"/>
      <c r="AS961" s="370"/>
    </row>
    <row r="962">
      <c r="A962" s="395"/>
      <c r="B962" s="387"/>
      <c r="C962" s="181"/>
      <c r="D962" s="181"/>
      <c r="E962" s="181"/>
      <c r="F962" s="395"/>
      <c r="G962" s="387"/>
      <c r="H962" s="181"/>
      <c r="I962" s="181"/>
      <c r="J962" s="181"/>
      <c r="K962" s="88"/>
      <c r="L962" s="387"/>
      <c r="M962" s="181"/>
      <c r="N962" s="181"/>
      <c r="O962" s="181"/>
      <c r="P962" s="88"/>
      <c r="Q962" s="155"/>
      <c r="R962" s="181"/>
      <c r="S962" s="181"/>
      <c r="T962" s="181"/>
      <c r="U962" s="395"/>
      <c r="V962" s="387"/>
      <c r="W962" s="181"/>
      <c r="X962" s="181"/>
      <c r="Y962" s="181"/>
      <c r="Z962" s="395"/>
      <c r="AA962" s="387"/>
      <c r="AB962" s="181"/>
      <c r="AC962" s="181"/>
      <c r="AD962" s="181"/>
      <c r="AE962" s="395"/>
      <c r="AF962" s="387"/>
      <c r="AG962" s="181"/>
      <c r="AH962" s="181"/>
      <c r="AI962" s="181"/>
      <c r="AJ962" s="395"/>
      <c r="AK962" s="387"/>
      <c r="AL962" s="181"/>
      <c r="AM962" s="181"/>
      <c r="AN962" s="181"/>
      <c r="AO962" s="370"/>
      <c r="AP962" s="370"/>
      <c r="AQ962" s="370"/>
      <c r="AR962" s="370"/>
      <c r="AS962" s="370"/>
    </row>
    <row r="963">
      <c r="A963" s="395"/>
      <c r="B963" s="387"/>
      <c r="C963" s="181"/>
      <c r="D963" s="181"/>
      <c r="E963" s="181"/>
      <c r="F963" s="395"/>
      <c r="G963" s="387"/>
      <c r="H963" s="181"/>
      <c r="I963" s="181"/>
      <c r="J963" s="181"/>
      <c r="K963" s="88"/>
      <c r="L963" s="387"/>
      <c r="M963" s="181"/>
      <c r="N963" s="181"/>
      <c r="O963" s="181"/>
      <c r="P963" s="88"/>
      <c r="Q963" s="155"/>
      <c r="R963" s="181"/>
      <c r="S963" s="181"/>
      <c r="T963" s="181"/>
      <c r="U963" s="395"/>
      <c r="V963" s="387"/>
      <c r="W963" s="181"/>
      <c r="X963" s="181"/>
      <c r="Y963" s="181"/>
      <c r="Z963" s="395"/>
      <c r="AA963" s="387"/>
      <c r="AB963" s="181"/>
      <c r="AC963" s="181"/>
      <c r="AD963" s="181"/>
      <c r="AE963" s="395"/>
      <c r="AF963" s="387"/>
      <c r="AG963" s="181"/>
      <c r="AH963" s="181"/>
      <c r="AI963" s="181"/>
      <c r="AJ963" s="395"/>
      <c r="AK963" s="387"/>
      <c r="AL963" s="181"/>
      <c r="AM963" s="181"/>
      <c r="AN963" s="181"/>
      <c r="AO963" s="370"/>
      <c r="AP963" s="370"/>
      <c r="AQ963" s="370"/>
      <c r="AR963" s="370"/>
      <c r="AS963" s="370"/>
    </row>
    <row r="964">
      <c r="A964" s="395"/>
      <c r="B964" s="387"/>
      <c r="C964" s="181"/>
      <c r="D964" s="181"/>
      <c r="E964" s="181"/>
      <c r="F964" s="395"/>
      <c r="G964" s="387"/>
      <c r="H964" s="181"/>
      <c r="I964" s="181"/>
      <c r="J964" s="181"/>
      <c r="K964" s="88"/>
      <c r="L964" s="387"/>
      <c r="M964" s="181"/>
      <c r="N964" s="181"/>
      <c r="O964" s="181"/>
      <c r="P964" s="88"/>
      <c r="Q964" s="155"/>
      <c r="R964" s="181"/>
      <c r="S964" s="181"/>
      <c r="T964" s="181"/>
      <c r="U964" s="395"/>
      <c r="V964" s="387"/>
      <c r="W964" s="181"/>
      <c r="X964" s="181"/>
      <c r="Y964" s="181"/>
      <c r="Z964" s="395"/>
      <c r="AA964" s="387"/>
      <c r="AB964" s="181"/>
      <c r="AC964" s="181"/>
      <c r="AD964" s="181"/>
      <c r="AE964" s="395"/>
      <c r="AF964" s="387"/>
      <c r="AG964" s="181"/>
      <c r="AH964" s="181"/>
      <c r="AI964" s="181"/>
      <c r="AJ964" s="395"/>
      <c r="AK964" s="387"/>
      <c r="AL964" s="181"/>
      <c r="AM964" s="181"/>
      <c r="AN964" s="181"/>
      <c r="AO964" s="370"/>
      <c r="AP964" s="370"/>
      <c r="AQ964" s="370"/>
      <c r="AR964" s="370"/>
      <c r="AS964" s="370"/>
    </row>
    <row r="965">
      <c r="A965" s="395"/>
      <c r="B965" s="387"/>
      <c r="C965" s="181"/>
      <c r="D965" s="181"/>
      <c r="E965" s="181"/>
      <c r="F965" s="395"/>
      <c r="G965" s="387"/>
      <c r="H965" s="181"/>
      <c r="I965" s="181"/>
      <c r="J965" s="181"/>
      <c r="K965" s="88"/>
      <c r="L965" s="387"/>
      <c r="M965" s="181"/>
      <c r="N965" s="181"/>
      <c r="O965" s="181"/>
      <c r="P965" s="88"/>
      <c r="Q965" s="155"/>
      <c r="R965" s="181"/>
      <c r="S965" s="181"/>
      <c r="T965" s="181"/>
      <c r="U965" s="395"/>
      <c r="V965" s="387"/>
      <c r="W965" s="181"/>
      <c r="X965" s="181"/>
      <c r="Y965" s="181"/>
      <c r="Z965" s="395"/>
      <c r="AA965" s="387"/>
      <c r="AB965" s="181"/>
      <c r="AC965" s="181"/>
      <c r="AD965" s="181"/>
      <c r="AE965" s="395"/>
      <c r="AF965" s="387"/>
      <c r="AG965" s="181"/>
      <c r="AH965" s="181"/>
      <c r="AI965" s="181"/>
      <c r="AJ965" s="395"/>
      <c r="AK965" s="387"/>
      <c r="AL965" s="181"/>
      <c r="AM965" s="181"/>
      <c r="AN965" s="181"/>
      <c r="AO965" s="370"/>
      <c r="AP965" s="370"/>
      <c r="AQ965" s="370"/>
      <c r="AR965" s="370"/>
      <c r="AS965" s="370"/>
    </row>
    <row r="966">
      <c r="A966" s="395"/>
      <c r="B966" s="387"/>
      <c r="C966" s="181"/>
      <c r="D966" s="181"/>
      <c r="E966" s="181"/>
      <c r="F966" s="395"/>
      <c r="G966" s="387"/>
      <c r="H966" s="181"/>
      <c r="I966" s="181"/>
      <c r="J966" s="181"/>
      <c r="K966" s="88"/>
      <c r="L966" s="387"/>
      <c r="M966" s="181"/>
      <c r="N966" s="181"/>
      <c r="O966" s="181"/>
      <c r="P966" s="88"/>
      <c r="Q966" s="155"/>
      <c r="R966" s="181"/>
      <c r="S966" s="181"/>
      <c r="T966" s="181"/>
      <c r="U966" s="395"/>
      <c r="V966" s="387"/>
      <c r="W966" s="181"/>
      <c r="X966" s="181"/>
      <c r="Y966" s="181"/>
      <c r="Z966" s="395"/>
      <c r="AA966" s="387"/>
      <c r="AB966" s="181"/>
      <c r="AC966" s="181"/>
      <c r="AD966" s="181"/>
      <c r="AE966" s="395"/>
      <c r="AF966" s="387"/>
      <c r="AG966" s="181"/>
      <c r="AH966" s="181"/>
      <c r="AI966" s="181"/>
      <c r="AJ966" s="395"/>
      <c r="AK966" s="387"/>
      <c r="AL966" s="181"/>
      <c r="AM966" s="181"/>
      <c r="AN966" s="181"/>
      <c r="AO966" s="370"/>
      <c r="AP966" s="370"/>
      <c r="AQ966" s="370"/>
      <c r="AR966" s="370"/>
      <c r="AS966" s="370"/>
    </row>
    <row r="967">
      <c r="A967" s="395"/>
      <c r="B967" s="387"/>
      <c r="C967" s="181"/>
      <c r="D967" s="181"/>
      <c r="E967" s="181"/>
      <c r="F967" s="395"/>
      <c r="G967" s="387"/>
      <c r="H967" s="181"/>
      <c r="I967" s="181"/>
      <c r="J967" s="181"/>
      <c r="K967" s="88"/>
      <c r="L967" s="387"/>
      <c r="M967" s="181"/>
      <c r="N967" s="181"/>
      <c r="O967" s="181"/>
      <c r="P967" s="88"/>
      <c r="Q967" s="155"/>
      <c r="R967" s="181"/>
      <c r="S967" s="181"/>
      <c r="T967" s="181"/>
      <c r="U967" s="395"/>
      <c r="V967" s="387"/>
      <c r="W967" s="181"/>
      <c r="X967" s="181"/>
      <c r="Y967" s="181"/>
      <c r="Z967" s="395"/>
      <c r="AA967" s="387"/>
      <c r="AB967" s="181"/>
      <c r="AC967" s="181"/>
      <c r="AD967" s="181"/>
      <c r="AE967" s="395"/>
      <c r="AF967" s="387"/>
      <c r="AG967" s="181"/>
      <c r="AH967" s="181"/>
      <c r="AI967" s="181"/>
      <c r="AJ967" s="395"/>
      <c r="AK967" s="387"/>
      <c r="AL967" s="181"/>
      <c r="AM967" s="181"/>
      <c r="AN967" s="181"/>
      <c r="AO967" s="370"/>
      <c r="AP967" s="370"/>
      <c r="AQ967" s="370"/>
      <c r="AR967" s="370"/>
      <c r="AS967" s="370"/>
    </row>
    <row r="968">
      <c r="A968" s="395"/>
      <c r="B968" s="387"/>
      <c r="C968" s="181"/>
      <c r="D968" s="181"/>
      <c r="E968" s="181"/>
      <c r="F968" s="395"/>
      <c r="G968" s="387"/>
      <c r="H968" s="181"/>
      <c r="I968" s="181"/>
      <c r="J968" s="181"/>
      <c r="K968" s="88"/>
      <c r="L968" s="387"/>
      <c r="M968" s="181"/>
      <c r="N968" s="181"/>
      <c r="O968" s="181"/>
      <c r="P968" s="88"/>
      <c r="Q968" s="155"/>
      <c r="R968" s="181"/>
      <c r="S968" s="181"/>
      <c r="T968" s="181"/>
      <c r="U968" s="395"/>
      <c r="V968" s="387"/>
      <c r="W968" s="181"/>
      <c r="X968" s="181"/>
      <c r="Y968" s="181"/>
      <c r="Z968" s="395"/>
      <c r="AA968" s="387"/>
      <c r="AB968" s="181"/>
      <c r="AC968" s="181"/>
      <c r="AD968" s="181"/>
      <c r="AE968" s="395"/>
      <c r="AF968" s="387"/>
      <c r="AG968" s="181"/>
      <c r="AH968" s="181"/>
      <c r="AI968" s="181"/>
      <c r="AJ968" s="395"/>
      <c r="AK968" s="387"/>
      <c r="AL968" s="181"/>
      <c r="AM968" s="181"/>
      <c r="AN968" s="181"/>
      <c r="AO968" s="370"/>
      <c r="AP968" s="370"/>
      <c r="AQ968" s="370"/>
      <c r="AR968" s="370"/>
      <c r="AS968" s="370"/>
    </row>
    <row r="969">
      <c r="A969" s="395"/>
      <c r="B969" s="387"/>
      <c r="C969" s="181"/>
      <c r="D969" s="181"/>
      <c r="E969" s="181"/>
      <c r="F969" s="395"/>
      <c r="G969" s="387"/>
      <c r="H969" s="181"/>
      <c r="I969" s="181"/>
      <c r="J969" s="181"/>
      <c r="K969" s="88"/>
      <c r="L969" s="387"/>
      <c r="M969" s="181"/>
      <c r="N969" s="181"/>
      <c r="O969" s="181"/>
      <c r="P969" s="88"/>
      <c r="Q969" s="155"/>
      <c r="R969" s="181"/>
      <c r="S969" s="181"/>
      <c r="T969" s="181"/>
      <c r="U969" s="395"/>
      <c r="V969" s="387"/>
      <c r="W969" s="181"/>
      <c r="X969" s="181"/>
      <c r="Y969" s="181"/>
      <c r="Z969" s="395"/>
      <c r="AA969" s="387"/>
      <c r="AB969" s="181"/>
      <c r="AC969" s="181"/>
      <c r="AD969" s="181"/>
      <c r="AE969" s="395"/>
      <c r="AF969" s="387"/>
      <c r="AG969" s="181"/>
      <c r="AH969" s="181"/>
      <c r="AI969" s="181"/>
      <c r="AJ969" s="395"/>
      <c r="AK969" s="387"/>
      <c r="AL969" s="181"/>
      <c r="AM969" s="181"/>
      <c r="AN969" s="181"/>
      <c r="AO969" s="370"/>
      <c r="AP969" s="370"/>
      <c r="AQ969" s="370"/>
      <c r="AR969" s="370"/>
      <c r="AS969" s="370"/>
    </row>
    <row r="970">
      <c r="A970" s="395"/>
      <c r="B970" s="387"/>
      <c r="C970" s="181"/>
      <c r="D970" s="181"/>
      <c r="E970" s="181"/>
      <c r="F970" s="395"/>
      <c r="G970" s="387"/>
      <c r="H970" s="181"/>
      <c r="I970" s="181"/>
      <c r="J970" s="181"/>
      <c r="K970" s="88"/>
      <c r="L970" s="387"/>
      <c r="M970" s="181"/>
      <c r="N970" s="181"/>
      <c r="O970" s="181"/>
      <c r="P970" s="88"/>
      <c r="Q970" s="155"/>
      <c r="R970" s="181"/>
      <c r="S970" s="181"/>
      <c r="T970" s="181"/>
      <c r="U970" s="395"/>
      <c r="V970" s="387"/>
      <c r="W970" s="181"/>
      <c r="X970" s="181"/>
      <c r="Y970" s="181"/>
      <c r="Z970" s="395"/>
      <c r="AA970" s="387"/>
      <c r="AB970" s="181"/>
      <c r="AC970" s="181"/>
      <c r="AD970" s="181"/>
      <c r="AE970" s="395"/>
      <c r="AF970" s="387"/>
      <c r="AG970" s="181"/>
      <c r="AH970" s="181"/>
      <c r="AI970" s="181"/>
      <c r="AJ970" s="395"/>
      <c r="AK970" s="387"/>
      <c r="AL970" s="181"/>
      <c r="AM970" s="181"/>
      <c r="AN970" s="181"/>
      <c r="AO970" s="370"/>
      <c r="AP970" s="370"/>
      <c r="AQ970" s="370"/>
      <c r="AR970" s="370"/>
      <c r="AS970" s="370"/>
    </row>
    <row r="971">
      <c r="A971" s="395"/>
      <c r="B971" s="387"/>
      <c r="C971" s="181"/>
      <c r="D971" s="181"/>
      <c r="E971" s="181"/>
      <c r="F971" s="395"/>
      <c r="G971" s="387"/>
      <c r="H971" s="181"/>
      <c r="I971" s="181"/>
      <c r="J971" s="181"/>
      <c r="K971" s="88"/>
      <c r="L971" s="387"/>
      <c r="M971" s="181"/>
      <c r="N971" s="181"/>
      <c r="O971" s="181"/>
      <c r="P971" s="88"/>
      <c r="Q971" s="155"/>
      <c r="R971" s="181"/>
      <c r="S971" s="181"/>
      <c r="T971" s="181"/>
      <c r="U971" s="395"/>
      <c r="V971" s="387"/>
      <c r="W971" s="181"/>
      <c r="X971" s="181"/>
      <c r="Y971" s="181"/>
      <c r="Z971" s="395"/>
      <c r="AA971" s="387"/>
      <c r="AB971" s="181"/>
      <c r="AC971" s="181"/>
      <c r="AD971" s="181"/>
      <c r="AE971" s="395"/>
      <c r="AF971" s="387"/>
      <c r="AG971" s="181"/>
      <c r="AH971" s="181"/>
      <c r="AI971" s="181"/>
      <c r="AJ971" s="395"/>
      <c r="AK971" s="387"/>
      <c r="AL971" s="181"/>
      <c r="AM971" s="181"/>
      <c r="AN971" s="181"/>
      <c r="AO971" s="370"/>
      <c r="AP971" s="370"/>
      <c r="AQ971" s="370"/>
      <c r="AR971" s="370"/>
      <c r="AS971" s="370"/>
    </row>
    <row r="972">
      <c r="A972" s="395"/>
      <c r="B972" s="387"/>
      <c r="C972" s="181"/>
      <c r="D972" s="181"/>
      <c r="E972" s="181"/>
      <c r="F972" s="395"/>
      <c r="G972" s="387"/>
      <c r="H972" s="181"/>
      <c r="I972" s="181"/>
      <c r="J972" s="181"/>
      <c r="K972" s="88"/>
      <c r="L972" s="387"/>
      <c r="M972" s="181"/>
      <c r="N972" s="181"/>
      <c r="O972" s="181"/>
      <c r="P972" s="88"/>
      <c r="Q972" s="155"/>
      <c r="R972" s="181"/>
      <c r="S972" s="181"/>
      <c r="T972" s="181"/>
      <c r="U972" s="395"/>
      <c r="V972" s="387"/>
      <c r="W972" s="181"/>
      <c r="X972" s="181"/>
      <c r="Y972" s="181"/>
      <c r="Z972" s="395"/>
      <c r="AA972" s="387"/>
      <c r="AB972" s="181"/>
      <c r="AC972" s="181"/>
      <c r="AD972" s="181"/>
      <c r="AE972" s="395"/>
      <c r="AF972" s="387"/>
      <c r="AG972" s="181"/>
      <c r="AH972" s="181"/>
      <c r="AI972" s="181"/>
      <c r="AJ972" s="395"/>
      <c r="AK972" s="387"/>
      <c r="AL972" s="181"/>
      <c r="AM972" s="181"/>
      <c r="AN972" s="181"/>
      <c r="AO972" s="370"/>
      <c r="AP972" s="370"/>
      <c r="AQ972" s="370"/>
      <c r="AR972" s="370"/>
      <c r="AS972" s="370"/>
    </row>
    <row r="973">
      <c r="A973" s="395"/>
      <c r="B973" s="387"/>
      <c r="C973" s="181"/>
      <c r="D973" s="181"/>
      <c r="E973" s="181"/>
      <c r="F973" s="395"/>
      <c r="G973" s="387"/>
      <c r="H973" s="181"/>
      <c r="I973" s="181"/>
      <c r="J973" s="181"/>
      <c r="K973" s="88"/>
      <c r="L973" s="387"/>
      <c r="M973" s="181"/>
      <c r="N973" s="181"/>
      <c r="O973" s="181"/>
      <c r="P973" s="88"/>
      <c r="Q973" s="155"/>
      <c r="R973" s="181"/>
      <c r="S973" s="181"/>
      <c r="T973" s="181"/>
      <c r="U973" s="395"/>
      <c r="V973" s="387"/>
      <c r="W973" s="181"/>
      <c r="X973" s="181"/>
      <c r="Y973" s="181"/>
      <c r="Z973" s="395"/>
      <c r="AA973" s="387"/>
      <c r="AB973" s="181"/>
      <c r="AC973" s="181"/>
      <c r="AD973" s="181"/>
      <c r="AE973" s="395"/>
      <c r="AF973" s="387"/>
      <c r="AG973" s="181"/>
      <c r="AH973" s="181"/>
      <c r="AI973" s="181"/>
      <c r="AJ973" s="395"/>
      <c r="AK973" s="387"/>
      <c r="AL973" s="181"/>
      <c r="AM973" s="181"/>
      <c r="AN973" s="181"/>
      <c r="AO973" s="370"/>
      <c r="AP973" s="370"/>
      <c r="AQ973" s="370"/>
      <c r="AR973" s="370"/>
      <c r="AS973" s="370"/>
    </row>
    <row r="974">
      <c r="A974" s="395"/>
      <c r="B974" s="387"/>
      <c r="C974" s="181"/>
      <c r="D974" s="181"/>
      <c r="E974" s="181"/>
      <c r="F974" s="395"/>
      <c r="G974" s="387"/>
      <c r="H974" s="181"/>
      <c r="I974" s="181"/>
      <c r="J974" s="181"/>
      <c r="K974" s="88"/>
      <c r="L974" s="387"/>
      <c r="M974" s="181"/>
      <c r="N974" s="181"/>
      <c r="O974" s="181"/>
      <c r="P974" s="88"/>
      <c r="Q974" s="155"/>
      <c r="R974" s="181"/>
      <c r="S974" s="181"/>
      <c r="T974" s="181"/>
      <c r="U974" s="395"/>
      <c r="V974" s="387"/>
      <c r="W974" s="181"/>
      <c r="X974" s="181"/>
      <c r="Y974" s="181"/>
      <c r="Z974" s="395"/>
      <c r="AA974" s="387"/>
      <c r="AB974" s="181"/>
      <c r="AC974" s="181"/>
      <c r="AD974" s="181"/>
      <c r="AE974" s="395"/>
      <c r="AF974" s="387"/>
      <c r="AG974" s="181"/>
      <c r="AH974" s="181"/>
      <c r="AI974" s="181"/>
      <c r="AJ974" s="395"/>
      <c r="AK974" s="387"/>
      <c r="AL974" s="181"/>
      <c r="AM974" s="181"/>
      <c r="AN974" s="181"/>
      <c r="AO974" s="370"/>
      <c r="AP974" s="370"/>
      <c r="AQ974" s="370"/>
      <c r="AR974" s="370"/>
      <c r="AS974" s="370"/>
    </row>
    <row r="975">
      <c r="A975" s="395"/>
      <c r="B975" s="387"/>
      <c r="C975" s="181"/>
      <c r="D975" s="181"/>
      <c r="E975" s="181"/>
      <c r="F975" s="395"/>
      <c r="G975" s="387"/>
      <c r="H975" s="181"/>
      <c r="I975" s="181"/>
      <c r="J975" s="181"/>
      <c r="K975" s="88"/>
      <c r="L975" s="387"/>
      <c r="M975" s="181"/>
      <c r="N975" s="181"/>
      <c r="O975" s="181"/>
      <c r="P975" s="88"/>
      <c r="Q975" s="155"/>
      <c r="R975" s="181"/>
      <c r="S975" s="181"/>
      <c r="T975" s="181"/>
      <c r="U975" s="395"/>
      <c r="V975" s="387"/>
      <c r="W975" s="181"/>
      <c r="X975" s="181"/>
      <c r="Y975" s="181"/>
      <c r="Z975" s="395"/>
      <c r="AA975" s="387"/>
      <c r="AB975" s="181"/>
      <c r="AC975" s="181"/>
      <c r="AD975" s="181"/>
      <c r="AE975" s="395"/>
      <c r="AF975" s="387"/>
      <c r="AG975" s="181"/>
      <c r="AH975" s="181"/>
      <c r="AI975" s="181"/>
      <c r="AJ975" s="395"/>
      <c r="AK975" s="387"/>
      <c r="AL975" s="181"/>
      <c r="AM975" s="181"/>
      <c r="AN975" s="181"/>
      <c r="AO975" s="370"/>
      <c r="AP975" s="370"/>
      <c r="AQ975" s="370"/>
      <c r="AR975" s="370"/>
      <c r="AS975" s="370"/>
    </row>
    <row r="976">
      <c r="A976" s="395"/>
      <c r="B976" s="387"/>
      <c r="C976" s="181"/>
      <c r="D976" s="181"/>
      <c r="E976" s="181"/>
      <c r="F976" s="395"/>
      <c r="G976" s="387"/>
      <c r="H976" s="181"/>
      <c r="I976" s="181"/>
      <c r="J976" s="181"/>
      <c r="K976" s="88"/>
      <c r="L976" s="387"/>
      <c r="M976" s="181"/>
      <c r="N976" s="181"/>
      <c r="O976" s="181"/>
      <c r="P976" s="88"/>
      <c r="Q976" s="155"/>
      <c r="R976" s="181"/>
      <c r="S976" s="181"/>
      <c r="T976" s="181"/>
      <c r="U976" s="395"/>
      <c r="V976" s="387"/>
      <c r="W976" s="181"/>
      <c r="X976" s="181"/>
      <c r="Y976" s="181"/>
      <c r="Z976" s="395"/>
      <c r="AA976" s="387"/>
      <c r="AB976" s="181"/>
      <c r="AC976" s="181"/>
      <c r="AD976" s="181"/>
      <c r="AE976" s="395"/>
      <c r="AF976" s="387"/>
      <c r="AG976" s="181"/>
      <c r="AH976" s="181"/>
      <c r="AI976" s="181"/>
      <c r="AJ976" s="395"/>
      <c r="AK976" s="387"/>
      <c r="AL976" s="181"/>
      <c r="AM976" s="181"/>
      <c r="AN976" s="181"/>
      <c r="AO976" s="370"/>
      <c r="AP976" s="370"/>
      <c r="AQ976" s="370"/>
      <c r="AR976" s="370"/>
      <c r="AS976" s="370"/>
    </row>
    <row r="977">
      <c r="A977" s="395"/>
      <c r="B977" s="387"/>
      <c r="C977" s="181"/>
      <c r="D977" s="181"/>
      <c r="E977" s="181"/>
      <c r="F977" s="395"/>
      <c r="G977" s="387"/>
      <c r="H977" s="181"/>
      <c r="I977" s="181"/>
      <c r="J977" s="181"/>
      <c r="K977" s="88"/>
      <c r="L977" s="387"/>
      <c r="M977" s="181"/>
      <c r="N977" s="181"/>
      <c r="O977" s="181"/>
      <c r="P977" s="88"/>
      <c r="Q977" s="155"/>
      <c r="R977" s="181"/>
      <c r="S977" s="181"/>
      <c r="T977" s="181"/>
      <c r="U977" s="395"/>
      <c r="V977" s="387"/>
      <c r="W977" s="181"/>
      <c r="X977" s="181"/>
      <c r="Y977" s="181"/>
      <c r="Z977" s="395"/>
      <c r="AA977" s="387"/>
      <c r="AB977" s="181"/>
      <c r="AC977" s="181"/>
      <c r="AD977" s="181"/>
      <c r="AE977" s="395"/>
      <c r="AF977" s="387"/>
      <c r="AG977" s="181"/>
      <c r="AH977" s="181"/>
      <c r="AI977" s="181"/>
      <c r="AJ977" s="395"/>
      <c r="AK977" s="387"/>
      <c r="AL977" s="181"/>
      <c r="AM977" s="181"/>
      <c r="AN977" s="181"/>
      <c r="AO977" s="370"/>
      <c r="AP977" s="370"/>
      <c r="AQ977" s="370"/>
      <c r="AR977" s="370"/>
      <c r="AS977" s="370"/>
    </row>
    <row r="978">
      <c r="A978" s="395"/>
      <c r="B978" s="387"/>
      <c r="C978" s="181"/>
      <c r="D978" s="181"/>
      <c r="E978" s="181"/>
      <c r="F978" s="395"/>
      <c r="G978" s="387"/>
      <c r="H978" s="181"/>
      <c r="I978" s="181"/>
      <c r="J978" s="181"/>
      <c r="K978" s="88"/>
      <c r="L978" s="387"/>
      <c r="M978" s="181"/>
      <c r="N978" s="181"/>
      <c r="O978" s="181"/>
      <c r="P978" s="88"/>
      <c r="Q978" s="155"/>
      <c r="R978" s="181"/>
      <c r="S978" s="181"/>
      <c r="T978" s="181"/>
      <c r="U978" s="395"/>
      <c r="V978" s="387"/>
      <c r="W978" s="181"/>
      <c r="X978" s="181"/>
      <c r="Y978" s="181"/>
      <c r="Z978" s="395"/>
      <c r="AA978" s="387"/>
      <c r="AB978" s="181"/>
      <c r="AC978" s="181"/>
      <c r="AD978" s="181"/>
      <c r="AE978" s="395"/>
      <c r="AF978" s="387"/>
      <c r="AG978" s="181"/>
      <c r="AH978" s="181"/>
      <c r="AI978" s="181"/>
      <c r="AJ978" s="395"/>
      <c r="AK978" s="387"/>
      <c r="AL978" s="181"/>
      <c r="AM978" s="181"/>
      <c r="AN978" s="181"/>
      <c r="AO978" s="370"/>
      <c r="AP978" s="370"/>
      <c r="AQ978" s="370"/>
      <c r="AR978" s="370"/>
      <c r="AS978" s="370"/>
    </row>
    <row r="979">
      <c r="A979" s="395"/>
      <c r="B979" s="387"/>
      <c r="C979" s="181"/>
      <c r="D979" s="181"/>
      <c r="E979" s="181"/>
      <c r="F979" s="395"/>
      <c r="G979" s="387"/>
      <c r="H979" s="181"/>
      <c r="I979" s="181"/>
      <c r="J979" s="181"/>
      <c r="K979" s="88"/>
      <c r="L979" s="387"/>
      <c r="M979" s="181"/>
      <c r="N979" s="181"/>
      <c r="O979" s="181"/>
      <c r="P979" s="88"/>
      <c r="Q979" s="155"/>
      <c r="R979" s="181"/>
      <c r="S979" s="181"/>
      <c r="T979" s="181"/>
      <c r="U979" s="395"/>
      <c r="V979" s="387"/>
      <c r="W979" s="181"/>
      <c r="X979" s="181"/>
      <c r="Y979" s="181"/>
      <c r="Z979" s="395"/>
      <c r="AA979" s="387"/>
      <c r="AB979" s="181"/>
      <c r="AC979" s="181"/>
      <c r="AD979" s="181"/>
      <c r="AE979" s="395"/>
      <c r="AF979" s="387"/>
      <c r="AG979" s="181"/>
      <c r="AH979" s="181"/>
      <c r="AI979" s="181"/>
      <c r="AJ979" s="395"/>
      <c r="AK979" s="387"/>
      <c r="AL979" s="181"/>
      <c r="AM979" s="181"/>
      <c r="AN979" s="181"/>
      <c r="AO979" s="370"/>
      <c r="AP979" s="370"/>
      <c r="AQ979" s="370"/>
      <c r="AR979" s="370"/>
      <c r="AS979" s="370"/>
    </row>
    <row r="980">
      <c r="A980" s="395"/>
      <c r="B980" s="387"/>
      <c r="C980" s="181"/>
      <c r="D980" s="181"/>
      <c r="E980" s="181"/>
      <c r="F980" s="395"/>
      <c r="G980" s="387"/>
      <c r="H980" s="181"/>
      <c r="I980" s="181"/>
      <c r="J980" s="181"/>
      <c r="K980" s="88"/>
      <c r="L980" s="387"/>
      <c r="M980" s="181"/>
      <c r="N980" s="181"/>
      <c r="O980" s="181"/>
      <c r="P980" s="88"/>
      <c r="Q980" s="155"/>
      <c r="R980" s="181"/>
      <c r="S980" s="181"/>
      <c r="T980" s="181"/>
      <c r="U980" s="395"/>
      <c r="V980" s="387"/>
      <c r="W980" s="181"/>
      <c r="X980" s="181"/>
      <c r="Y980" s="181"/>
      <c r="Z980" s="395"/>
      <c r="AA980" s="387"/>
      <c r="AB980" s="181"/>
      <c r="AC980" s="181"/>
      <c r="AD980" s="181"/>
      <c r="AE980" s="395"/>
      <c r="AF980" s="387"/>
      <c r="AG980" s="181"/>
      <c r="AH980" s="181"/>
      <c r="AI980" s="181"/>
      <c r="AJ980" s="395"/>
      <c r="AK980" s="387"/>
      <c r="AL980" s="181"/>
      <c r="AM980" s="181"/>
      <c r="AN980" s="181"/>
      <c r="AO980" s="370"/>
      <c r="AP980" s="370"/>
      <c r="AQ980" s="370"/>
      <c r="AR980" s="370"/>
      <c r="AS980" s="370"/>
    </row>
    <row r="981">
      <c r="A981" s="395"/>
      <c r="B981" s="387"/>
      <c r="C981" s="181"/>
      <c r="D981" s="181"/>
      <c r="E981" s="181"/>
      <c r="F981" s="395"/>
      <c r="G981" s="387"/>
      <c r="H981" s="181"/>
      <c r="I981" s="181"/>
      <c r="J981" s="181"/>
      <c r="K981" s="88"/>
      <c r="L981" s="387"/>
      <c r="M981" s="181"/>
      <c r="N981" s="181"/>
      <c r="O981" s="181"/>
      <c r="P981" s="88"/>
      <c r="Q981" s="155"/>
      <c r="R981" s="181"/>
      <c r="S981" s="181"/>
      <c r="T981" s="181"/>
      <c r="U981" s="395"/>
      <c r="V981" s="387"/>
      <c r="W981" s="181"/>
      <c r="X981" s="181"/>
      <c r="Y981" s="181"/>
      <c r="Z981" s="395"/>
      <c r="AA981" s="387"/>
      <c r="AB981" s="181"/>
      <c r="AC981" s="181"/>
      <c r="AD981" s="181"/>
      <c r="AE981" s="395"/>
      <c r="AF981" s="387"/>
      <c r="AG981" s="181"/>
      <c r="AH981" s="181"/>
      <c r="AI981" s="181"/>
      <c r="AJ981" s="395"/>
      <c r="AK981" s="387"/>
      <c r="AL981" s="181"/>
      <c r="AM981" s="181"/>
      <c r="AN981" s="181"/>
      <c r="AO981" s="370"/>
      <c r="AP981" s="370"/>
      <c r="AQ981" s="370"/>
      <c r="AR981" s="370"/>
      <c r="AS981" s="370"/>
    </row>
    <row r="982">
      <c r="A982" s="395"/>
      <c r="B982" s="387"/>
      <c r="C982" s="181"/>
      <c r="D982" s="181"/>
      <c r="E982" s="181"/>
      <c r="F982" s="395"/>
      <c r="G982" s="387"/>
      <c r="H982" s="181"/>
      <c r="I982" s="181"/>
      <c r="J982" s="181"/>
      <c r="K982" s="88"/>
      <c r="L982" s="387"/>
      <c r="M982" s="181"/>
      <c r="N982" s="181"/>
      <c r="O982" s="181"/>
      <c r="P982" s="88"/>
      <c r="Q982" s="155"/>
      <c r="R982" s="181"/>
      <c r="S982" s="181"/>
      <c r="T982" s="181"/>
      <c r="U982" s="395"/>
      <c r="V982" s="387"/>
      <c r="W982" s="181"/>
      <c r="X982" s="181"/>
      <c r="Y982" s="181"/>
      <c r="Z982" s="395"/>
      <c r="AA982" s="387"/>
      <c r="AB982" s="181"/>
      <c r="AC982" s="181"/>
      <c r="AD982" s="181"/>
      <c r="AE982" s="395"/>
      <c r="AF982" s="387"/>
      <c r="AG982" s="181"/>
      <c r="AH982" s="181"/>
      <c r="AI982" s="181"/>
      <c r="AJ982" s="395"/>
      <c r="AK982" s="387"/>
      <c r="AL982" s="181"/>
      <c r="AM982" s="181"/>
      <c r="AN982" s="181"/>
      <c r="AO982" s="370"/>
      <c r="AP982" s="370"/>
      <c r="AQ982" s="370"/>
      <c r="AR982" s="370"/>
      <c r="AS982" s="370"/>
    </row>
    <row r="983">
      <c r="A983" s="395"/>
      <c r="B983" s="387"/>
      <c r="C983" s="181"/>
      <c r="D983" s="181"/>
      <c r="E983" s="181"/>
      <c r="F983" s="395"/>
      <c r="G983" s="387"/>
      <c r="H983" s="181"/>
      <c r="I983" s="181"/>
      <c r="J983" s="181"/>
      <c r="K983" s="88"/>
      <c r="L983" s="387"/>
      <c r="M983" s="181"/>
      <c r="N983" s="181"/>
      <c r="O983" s="181"/>
      <c r="P983" s="88"/>
      <c r="Q983" s="155"/>
      <c r="R983" s="181"/>
      <c r="S983" s="181"/>
      <c r="T983" s="181"/>
      <c r="U983" s="395"/>
      <c r="V983" s="387"/>
      <c r="W983" s="181"/>
      <c r="X983" s="181"/>
      <c r="Y983" s="181"/>
      <c r="Z983" s="395"/>
      <c r="AA983" s="387"/>
      <c r="AB983" s="181"/>
      <c r="AC983" s="181"/>
      <c r="AD983" s="181"/>
      <c r="AE983" s="395"/>
      <c r="AF983" s="387"/>
      <c r="AG983" s="181"/>
      <c r="AH983" s="181"/>
      <c r="AI983" s="181"/>
      <c r="AJ983" s="395"/>
      <c r="AK983" s="387"/>
      <c r="AL983" s="181"/>
      <c r="AM983" s="181"/>
      <c r="AN983" s="181"/>
      <c r="AO983" s="370"/>
      <c r="AP983" s="370"/>
      <c r="AQ983" s="370"/>
      <c r="AR983" s="370"/>
      <c r="AS983" s="370"/>
    </row>
    <row r="984">
      <c r="A984" s="395"/>
      <c r="B984" s="387"/>
      <c r="C984" s="181"/>
      <c r="D984" s="181"/>
      <c r="E984" s="181"/>
      <c r="F984" s="395"/>
      <c r="G984" s="387"/>
      <c r="H984" s="181"/>
      <c r="I984" s="181"/>
      <c r="J984" s="181"/>
      <c r="K984" s="88"/>
      <c r="L984" s="387"/>
      <c r="M984" s="181"/>
      <c r="N984" s="181"/>
      <c r="O984" s="181"/>
      <c r="P984" s="88"/>
      <c r="Q984" s="155"/>
      <c r="R984" s="181"/>
      <c r="S984" s="181"/>
      <c r="T984" s="181"/>
      <c r="U984" s="395"/>
      <c r="V984" s="387"/>
      <c r="W984" s="181"/>
      <c r="X984" s="181"/>
      <c r="Y984" s="181"/>
      <c r="Z984" s="395"/>
      <c r="AA984" s="387"/>
      <c r="AB984" s="181"/>
      <c r="AC984" s="181"/>
      <c r="AD984" s="181"/>
      <c r="AE984" s="395"/>
      <c r="AF984" s="387"/>
      <c r="AG984" s="181"/>
      <c r="AH984" s="181"/>
      <c r="AI984" s="181"/>
      <c r="AJ984" s="395"/>
      <c r="AK984" s="387"/>
      <c r="AL984" s="181"/>
      <c r="AM984" s="181"/>
      <c r="AN984" s="181"/>
      <c r="AO984" s="370"/>
      <c r="AP984" s="370"/>
      <c r="AQ984" s="370"/>
      <c r="AR984" s="370"/>
      <c r="AS984" s="370"/>
    </row>
    <row r="985">
      <c r="A985" s="395"/>
      <c r="B985" s="387"/>
      <c r="C985" s="181"/>
      <c r="D985" s="181"/>
      <c r="E985" s="181"/>
      <c r="F985" s="395"/>
      <c r="G985" s="387"/>
      <c r="H985" s="181"/>
      <c r="I985" s="181"/>
      <c r="J985" s="181"/>
      <c r="K985" s="88"/>
      <c r="L985" s="387"/>
      <c r="M985" s="181"/>
      <c r="N985" s="181"/>
      <c r="O985" s="181"/>
      <c r="P985" s="88"/>
      <c r="Q985" s="155"/>
      <c r="R985" s="181"/>
      <c r="S985" s="181"/>
      <c r="T985" s="181"/>
      <c r="U985" s="395"/>
      <c r="V985" s="387"/>
      <c r="W985" s="181"/>
      <c r="X985" s="181"/>
      <c r="Y985" s="181"/>
      <c r="Z985" s="395"/>
      <c r="AA985" s="387"/>
      <c r="AB985" s="181"/>
      <c r="AC985" s="181"/>
      <c r="AD985" s="181"/>
      <c r="AE985" s="395"/>
      <c r="AF985" s="387"/>
      <c r="AG985" s="181"/>
      <c r="AH985" s="181"/>
      <c r="AI985" s="181"/>
      <c r="AJ985" s="395"/>
      <c r="AK985" s="387"/>
      <c r="AL985" s="181"/>
      <c r="AM985" s="181"/>
      <c r="AN985" s="181"/>
      <c r="AO985" s="370"/>
      <c r="AP985" s="370"/>
      <c r="AQ985" s="370"/>
      <c r="AR985" s="370"/>
      <c r="AS985" s="370"/>
    </row>
    <row r="986">
      <c r="A986" s="395"/>
      <c r="B986" s="387"/>
      <c r="C986" s="181"/>
      <c r="D986" s="181"/>
      <c r="E986" s="181"/>
      <c r="F986" s="395"/>
      <c r="G986" s="387"/>
      <c r="H986" s="181"/>
      <c r="I986" s="181"/>
      <c r="J986" s="181"/>
      <c r="K986" s="88"/>
      <c r="L986" s="387"/>
      <c r="M986" s="181"/>
      <c r="N986" s="181"/>
      <c r="O986" s="181"/>
      <c r="P986" s="88"/>
      <c r="Q986" s="155"/>
      <c r="R986" s="181"/>
      <c r="S986" s="181"/>
      <c r="T986" s="181"/>
      <c r="U986" s="395"/>
      <c r="V986" s="387"/>
      <c r="W986" s="181"/>
      <c r="X986" s="181"/>
      <c r="Y986" s="181"/>
      <c r="Z986" s="395"/>
      <c r="AA986" s="387"/>
      <c r="AB986" s="181"/>
      <c r="AC986" s="181"/>
      <c r="AD986" s="181"/>
      <c r="AE986" s="395"/>
      <c r="AF986" s="387"/>
      <c r="AG986" s="181"/>
      <c r="AH986" s="181"/>
      <c r="AI986" s="181"/>
      <c r="AJ986" s="395"/>
      <c r="AK986" s="387"/>
      <c r="AL986" s="181"/>
      <c r="AM986" s="181"/>
      <c r="AN986" s="181"/>
      <c r="AO986" s="370"/>
      <c r="AP986" s="370"/>
      <c r="AQ986" s="370"/>
      <c r="AR986" s="370"/>
      <c r="AS986" s="370"/>
    </row>
    <row r="987">
      <c r="A987" s="395"/>
      <c r="B987" s="387"/>
      <c r="C987" s="181"/>
      <c r="D987" s="181"/>
      <c r="E987" s="181"/>
      <c r="F987" s="395"/>
      <c r="G987" s="387"/>
      <c r="H987" s="181"/>
      <c r="I987" s="181"/>
      <c r="J987" s="181"/>
      <c r="K987" s="88"/>
      <c r="L987" s="387"/>
      <c r="M987" s="181"/>
      <c r="N987" s="181"/>
      <c r="O987" s="181"/>
      <c r="P987" s="88"/>
      <c r="Q987" s="155"/>
      <c r="R987" s="181"/>
      <c r="S987" s="181"/>
      <c r="T987" s="181"/>
      <c r="U987" s="395"/>
      <c r="V987" s="387"/>
      <c r="W987" s="181"/>
      <c r="X987" s="181"/>
      <c r="Y987" s="181"/>
      <c r="Z987" s="395"/>
      <c r="AA987" s="387"/>
      <c r="AB987" s="181"/>
      <c r="AC987" s="181"/>
      <c r="AD987" s="181"/>
      <c r="AE987" s="395"/>
      <c r="AF987" s="387"/>
      <c r="AG987" s="181"/>
      <c r="AH987" s="181"/>
      <c r="AI987" s="181"/>
      <c r="AJ987" s="395"/>
      <c r="AK987" s="387"/>
      <c r="AL987" s="181"/>
      <c r="AM987" s="181"/>
      <c r="AN987" s="181"/>
      <c r="AO987" s="370"/>
      <c r="AP987" s="370"/>
      <c r="AQ987" s="370"/>
      <c r="AR987" s="370"/>
      <c r="AS987" s="370"/>
    </row>
    <row r="988">
      <c r="A988" s="395"/>
      <c r="B988" s="387"/>
      <c r="C988" s="181"/>
      <c r="D988" s="181"/>
      <c r="E988" s="181"/>
      <c r="F988" s="395"/>
      <c r="G988" s="387"/>
      <c r="H988" s="181"/>
      <c r="I988" s="181"/>
      <c r="J988" s="181"/>
      <c r="K988" s="88"/>
      <c r="L988" s="387"/>
      <c r="M988" s="181"/>
      <c r="N988" s="181"/>
      <c r="O988" s="181"/>
      <c r="P988" s="88"/>
      <c r="Q988" s="155"/>
      <c r="R988" s="181"/>
      <c r="S988" s="181"/>
      <c r="T988" s="181"/>
      <c r="U988" s="395"/>
      <c r="V988" s="387"/>
      <c r="W988" s="181"/>
      <c r="X988" s="181"/>
      <c r="Y988" s="181"/>
      <c r="Z988" s="395"/>
      <c r="AA988" s="387"/>
      <c r="AB988" s="181"/>
      <c r="AC988" s="181"/>
      <c r="AD988" s="181"/>
      <c r="AE988" s="395"/>
      <c r="AF988" s="387"/>
      <c r="AG988" s="181"/>
      <c r="AH988" s="181"/>
      <c r="AI988" s="181"/>
      <c r="AJ988" s="395"/>
      <c r="AK988" s="387"/>
      <c r="AL988" s="181"/>
      <c r="AM988" s="181"/>
      <c r="AN988" s="181"/>
      <c r="AO988" s="370"/>
      <c r="AP988" s="370"/>
      <c r="AQ988" s="370"/>
      <c r="AR988" s="370"/>
      <c r="AS988" s="370"/>
    </row>
    <row r="989">
      <c r="A989" s="395"/>
      <c r="B989" s="387"/>
      <c r="C989" s="181"/>
      <c r="D989" s="181"/>
      <c r="E989" s="181"/>
      <c r="F989" s="395"/>
      <c r="G989" s="387"/>
      <c r="H989" s="181"/>
      <c r="I989" s="181"/>
      <c r="J989" s="181"/>
      <c r="K989" s="88"/>
      <c r="L989" s="387"/>
      <c r="M989" s="181"/>
      <c r="N989" s="181"/>
      <c r="O989" s="181"/>
      <c r="P989" s="88"/>
      <c r="Q989" s="155"/>
      <c r="R989" s="181"/>
      <c r="S989" s="181"/>
      <c r="T989" s="181"/>
      <c r="U989" s="395"/>
      <c r="V989" s="387"/>
      <c r="W989" s="181"/>
      <c r="X989" s="181"/>
      <c r="Y989" s="181"/>
      <c r="Z989" s="395"/>
      <c r="AA989" s="387"/>
      <c r="AB989" s="181"/>
      <c r="AC989" s="181"/>
      <c r="AD989" s="181"/>
      <c r="AE989" s="395"/>
      <c r="AF989" s="387"/>
      <c r="AG989" s="181"/>
      <c r="AH989" s="181"/>
      <c r="AI989" s="181"/>
      <c r="AJ989" s="395"/>
      <c r="AK989" s="387"/>
      <c r="AL989" s="181"/>
      <c r="AM989" s="181"/>
      <c r="AN989" s="181"/>
      <c r="AO989" s="370"/>
      <c r="AP989" s="370"/>
      <c r="AQ989" s="370"/>
      <c r="AR989" s="370"/>
      <c r="AS989" s="370"/>
    </row>
    <row r="990">
      <c r="A990" s="395"/>
      <c r="B990" s="387"/>
      <c r="C990" s="181"/>
      <c r="D990" s="181"/>
      <c r="E990" s="181"/>
      <c r="F990" s="395"/>
      <c r="G990" s="387"/>
      <c r="H990" s="181"/>
      <c r="I990" s="181"/>
      <c r="J990" s="181"/>
      <c r="K990" s="88"/>
      <c r="L990" s="387"/>
      <c r="M990" s="181"/>
      <c r="N990" s="181"/>
      <c r="O990" s="181"/>
      <c r="P990" s="88"/>
      <c r="Q990" s="155"/>
      <c r="R990" s="181"/>
      <c r="S990" s="181"/>
      <c r="T990" s="181"/>
      <c r="U990" s="395"/>
      <c r="V990" s="387"/>
      <c r="W990" s="181"/>
      <c r="X990" s="181"/>
      <c r="Y990" s="181"/>
      <c r="Z990" s="395"/>
      <c r="AA990" s="387"/>
      <c r="AB990" s="181"/>
      <c r="AC990" s="181"/>
      <c r="AD990" s="181"/>
      <c r="AE990" s="395"/>
      <c r="AF990" s="387"/>
      <c r="AG990" s="181"/>
      <c r="AH990" s="181"/>
      <c r="AI990" s="181"/>
      <c r="AJ990" s="395"/>
      <c r="AK990" s="387"/>
      <c r="AL990" s="181"/>
      <c r="AM990" s="181"/>
      <c r="AN990" s="181"/>
      <c r="AO990" s="370"/>
      <c r="AP990" s="370"/>
      <c r="AQ990" s="370"/>
      <c r="AR990" s="370"/>
      <c r="AS990" s="370"/>
    </row>
    <row r="991">
      <c r="A991" s="395"/>
      <c r="B991" s="387"/>
      <c r="C991" s="181"/>
      <c r="D991" s="181"/>
      <c r="E991" s="181"/>
      <c r="F991" s="395"/>
      <c r="G991" s="387"/>
      <c r="H991" s="181"/>
      <c r="I991" s="181"/>
      <c r="J991" s="181"/>
      <c r="K991" s="88"/>
      <c r="L991" s="387"/>
      <c r="M991" s="181"/>
      <c r="N991" s="181"/>
      <c r="O991" s="181"/>
      <c r="P991" s="88"/>
      <c r="Q991" s="155"/>
      <c r="R991" s="181"/>
      <c r="S991" s="181"/>
      <c r="T991" s="181"/>
      <c r="U991" s="395"/>
      <c r="V991" s="387"/>
      <c r="W991" s="181"/>
      <c r="X991" s="181"/>
      <c r="Y991" s="181"/>
      <c r="Z991" s="395"/>
      <c r="AA991" s="387"/>
      <c r="AB991" s="181"/>
      <c r="AC991" s="181"/>
      <c r="AD991" s="181"/>
      <c r="AE991" s="395"/>
      <c r="AF991" s="387"/>
      <c r="AG991" s="181"/>
      <c r="AH991" s="181"/>
      <c r="AI991" s="181"/>
      <c r="AJ991" s="395"/>
      <c r="AK991" s="387"/>
      <c r="AL991" s="181"/>
      <c r="AM991" s="181"/>
      <c r="AN991" s="181"/>
      <c r="AO991" s="370"/>
      <c r="AP991" s="370"/>
      <c r="AQ991" s="370"/>
      <c r="AR991" s="370"/>
      <c r="AS991" s="370"/>
    </row>
    <row r="992">
      <c r="A992" s="395"/>
      <c r="B992" s="387"/>
      <c r="C992" s="181"/>
      <c r="D992" s="181"/>
      <c r="E992" s="181"/>
      <c r="F992" s="395"/>
      <c r="G992" s="387"/>
      <c r="H992" s="181"/>
      <c r="I992" s="181"/>
      <c r="J992" s="181"/>
      <c r="K992" s="88"/>
      <c r="L992" s="387"/>
      <c r="M992" s="181"/>
      <c r="N992" s="181"/>
      <c r="O992" s="181"/>
      <c r="P992" s="88"/>
      <c r="Q992" s="155"/>
      <c r="R992" s="181"/>
      <c r="S992" s="181"/>
      <c r="T992" s="181"/>
      <c r="U992" s="395"/>
      <c r="V992" s="387"/>
      <c r="W992" s="181"/>
      <c r="X992" s="181"/>
      <c r="Y992" s="181"/>
      <c r="Z992" s="395"/>
      <c r="AA992" s="387"/>
      <c r="AB992" s="181"/>
      <c r="AC992" s="181"/>
      <c r="AD992" s="181"/>
      <c r="AE992" s="395"/>
      <c r="AF992" s="387"/>
      <c r="AG992" s="181"/>
      <c r="AH992" s="181"/>
      <c r="AI992" s="181"/>
      <c r="AJ992" s="395"/>
      <c r="AK992" s="387"/>
      <c r="AL992" s="181"/>
      <c r="AM992" s="181"/>
      <c r="AN992" s="181"/>
      <c r="AO992" s="370"/>
      <c r="AP992" s="370"/>
      <c r="AQ992" s="370"/>
      <c r="AR992" s="370"/>
      <c r="AS992" s="370"/>
    </row>
    <row r="993">
      <c r="A993" s="395"/>
      <c r="B993" s="387"/>
      <c r="C993" s="181"/>
      <c r="D993" s="181"/>
      <c r="E993" s="181"/>
      <c r="F993" s="395"/>
      <c r="G993" s="387"/>
      <c r="H993" s="181"/>
      <c r="I993" s="181"/>
      <c r="J993" s="181"/>
      <c r="K993" s="88"/>
      <c r="L993" s="387"/>
      <c r="M993" s="181"/>
      <c r="N993" s="181"/>
      <c r="O993" s="181"/>
      <c r="P993" s="88"/>
      <c r="Q993" s="155"/>
      <c r="R993" s="181"/>
      <c r="S993" s="181"/>
      <c r="T993" s="181"/>
      <c r="U993" s="395"/>
      <c r="V993" s="387"/>
      <c r="W993" s="181"/>
      <c r="X993" s="181"/>
      <c r="Y993" s="181"/>
      <c r="Z993" s="395"/>
      <c r="AA993" s="387"/>
      <c r="AB993" s="181"/>
      <c r="AC993" s="181"/>
      <c r="AD993" s="181"/>
      <c r="AE993" s="395"/>
      <c r="AF993" s="387"/>
      <c r="AG993" s="181"/>
      <c r="AH993" s="181"/>
      <c r="AI993" s="181"/>
      <c r="AJ993" s="395"/>
      <c r="AK993" s="387"/>
      <c r="AL993" s="181"/>
      <c r="AM993" s="181"/>
      <c r="AN993" s="181"/>
      <c r="AO993" s="370"/>
      <c r="AP993" s="370"/>
      <c r="AQ993" s="370"/>
      <c r="AR993" s="370"/>
      <c r="AS993" s="370"/>
    </row>
    <row r="994">
      <c r="A994" s="395"/>
      <c r="B994" s="387"/>
      <c r="C994" s="181"/>
      <c r="D994" s="181"/>
      <c r="E994" s="181"/>
      <c r="F994" s="395"/>
      <c r="G994" s="387"/>
      <c r="H994" s="181"/>
      <c r="I994" s="181"/>
      <c r="J994" s="181"/>
      <c r="K994" s="88"/>
      <c r="L994" s="387"/>
      <c r="M994" s="181"/>
      <c r="N994" s="181"/>
      <c r="O994" s="181"/>
      <c r="P994" s="88"/>
      <c r="Q994" s="155"/>
      <c r="R994" s="181"/>
      <c r="S994" s="181"/>
      <c r="T994" s="181"/>
      <c r="U994" s="395"/>
      <c r="V994" s="387"/>
      <c r="W994" s="181"/>
      <c r="X994" s="181"/>
      <c r="Y994" s="181"/>
      <c r="Z994" s="395"/>
      <c r="AA994" s="387"/>
      <c r="AB994" s="181"/>
      <c r="AC994" s="181"/>
      <c r="AD994" s="181"/>
      <c r="AE994" s="395"/>
      <c r="AF994" s="387"/>
      <c r="AG994" s="181"/>
      <c r="AH994" s="181"/>
      <c r="AI994" s="181"/>
      <c r="AJ994" s="395"/>
      <c r="AK994" s="387"/>
      <c r="AL994" s="181"/>
      <c r="AM994" s="181"/>
      <c r="AN994" s="181"/>
      <c r="AO994" s="370"/>
      <c r="AP994" s="370"/>
      <c r="AQ994" s="370"/>
      <c r="AR994" s="370"/>
      <c r="AS994" s="370"/>
    </row>
    <row r="995">
      <c r="A995" s="395"/>
      <c r="B995" s="387"/>
      <c r="C995" s="181"/>
      <c r="D995" s="181"/>
      <c r="E995" s="181"/>
      <c r="F995" s="395"/>
      <c r="G995" s="387"/>
      <c r="H995" s="181"/>
      <c r="I995" s="181"/>
      <c r="J995" s="181"/>
      <c r="K995" s="88"/>
      <c r="L995" s="387"/>
      <c r="M995" s="181"/>
      <c r="N995" s="181"/>
      <c r="O995" s="181"/>
      <c r="P995" s="88"/>
      <c r="Q995" s="155"/>
      <c r="R995" s="181"/>
      <c r="S995" s="181"/>
      <c r="T995" s="181"/>
      <c r="U995" s="395"/>
      <c r="V995" s="387"/>
      <c r="W995" s="181"/>
      <c r="X995" s="181"/>
      <c r="Y995" s="181"/>
      <c r="Z995" s="395"/>
      <c r="AA995" s="387"/>
      <c r="AB995" s="181"/>
      <c r="AC995" s="181"/>
      <c r="AD995" s="181"/>
      <c r="AE995" s="395"/>
      <c r="AF995" s="387"/>
      <c r="AG995" s="181"/>
      <c r="AH995" s="181"/>
      <c r="AI995" s="181"/>
      <c r="AJ995" s="395"/>
      <c r="AK995" s="387"/>
      <c r="AL995" s="181"/>
      <c r="AM995" s="181"/>
      <c r="AN995" s="181"/>
      <c r="AO995" s="370"/>
      <c r="AP995" s="370"/>
      <c r="AQ995" s="370"/>
      <c r="AR995" s="370"/>
      <c r="AS995" s="370"/>
    </row>
    <row r="996">
      <c r="A996" s="395"/>
      <c r="B996" s="387"/>
      <c r="C996" s="181"/>
      <c r="D996" s="181"/>
      <c r="E996" s="181"/>
      <c r="F996" s="395"/>
      <c r="G996" s="387"/>
      <c r="H996" s="181"/>
      <c r="I996" s="181"/>
      <c r="J996" s="181"/>
      <c r="K996" s="88"/>
      <c r="L996" s="387"/>
      <c r="M996" s="181"/>
      <c r="N996" s="181"/>
      <c r="O996" s="181"/>
      <c r="P996" s="88"/>
      <c r="Q996" s="155"/>
      <c r="R996" s="181"/>
      <c r="S996" s="181"/>
      <c r="T996" s="181"/>
      <c r="U996" s="395"/>
      <c r="V996" s="387"/>
      <c r="W996" s="181"/>
      <c r="X996" s="181"/>
      <c r="Y996" s="181"/>
      <c r="Z996" s="395"/>
      <c r="AA996" s="387"/>
      <c r="AB996" s="181"/>
      <c r="AC996" s="181"/>
      <c r="AD996" s="181"/>
      <c r="AE996" s="395"/>
      <c r="AF996" s="387"/>
      <c r="AG996" s="181"/>
      <c r="AH996" s="181"/>
      <c r="AI996" s="181"/>
      <c r="AJ996" s="395"/>
      <c r="AK996" s="387"/>
      <c r="AL996" s="181"/>
      <c r="AM996" s="181"/>
      <c r="AN996" s="181"/>
      <c r="AO996" s="370"/>
      <c r="AP996" s="370"/>
      <c r="AQ996" s="370"/>
      <c r="AR996" s="370"/>
      <c r="AS996" s="370"/>
    </row>
    <row r="997">
      <c r="A997" s="395"/>
      <c r="B997" s="387"/>
      <c r="C997" s="181"/>
      <c r="D997" s="181"/>
      <c r="E997" s="181"/>
      <c r="F997" s="395"/>
      <c r="G997" s="387"/>
      <c r="H997" s="181"/>
      <c r="I997" s="181"/>
      <c r="J997" s="181"/>
      <c r="K997" s="88"/>
      <c r="L997" s="387"/>
      <c r="M997" s="181"/>
      <c r="N997" s="181"/>
      <c r="O997" s="181"/>
      <c r="P997" s="88"/>
      <c r="Q997" s="155"/>
      <c r="R997" s="181"/>
      <c r="S997" s="181"/>
      <c r="T997" s="181"/>
      <c r="U997" s="395"/>
      <c r="V997" s="387"/>
      <c r="W997" s="181"/>
      <c r="X997" s="181"/>
      <c r="Y997" s="181"/>
      <c r="Z997" s="395"/>
      <c r="AA997" s="387"/>
      <c r="AB997" s="181"/>
      <c r="AC997" s="181"/>
      <c r="AD997" s="181"/>
      <c r="AE997" s="395"/>
      <c r="AF997" s="387"/>
      <c r="AG997" s="181"/>
      <c r="AH997" s="181"/>
      <c r="AI997" s="181"/>
      <c r="AJ997" s="395"/>
      <c r="AK997" s="387"/>
      <c r="AL997" s="181"/>
      <c r="AM997" s="181"/>
      <c r="AN997" s="181"/>
      <c r="AO997" s="370"/>
      <c r="AP997" s="370"/>
      <c r="AQ997" s="370"/>
      <c r="AR997" s="370"/>
      <c r="AS997" s="370"/>
    </row>
    <row r="998">
      <c r="A998" s="395"/>
      <c r="B998" s="387"/>
      <c r="C998" s="181"/>
      <c r="D998" s="181"/>
      <c r="E998" s="181"/>
      <c r="F998" s="395"/>
      <c r="G998" s="387"/>
      <c r="H998" s="181"/>
      <c r="I998" s="181"/>
      <c r="J998" s="181"/>
      <c r="K998" s="88"/>
      <c r="L998" s="387"/>
      <c r="M998" s="181"/>
      <c r="N998" s="181"/>
      <c r="O998" s="181"/>
      <c r="P998" s="88"/>
      <c r="Q998" s="155"/>
      <c r="R998" s="181"/>
      <c r="S998" s="181"/>
      <c r="T998" s="181"/>
      <c r="U998" s="395"/>
      <c r="V998" s="387"/>
      <c r="W998" s="181"/>
      <c r="X998" s="181"/>
      <c r="Y998" s="181"/>
      <c r="Z998" s="395"/>
      <c r="AA998" s="387"/>
      <c r="AB998" s="181"/>
      <c r="AC998" s="181"/>
      <c r="AD998" s="181"/>
      <c r="AE998" s="395"/>
      <c r="AF998" s="387"/>
      <c r="AG998" s="181"/>
      <c r="AH998" s="181"/>
      <c r="AI998" s="181"/>
      <c r="AJ998" s="395"/>
      <c r="AK998" s="387"/>
      <c r="AL998" s="181"/>
      <c r="AM998" s="181"/>
      <c r="AN998" s="181"/>
      <c r="AO998" s="370"/>
      <c r="AP998" s="370"/>
      <c r="AQ998" s="370"/>
      <c r="AR998" s="370"/>
      <c r="AS998" s="370"/>
    </row>
    <row r="999">
      <c r="A999" s="395"/>
      <c r="B999" s="387"/>
      <c r="C999" s="181"/>
      <c r="D999" s="181"/>
      <c r="E999" s="181"/>
      <c r="F999" s="395"/>
      <c r="G999" s="387"/>
      <c r="H999" s="181"/>
      <c r="I999" s="181"/>
      <c r="J999" s="181"/>
      <c r="K999" s="88"/>
      <c r="L999" s="387"/>
      <c r="M999" s="181"/>
      <c r="N999" s="181"/>
      <c r="O999" s="181"/>
      <c r="P999" s="88"/>
      <c r="Q999" s="155"/>
      <c r="R999" s="181"/>
      <c r="S999" s="181"/>
      <c r="T999" s="181"/>
      <c r="U999" s="395"/>
      <c r="V999" s="387"/>
      <c r="W999" s="181"/>
      <c r="X999" s="181"/>
      <c r="Y999" s="181"/>
      <c r="Z999" s="395"/>
      <c r="AA999" s="387"/>
      <c r="AB999" s="181"/>
      <c r="AC999" s="181"/>
      <c r="AD999" s="181"/>
      <c r="AE999" s="395"/>
      <c r="AF999" s="387"/>
      <c r="AG999" s="181"/>
      <c r="AH999" s="181"/>
      <c r="AI999" s="181"/>
      <c r="AJ999" s="395"/>
      <c r="AK999" s="387"/>
      <c r="AL999" s="181"/>
      <c r="AM999" s="181"/>
      <c r="AN999" s="181"/>
      <c r="AO999" s="370"/>
      <c r="AP999" s="370"/>
      <c r="AQ999" s="370"/>
      <c r="AR999" s="370"/>
      <c r="AS999" s="370"/>
    </row>
    <row r="1000">
      <c r="A1000" s="395"/>
      <c r="B1000" s="387"/>
      <c r="C1000" s="181"/>
      <c r="D1000" s="181"/>
      <c r="E1000" s="181"/>
      <c r="F1000" s="395"/>
      <c r="G1000" s="387"/>
      <c r="H1000" s="181"/>
      <c r="I1000" s="181"/>
      <c r="J1000" s="181"/>
      <c r="K1000" s="88"/>
      <c r="L1000" s="387"/>
      <c r="M1000" s="181"/>
      <c r="N1000" s="181"/>
      <c r="O1000" s="181"/>
      <c r="P1000" s="88"/>
      <c r="Q1000" s="155"/>
      <c r="R1000" s="181"/>
      <c r="S1000" s="181"/>
      <c r="T1000" s="181"/>
      <c r="U1000" s="395"/>
      <c r="V1000" s="387"/>
      <c r="W1000" s="181"/>
      <c r="X1000" s="181"/>
      <c r="Y1000" s="181"/>
      <c r="Z1000" s="395"/>
      <c r="AA1000" s="387"/>
      <c r="AB1000" s="181"/>
      <c r="AC1000" s="181"/>
      <c r="AD1000" s="181"/>
      <c r="AE1000" s="395"/>
      <c r="AF1000" s="387"/>
      <c r="AG1000" s="181"/>
      <c r="AH1000" s="181"/>
      <c r="AI1000" s="181"/>
      <c r="AJ1000" s="395"/>
      <c r="AK1000" s="387"/>
      <c r="AL1000" s="181"/>
      <c r="AM1000" s="181"/>
      <c r="AN1000" s="181"/>
      <c r="AO1000" s="370"/>
      <c r="AP1000" s="370"/>
      <c r="AQ1000" s="370"/>
      <c r="AR1000" s="370"/>
      <c r="AS1000" s="370"/>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213</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I1" s="57" t="s">
        <v>6406</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AC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305" t="s">
        <v>6407</v>
      </c>
      <c r="AK1" s="57"/>
      <c r="AL1" s="57"/>
      <c r="AM1" s="57"/>
    </row>
    <row r="2" ht="45.0" customHeight="1">
      <c r="AK2" s="57"/>
      <c r="AL2" s="57"/>
      <c r="AM2" s="57"/>
    </row>
    <row r="3" ht="55.5" customHeight="1">
      <c r="A3" s="396" t="s">
        <v>6408</v>
      </c>
      <c r="B3" s="14" t="s">
        <v>6409</v>
      </c>
      <c r="C3" s="315" t="s">
        <v>6410</v>
      </c>
      <c r="D3" s="148" t="s">
        <v>6411</v>
      </c>
      <c r="E3" s="311" t="str">
        <f>IFERROR(__xludf.DUMMYFUNCTION("GOOGLETRANSLATE(A3,""zh-tw"",""ja"")"),"ステータス図")</f>
        <v>ステータス図</v>
      </c>
      <c r="F3" s="34" t="str">
        <f>IFERROR(__xludf.DUMMYFUNCTION("GOOGLETRANSLATE(B3,""zh-tw"",""ja"")"),"名前")</f>
        <v>名前</v>
      </c>
      <c r="G3" s="313" t="str">
        <f>IFERROR(__xludf.DUMMYFUNCTION("GOOGLETRANSLATE(C3,""zh-tw"",""ja"")"),"物語")</f>
        <v>物語</v>
      </c>
      <c r="H3" s="147" t="str">
        <f>IFERROR(__xludf.DUMMYFUNCTION("GOOGLETRANSLATE(D3,""zh-tw"",""ja"")"),"例")</f>
        <v>例</v>
      </c>
      <c r="I3" s="396" t="s">
        <v>6412</v>
      </c>
      <c r="J3" s="14" t="s">
        <v>6413</v>
      </c>
      <c r="K3" s="315" t="s">
        <v>6414</v>
      </c>
      <c r="L3" s="148" t="s">
        <v>6415</v>
      </c>
      <c r="M3" s="311" t="str">
        <f>IFERROR(__xludf.DUMMYFUNCTION("GOOGLETRANSLATE(A3,""zh-tw"",""zh"")"),"状态图示")</f>
        <v>状态图示</v>
      </c>
      <c r="N3" s="34" t="str">
        <f>IFERROR(__xludf.DUMMYFUNCTION("GOOGLETRANSLATE(B3,""zh-tw"",""zh"")"),"名称")</f>
        <v>名称</v>
      </c>
      <c r="O3" s="313" t="str">
        <f>IFERROR(__xludf.DUMMYFUNCTION("GOOGLETRANSLATE(C3,""zh-tw"",""zh"")"),"叙述")</f>
        <v>叙述</v>
      </c>
      <c r="P3" s="147" t="str">
        <f>IFERROR(__xludf.DUMMYFUNCTION("GOOGLETRANSLATE(D3,""zh-tw"",""zh"")"),"举例")</f>
        <v>举例</v>
      </c>
      <c r="Q3" s="311" t="str">
        <f>IFERROR(__xludf.DUMMYFUNCTION("GOOGLETRANSLATE(A3,""zh-tw"",""es-MX"")"),"Diagrama de estado")</f>
        <v>Diagrama de estado</v>
      </c>
      <c r="R3" s="34" t="str">
        <f>IFERROR(__xludf.DUMMYFUNCTION("GOOGLETRANSLATE(B3,""zh-tw"",""es-MX"")"),"nombre")</f>
        <v>nombre</v>
      </c>
      <c r="S3" s="313" t="str">
        <f>IFERROR(__xludf.DUMMYFUNCTION("GOOGLETRANSLATE(C3,""zh-tw"",""es-MX"")"),"Narrativo")</f>
        <v>Narrativo</v>
      </c>
      <c r="T3" s="147" t="str">
        <f>IFERROR(__xludf.DUMMYFUNCTION("GOOGLETRANSLATE(D3,""zh-tw"",""es-MX"")"),"Ejemplo")</f>
        <v>Ejemplo</v>
      </c>
      <c r="U3" s="311" t="str">
        <f>IFERROR(__xludf.DUMMYFUNCTION("GOOGLETRANSLATE(A3,""zh-tw"",""KO"")"),"상태 다이어그램")</f>
        <v>상태 다이어그램</v>
      </c>
      <c r="V3" s="34" t="str">
        <f>IFERROR(__xludf.DUMMYFUNCTION("GOOGLETRANSLATE(B3,""zh-tw"",""KO"")"),"이름")</f>
        <v>이름</v>
      </c>
      <c r="W3" s="313" t="str">
        <f>IFERROR(__xludf.DUMMYFUNCTION("GOOGLETRANSLATE(C3,""zh-tw"",""KO"")"),"이야기")</f>
        <v>이야기</v>
      </c>
      <c r="X3" s="147" t="str">
        <f>IFERROR(__xludf.DUMMYFUNCTION("GOOGLETRANSLATE(D3,""zh-tw"",""KO"")"),"예")</f>
        <v>예</v>
      </c>
      <c r="Y3" s="311" t="str">
        <f>IFERROR(__xludf.DUMMYFUNCTION("GOOGLETRANSLATE(A3,""zh-tw"",""RU"")"),"Диаграмма состояния")</f>
        <v>Диаграмма состояния</v>
      </c>
      <c r="Z3" s="34" t="str">
        <f>IFERROR(__xludf.DUMMYFUNCTION("GOOGLETRANSLATE(B3,""zh-tw"",""RU"")"),"имя")</f>
        <v>имя</v>
      </c>
      <c r="AA3" s="313" t="str">
        <f>IFERROR(__xludf.DUMMYFUNCTION("GOOGLETRANSLATE(C3,""zh-tw"",""RU"")"),"Повествование")</f>
        <v>Повествование</v>
      </c>
      <c r="AB3" s="147" t="str">
        <f>IFERROR(__xludf.DUMMYFUNCTION("GOOGLETRANSLATE(D3,""zh-tw"",""RU"")"),"Пример")</f>
        <v>Пример</v>
      </c>
      <c r="AC3" s="311" t="str">
        <f>IFERROR(__xludf.DUMMYFUNCTION("GOOGLETRANSLATE(A3,""zh-tw"",""DE"")"),"Statusdiagramm")</f>
        <v>Statusdiagramm</v>
      </c>
      <c r="AD3" s="34" t="str">
        <f>IFERROR(__xludf.DUMMYFUNCTION("GOOGLETRANSLATE(B3,""zh-tw"",""DE"")"),"Name")</f>
        <v>Name</v>
      </c>
      <c r="AE3" s="313" t="str">
        <f>IFERROR(__xludf.DUMMYFUNCTION("GOOGLETRANSLATE(C3,""zh-tw"",""DE"")"),"Erzählung")</f>
        <v>Erzählung</v>
      </c>
      <c r="AF3" s="147" t="str">
        <f>IFERROR(__xludf.DUMMYFUNCTION("GOOGLETRANSLATE(D3,""zh-tw"",""DE"")"),"Beispiel")</f>
        <v>Beispiel</v>
      </c>
      <c r="AG3" s="397" t="s">
        <v>6416</v>
      </c>
      <c r="AH3" s="316" t="s">
        <v>6417</v>
      </c>
      <c r="AI3" s="398" t="s">
        <v>6418</v>
      </c>
      <c r="AJ3" s="399" t="s">
        <v>3850</v>
      </c>
      <c r="AK3" s="148"/>
      <c r="AL3" s="148"/>
      <c r="AM3" s="148"/>
    </row>
    <row r="4" ht="26.25" customHeight="1">
      <c r="A4" s="179" t="s">
        <v>6419</v>
      </c>
      <c r="B4" s="323" t="s">
        <v>6420</v>
      </c>
      <c r="C4" s="325" t="s">
        <v>724</v>
      </c>
      <c r="D4" s="400" t="s">
        <v>6421</v>
      </c>
      <c r="E4" s="179" t="s">
        <v>6422</v>
      </c>
      <c r="F4" s="321" t="str">
        <f>IFERROR(__xludf.DUMMYFUNCTION("GOOGLETRANSLATE(B4,""zh-tw"",""ja"")"),"少し落ち着かない気分です")</f>
        <v>少し落ち着かない気分です</v>
      </c>
      <c r="G4" s="322" t="str">
        <f>IFERROR(__xludf.DUMMYFUNCTION("GOOGLETRANSLATE(C4,""zh-tw"",""ja"")"),"-")</f>
        <v>-</v>
      </c>
      <c r="H4" s="400" t="s">
        <v>6423</v>
      </c>
      <c r="I4" s="179" t="s">
        <v>6424</v>
      </c>
      <c r="J4" s="323" t="s">
        <v>6425</v>
      </c>
      <c r="K4" s="322" t="str">
        <f>IFERROR(__xludf.DUMMYFUNCTION("GOOGLETRANSLATE(C4,""zh-tw"",""en"")"),"-")</f>
        <v>-</v>
      </c>
      <c r="L4" s="400" t="s">
        <v>6426</v>
      </c>
      <c r="M4" s="320" t="str">
        <f>IFERROR(__xludf.DUMMYFUNCTION("GOOGLETRANSLATE(A4,""zh-tw"",""zh"")"),"兴奋")</f>
        <v>兴奋</v>
      </c>
      <c r="N4" s="321" t="str">
        <f>IFERROR(__xludf.DUMMYFUNCTION("GOOGLETRANSLATE(B4,""zh-tw"",""zh"")"),"感觉有些躁动")</f>
        <v>感觉有些躁动</v>
      </c>
      <c r="O4" s="322" t="str">
        <f>IFERROR(__xludf.DUMMYFUNCTION("GOOGLETRANSLATE(C4,""zh-tw"",""zh"")"),"-")</f>
        <v>-</v>
      </c>
      <c r="P4" s="401" t="str">
        <f>IFERROR(__xludf.DUMMYFUNCTION("GOOGLETRANSLATE(D4,""zh-tw"",""zh"")"),"哥哥有些性欲")</f>
        <v>哥哥有些性欲</v>
      </c>
      <c r="Q4" s="154" t="str">
        <f>IFERROR(__xludf.DUMMYFUNCTION("GOOGLETRANSLATE(A4,""zh-tw"",""es-MX"")"),"entusiasmado")</f>
        <v>entusiasmado</v>
      </c>
      <c r="R4" s="168" t="str">
        <f>IFERROR(__xludf.DUMMYFUNCTION("GOOGLETRANSLATE(B4,""zh-tw"",""es-MX"")"),"Me siento un poco inquieto")</f>
        <v>Me siento un poco inquieto</v>
      </c>
      <c r="S4" s="324" t="str">
        <f>IFERROR(__xludf.DUMMYFUNCTION("GOOGLETRANSLATE(C4,""zh-tw"",""es-MX"")"),"-")</f>
        <v>-</v>
      </c>
      <c r="T4" s="180" t="str">
        <f>IFERROR(__xludf.DUMMYFUNCTION("GOOGLETRANSLATE(D4,""zh-tw"",""es-MX"")"),"Mi hermano tiene cierto deseo sexual")</f>
        <v>Mi hermano tiene cierto deseo sexual</v>
      </c>
      <c r="U4" s="154" t="str">
        <f>IFERROR(__xludf.DUMMYFUNCTION("GOOGLETRANSLATE(A4,""zh-tw"",""KO"")"),"흥분한")</f>
        <v>흥분한</v>
      </c>
      <c r="V4" s="168" t="str">
        <f>IFERROR(__xludf.DUMMYFUNCTION("GOOGLETRANSLATE(B4,""zh-tw"",""KO"")"),"나는 조금 불안하다")</f>
        <v>나는 조금 불안하다</v>
      </c>
      <c r="W4" s="324" t="str">
        <f>IFERROR(__xludf.DUMMYFUNCTION("GOOGLETRANSLATE(C4,""zh-tw"",""KO"")"),"-")</f>
        <v>-</v>
      </c>
      <c r="X4" s="180" t="str">
        <f>IFERROR(__xludf.DUMMYFUNCTION("GOOGLETRANSLATE(D4,""zh-tw"",""KO"")"),"내 동생은 성적 욕망이 좀 있어요")</f>
        <v>내 동생은 성적 욕망이 좀 있어요</v>
      </c>
      <c r="Y4" s="320" t="str">
        <f>IFERROR(__xludf.DUMMYFUNCTION("GOOGLETRANSLATE(A4,""zh-tw"",""RU"")"),"взволнованный")</f>
        <v>взволнованный</v>
      </c>
      <c r="Z4" s="321" t="str">
        <f>IFERROR(__xludf.DUMMYFUNCTION("GOOGLETRANSLATE(B4,""zh-tw"",""RU"")"),"Я чувствую себя немного беспокойно.")</f>
        <v>Я чувствую себя немного беспокойно.</v>
      </c>
      <c r="AA4" s="322" t="str">
        <f>IFERROR(__xludf.DUMMYFUNCTION("GOOGLETRANSLATE(C4,""zh-tw"",""RU"")"),"-")</f>
        <v>-</v>
      </c>
      <c r="AB4" s="401" t="str">
        <f>IFERROR(__xludf.DUMMYFUNCTION("GOOGLETRANSLATE(D4,""zh-tw"",""RU"")"),"У моего брата есть сексуальное желание.")</f>
        <v>У моего брата есть сексуальное желание.</v>
      </c>
      <c r="AC4" s="320" t="str">
        <f>IFERROR(__xludf.DUMMYFUNCTION("GOOGLETRANSLATE(A4,""zh-tw"",""DE"")"),"aufgeregt")</f>
        <v>aufgeregt</v>
      </c>
      <c r="AD4" s="321" t="str">
        <f>IFERROR(__xludf.DUMMYFUNCTION("GOOGLETRANSLATE(B4,""zh-tw"",""DE"")"),"Ich fühle mich etwas unruhig")</f>
        <v>Ich fühle mich etwas unruhig</v>
      </c>
      <c r="AE4" s="322" t="str">
        <f>IFERROR(__xludf.DUMMYFUNCTION("GOOGLETRANSLATE(C4,""zh-tw"",""DE"")"),"-")</f>
        <v>-</v>
      </c>
      <c r="AF4" s="401" t="str">
        <f>IFERROR(__xludf.DUMMYFUNCTION("GOOGLETRANSLATE(D4,""zh-tw"",""DE"")"),"Mein Bruder hat ein gewisses sexuelles Verlangen")</f>
        <v>Mein Bruder hat ein gewisses sexuelles Verlangen</v>
      </c>
      <c r="AG4" s="160" t="s">
        <v>6427</v>
      </c>
      <c r="AH4" s="170" t="s">
        <v>6428</v>
      </c>
      <c r="AI4" s="326" t="s">
        <v>724</v>
      </c>
      <c r="AJ4" s="189" t="s">
        <v>6429</v>
      </c>
      <c r="AK4" s="400"/>
      <c r="AL4" s="400"/>
      <c r="AM4" s="400"/>
    </row>
    <row r="5" ht="26.25" customHeight="1">
      <c r="A5" s="179" t="s">
        <v>6419</v>
      </c>
      <c r="B5" s="323" t="s">
        <v>6430</v>
      </c>
      <c r="C5" s="325" t="s">
        <v>724</v>
      </c>
      <c r="D5" s="400" t="s">
        <v>6431</v>
      </c>
      <c r="E5" s="179" t="s">
        <v>6422</v>
      </c>
      <c r="F5" s="321" t="str">
        <f>IFERROR(__xludf.DUMMYFUNCTION("GOOGLETRANSLATE(B5,""zh-tw"",""ja"")"),"体全体が何らかの刺激を求めている。")</f>
        <v>体全体が何らかの刺激を求めている。</v>
      </c>
      <c r="G5" s="325" t="s">
        <v>724</v>
      </c>
      <c r="H5" s="400" t="s">
        <v>6432</v>
      </c>
      <c r="I5" s="179" t="s">
        <v>6424</v>
      </c>
      <c r="J5" s="323" t="s">
        <v>6433</v>
      </c>
      <c r="K5" s="325" t="s">
        <v>724</v>
      </c>
      <c r="L5" s="400" t="s">
        <v>6434</v>
      </c>
      <c r="M5" s="320" t="str">
        <f>IFERROR(__xludf.DUMMYFUNCTION("GOOGLETRANSLATE(A5,""zh-tw"",""zh"")"),"兴奋")</f>
        <v>兴奋</v>
      </c>
      <c r="N5" s="321" t="str">
        <f>IFERROR(__xludf.DUMMYFUNCTION("GOOGLETRANSLATE(B5,""zh-tw"",""zh"")"),"全身都在渴望着某种刺激")</f>
        <v>全身都在渴望着某种刺激</v>
      </c>
      <c r="O5" s="322" t="str">
        <f>IFERROR(__xludf.DUMMYFUNCTION("GOOGLETRANSLATE(C5,""zh-tw"",""zh"")"),"-")</f>
        <v>-</v>
      </c>
      <c r="P5" s="401" t="str">
        <f>IFERROR(__xludf.DUMMYFUNCTION("GOOGLETRANSLATE(D5,""zh-tw"",""zh"")"),"哥哥有许多性欲")</f>
        <v>哥哥有许多性欲</v>
      </c>
      <c r="Q5" s="154" t="str">
        <f>IFERROR(__xludf.DUMMYFUNCTION("GOOGLETRANSLATE(A5,""zh-tw"",""es-MX"")"),"entusiasmado")</f>
        <v>entusiasmado</v>
      </c>
      <c r="R5" s="168" t="str">
        <f>IFERROR(__xludf.DUMMYFUNCTION("GOOGLETRANSLATE(B5,""zh-tw"",""es-MX"")"),"Todo mi cuerpo anhela algún tipo de estimulación.")</f>
        <v>Todo mi cuerpo anhela algún tipo de estimulación.</v>
      </c>
      <c r="S5" s="324" t="str">
        <f>IFERROR(__xludf.DUMMYFUNCTION("GOOGLETRANSLATE(C5,""zh-tw"",""es-MX"")"),"-")</f>
        <v>-</v>
      </c>
      <c r="T5" s="180" t="str">
        <f>IFERROR(__xludf.DUMMYFUNCTION("GOOGLETRANSLATE(D5,""zh-tw"",""es-MX"")"),"Mi hermano tiene mucho deseo sexual")</f>
        <v>Mi hermano tiene mucho deseo sexual</v>
      </c>
      <c r="U5" s="154" t="str">
        <f>IFERROR(__xludf.DUMMYFUNCTION("GOOGLETRANSLATE(A5,""zh-tw"",""KO"")"),"흥분한")</f>
        <v>흥분한</v>
      </c>
      <c r="V5" s="168" t="str">
        <f>IFERROR(__xludf.DUMMYFUNCTION("GOOGLETRANSLATE(B5,""zh-tw"",""KO"")"),"내 온몸은 어떤 종류의 자극을 갈구하고 있어요.")</f>
        <v>내 온몸은 어떤 종류의 자극을 갈구하고 있어요.</v>
      </c>
      <c r="W5" s="324" t="str">
        <f>IFERROR(__xludf.DUMMYFUNCTION("GOOGLETRANSLATE(C5,""zh-tw"",""KO"")"),"-")</f>
        <v>-</v>
      </c>
      <c r="X5" s="180" t="str">
        <f>IFERROR(__xludf.DUMMYFUNCTION("GOOGLETRANSLATE(D5,""zh-tw"",""KO"")"),"내 동생은 성적 욕망이 많아요")</f>
        <v>내 동생은 성적 욕망이 많아요</v>
      </c>
      <c r="Y5" s="320" t="str">
        <f>IFERROR(__xludf.DUMMYFUNCTION("GOOGLETRANSLATE(A5,""zh-tw"",""RU"")"),"взволнованный")</f>
        <v>взволнованный</v>
      </c>
      <c r="Z5" s="321" t="str">
        <f>IFERROR(__xludf.DUMMYFUNCTION("GOOGLETRANSLATE(B5,""zh-tw"",""RU"")"),"Все мое тело жаждет какой-то стимуляции.")</f>
        <v>Все мое тело жаждет какой-то стимуляции.</v>
      </c>
      <c r="AA5" s="322" t="str">
        <f>IFERROR(__xludf.DUMMYFUNCTION("GOOGLETRANSLATE(C5,""zh-tw"",""RU"")"),"-")</f>
        <v>-</v>
      </c>
      <c r="AB5" s="401" t="str">
        <f>IFERROR(__xludf.DUMMYFUNCTION("GOOGLETRANSLATE(D5,""zh-tw"",""RU"")"),"У моего брата сильное сексуальное желание.")</f>
        <v>У моего брата сильное сексуальное желание.</v>
      </c>
      <c r="AC5" s="320" t="str">
        <f>IFERROR(__xludf.DUMMYFUNCTION("GOOGLETRANSLATE(A5,""zh-tw"",""DE"")"),"aufgeregt")</f>
        <v>aufgeregt</v>
      </c>
      <c r="AD5" s="321" t="str">
        <f>IFERROR(__xludf.DUMMYFUNCTION("GOOGLETRANSLATE(B5,""zh-tw"",""DE"")"),"Mein ganzer Körper verlangt nach irgendeiner Art von Stimulation.")</f>
        <v>Mein ganzer Körper verlangt nach irgendeiner Art von Stimulation.</v>
      </c>
      <c r="AE5" s="322" t="str">
        <f>IFERROR(__xludf.DUMMYFUNCTION("GOOGLETRANSLATE(C5,""zh-tw"",""DE"")"),"-")</f>
        <v>-</v>
      </c>
      <c r="AF5" s="401" t="str">
        <f>IFERROR(__xludf.DUMMYFUNCTION("GOOGLETRANSLATE(D5,""zh-tw"",""DE"")"),"Mein Bruder hat ein starkes sexuelles Verlangen.")</f>
        <v>Mein Bruder hat ein starkes sexuelles Verlangen.</v>
      </c>
      <c r="AG5" s="160" t="s">
        <v>6427</v>
      </c>
      <c r="AH5" s="170" t="s">
        <v>6435</v>
      </c>
      <c r="AI5" s="326" t="s">
        <v>724</v>
      </c>
      <c r="AJ5" s="189" t="s">
        <v>6436</v>
      </c>
      <c r="AK5" s="400"/>
      <c r="AL5" s="400"/>
      <c r="AM5" s="400"/>
    </row>
    <row r="6" ht="26.25" customHeight="1">
      <c r="A6" s="179" t="s">
        <v>6419</v>
      </c>
      <c r="B6" s="323" t="s">
        <v>6437</v>
      </c>
      <c r="C6" s="325" t="s">
        <v>724</v>
      </c>
      <c r="D6" s="400" t="s">
        <v>6438</v>
      </c>
      <c r="E6" s="179" t="s">
        <v>6422</v>
      </c>
      <c r="F6" s="321" t="str">
        <f>IFERROR(__xludf.DUMMYFUNCTION("GOOGLETRANSLATE(B6,""zh-tw"",""ja"")"),"もう自分をコントロールできない。")</f>
        <v>もう自分をコントロールできない。</v>
      </c>
      <c r="G6" s="325" t="s">
        <v>724</v>
      </c>
      <c r="H6" s="400" t="s">
        <v>6439</v>
      </c>
      <c r="I6" s="179" t="s">
        <v>6424</v>
      </c>
      <c r="J6" s="323" t="s">
        <v>6440</v>
      </c>
      <c r="K6" s="325" t="s">
        <v>724</v>
      </c>
      <c r="L6" s="400" t="s">
        <v>6441</v>
      </c>
      <c r="M6" s="320" t="str">
        <f>IFERROR(__xludf.DUMMYFUNCTION("GOOGLETRANSLATE(A6,""zh-tw"",""zh"")"),"兴奋")</f>
        <v>兴奋</v>
      </c>
      <c r="N6" s="321" t="str">
        <f>IFERROR(__xludf.DUMMYFUNCTION("GOOGLETRANSLATE(B6,""zh-tw"",""zh"")"),"要控制不住自己了")</f>
        <v>要控制不住自己了</v>
      </c>
      <c r="O6" s="322" t="str">
        <f>IFERROR(__xludf.DUMMYFUNCTION("GOOGLETRANSLATE(C6,""zh-tw"",""zh"")"),"-")</f>
        <v>-</v>
      </c>
      <c r="P6" s="401" t="str">
        <f>IFERROR(__xludf.DUMMYFUNCTION("GOOGLETRANSLATE(D6,""zh-tw"",""zh"")"),"哥哥更多性欲")</f>
        <v>哥哥更多性欲</v>
      </c>
      <c r="Q6" s="154" t="str">
        <f>IFERROR(__xludf.DUMMYFUNCTION("GOOGLETRANSLATE(A6,""zh-tw"",""es-MX"")"),"entusiasmado")</f>
        <v>entusiasmado</v>
      </c>
      <c r="R6" s="168" t="str">
        <f>IFERROR(__xludf.DUMMYFUNCTION("GOOGLETRANSLATE(B6,""zh-tw"",""es-MX"")"),"Ya no puedo controlarme.")</f>
        <v>Ya no puedo controlarme.</v>
      </c>
      <c r="S6" s="324" t="str">
        <f>IFERROR(__xludf.DUMMYFUNCTION("GOOGLETRANSLATE(C6,""zh-tw"",""es-MX"")"),"-")</f>
        <v>-</v>
      </c>
      <c r="T6" s="180" t="str">
        <f>IFERROR(__xludf.DUMMYFUNCTION("GOOGLETRANSLATE(D6,""zh-tw"",""es-MX"")"),"El hermano mayor tiene mayor libido.")</f>
        <v>El hermano mayor tiene mayor libido.</v>
      </c>
      <c r="U6" s="154" t="str">
        <f>IFERROR(__xludf.DUMMYFUNCTION("GOOGLETRANSLATE(A6,""zh-tw"",""KO"")"),"흥분한")</f>
        <v>흥분한</v>
      </c>
      <c r="V6" s="168" t="str">
        <f>IFERROR(__xludf.DUMMYFUNCTION("GOOGLETRANSLATE(B6,""zh-tw"",""KO"")"),"나는 더 이상 나 자신을 통제할 수 없어.")</f>
        <v>나는 더 이상 나 자신을 통제할 수 없어.</v>
      </c>
      <c r="W6" s="324" t="str">
        <f>IFERROR(__xludf.DUMMYFUNCTION("GOOGLETRANSLATE(C6,""zh-tw"",""KO"")"),"-")</f>
        <v>-</v>
      </c>
      <c r="X6" s="180" t="str">
        <f>IFERROR(__xludf.DUMMYFUNCTION("GOOGLETRANSLATE(D6,""zh-tw"",""KO"")"),"형은 성욕이 더 강하다")</f>
        <v>형은 성욕이 더 강하다</v>
      </c>
      <c r="Y6" s="320" t="str">
        <f>IFERROR(__xludf.DUMMYFUNCTION("GOOGLETRANSLATE(A6,""zh-tw"",""RU"")"),"взволнованный")</f>
        <v>взволнованный</v>
      </c>
      <c r="Z6" s="321" t="str">
        <f>IFERROR(__xludf.DUMMYFUNCTION("GOOGLETRANSLATE(B6,""zh-tw"",""RU"")"),"Я больше не могу себя контролировать.")</f>
        <v>Я больше не могу себя контролировать.</v>
      </c>
      <c r="AA6" s="322" t="str">
        <f>IFERROR(__xludf.DUMMYFUNCTION("GOOGLETRANSLATE(C6,""zh-tw"",""RU"")"),"-")</f>
        <v>-</v>
      </c>
      <c r="AB6" s="401" t="str">
        <f>IFERROR(__xludf.DUMMYFUNCTION("GOOGLETRANSLATE(D6,""zh-tw"",""RU"")"),"У старшего брата более сильное сексуальное влечение")</f>
        <v>У старшего брата более сильное сексуальное влечение</v>
      </c>
      <c r="AC6" s="320" t="str">
        <f>IFERROR(__xludf.DUMMYFUNCTION("GOOGLETRANSLATE(A6,""zh-tw"",""DE"")"),"aufgeregt")</f>
        <v>aufgeregt</v>
      </c>
      <c r="AD6" s="321" t="str">
        <f>IFERROR(__xludf.DUMMYFUNCTION("GOOGLETRANSLATE(B6,""zh-tw"",""DE"")"),"Ich kann mich nicht mehr beherrschen.")</f>
        <v>Ich kann mich nicht mehr beherrschen.</v>
      </c>
      <c r="AE6" s="322" t="str">
        <f>IFERROR(__xludf.DUMMYFUNCTION("GOOGLETRANSLATE(C6,""zh-tw"",""DE"")"),"-")</f>
        <v>-</v>
      </c>
      <c r="AF6" s="401" t="str">
        <f>IFERROR(__xludf.DUMMYFUNCTION("GOOGLETRANSLATE(D6,""zh-tw"",""DE"")"),"Der ältere Bruder hat einen stärkeren Sexualtrieb.")</f>
        <v>Der ältere Bruder hat einen stärkeren Sexualtrieb.</v>
      </c>
      <c r="AG6" s="160" t="s">
        <v>6427</v>
      </c>
      <c r="AH6" s="170" t="s">
        <v>6442</v>
      </c>
      <c r="AI6" s="326" t="s">
        <v>724</v>
      </c>
      <c r="AJ6" s="189" t="s">
        <v>6443</v>
      </c>
      <c r="AK6" s="400"/>
      <c r="AL6" s="400"/>
      <c r="AM6" s="400"/>
    </row>
    <row r="7">
      <c r="A7" s="179" t="s">
        <v>6444</v>
      </c>
      <c r="B7" s="323" t="s">
        <v>6445</v>
      </c>
      <c r="C7" s="325" t="s">
        <v>6446</v>
      </c>
      <c r="D7" s="400" t="s">
        <v>6447</v>
      </c>
      <c r="E7" s="179" t="s">
        <v>6448</v>
      </c>
      <c r="F7" s="321" t="str">
        <f>IFERROR(__xludf.DUMMYFUNCTION("GOOGLETRANSLATE(B7,""zh-tw"",""ja"")"),"うーん…")</f>
        <v>うーん…</v>
      </c>
      <c r="G7" s="325" t="s">
        <v>6449</v>
      </c>
      <c r="H7" s="400" t="s">
        <v>6450</v>
      </c>
      <c r="I7" s="179" t="s">
        <v>6451</v>
      </c>
      <c r="J7" s="323" t="s">
        <v>6452</v>
      </c>
      <c r="K7" s="325" t="s">
        <v>6453</v>
      </c>
      <c r="L7" s="400" t="s">
        <v>6454</v>
      </c>
      <c r="M7" s="320" t="str">
        <f>IFERROR(__xludf.DUMMYFUNCTION("GOOGLETRANSLATE(A7,""zh-tw"",""zh"")"),"兽人")</f>
        <v>兽人</v>
      </c>
      <c r="N7" s="321" t="str">
        <f>IFERROR(__xludf.DUMMYFUNCTION("GOOGLETRANSLATE(B7,""zh-tw"",""zh"")"),"唔噢噢噢噢.......!")</f>
        <v>唔噢噢噢噢.......!</v>
      </c>
      <c r="O7" s="322" t="str">
        <f>IFERROR(__xludf.DUMMYFUNCTION("GOOGLETRANSLATE(C7,""zh-tw"",""zh"")"),"扭曲为了满脑子都是欲望的Beast！")</f>
        <v>扭曲为了满脑子都是欲望的Beast！</v>
      </c>
      <c r="P7" s="401" t="str">
        <f>IFERROR(__xludf.DUMMYFUNCTION("GOOGLETRANSLATE(D7,""zh-tw"",""zh"")"),"哥哥性欲极高")</f>
        <v>哥哥性欲极高</v>
      </c>
      <c r="Q7" s="154" t="str">
        <f>IFERROR(__xludf.DUMMYFUNCTION("GOOGLETRANSLATE(A7,""zh-tw"",""es-MX"")"),"Orcos")</f>
        <v>Orcos</v>
      </c>
      <c r="R7" s="168" t="str">
        <f>IFERROR(__xludf.DUMMYFUNCTION("GOOGLETRANSLATE(B7,""zh-tw"",""es-MX"")"),"Ughh...")</f>
        <v>Ughh...</v>
      </c>
      <c r="S7" s="324" t="str">
        <f>IFERROR(__xludf.DUMMYFUNCTION("GOOGLETRANSLATE(C7,""zh-tw"",""es-MX"")"),"¡Convertido en una bestia con la mente llena de deseos!")</f>
        <v>¡Convertido en una bestia con la mente llena de deseos!</v>
      </c>
      <c r="T7" s="180" t="str">
        <f>IFERROR(__xludf.DUMMYFUNCTION("GOOGLETRANSLATE(D7,""zh-tw"",""es-MX"")"),"Mi hermano tiene un deseo sexual extremadamente alto.")</f>
        <v>Mi hermano tiene un deseo sexual extremadamente alto.</v>
      </c>
      <c r="U7" s="154" t="str">
        <f>IFERROR(__xludf.DUMMYFUNCTION("GOOGLETRANSLATE(A7,""zh-tw"",""KO"")"),"오크들")</f>
        <v>오크들</v>
      </c>
      <c r="V7" s="168" t="str">
        <f>IFERROR(__xludf.DUMMYFUNCTION("GOOGLETRANSLATE(B7,""zh-tw"",""KO"")"),"으악...")</f>
        <v>으악...</v>
      </c>
      <c r="W7" s="324" t="str">
        <f>IFERROR(__xludf.DUMMYFUNCTION("GOOGLETRANSLATE(C7,""zh-tw"",""KO"")"),"욕망으로 가득 찬 마음을 가진 짐승으로 뒤틀렸어!")</f>
        <v>욕망으로 가득 찬 마음을 가진 짐승으로 뒤틀렸어!</v>
      </c>
      <c r="X7" s="180" t="str">
        <f>IFERROR(__xludf.DUMMYFUNCTION("GOOGLETRANSLATE(D7,""zh-tw"",""KO"")"),"내 동생은 성욕이 매우 강해요.")</f>
        <v>내 동생은 성욕이 매우 강해요.</v>
      </c>
      <c r="Y7" s="320" t="str">
        <f>IFERROR(__xludf.DUMMYFUNCTION("GOOGLETRANSLATE(A7,""zh-tw"",""RU"")"),"Орки")</f>
        <v>Орки</v>
      </c>
      <c r="Z7" s="321" t="str">
        <f>IFERROR(__xludf.DUMMYFUNCTION("GOOGLETRANSLATE(B7,""zh-tw"",""RU"")"),"Уф...")</f>
        <v>Уф...</v>
      </c>
      <c r="AA7" s="322" t="str">
        <f>IFERROR(__xludf.DUMMYFUNCTION("GOOGLETRANSLATE(C7,""zh-tw"",""RU"")"),"Превратился в зверя с разумом, полным желаний!")</f>
        <v>Превратился в зверя с разумом, полным желаний!</v>
      </c>
      <c r="AB7" s="401" t="str">
        <f>IFERROR(__xludf.DUMMYFUNCTION("GOOGLETRANSLATE(D7,""zh-tw"",""RU"")"),"У моего брата чрезвычайно высокое сексуальное влечение.")</f>
        <v>У моего брата чрезвычайно высокое сексуальное влечение.</v>
      </c>
      <c r="AC7" s="320" t="str">
        <f>IFERROR(__xludf.DUMMYFUNCTION("GOOGLETRANSLATE(A7,""zh-tw"",""DE"")"),"Orks")</f>
        <v>Orks</v>
      </c>
      <c r="AD7" s="321" t="str">
        <f>IFERROR(__xludf.DUMMYFUNCTION("GOOGLETRANSLATE(B7,""zh-tw"",""DE"")"),"Ugh ...")</f>
        <v>Ugh ...</v>
      </c>
      <c r="AE7" s="322" t="str">
        <f>IFERROR(__xludf.DUMMYFUNCTION("GOOGLETRANSLATE(C7,""zh-tw"",""DE"")"),"Verdreht zu einem Ungeheuer mit einem Verstand voller Begierden!")</f>
        <v>Verdreht zu einem Ungeheuer mit einem Verstand voller Begierden!</v>
      </c>
      <c r="AF7" s="401" t="str">
        <f>IFERROR(__xludf.DUMMYFUNCTION("GOOGLETRANSLATE(D7,""zh-tw"",""DE"")"),"Mein Bruder hat einen extrem hohen Sexualtrieb.")</f>
        <v>Mein Bruder hat einen extrem hohen Sexualtrieb.</v>
      </c>
      <c r="AG7" s="160" t="s">
        <v>6451</v>
      </c>
      <c r="AH7" s="170" t="s">
        <v>6452</v>
      </c>
      <c r="AI7" s="326" t="s">
        <v>6455</v>
      </c>
      <c r="AJ7" s="189" t="s">
        <v>6456</v>
      </c>
      <c r="AK7" s="400"/>
      <c r="AL7" s="400"/>
      <c r="AM7" s="400"/>
    </row>
    <row r="8">
      <c r="A8" s="179" t="s">
        <v>6457</v>
      </c>
      <c r="B8" s="323" t="s">
        <v>6458</v>
      </c>
      <c r="C8" s="325" t="s">
        <v>6459</v>
      </c>
      <c r="D8" s="400" t="s">
        <v>6460</v>
      </c>
      <c r="E8" s="179" t="s">
        <v>6461</v>
      </c>
      <c r="F8" s="323" t="s">
        <v>6462</v>
      </c>
      <c r="G8" s="322" t="str">
        <f>IFERROR(__xludf.DUMMYFUNCTION("GOOGLETRANSLATE(C8,""zh-tw"",""ja"")"),"賢者モードに入ると、すべての属性が上昇します。")</f>
        <v>賢者モードに入ると、すべての属性が上昇します。</v>
      </c>
      <c r="H8" s="400" t="s">
        <v>6463</v>
      </c>
      <c r="I8" s="179" t="s">
        <v>6464</v>
      </c>
      <c r="J8" s="323" t="s">
        <v>6465</v>
      </c>
      <c r="K8" s="325" t="s">
        <v>6466</v>
      </c>
      <c r="L8" s="400" t="s">
        <v>6467</v>
      </c>
      <c r="M8" s="320" t="str">
        <f>IFERROR(__xludf.DUMMYFUNCTION("GOOGLETRANSLATE(A8,""zh-tw"",""zh"")"),"贤者")</f>
        <v>贤者</v>
      </c>
      <c r="N8" s="321" t="str">
        <f>IFERROR(__xludf.DUMMYFUNCTION("GOOGLETRANSLATE(B8,""zh-tw"",""zh"")"),"现在我感觉自己无所不能。")</f>
        <v>现在我感觉自己无所不能。</v>
      </c>
      <c r="O8" s="322" t="str">
        <f>IFERROR(__xludf.DUMMYFUNCTION("GOOGLETRANSLATE(C8,""zh-tw"",""zh"")"),"进入了贤者模式，全属性上升")</f>
        <v>进入了贤者模式，全属性上升</v>
      </c>
      <c r="P8" s="401" t="str">
        <f>IFERROR(__xludf.DUMMYFUNCTION("GOOGLETRANSLATE(D8,""zh-tw"",""zh"")"),"哥哥毫无性欲")</f>
        <v>哥哥毫无性欲</v>
      </c>
      <c r="Q8" s="154" t="str">
        <f>IFERROR(__xludf.DUMMYFUNCTION("GOOGLETRANSLATE(A8,""zh-tw"",""es-MX"")"),"Sabio")</f>
        <v>Sabio</v>
      </c>
      <c r="R8" s="168" t="str">
        <f>IFERROR(__xludf.DUMMYFUNCTION("GOOGLETRANSLATE(B8,""zh-tw"",""es-MX"")"),"Siento que ahora mismo puedo hacer cualquier cosa.")</f>
        <v>Siento que ahora mismo puedo hacer cualquier cosa.</v>
      </c>
      <c r="S8" s="324" t="str">
        <f>IFERROR(__xludf.DUMMYFUNCTION("GOOGLETRANSLATE(C8,""zh-tw"",""es-MX"")"),"Al entrar en el Modo Sabio, todos los atributos aumentan.")</f>
        <v>Al entrar en el Modo Sabio, todos los atributos aumentan.</v>
      </c>
      <c r="T8" s="180" t="str">
        <f>IFERROR(__xludf.DUMMYFUNCTION("GOOGLETRANSLATE(D8,""zh-tw"",""es-MX"")"),"Mi hermano no tiene deseo sexual.")</f>
        <v>Mi hermano no tiene deseo sexual.</v>
      </c>
      <c r="U8" s="154" t="str">
        <f>IFERROR(__xludf.DUMMYFUNCTION("GOOGLETRANSLATE(A8,""zh-tw"",""KO"")"),"세이지")</f>
        <v>세이지</v>
      </c>
      <c r="V8" s="168" t="str">
        <f>IFERROR(__xludf.DUMMYFUNCTION("GOOGLETRANSLATE(B8,""zh-tw"",""KO"")"),"지금은 무엇이든 할 수 있을 것 같은 기분이 들어요.")</f>
        <v>지금은 무엇이든 할 수 있을 것 같은 기분이 들어요.</v>
      </c>
      <c r="W8" s="324" t="str">
        <f>IFERROR(__xludf.DUMMYFUNCTION("GOOGLETRANSLATE(C8,""zh-tw"",""KO"")"),"세이지 모드에 들어가면 모든 속성이 증가합니다.")</f>
        <v>세이지 모드에 들어가면 모든 속성이 증가합니다.</v>
      </c>
      <c r="X8" s="180" t="str">
        <f>IFERROR(__xludf.DUMMYFUNCTION("GOOGLETRANSLATE(D8,""zh-tw"",""KO"")"),"내 동생은 성욕이 없어요.")</f>
        <v>내 동생은 성욕이 없어요.</v>
      </c>
      <c r="Y8" s="320" t="str">
        <f>IFERROR(__xludf.DUMMYFUNCTION("GOOGLETRANSLATE(A8,""zh-tw"",""RU"")"),"Мудрец")</f>
        <v>Мудрец</v>
      </c>
      <c r="Z8" s="321" t="str">
        <f>IFERROR(__xludf.DUMMYFUNCTION("GOOGLETRANSLATE(B8,""zh-tw"",""RU"")"),"Я чувствую, что сейчас я могу сделать все, что угодно.")</f>
        <v>Я чувствую, что сейчас я могу сделать все, что угодно.</v>
      </c>
      <c r="AA8" s="322" t="str">
        <f>IFERROR(__xludf.DUMMYFUNCTION("GOOGLETRANSLATE(C8,""zh-tw"",""RU"")"),"При входе в режим Мудреца все характеристики увеличиваются.")</f>
        <v>При входе в режим Мудреца все характеристики увеличиваются.</v>
      </c>
      <c r="AB8" s="401" t="str">
        <f>IFERROR(__xludf.DUMMYFUNCTION("GOOGLETRANSLATE(D8,""zh-tw"",""RU"")"),"У моего брата нет сексуального влечения.")</f>
        <v>У моего брата нет сексуального влечения.</v>
      </c>
      <c r="AC8" s="320" t="str">
        <f>IFERROR(__xludf.DUMMYFUNCTION("GOOGLETRANSLATE(A8,""zh-tw"",""DE"")"),"Salbei")</f>
        <v>Salbei</v>
      </c>
      <c r="AD8" s="321" t="str">
        <f>IFERROR(__xludf.DUMMYFUNCTION("GOOGLETRANSLATE(B8,""zh-tw"",""DE"")"),"Ich habe das Gefühl, ich kann im Moment alles schaffen.")</f>
        <v>Ich habe das Gefühl, ich kann im Moment alles schaffen.</v>
      </c>
      <c r="AE8" s="322" t="str">
        <f>IFERROR(__xludf.DUMMYFUNCTION("GOOGLETRANSLATE(C8,""zh-tw"",""DE"")"),"Beim Aktivieren des Sage-Modus erhöhen sich alle Attribute.")</f>
        <v>Beim Aktivieren des Sage-Modus erhöhen sich alle Attribute.</v>
      </c>
      <c r="AF8" s="401" t="str">
        <f>IFERROR(__xludf.DUMMYFUNCTION("GOOGLETRANSLATE(D8,""zh-tw"",""DE"")"),"Mein Bruder hat kein sexuelles Verlangen.")</f>
        <v>Mein Bruder hat kein sexuelles Verlangen.</v>
      </c>
      <c r="AG8" s="160" t="s">
        <v>6468</v>
      </c>
      <c r="AH8" s="170" t="s">
        <v>6469</v>
      </c>
      <c r="AI8" s="326" t="s">
        <v>6470</v>
      </c>
      <c r="AJ8" s="189" t="s">
        <v>6471</v>
      </c>
      <c r="AK8" s="400"/>
      <c r="AL8" s="400"/>
      <c r="AM8" s="400"/>
    </row>
    <row r="9">
      <c r="A9" s="179" t="s">
        <v>6472</v>
      </c>
      <c r="B9" s="323" t="s">
        <v>724</v>
      </c>
      <c r="C9" s="325" t="s">
        <v>6473</v>
      </c>
      <c r="D9" s="400" t="s">
        <v>6474</v>
      </c>
      <c r="E9" s="320" t="str">
        <f>IFERROR(__xludf.DUMMYFUNCTION("GOOGLETRANSLATE(A9,""zh-tw"",""ja"")"),"集中")</f>
        <v>集中</v>
      </c>
      <c r="F9" s="321" t="str">
        <f>IFERROR(__xludf.DUMMYFUNCTION("GOOGLETRANSLATE(B9,""zh-tw"",""ja"")"),"-")</f>
        <v>-</v>
      </c>
      <c r="G9" s="325" t="s">
        <v>6475</v>
      </c>
      <c r="H9" s="400" t="s">
        <v>6476</v>
      </c>
      <c r="I9" s="179" t="s">
        <v>6477</v>
      </c>
      <c r="J9" s="321" t="str">
        <f>IFERROR(__xludf.DUMMYFUNCTION("GOOGLETRANSLATE(B9,""zh-tw"",""en"")"),"-")</f>
        <v>-</v>
      </c>
      <c r="K9" s="325" t="s">
        <v>6478</v>
      </c>
      <c r="L9" s="400" t="s">
        <v>6479</v>
      </c>
      <c r="M9" s="320" t="str">
        <f>IFERROR(__xludf.DUMMYFUNCTION("GOOGLETRANSLATE(A9,""zh-tw"",""zh"")"),"专注")</f>
        <v>专注</v>
      </c>
      <c r="N9" s="321" t="str">
        <f>IFERROR(__xludf.DUMMYFUNCTION("GOOGLETRANSLATE(B9,""zh-tw"",""zh"")"),"-")</f>
        <v>-</v>
      </c>
      <c r="O9" s="322" t="str">
        <f>IFERROR(__xludf.DUMMYFUNCTION("GOOGLETRANSLATE(C9,""zh-tw"",""zh"")"),"集中精力为下一击做准被，移动速度下降")</f>
        <v>集中精力为下一击做准被，移动速度下降</v>
      </c>
      <c r="P9" s="401" t="str">
        <f>IFERROR(__xludf.DUMMYFUNCTION("GOOGLETRANSLATE(D9,""zh-tw"",""zh"")"),"近战武器滑鼠右键")</f>
        <v>近战武器滑鼠右键</v>
      </c>
      <c r="Q9" s="154" t="str">
        <f>IFERROR(__xludf.DUMMYFUNCTION("GOOGLETRANSLATE(A9,""zh-tw"",""es-MX"")"),"Enfocar")</f>
        <v>Enfocar</v>
      </c>
      <c r="R9" s="168" t="str">
        <f>IFERROR(__xludf.DUMMYFUNCTION("GOOGLETRANSLATE(B9,""zh-tw"",""es-MX"")"),"-")</f>
        <v>-</v>
      </c>
      <c r="S9" s="324" t="str">
        <f>IFERROR(__xludf.DUMMYFUNCTION("GOOGLETRANSLATE(C9,""zh-tw"",""es-MX"")"),"Concentrarse en prepararse para el próximo ataque reduce la velocidad de movimiento.")</f>
        <v>Concentrarse en prepararse para el próximo ataque reduce la velocidad de movimiento.</v>
      </c>
      <c r="T9" s="180" t="str">
        <f>IFERROR(__xludf.DUMMYFUNCTION("GOOGLETRANSLATE(D9,""zh-tw"",""es-MX"")"),"botón derecho del ratón para armas cuerpo a cuerpo")</f>
        <v>botón derecho del ratón para armas cuerpo a cuerpo</v>
      </c>
      <c r="U9" s="154" t="str">
        <f>IFERROR(__xludf.DUMMYFUNCTION("GOOGLETRANSLATE(A9,""zh-tw"",""KO"")"),"집중하다")</f>
        <v>집중하다</v>
      </c>
      <c r="V9" s="168" t="str">
        <f>IFERROR(__xludf.DUMMYFUNCTION("GOOGLETRANSLATE(B9,""zh-tw"",""KO"")"),"-")</f>
        <v>-</v>
      </c>
      <c r="W9" s="324" t="str">
        <f>IFERROR(__xludf.DUMMYFUNCTION("GOOGLETRANSLATE(C9,""zh-tw"",""KO"")"),"다음 공격에 대비하는 데 집중하면 이동 속도가 감소합니다.")</f>
        <v>다음 공격에 대비하는 데 집중하면 이동 속도가 감소합니다.</v>
      </c>
      <c r="X9" s="180" t="str">
        <f>IFERROR(__xludf.DUMMYFUNCTION("GOOGLETRANSLATE(D9,""zh-tw"",""KO"")"),"근접 무기 오른쪽 마우스 버튼")</f>
        <v>근접 무기 오른쪽 마우스 버튼</v>
      </c>
      <c r="Y9" s="320" t="str">
        <f>IFERROR(__xludf.DUMMYFUNCTION("GOOGLETRANSLATE(A9,""zh-tw"",""RU"")"),"Фокус")</f>
        <v>Фокус</v>
      </c>
      <c r="Z9" s="321" t="str">
        <f>IFERROR(__xludf.DUMMYFUNCTION("GOOGLETRANSLATE(B9,""zh-tw"",""RU"")"),"-")</f>
        <v>-</v>
      </c>
      <c r="AA9" s="322" t="str">
        <f>IFERROR(__xludf.DUMMYFUNCTION("GOOGLETRANSLATE(C9,""zh-tw"",""RU"")"),"Сосредоточение на подготовке к следующей атаке снижает скорость передвижения.")</f>
        <v>Сосредоточение на подготовке к следующей атаке снижает скорость передвижения.</v>
      </c>
      <c r="AB9" s="401" t="str">
        <f>IFERROR(__xludf.DUMMYFUNCTION("GOOGLETRANSLATE(D9,""zh-tw"",""RU"")"),"Оружие ближнего боя правая кнопка мыши")</f>
        <v>Оружие ближнего боя правая кнопка мыши</v>
      </c>
      <c r="AC9" s="320" t="str">
        <f>IFERROR(__xludf.DUMMYFUNCTION("GOOGLETRANSLATE(A9,""zh-tw"",""DE"")"),"Fokus")</f>
        <v>Fokus</v>
      </c>
      <c r="AD9" s="321" t="str">
        <f>IFERROR(__xludf.DUMMYFUNCTION("GOOGLETRANSLATE(B9,""zh-tw"",""DE"")"),"-")</f>
        <v>-</v>
      </c>
      <c r="AE9" s="322" t="str">
        <f>IFERROR(__xludf.DUMMYFUNCTION("GOOGLETRANSLATE(C9,""zh-tw"",""DE"")"),"Die Konzentration auf die Vorbereitung des nächsten Angriffs verringert die Bewegungsgeschwindigkeit.")</f>
        <v>Die Konzentration auf die Vorbereitung des nächsten Angriffs verringert die Bewegungsgeschwindigkeit.</v>
      </c>
      <c r="AF9" s="401" t="str">
        <f>IFERROR(__xludf.DUMMYFUNCTION("GOOGLETRANSLATE(D9,""zh-tw"",""DE"")"),"rechte Maustaste für Nahkampfwaffen")</f>
        <v>rechte Maustaste für Nahkampfwaffen</v>
      </c>
      <c r="AG9" s="160" t="s">
        <v>6480</v>
      </c>
      <c r="AH9" s="170" t="s">
        <v>724</v>
      </c>
      <c r="AI9" s="326" t="s">
        <v>6481</v>
      </c>
      <c r="AJ9" s="189" t="s">
        <v>6482</v>
      </c>
      <c r="AK9" s="400"/>
      <c r="AL9" s="400"/>
      <c r="AM9" s="400"/>
    </row>
    <row r="10">
      <c r="A10" s="179" t="s">
        <v>6483</v>
      </c>
      <c r="B10" s="323" t="s">
        <v>6484</v>
      </c>
      <c r="C10" s="325" t="s">
        <v>724</v>
      </c>
      <c r="D10" s="400" t="s">
        <v>6485</v>
      </c>
      <c r="E10" s="179" t="s">
        <v>6486</v>
      </c>
      <c r="F10" s="323" t="s">
        <v>6487</v>
      </c>
      <c r="G10" s="322" t="str">
        <f>IFERROR(__xludf.DUMMYFUNCTION("GOOGLETRANSLATE(C10,""zh-tw"",""ja"")"),"-")</f>
        <v>-</v>
      </c>
      <c r="H10" s="400" t="s">
        <v>6488</v>
      </c>
      <c r="I10" s="179" t="s">
        <v>6489</v>
      </c>
      <c r="J10" s="323" t="s">
        <v>6490</v>
      </c>
      <c r="K10" s="322" t="str">
        <f>IFERROR(__xludf.DUMMYFUNCTION("GOOGLETRANSLATE(C10,""zh-tw"",""en"")"),"-")</f>
        <v>-</v>
      </c>
      <c r="L10" s="400" t="s">
        <v>6491</v>
      </c>
      <c r="M10" s="320" t="str">
        <f>IFERROR(__xludf.DUMMYFUNCTION("GOOGLETRANSLATE(A10,""zh-tw"",""zh"")"),"闪步")</f>
        <v>闪步</v>
      </c>
      <c r="N10" s="321" t="str">
        <f>IFERROR(__xludf.DUMMYFUNCTION("GOOGLETRANSLATE(B10,""zh-tw"",""zh"")"),"真红的三倍速")</f>
        <v>真红的三倍速</v>
      </c>
      <c r="O10" s="322" t="str">
        <f>IFERROR(__xludf.DUMMYFUNCTION("GOOGLETRANSLATE(C10,""zh-tw"",""zh"")"),"-")</f>
        <v>-</v>
      </c>
      <c r="P10" s="401" t="str">
        <f>IFERROR(__xludf.DUMMYFUNCTION("GOOGLETRANSLATE(D10,""zh-tw"",""zh"")"),"闪步过程中或过图时永久BUG")</f>
        <v>闪步过程中或过图时永久BUG</v>
      </c>
      <c r="Q10" s="154" t="str">
        <f>IFERROR(__xludf.DUMMYFUNCTION("GOOGLETRANSLATE(A10,""zh-tw"",""es-MX"")"),"Paso relámpago")</f>
        <v>Paso relámpago</v>
      </c>
      <c r="R10" s="168" t="str">
        <f>IFERROR(__xludf.DUMMYFUNCTION("GOOGLETRANSLATE(B10,""zh-tw"",""es-MX"")"),"Triple velocidad carmesí")</f>
        <v>Triple velocidad carmesí</v>
      </c>
      <c r="S10" s="324" t="str">
        <f>IFERROR(__xludf.DUMMYFUNCTION("GOOGLETRANSLATE(C10,""zh-tw"",""es-MX"")"),"-")</f>
        <v>-</v>
      </c>
      <c r="T10" s="180" t="str">
        <f>IFERROR(__xludf.DUMMYFUNCTION("GOOGLETRANSLATE(D10,""zh-tw"",""es-MX"")"),"Error permanente durante el paso de flash o la transición del mapa")</f>
        <v>Error permanente durante el paso de flash o la transición del mapa</v>
      </c>
      <c r="U10" s="154" t="str">
        <f>IFERROR(__xludf.DUMMYFUNCTION("GOOGLETRANSLATE(A10,""zh-tw"",""KO"")"),"플래시 스텝")</f>
        <v>플래시 스텝</v>
      </c>
      <c r="V10" s="168" t="str">
        <f>IFERROR(__xludf.DUMMYFUNCTION("GOOGLETRANSLATE(B10,""zh-tw"",""KO"")"),"크림슨 트리플 스피드")</f>
        <v>크림슨 트리플 스피드</v>
      </c>
      <c r="W10" s="324" t="str">
        <f>IFERROR(__xludf.DUMMYFUNCTION("GOOGLETRANSLATE(C10,""zh-tw"",""KO"")"),"-")</f>
        <v>-</v>
      </c>
      <c r="X10" s="180" t="str">
        <f>IFERROR(__xludf.DUMMYFUNCTION("GOOGLETRANSLATE(D10,""zh-tw"",""KO"")"),"플래시 스텝이나 맵 전환 중 영구적인 버그 발생")</f>
        <v>플래시 스텝이나 맵 전환 중 영구적인 버그 발생</v>
      </c>
      <c r="Y10" s="320" t="str">
        <f>IFERROR(__xludf.DUMMYFUNCTION("GOOGLETRANSLATE(A10,""zh-tw"",""RU"")"),"Флэш-шаг")</f>
        <v>Флэш-шаг</v>
      </c>
      <c r="Z10" s="321" t="str">
        <f>IFERROR(__xludf.DUMMYFUNCTION("GOOGLETRANSLATE(B10,""zh-tw"",""RU"")"),"Багровая тройная скорость")</f>
        <v>Багровая тройная скорость</v>
      </c>
      <c r="AA10" s="322" t="str">
        <f>IFERROR(__xludf.DUMMYFUNCTION("GOOGLETRANSLATE(C10,""zh-tw"",""RU"")"),"-")</f>
        <v>-</v>
      </c>
      <c r="AB10" s="401" t="str">
        <f>IFERROR(__xludf.DUMMYFUNCTION("GOOGLETRANSLATE(D10,""zh-tw"",""RU"")"),"Постоянная ошибка во время флэш-шага или перехода по карте")</f>
        <v>Постоянная ошибка во время флэш-шага или перехода по карте</v>
      </c>
      <c r="AC10" s="320" t="str">
        <f>IFERROR(__xludf.DUMMYFUNCTION("GOOGLETRANSLATE(A10,""zh-tw"",""DE"")"),"Blitzschritt")</f>
        <v>Blitzschritt</v>
      </c>
      <c r="AD10" s="321" t="str">
        <f>IFERROR(__xludf.DUMMYFUNCTION("GOOGLETRANSLATE(B10,""zh-tw"",""DE"")"),"Crimson Triple Speed")</f>
        <v>Crimson Triple Speed</v>
      </c>
      <c r="AE10" s="322" t="str">
        <f>IFERROR(__xludf.DUMMYFUNCTION("GOOGLETRANSLATE(C10,""zh-tw"",""DE"")"),"-")</f>
        <v>-</v>
      </c>
      <c r="AF10" s="401" t="str">
        <f>IFERROR(__xludf.DUMMYFUNCTION("GOOGLETRANSLATE(D10,""zh-tw"",""DE"")"),"Permanenter Fehler während des Flash-Schritts oder Kartenübergangs")</f>
        <v>Permanenter Fehler während des Flash-Schritts oder Kartenübergangs</v>
      </c>
      <c r="AG10" s="160" t="s">
        <v>6489</v>
      </c>
      <c r="AH10" s="170" t="s">
        <v>6492</v>
      </c>
      <c r="AI10" s="326" t="s">
        <v>724</v>
      </c>
      <c r="AJ10" s="189" t="s">
        <v>6493</v>
      </c>
      <c r="AK10" s="400"/>
      <c r="AL10" s="400"/>
      <c r="AM10" s="400"/>
    </row>
    <row r="11">
      <c r="A11" s="179" t="s">
        <v>6494</v>
      </c>
      <c r="B11" s="323" t="s">
        <v>724</v>
      </c>
      <c r="C11" s="325" t="s">
        <v>6495</v>
      </c>
      <c r="D11" s="400" t="s">
        <v>6496</v>
      </c>
      <c r="E11" s="179" t="s">
        <v>6497</v>
      </c>
      <c r="F11" s="321" t="str">
        <f>IFERROR(__xludf.DUMMYFUNCTION("GOOGLETRANSLATE(B11,""zh-tw"",""ja"")"),"-")</f>
        <v>-</v>
      </c>
      <c r="G11" s="325" t="s">
        <v>6498</v>
      </c>
      <c r="H11" s="400" t="s">
        <v>6499</v>
      </c>
      <c r="I11" s="179" t="s">
        <v>6500</v>
      </c>
      <c r="J11" s="321" t="str">
        <f>IFERROR(__xludf.DUMMYFUNCTION("GOOGLETRANSLATE(B11,""zh-tw"",""en"")"),"-")</f>
        <v>-</v>
      </c>
      <c r="K11" s="325" t="s">
        <v>6501</v>
      </c>
      <c r="L11" s="400" t="s">
        <v>6502</v>
      </c>
      <c r="M11" s="320" t="str">
        <f>IFERROR(__xludf.DUMMYFUNCTION("GOOGLETRANSLATE(A11,""zh-tw"",""zh"")"),"闪步禁止")</f>
        <v>闪步禁止</v>
      </c>
      <c r="N11" s="321" t="str">
        <f>IFERROR(__xludf.DUMMYFUNCTION("GOOGLETRANSLATE(B11,""zh-tw"",""zh"")"),"-")</f>
        <v>-</v>
      </c>
      <c r="O11" s="322" t="str">
        <f>IFERROR(__xludf.DUMMYFUNCTION("GOOGLETRANSLATE(C11,""zh-tw"",""zh"")"),"禁止发动闪步")</f>
        <v>禁止发动闪步</v>
      </c>
      <c r="P11" s="401" t="str">
        <f>IFERROR(__xludf.DUMMYFUNCTION("GOOGLETRANSLATE(D11,""zh-tw"",""zh"")"),"闪步cd期间")</f>
        <v>闪步cd期间</v>
      </c>
      <c r="Q11" s="154" t="str">
        <f>IFERROR(__xludf.DUMMYFUNCTION("GOOGLETRANSLATE(A11,""zh-tw"",""es-MX"")"),"Paso rápido prohibido")</f>
        <v>Paso rápido prohibido</v>
      </c>
      <c r="R11" s="168" t="str">
        <f>IFERROR(__xludf.DUMMYFUNCTION("GOOGLETRANSLATE(B11,""zh-tw"",""es-MX"")"),"-")</f>
        <v>-</v>
      </c>
      <c r="S11" s="324" t="str">
        <f>IFERROR(__xludf.DUMMYFUNCTION("GOOGLETRANSLATE(C11,""zh-tw"",""es-MX"")"),"No utilice Flash Step")</f>
        <v>No utilice Flash Step</v>
      </c>
      <c r="T11" s="180" t="str">
        <f>IFERROR(__xludf.DUMMYFUNCTION("GOOGLETRANSLATE(D11,""zh-tw"",""es-MX"")"),"enfriamiento de Paso relámpago")</f>
        <v>enfriamiento de Paso relámpago</v>
      </c>
      <c r="U11" s="154" t="str">
        <f>IFERROR(__xludf.DUMMYFUNCTION("GOOGLETRANSLATE(A11,""zh-tw"",""KO"")"),"플래시 스텝 금지")</f>
        <v>플래시 스텝 금지</v>
      </c>
      <c r="V11" s="168" t="str">
        <f>IFERROR(__xludf.DUMMYFUNCTION("GOOGLETRANSLATE(B11,""zh-tw"",""KO"")"),"-")</f>
        <v>-</v>
      </c>
      <c r="W11" s="324" t="str">
        <f>IFERROR(__xludf.DUMMYFUNCTION("GOOGLETRANSLATE(C11,""zh-tw"",""KO"")"),"플래시 스텝을 사용하지 마세요")</f>
        <v>플래시 스텝을 사용하지 마세요</v>
      </c>
      <c r="X11" s="180" t="str">
        <f>IFERROR(__xludf.DUMMYFUNCTION("GOOGLETRANSLATE(D11,""zh-tw"",""KO"")"),"플래시 스텝 쿨다운")</f>
        <v>플래시 스텝 쿨다운</v>
      </c>
      <c r="Y11" s="320" t="str">
        <f>IFERROR(__xludf.DUMMYFUNCTION("GOOGLETRANSLATE(A11,""zh-tw"",""RU"")"),"Флэш-шаг запрещен")</f>
        <v>Флэш-шаг запрещен</v>
      </c>
      <c r="Z11" s="321" t="str">
        <f>IFERROR(__xludf.DUMMYFUNCTION("GOOGLETRANSLATE(B11,""zh-tw"",""RU"")"),"-")</f>
        <v>-</v>
      </c>
      <c r="AA11" s="322" t="str">
        <f>IFERROR(__xludf.DUMMYFUNCTION("GOOGLETRANSLATE(C11,""zh-tw"",""RU"")"),"Не используйте Flash Step")</f>
        <v>Не используйте Flash Step</v>
      </c>
      <c r="AB11" s="401" t="str">
        <f>IFERROR(__xludf.DUMMYFUNCTION("GOOGLETRANSLATE(D11,""zh-tw"",""RU"")"),"Перезарядка Flash Step")</f>
        <v>Перезарядка Flash Step</v>
      </c>
      <c r="AC11" s="320" t="str">
        <f>IFERROR(__xludf.DUMMYFUNCTION("GOOGLETRANSLATE(A11,""zh-tw"",""DE"")"),"Blitzschritt verboten")</f>
        <v>Blitzschritt verboten</v>
      </c>
      <c r="AD11" s="321" t="str">
        <f>IFERROR(__xludf.DUMMYFUNCTION("GOOGLETRANSLATE(B11,""zh-tw"",""DE"")"),"-")</f>
        <v>-</v>
      </c>
      <c r="AE11" s="322" t="str">
        <f>IFERROR(__xludf.DUMMYFUNCTION("GOOGLETRANSLATE(C11,""zh-tw"",""DE"")"),"Flash Step nicht verwenden")</f>
        <v>Flash Step nicht verwenden</v>
      </c>
      <c r="AF11" s="401" t="str">
        <f>IFERROR(__xludf.DUMMYFUNCTION("GOOGLETRANSLATE(D11,""zh-tw"",""DE"")"),"Flash Step-Abklingzeit")</f>
        <v>Flash Step-Abklingzeit</v>
      </c>
      <c r="AG11" s="160" t="s">
        <v>6503</v>
      </c>
      <c r="AH11" s="170" t="s">
        <v>724</v>
      </c>
      <c r="AI11" s="326" t="s">
        <v>6504</v>
      </c>
      <c r="AJ11" s="189" t="s">
        <v>6505</v>
      </c>
      <c r="AK11" s="400"/>
      <c r="AL11" s="400"/>
      <c r="AM11" s="400"/>
    </row>
    <row r="12">
      <c r="A12" s="179" t="s">
        <v>6506</v>
      </c>
      <c r="B12" s="323" t="s">
        <v>724</v>
      </c>
      <c r="C12" s="325" t="s">
        <v>6507</v>
      </c>
      <c r="D12" s="400" t="s">
        <v>6508</v>
      </c>
      <c r="E12" s="179" t="s">
        <v>6509</v>
      </c>
      <c r="F12" s="321" t="str">
        <f>IFERROR(__xludf.DUMMYFUNCTION("GOOGLETRANSLATE(B12,""zh-tw"",""ja"")"),"-")</f>
        <v>-</v>
      </c>
      <c r="G12" s="325" t="s">
        <v>6510</v>
      </c>
      <c r="H12" s="400" t="s">
        <v>6511</v>
      </c>
      <c r="I12" s="179" t="s">
        <v>6512</v>
      </c>
      <c r="J12" s="321" t="str">
        <f>IFERROR(__xludf.DUMMYFUNCTION("GOOGLETRANSLATE(B12,""zh-tw"",""en"")"),"-")</f>
        <v>-</v>
      </c>
      <c r="K12" s="325" t="s">
        <v>6513</v>
      </c>
      <c r="L12" s="400" t="s">
        <v>6514</v>
      </c>
      <c r="M12" s="320" t="str">
        <f>IFERROR(__xludf.DUMMYFUNCTION("GOOGLETRANSLATE(A12,""zh-tw"",""zh"")"),"眩晕")</f>
        <v>眩晕</v>
      </c>
      <c r="N12" s="321" t="str">
        <f>IFERROR(__xludf.DUMMYFUNCTION("GOOGLETRANSLATE(B12,""zh-tw"",""zh"")"),"-")</f>
        <v>-</v>
      </c>
      <c r="O12" s="322" t="str">
        <f>IFERROR(__xludf.DUMMYFUNCTION("GOOGLETRANSLATE(C12,""zh-tw"",""zh"")"),"转的头晕了。")</f>
        <v>转的头晕了。</v>
      </c>
      <c r="P12" s="401" t="str">
        <f>IFERROR(__xludf.DUMMYFUNCTION("GOOGLETRANSLATE(D12,""zh-tw"",""zh"")"),"近战武器滑鼠右键结束后")</f>
        <v>近战武器滑鼠右键结束后</v>
      </c>
      <c r="Q12" s="154" t="str">
        <f>IFERROR(__xludf.DUMMYFUNCTION("GOOGLETRANSLATE(A12,""zh-tw"",""es-MX"")"),"mareo")</f>
        <v>mareo</v>
      </c>
      <c r="R12" s="168" t="str">
        <f>IFERROR(__xludf.DUMMYFUNCTION("GOOGLETRANSLATE(B12,""zh-tw"",""es-MX"")"),"-")</f>
        <v>-</v>
      </c>
      <c r="S12" s="324" t="str">
        <f>IFERROR(__xludf.DUMMYFUNCTION("GOOGLETRANSLATE(C12,""zh-tw"",""es-MX"")"),"Me siento mareado de tanto dar vueltas.")</f>
        <v>Me siento mareado de tanto dar vueltas.</v>
      </c>
      <c r="T12" s="180" t="str">
        <f>IFERROR(__xludf.DUMMYFUNCTION("GOOGLETRANSLATE(D12,""zh-tw"",""es-MX"")"),"Tras hacer clic derecho en un arma cuerpo a cuerpo")</f>
        <v>Tras hacer clic derecho en un arma cuerpo a cuerpo</v>
      </c>
      <c r="U12" s="154" t="str">
        <f>IFERROR(__xludf.DUMMYFUNCTION("GOOGLETRANSLATE(A12,""zh-tw"",""KO"")"),"현기증")</f>
        <v>현기증</v>
      </c>
      <c r="V12" s="168" t="str">
        <f>IFERROR(__xludf.DUMMYFUNCTION("GOOGLETRANSLATE(B12,""zh-tw"",""KO"")"),"-")</f>
        <v>-</v>
      </c>
      <c r="W12" s="324" t="str">
        <f>IFERROR(__xludf.DUMMYFUNCTION("GOOGLETRANSLATE(C12,""zh-tw"",""KO"")"),"나는 빙빙 돌면서 어지러움을 느낀다.")</f>
        <v>나는 빙빙 돌면서 어지러움을 느낀다.</v>
      </c>
      <c r="X12" s="180" t="str">
        <f>IFERROR(__xludf.DUMMYFUNCTION("GOOGLETRANSLATE(D12,""zh-tw"",""KO"")"),"근접 무기를 마우스 오른쪽 버튼으로 클릭한 후")</f>
        <v>근접 무기를 마우스 오른쪽 버튼으로 클릭한 후</v>
      </c>
      <c r="Y12" s="320" t="str">
        <f>IFERROR(__xludf.DUMMYFUNCTION("GOOGLETRANSLATE(A12,""zh-tw"",""RU"")"),"головокружение")</f>
        <v>головокружение</v>
      </c>
      <c r="Z12" s="321" t="str">
        <f>IFERROR(__xludf.DUMMYFUNCTION("GOOGLETRANSLATE(B12,""zh-tw"",""RU"")"),"-")</f>
        <v>-</v>
      </c>
      <c r="AA12" s="322" t="str">
        <f>IFERROR(__xludf.DUMMYFUNCTION("GOOGLETRANSLATE(C12,""zh-tw"",""RU"")"),"У меня кружится голова от вращения.")</f>
        <v>У меня кружится голова от вращения.</v>
      </c>
      <c r="AB12" s="401" t="str">
        <f>IFERROR(__xludf.DUMMYFUNCTION("GOOGLETRANSLATE(D12,""zh-tw"",""RU"")"),"После щелчка правой кнопкой мыши по оружию ближнего боя")</f>
        <v>После щелчка правой кнопкой мыши по оружию ближнего боя</v>
      </c>
      <c r="AC12" s="320" t="str">
        <f>IFERROR(__xludf.DUMMYFUNCTION("GOOGLETRANSLATE(A12,""zh-tw"",""DE"")"),"Schwindel")</f>
        <v>Schwindel</v>
      </c>
      <c r="AD12" s="321" t="str">
        <f>IFERROR(__xludf.DUMMYFUNCTION("GOOGLETRANSLATE(B12,""zh-tw"",""DE"")"),"-")</f>
        <v>-</v>
      </c>
      <c r="AE12" s="322" t="str">
        <f>IFERROR(__xludf.DUMMYFUNCTION("GOOGLETRANSLATE(C12,""zh-tw"",""DE"")"),"Mir ist schwindlig vom vielen Drehen.")</f>
        <v>Mir ist schwindlig vom vielen Drehen.</v>
      </c>
      <c r="AF12" s="401" t="str">
        <f>IFERROR(__xludf.DUMMYFUNCTION("GOOGLETRANSLATE(D12,""zh-tw"",""DE"")"),"Nach einem Rechtsklick auf eine Nahkampfwaffe")</f>
        <v>Nach einem Rechtsklick auf eine Nahkampfwaffe</v>
      </c>
      <c r="AG12" s="160" t="s">
        <v>6515</v>
      </c>
      <c r="AH12" s="170" t="s">
        <v>724</v>
      </c>
      <c r="AI12" s="326" t="s">
        <v>6516</v>
      </c>
      <c r="AJ12" s="189" t="s">
        <v>6517</v>
      </c>
      <c r="AK12" s="400"/>
      <c r="AL12" s="400"/>
      <c r="AM12" s="400"/>
    </row>
    <row r="13">
      <c r="A13" s="179" t="s">
        <v>6518</v>
      </c>
      <c r="B13" s="323" t="s">
        <v>724</v>
      </c>
      <c r="C13" s="325" t="s">
        <v>6519</v>
      </c>
      <c r="D13" s="400" t="s">
        <v>6520</v>
      </c>
      <c r="E13" s="320" t="str">
        <f>IFERROR(__xludf.DUMMYFUNCTION("GOOGLETRANSLATE(A13,""zh-tw"",""ja"")"),"呪文詠唱")</f>
        <v>呪文詠唱</v>
      </c>
      <c r="F13" s="321" t="str">
        <f>IFERROR(__xludf.DUMMYFUNCTION("GOOGLETRANSLATE(B13,""zh-tw"",""ja"")"),"-")</f>
        <v>-</v>
      </c>
      <c r="G13" s="322" t="str">
        <f>IFERROR(__xludf.DUMMYFUNCTION("GOOGLETRANSLATE(C13,""zh-tw"",""ja"")"),"魔法の詠唱中")</f>
        <v>魔法の詠唱中</v>
      </c>
      <c r="H13" s="401" t="str">
        <f>IFERROR(__xludf.DUMMYFUNCTION("GOOGLETRANSLATE(D13,""zh-tw"",""ja"")"),"杖武器を右クリックします。")</f>
        <v>杖武器を右クリックします。</v>
      </c>
      <c r="I13" s="179" t="s">
        <v>6521</v>
      </c>
      <c r="J13" s="321" t="str">
        <f>IFERROR(__xludf.DUMMYFUNCTION("GOOGLETRANSLATE(B13,""zh-tw"",""en"")"),"-")</f>
        <v>-</v>
      </c>
      <c r="K13" s="325" t="s">
        <v>6522</v>
      </c>
      <c r="L13" s="400" t="s">
        <v>6523</v>
      </c>
      <c r="M13" s="320" t="str">
        <f>IFERROR(__xludf.DUMMYFUNCTION("GOOGLETRANSLATE(A13,""zh-tw"",""zh"")"),"施法")</f>
        <v>施法</v>
      </c>
      <c r="N13" s="321" t="str">
        <f>IFERROR(__xludf.DUMMYFUNCTION("GOOGLETRANSLATE(B13,""zh-tw"",""zh"")"),"-")</f>
        <v>-</v>
      </c>
      <c r="O13" s="322" t="str">
        <f>IFERROR(__xludf.DUMMYFUNCTION("GOOGLETRANSLATE(C13,""zh-tw"",""zh"")"),"魔法吟唱中")</f>
        <v>魔法吟唱中</v>
      </c>
      <c r="P13" s="401" t="str">
        <f>IFERROR(__xludf.DUMMYFUNCTION("GOOGLETRANSLATE(D13,""zh-tw"",""zh"")"),"法杖武器滑鼠右键")</f>
        <v>法杖武器滑鼠右键</v>
      </c>
      <c r="Q13" s="154" t="str">
        <f>IFERROR(__xludf.DUMMYFUNCTION("GOOGLETRANSLATE(A13,""zh-tw"",""es-MX"")"),"Lanzamiento de hechizos")</f>
        <v>Lanzamiento de hechizos</v>
      </c>
      <c r="R13" s="168" t="str">
        <f>IFERROR(__xludf.DUMMYFUNCTION("GOOGLETRANSLATE(B13,""zh-tw"",""es-MX"")"),"-")</f>
        <v>-</v>
      </c>
      <c r="S13" s="324" t="str">
        <f>IFERROR(__xludf.DUMMYFUNCTION("GOOGLETRANSLATE(C13,""zh-tw"",""es-MX"")"),"Durante el canto mágico")</f>
        <v>Durante el canto mágico</v>
      </c>
      <c r="T13" s="180" t="str">
        <f>IFERROR(__xludf.DUMMYFUNCTION("GOOGLETRANSLATE(D13,""zh-tw"",""es-MX"")"),"Haz clic derecho en el arma de bastón.")</f>
        <v>Haz clic derecho en el arma de bastón.</v>
      </c>
      <c r="U13" s="154" t="str">
        <f>IFERROR(__xludf.DUMMYFUNCTION("GOOGLETRANSLATE(A13,""zh-tw"",""KO"")"),"주문시전")</f>
        <v>주문시전</v>
      </c>
      <c r="V13" s="168" t="str">
        <f>IFERROR(__xludf.DUMMYFUNCTION("GOOGLETRANSLATE(B13,""zh-tw"",""KO"")"),"-")</f>
        <v>-</v>
      </c>
      <c r="W13" s="324" t="str">
        <f>IFERROR(__xludf.DUMMYFUNCTION("GOOGLETRANSLATE(C13,""zh-tw"",""KO"")"),"마법의 주문을 외우는 동안")</f>
        <v>마법의 주문을 외우는 동안</v>
      </c>
      <c r="X13" s="180" t="str">
        <f>IFERROR(__xludf.DUMMYFUNCTION("GOOGLETRANSLATE(D13,""zh-tw"",""KO"")"),"지팡이 무기를 마우스 오른쪽 버튼으로 클릭합니다.")</f>
        <v>지팡이 무기를 마우스 오른쪽 버튼으로 클릭합니다.</v>
      </c>
      <c r="Y13" s="320" t="str">
        <f>IFERROR(__xludf.DUMMYFUNCTION("GOOGLETRANSLATE(A13,""zh-tw"",""RU"")"),"Колдовство")</f>
        <v>Колдовство</v>
      </c>
      <c r="Z13" s="321" t="str">
        <f>IFERROR(__xludf.DUMMYFUNCTION("GOOGLETRANSLATE(B13,""zh-tw"",""RU"")"),"-")</f>
        <v>-</v>
      </c>
      <c r="AA13" s="322" t="str">
        <f>IFERROR(__xludf.DUMMYFUNCTION("GOOGLETRANSLATE(C13,""zh-tw"",""RU"")"),"Во время магического песнопения")</f>
        <v>Во время магического песнопения</v>
      </c>
      <c r="AB13" s="401" t="str">
        <f>IFERROR(__xludf.DUMMYFUNCTION("GOOGLETRANSLATE(D13,""zh-tw"",""RU"")"),"Щелкните правой кнопкой мыши по оружию-посоху.")</f>
        <v>Щелкните правой кнопкой мыши по оружию-посоху.</v>
      </c>
      <c r="AC13" s="320" t="str">
        <f>IFERROR(__xludf.DUMMYFUNCTION("GOOGLETRANSLATE(A13,""zh-tw"",""DE"")"),"Zauberei")</f>
        <v>Zauberei</v>
      </c>
      <c r="AD13" s="321" t="str">
        <f>IFERROR(__xludf.DUMMYFUNCTION("GOOGLETRANSLATE(B13,""zh-tw"",""DE"")"),"-")</f>
        <v>-</v>
      </c>
      <c r="AE13" s="322" t="str">
        <f>IFERROR(__xludf.DUMMYFUNCTION("GOOGLETRANSLATE(C13,""zh-tw"",""DE"")"),"Während des Zaubergesangs")</f>
        <v>Während des Zaubergesangs</v>
      </c>
      <c r="AF13" s="401" t="str">
        <f>IFERROR(__xludf.DUMMYFUNCTION("GOOGLETRANSLATE(D13,""zh-tw"",""DE"")"),"Rechtsklicken Sie auf die Stabwaffe.")</f>
        <v>Rechtsklicken Sie auf die Stabwaffe.</v>
      </c>
      <c r="AG13" s="160" t="s">
        <v>6524</v>
      </c>
      <c r="AH13" s="170" t="s">
        <v>724</v>
      </c>
      <c r="AI13" s="326" t="s">
        <v>6525</v>
      </c>
      <c r="AJ13" s="189" t="s">
        <v>6526</v>
      </c>
      <c r="AK13" s="400"/>
      <c r="AL13" s="400"/>
      <c r="AM13" s="400"/>
    </row>
    <row r="14">
      <c r="A14" s="179" t="s">
        <v>6527</v>
      </c>
      <c r="B14" s="323" t="s">
        <v>6528</v>
      </c>
      <c r="C14" s="325" t="s">
        <v>6529</v>
      </c>
      <c r="D14" s="400" t="s">
        <v>6530</v>
      </c>
      <c r="E14" s="179" t="s">
        <v>6527</v>
      </c>
      <c r="F14" s="323" t="s">
        <v>6531</v>
      </c>
      <c r="G14" s="325" t="s">
        <v>6532</v>
      </c>
      <c r="H14" s="400" t="s">
        <v>6533</v>
      </c>
      <c r="I14" s="179" t="s">
        <v>6534</v>
      </c>
      <c r="J14" s="323" t="s">
        <v>6535</v>
      </c>
      <c r="K14" s="325" t="s">
        <v>6536</v>
      </c>
      <c r="L14" s="400" t="s">
        <v>6537</v>
      </c>
      <c r="M14" s="320" t="str">
        <f>IFERROR(__xludf.DUMMYFUNCTION("GOOGLETRANSLATE(A14,""zh-tw"",""zh"")"),"中毒")</f>
        <v>中毒</v>
      </c>
      <c r="N14" s="321" t="str">
        <f>IFERROR(__xludf.DUMMYFUNCTION("GOOGLETRANSLATE(B14,""zh-tw"",""zh"")"),"体内感染了毒素")</f>
        <v>体内感染了毒素</v>
      </c>
      <c r="O14" s="322" t="str">
        <f>IFERROR(__xludf.DUMMYFUNCTION("GOOGLETRANSLATE(C14,""zh-tw"",""zh"")"),"随时间经过受到更多伤害")</f>
        <v>随时间经过受到更多伤害</v>
      </c>
      <c r="P14" s="401" t="str">
        <f>IFERROR(__xludf.DUMMYFUNCTION("GOOGLETRANSLATE(D14,""zh-tw"",""zh"")"),"被丧尸攻击")</f>
        <v>被丧尸攻击</v>
      </c>
      <c r="Q14" s="154" t="str">
        <f>IFERROR(__xludf.DUMMYFUNCTION("GOOGLETRANSLATE(A14,""zh-tw"",""es-MX"")"),"Envenenamiento")</f>
        <v>Envenenamiento</v>
      </c>
      <c r="R14" s="168" t="str">
        <f>IFERROR(__xludf.DUMMYFUNCTION("GOOGLETRANSLATE(B14,""zh-tw"",""es-MX"")"),"Infección por toxinas")</f>
        <v>Infección por toxinas</v>
      </c>
      <c r="S14" s="324" t="str">
        <f>IFERROR(__xludf.DUMMYFUNCTION("GOOGLETRANSLATE(C14,""zh-tw"",""es-MX"")"),"Mayor daño con el tiempo")</f>
        <v>Mayor daño con el tiempo</v>
      </c>
      <c r="T14" s="180" t="str">
        <f>IFERROR(__xludf.DUMMYFUNCTION("GOOGLETRANSLATE(D14,""zh-tw"",""es-MX"")"),"Atacado por zombis")</f>
        <v>Atacado por zombis</v>
      </c>
      <c r="U14" s="154" t="str">
        <f>IFERROR(__xludf.DUMMYFUNCTION("GOOGLETRANSLATE(A14,""zh-tw"",""KO"")"),"중독")</f>
        <v>중독</v>
      </c>
      <c r="V14" s="168" t="str">
        <f>IFERROR(__xludf.DUMMYFUNCTION("GOOGLETRANSLATE(B14,""zh-tw"",""KO"")"),"독소 감염")</f>
        <v>독소 감염</v>
      </c>
      <c r="W14" s="324" t="str">
        <f>IFERROR(__xludf.DUMMYFUNCTION("GOOGLETRANSLATE(C14,""zh-tw"",""KO"")"),"시간이 지남에 따라 더 많은 손상")</f>
        <v>시간이 지남에 따라 더 많은 손상</v>
      </c>
      <c r="X14" s="180" t="str">
        <f>IFERROR(__xludf.DUMMYFUNCTION("GOOGLETRANSLATE(D14,""zh-tw"",""KO"")"),"좀비의 공격을 받다")</f>
        <v>좀비의 공격을 받다</v>
      </c>
      <c r="Y14" s="320" t="str">
        <f>IFERROR(__xludf.DUMMYFUNCTION("GOOGLETRANSLATE(A14,""zh-tw"",""RU"")"),"Отравление")</f>
        <v>Отравление</v>
      </c>
      <c r="Z14" s="321" t="str">
        <f>IFERROR(__xludf.DUMMYFUNCTION("GOOGLETRANSLATE(B14,""zh-tw"",""RU"")"),"Заражение токсинами")</f>
        <v>Заражение токсинами</v>
      </c>
      <c r="AA14" s="322" t="str">
        <f>IFERROR(__xludf.DUMMYFUNCTION("GOOGLETRANSLATE(C14,""zh-tw"",""RU"")"),"Со временем ущерб увеличивается")</f>
        <v>Со временем ущерб увеличивается</v>
      </c>
      <c r="AB14" s="401" t="str">
        <f>IFERROR(__xludf.DUMMYFUNCTION("GOOGLETRANSLATE(D14,""zh-tw"",""RU"")"),"Напали зомби")</f>
        <v>Напали зомби</v>
      </c>
      <c r="AC14" s="320" t="str">
        <f>IFERROR(__xludf.DUMMYFUNCTION("GOOGLETRANSLATE(A14,""zh-tw"",""DE"")"),"Vergiftung")</f>
        <v>Vergiftung</v>
      </c>
      <c r="AD14" s="321" t="str">
        <f>IFERROR(__xludf.DUMMYFUNCTION("GOOGLETRANSLATE(B14,""zh-tw"",""DE"")"),"Infektion mit Toxinen")</f>
        <v>Infektion mit Toxinen</v>
      </c>
      <c r="AE14" s="322" t="str">
        <f>IFERROR(__xludf.DUMMYFUNCTION("GOOGLETRANSLATE(C14,""zh-tw"",""DE"")"),"Mehr Schaden im Laufe der Zeit")</f>
        <v>Mehr Schaden im Laufe der Zeit</v>
      </c>
      <c r="AF14" s="401" t="str">
        <f>IFERROR(__xludf.DUMMYFUNCTION("GOOGLETRANSLATE(D14,""zh-tw"",""DE"")"),"Von Zombies angegriffen")</f>
        <v>Von Zombies angegriffen</v>
      </c>
      <c r="AG14" s="160" t="s">
        <v>6538</v>
      </c>
      <c r="AH14" s="170" t="s">
        <v>6539</v>
      </c>
      <c r="AI14" s="326" t="s">
        <v>6540</v>
      </c>
      <c r="AJ14" s="189" t="s">
        <v>6541</v>
      </c>
      <c r="AK14" s="400"/>
      <c r="AL14" s="400"/>
      <c r="AM14" s="400"/>
    </row>
    <row r="15">
      <c r="A15" s="179" t="s">
        <v>6542</v>
      </c>
      <c r="B15" s="323" t="s">
        <v>6543</v>
      </c>
      <c r="C15" s="325" t="s">
        <v>6544</v>
      </c>
      <c r="D15" s="400" t="s">
        <v>6545</v>
      </c>
      <c r="E15" s="320" t="str">
        <f>IFERROR(__xludf.DUMMYFUNCTION("GOOGLETRANSLATE(A15,""zh-tw"",""ja"")"),"出血")</f>
        <v>出血</v>
      </c>
      <c r="F15" s="323" t="s">
        <v>6546</v>
      </c>
      <c r="G15" s="322" t="str">
        <f>IFERROR(__xludf.DUMMYFUNCTION("GOOGLETRANSLATE(C15,""zh-tw"",""ja"")"),"最大スタミナに応じてダメージを受ける")</f>
        <v>最大スタミナに応じてダメージを受ける</v>
      </c>
      <c r="H15" s="400" t="s">
        <v>6547</v>
      </c>
      <c r="I15" s="320" t="str">
        <f>IFERROR(__xludf.DUMMYFUNCTION("GOOGLETRANSLATE(A15,""zh-tw"",""en"")"),"Bleeding")</f>
        <v>Bleeding</v>
      </c>
      <c r="J15" s="323" t="s">
        <v>6548</v>
      </c>
      <c r="K15" s="325" t="s">
        <v>6549</v>
      </c>
      <c r="L15" s="400" t="s">
        <v>6550</v>
      </c>
      <c r="M15" s="320" t="str">
        <f>IFERROR(__xludf.DUMMYFUNCTION("GOOGLETRANSLATE(A15,""zh-tw"",""zh"")"),"出血")</f>
        <v>出血</v>
      </c>
      <c r="N15" s="321" t="str">
        <f>IFERROR(__xludf.DUMMYFUNCTION("GOOGLETRANSLATE(B15,""zh-tw"",""zh"")"),"血流不止。")</f>
        <v>血流不止。</v>
      </c>
      <c r="O15" s="322" t="str">
        <f>IFERROR(__xludf.DUMMYFUNCTION("GOOGLETRANSLATE(C15,""zh-tw"",""zh"")"),"根据体力上限受到伤害")</f>
        <v>根据体力上限受到伤害</v>
      </c>
      <c r="P15" s="401" t="str">
        <f>IFERROR(__xludf.DUMMYFUNCTION("GOOGLETRANSLATE(D15,""zh-tw"",""zh"")"),"被小红兽攻击")</f>
        <v>被小红兽攻击</v>
      </c>
      <c r="Q15" s="154" t="str">
        <f>IFERROR(__xludf.DUMMYFUNCTION("GOOGLETRANSLATE(A15,""zh-tw"",""es-MX"")"),"Sangría")</f>
        <v>Sangría</v>
      </c>
      <c r="R15" s="168" t="str">
        <f>IFERROR(__xludf.DUMMYFUNCTION("GOOGLETRANSLATE(B15,""zh-tw"",""es-MX"")"),"La hemorragia no cesaba.")</f>
        <v>La hemorragia no cesaba.</v>
      </c>
      <c r="S15" s="324" t="str">
        <f>IFERROR(__xludf.DUMMYFUNCTION("GOOGLETRANSLATE(C15,""zh-tw"",""es-MX"")"),"Recibes daño según tu resistencia máxima.")</f>
        <v>Recibes daño según tu resistencia máxima.</v>
      </c>
      <c r="T15" s="180" t="str">
        <f>IFERROR(__xludf.DUMMYFUNCTION("GOOGLETRANSLATE(D15,""zh-tw"",""es-MX"")"),"Atacado por la pequeña bestia roja")</f>
        <v>Atacado por la pequeña bestia roja</v>
      </c>
      <c r="U15" s="154" t="str">
        <f>IFERROR(__xludf.DUMMYFUNCTION("GOOGLETRANSLATE(A15,""zh-tw"",""KO"")"),"출혈")</f>
        <v>출혈</v>
      </c>
      <c r="V15" s="168" t="str">
        <f>IFERROR(__xludf.DUMMYFUNCTION("GOOGLETRANSLATE(B15,""zh-tw"",""KO"")"),"출혈이 멈추지 않았습니다.")</f>
        <v>출혈이 멈추지 않았습니다.</v>
      </c>
      <c r="W15" s="324" t="str">
        <f>IFERROR(__xludf.DUMMYFUNCTION("GOOGLETRANSLATE(C15,""zh-tw"",""KO"")"),"최대 체력에 따라 데미지를 입습니다.")</f>
        <v>최대 체력에 따라 데미지를 입습니다.</v>
      </c>
      <c r="X15" s="180" t="str">
        <f>IFERROR(__xludf.DUMMYFUNCTION("GOOGLETRANSLATE(D15,""zh-tw"",""KO"")"),"작은 붉은 짐승에게 공격당함")</f>
        <v>작은 붉은 짐승에게 공격당함</v>
      </c>
      <c r="Y15" s="320" t="str">
        <f>IFERROR(__xludf.DUMMYFUNCTION("GOOGLETRANSLATE(A15,""zh-tw"",""RU"")"),"Кровотечение")</f>
        <v>Кровотечение</v>
      </c>
      <c r="Z15" s="321" t="str">
        <f>IFERROR(__xludf.DUMMYFUNCTION("GOOGLETRANSLATE(B15,""zh-tw"",""RU"")"),"Кровотечение не останавливалось.")</f>
        <v>Кровотечение не останавливалось.</v>
      </c>
      <c r="AA15" s="322"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401" t="str">
        <f>IFERROR(__xludf.DUMMYFUNCTION("GOOGLETRANSLATE(D15,""zh-tw"",""RU"")"),"Напал маленький красный зверь")</f>
        <v>Напал маленький красный зверь</v>
      </c>
      <c r="AC15" s="320" t="str">
        <f>IFERROR(__xludf.DUMMYFUNCTION("GOOGLETRANSLATE(A15,""zh-tw"",""DE"")"),"Blutung")</f>
        <v>Blutung</v>
      </c>
      <c r="AD15" s="321" t="str">
        <f>IFERROR(__xludf.DUMMYFUNCTION("GOOGLETRANSLATE(B15,""zh-tw"",""DE"")"),"Die Blutung hörte nicht auf.")</f>
        <v>Die Blutung hörte nicht auf.</v>
      </c>
      <c r="AE15" s="322" t="str">
        <f>IFERROR(__xludf.DUMMYFUNCTION("GOOGLETRANSLATE(C15,""zh-tw"",""DE"")"),"Erleide Schaden basierend auf deiner maximalen Ausdauer.")</f>
        <v>Erleide Schaden basierend auf deiner maximalen Ausdauer.</v>
      </c>
      <c r="AF15" s="401" t="str">
        <f>IFERROR(__xludf.DUMMYFUNCTION("GOOGLETRANSLATE(D15,""zh-tw"",""DE"")"),"Angegriffen von dem kleinen roten Biest")</f>
        <v>Angegriffen von dem kleinen roten Biest</v>
      </c>
      <c r="AG15" s="160" t="s">
        <v>6551</v>
      </c>
      <c r="AH15" s="170" t="s">
        <v>6552</v>
      </c>
      <c r="AI15" s="326" t="s">
        <v>6553</v>
      </c>
      <c r="AJ15" s="189" t="s">
        <v>6554</v>
      </c>
      <c r="AK15" s="400"/>
      <c r="AL15" s="400"/>
      <c r="AM15" s="400"/>
    </row>
    <row r="16">
      <c r="A16" s="179" t="s">
        <v>6555</v>
      </c>
      <c r="B16" s="323" t="s">
        <v>6556</v>
      </c>
      <c r="C16" s="325" t="s">
        <v>6557</v>
      </c>
      <c r="D16" s="400" t="s">
        <v>6558</v>
      </c>
      <c r="E16" s="179" t="s">
        <v>6559</v>
      </c>
      <c r="F16" s="321" t="str">
        <f>IFERROR(__xludf.DUMMYFUNCTION("GOOGLETRANSLATE(B16,""zh-tw"",""ja"")"),"見て、この男は雷に打たれたんだ！")</f>
        <v>見て、この男は雷に打たれたんだ！</v>
      </c>
      <c r="G16" s="325" t="s">
        <v>6560</v>
      </c>
      <c r="H16" s="400" t="s">
        <v>6561</v>
      </c>
      <c r="I16" s="179" t="s">
        <v>6562</v>
      </c>
      <c r="J16" s="323" t="s">
        <v>6563</v>
      </c>
      <c r="K16" s="325" t="s">
        <v>6564</v>
      </c>
      <c r="L16" s="400" t="s">
        <v>6565</v>
      </c>
      <c r="M16" s="320" t="str">
        <f>IFERROR(__xludf.DUMMYFUNCTION("GOOGLETRANSLATE(A16,""zh-tw"",""zh"")"),"打雷")</f>
        <v>打雷</v>
      </c>
      <c r="N16" s="321" t="str">
        <f>IFERROR(__xludf.DUMMYFUNCTION("GOOGLETRANSLATE(B16,""zh-tw"",""zh"")"),"看啊，这家伙被雷劈了！")</f>
        <v>看啊，这家伙被雷劈了！</v>
      </c>
      <c r="O16" s="322" t="str">
        <f>IFERROR(__xludf.DUMMYFUNCTION("GOOGLETRANSLATE(C16,""zh-tw"",""zh"")"),"全身麻痹无法动弹！")</f>
        <v>全身麻痹无法动弹！</v>
      </c>
      <c r="P16" s="401" t="str">
        <f>IFERROR(__xludf.DUMMYFUNCTION("GOOGLETRANSLATE(D16,""zh-tw"",""zh"")"),"会漏电的的不良品、哔哩哔哩史莱姆")</f>
        <v>会漏电的的不良品、哔哩哔哩史莱姆</v>
      </c>
      <c r="Q16" s="154" t="str">
        <f>IFERROR(__xludf.DUMMYFUNCTION("GOOGLETRANSLATE(A16,""zh-tw"",""es-MX"")"),"trueno")</f>
        <v>trueno</v>
      </c>
      <c r="R16" s="168" t="str">
        <f>IFERROR(__xludf.DUMMYFUNCTION("GOOGLETRANSLATE(B16,""zh-tw"",""es-MX"")"),"¡Mira, a este tipo le cayó un rayo!")</f>
        <v>¡Mira, a este tipo le cayó un rayo!</v>
      </c>
      <c r="S16" s="324" t="str">
        <f>IFERROR(__xludf.DUMMYFUNCTION("GOOGLETRANSLATE(C16,""zh-tw"",""es-MX"")"),"¡Parálisis completa, incapaz de moverse!")</f>
        <v>¡Parálisis completa, incapaz de moverse!</v>
      </c>
      <c r="T16" s="180" t="str">
        <f>IFERROR(__xludf.DUMMYFUNCTION("GOOGLETRANSLATE(D16,""zh-tw"",""es-MX"")"),"Productos defectuosos que tienen fugas de electricidad, Bilibili Slime")</f>
        <v>Productos defectuosos que tienen fugas de electricidad, Bilibili Slime</v>
      </c>
      <c r="U16" s="154" t="str">
        <f>IFERROR(__xludf.DUMMYFUNCTION("GOOGLETRANSLATE(A16,""zh-tw"",""KO"")"),"우뢰")</f>
        <v>우뢰</v>
      </c>
      <c r="V16" s="168" t="str">
        <f>IFERROR(__xludf.DUMMYFUNCTION("GOOGLETRANSLATE(B16,""zh-tw"",""KO"")"),"보세요, 이 사람이 번개를 맞았어요!")</f>
        <v>보세요, 이 사람이 번개를 맞았어요!</v>
      </c>
      <c r="W16" s="324" t="str">
        <f>IFERROR(__xludf.DUMMYFUNCTION("GOOGLETRANSLATE(C16,""zh-tw"",""KO"")"),"완전 마비로 움직일 수 없습니다!")</f>
        <v>완전 마비로 움직일 수 없습니다!</v>
      </c>
      <c r="X16" s="180" t="str">
        <f>IFERROR(__xludf.DUMMYFUNCTION("GOOGLETRANSLATE(D16,""zh-tw"",""KO"")"),"전기가 새는 불량품, 빌리빌리 슬라임")</f>
        <v>전기가 새는 불량품, 빌리빌리 슬라임</v>
      </c>
      <c r="Y16" s="320" t="str">
        <f>IFERROR(__xludf.DUMMYFUNCTION("GOOGLETRANSLATE(A16,""zh-tw"",""RU"")"),"гром")</f>
        <v>гром</v>
      </c>
      <c r="Z16" s="321" t="str">
        <f>IFERROR(__xludf.DUMMYFUNCTION("GOOGLETRANSLATE(B16,""zh-tw"",""RU"")"),"Смотри, в этого парня ударила молния!")</f>
        <v>Смотри, в этого парня ударила молния!</v>
      </c>
      <c r="AA16" s="322" t="str">
        <f>IFERROR(__xludf.DUMMYFUNCTION("GOOGLETRANSLATE(C16,""zh-tw"",""RU"")"),"Полный паралич, не могу пошевелиться!")</f>
        <v>Полный паралич, не могу пошевелиться!</v>
      </c>
      <c r="AB16" s="401"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20" t="str">
        <f>IFERROR(__xludf.DUMMYFUNCTION("GOOGLETRANSLATE(A16,""zh-tw"",""DE"")"),"Donner")</f>
        <v>Donner</v>
      </c>
      <c r="AD16" s="321" t="str">
        <f>IFERROR(__xludf.DUMMYFUNCTION("GOOGLETRANSLATE(B16,""zh-tw"",""DE"")"),"Schau mal, dieser Typ wurde vom Blitz getroffen!")</f>
        <v>Schau mal, dieser Typ wurde vom Blitz getroffen!</v>
      </c>
      <c r="AE16" s="322" t="str">
        <f>IFERROR(__xludf.DUMMYFUNCTION("GOOGLETRANSLATE(C16,""zh-tw"",""DE"")"),"Völlige Lähmung, unfähig sich zu bewegen!")</f>
        <v>Völlige Lähmung, unfähig sich zu bewegen!</v>
      </c>
      <c r="AF16" s="401" t="str">
        <f>IFERROR(__xludf.DUMMYFUNCTION("GOOGLETRANSLATE(D16,""zh-tw"",""DE"")"),"Defekte Produkte, bei denen Strom austritt, Bilibili Slime")</f>
        <v>Defekte Produkte, bei denen Strom austritt, Bilibili Slime</v>
      </c>
      <c r="AG16" s="160" t="s">
        <v>6566</v>
      </c>
      <c r="AH16" s="170" t="s">
        <v>6567</v>
      </c>
      <c r="AI16" s="326" t="s">
        <v>6568</v>
      </c>
      <c r="AJ16" s="189" t="s">
        <v>6569</v>
      </c>
      <c r="AK16" s="400"/>
      <c r="AL16" s="400"/>
      <c r="AM16" s="400"/>
    </row>
    <row r="17">
      <c r="A17" s="179" t="s">
        <v>6570</v>
      </c>
      <c r="B17" s="323" t="s">
        <v>6571</v>
      </c>
      <c r="C17" s="325" t="s">
        <v>6572</v>
      </c>
      <c r="D17" s="400" t="s">
        <v>6573</v>
      </c>
      <c r="E17" s="179" t="s">
        <v>6570</v>
      </c>
      <c r="F17" s="321" t="str">
        <f>IFERROR(__xludf.DUMMYFUNCTION("GOOGLETRANSLATE(B17,""zh-tw"",""ja"")"),"暑い！暑い！暑い！暑い！")</f>
        <v>暑い！暑い！暑い！暑い！</v>
      </c>
      <c r="G17" s="325" t="s">
        <v>6574</v>
      </c>
      <c r="H17" s="400" t="s">
        <v>6575</v>
      </c>
      <c r="I17" s="179" t="s">
        <v>6576</v>
      </c>
      <c r="J17" s="323" t="s">
        <v>6577</v>
      </c>
      <c r="K17" s="325" t="s">
        <v>6578</v>
      </c>
      <c r="L17" s="400" t="s">
        <v>6579</v>
      </c>
      <c r="M17" s="320" t="str">
        <f>IFERROR(__xludf.DUMMYFUNCTION("GOOGLETRANSLATE(A17,""zh-tw"",""zh"")"),"炎上")</f>
        <v>炎上</v>
      </c>
      <c r="N17" s="321" t="str">
        <f>IFERROR(__xludf.DUMMYFUNCTION("GOOGLETRANSLATE(B17,""zh-tw"",""zh"")"),"好烫好烫好烫——！")</f>
        <v>好烫好烫好烫——！</v>
      </c>
      <c r="O17" s="322" t="str">
        <f>IFERROR(__xludf.DUMMYFUNCTION("GOOGLETRANSLATE(C17,""zh-tw"",""zh"")"),"对自身范围内所有单位持续的灼烧")</f>
        <v>对自身范围内所有单位持续的灼烧</v>
      </c>
      <c r="P17" s="401" t="str">
        <f>IFERROR(__xludf.DUMMYFUNCTION("GOOGLETRANSLATE(D17,""zh-tw"",""zh"")"),"被火焰属性攻击")</f>
        <v>被火焰属性攻击</v>
      </c>
      <c r="Q17" s="154" t="str">
        <f>IFERROR(__xludf.DUMMYFUNCTION("GOOGLETRANSLATE(A17,""zh-tw"",""es-MX"")"),"Yan Shang")</f>
        <v>Yan Shang</v>
      </c>
      <c r="R17" s="168" t="str">
        <f>IFERROR(__xludf.DUMMYFUNCTION("GOOGLETRANSLATE(B17,""zh-tw"",""es-MX"")"),"¡Hace mucho calor! ¡Hace mucho calor! ¡Hace mucho calor!")</f>
        <v>¡Hace mucho calor! ¡Hace mucho calor! ¡Hace mucho calor!</v>
      </c>
      <c r="S17" s="324" t="str">
        <f>IFERROR(__xludf.DUMMYFUNCTION("GOOGLETRANSLATE(C17,""zh-tw"",""es-MX"")"),"Combustión continua de todas las unidades dentro de su alcance.")</f>
        <v>Combustión continua de todas las unidades dentro de su alcance.</v>
      </c>
      <c r="T17" s="180" t="str">
        <f>IFERROR(__xludf.DUMMYFUNCTION("GOOGLETRANSLATE(D17,""zh-tw"",""es-MX"")"),"Atacado por el fuego")</f>
        <v>Atacado por el fuego</v>
      </c>
      <c r="U17" s="154" t="str">
        <f>IFERROR(__xludf.DUMMYFUNCTION("GOOGLETRANSLATE(A17,""zh-tw"",""KO"")"),"옌샹")</f>
        <v>옌샹</v>
      </c>
      <c r="V17" s="168" t="str">
        <f>IFERROR(__xludf.DUMMYFUNCTION("GOOGLETRANSLATE(B17,""zh-tw"",""KO"")"),"너무 더워요! 너무 더워요! 너무 더워요!")</f>
        <v>너무 더워요! 너무 더워요! 너무 더워요!</v>
      </c>
      <c r="W17" s="324" t="str">
        <f>IFERROR(__xludf.DUMMYFUNCTION("GOOGLETRANSLATE(C17,""zh-tw"",""KO"")"),"범위 내의 모든 유닛을 지속적으로 불태웁니다.")</f>
        <v>범위 내의 모든 유닛을 지속적으로 불태웁니다.</v>
      </c>
      <c r="X17" s="180" t="str">
        <f>IFERROR(__xludf.DUMMYFUNCTION("GOOGLETRANSLATE(D17,""zh-tw"",""KO"")"),"화재로 공격받다")</f>
        <v>화재로 공격받다</v>
      </c>
      <c r="Y17" s="320" t="str">
        <f>IFERROR(__xludf.DUMMYFUNCTION("GOOGLETRANSLATE(A17,""zh-tw"",""RU"")"),"Ян Шан")</f>
        <v>Ян Шан</v>
      </c>
      <c r="Z17" s="321" t="str">
        <f>IFERROR(__xludf.DUMMYFUNCTION("GOOGLETRANSLATE(B17,""zh-tw"",""RU"")"),"Так жарко! Так жарко! Так жарко!")</f>
        <v>Так жарко! Так жарко! Так жарко!</v>
      </c>
      <c r="AA17" s="322" t="str">
        <f>IFERROR(__xludf.DUMMYFUNCTION("GOOGLETRANSLATE(C17,""zh-tw"",""RU"")"),"Непрерывное горение всех единиц в радиусе действия.")</f>
        <v>Непрерывное горение всех единиц в радиусе действия.</v>
      </c>
      <c r="AB17" s="401" t="str">
        <f>IFERROR(__xludf.DUMMYFUNCTION("GOOGLETRANSLATE(D17,""zh-tw"",""RU"")"),"Атакован огнем")</f>
        <v>Атакован огнем</v>
      </c>
      <c r="AC17" s="320" t="str">
        <f>IFERROR(__xludf.DUMMYFUNCTION("GOOGLETRANSLATE(A17,""zh-tw"",""DE"")"),"Yan Shang")</f>
        <v>Yan Shang</v>
      </c>
      <c r="AD17" s="321" t="str">
        <f>IFERROR(__xludf.DUMMYFUNCTION("GOOGLETRANSLATE(B17,""zh-tw"",""DE"")"),"Es ist so heiß! Es ist so heiß! Es ist so heiß!")</f>
        <v>Es ist so heiß! Es ist so heiß! Es ist so heiß!</v>
      </c>
      <c r="AE17" s="322" t="str">
        <f>IFERROR(__xludf.DUMMYFUNCTION("GOOGLETRANSLATE(C17,""zh-tw"",""DE"")"),"Kontinuierliches Abbrennen aller Einheiten innerhalb seiner Reichweite.")</f>
        <v>Kontinuierliches Abbrennen aller Einheiten innerhalb seiner Reichweite.</v>
      </c>
      <c r="AF17" s="401" t="str">
        <f>IFERROR(__xludf.DUMMYFUNCTION("GOOGLETRANSLATE(D17,""zh-tw"",""DE"")"),"Von Feuer angegriffen")</f>
        <v>Von Feuer angegriffen</v>
      </c>
      <c r="AG17" s="160" t="s">
        <v>6580</v>
      </c>
      <c r="AH17" s="170" t="s">
        <v>6581</v>
      </c>
      <c r="AI17" s="326" t="s">
        <v>6582</v>
      </c>
      <c r="AJ17" s="189" t="s">
        <v>6583</v>
      </c>
      <c r="AK17" s="400"/>
      <c r="AL17" s="400"/>
      <c r="AM17" s="400"/>
    </row>
    <row r="18">
      <c r="A18" s="179" t="s">
        <v>6584</v>
      </c>
      <c r="B18" s="323" t="s">
        <v>6585</v>
      </c>
      <c r="C18" s="325" t="s">
        <v>6586</v>
      </c>
      <c r="D18" s="400" t="s">
        <v>3893</v>
      </c>
      <c r="E18" s="179" t="s">
        <v>6587</v>
      </c>
      <c r="F18" s="321" t="str">
        <f>IFERROR(__xludf.DUMMYFUNCTION("GOOGLETRANSLATE(B18,""zh-tw"",""ja"")"),"アイスキャンディーにしてみよう！")</f>
        <v>アイスキャンディーにしてみよう！</v>
      </c>
      <c r="G18" s="325" t="s">
        <v>6588</v>
      </c>
      <c r="H18" s="400" t="s">
        <v>6589</v>
      </c>
      <c r="I18" s="179" t="s">
        <v>6590</v>
      </c>
      <c r="J18" s="323" t="s">
        <v>6591</v>
      </c>
      <c r="K18" s="325" t="s">
        <v>6592</v>
      </c>
      <c r="L18" s="400" t="s">
        <v>3897</v>
      </c>
      <c r="M18" s="320" t="str">
        <f>IFERROR(__xludf.DUMMYFUNCTION("GOOGLETRANSLATE(A18,""zh-tw"",""zh"")"),"冰结")</f>
        <v>冰结</v>
      </c>
      <c r="N18" s="321" t="str">
        <f>IFERROR(__xludf.DUMMYFUNCTION("GOOGLETRANSLATE(B18,""zh-tw"",""zh"")"),"变成冰棍吧！")</f>
        <v>变成冰棍吧！</v>
      </c>
      <c r="O18" s="322" t="str">
        <f>IFERROR(__xludf.DUMMYFUNCTION("GOOGLETRANSLATE(C18,""zh-tw"",""zh"")"),"被冻住了！")</f>
        <v>被冻住了！</v>
      </c>
      <c r="P18" s="401" t="str">
        <f>IFERROR(__xludf.DUMMYFUNCTION("GOOGLETRANSLATE(D18,""zh-tw"",""zh"")"),"急冻史莱姆")</f>
        <v>急冻史莱姆</v>
      </c>
      <c r="Q18" s="154" t="str">
        <f>IFERROR(__xludf.DUMMYFUNCTION("GOOGLETRANSLATE(A18,""zh-tw"",""es-MX"")"),"Hielo")</f>
        <v>Hielo</v>
      </c>
      <c r="R18" s="168" t="str">
        <f>IFERROR(__xludf.DUMMYFUNCTION("GOOGLETRANSLATE(B18,""zh-tw"",""es-MX"")"),"¡Conviértelo en un polo de hielo!")</f>
        <v>¡Conviértelo en un polo de hielo!</v>
      </c>
      <c r="S18" s="324" t="str">
        <f>IFERROR(__xludf.DUMMYFUNCTION("GOOGLETRANSLATE(C18,""zh-tw"",""es-MX"")"),"¡Está completamente congelado!")</f>
        <v>¡Está completamente congelado!</v>
      </c>
      <c r="T18" s="180" t="str">
        <f>IFERROR(__xludf.DUMMYFUNCTION("GOOGLETRANSLATE(D18,""zh-tw"",""es-MX"")"),"Limo congelado")</f>
        <v>Limo congelado</v>
      </c>
      <c r="U18" s="154" t="str">
        <f>IFERROR(__xludf.DUMMYFUNCTION("GOOGLETRANSLATE(A18,""zh-tw"",""KO"")"),"얼음")</f>
        <v>얼음</v>
      </c>
      <c r="V18" s="168" t="str">
        <f>IFERROR(__xludf.DUMMYFUNCTION("GOOGLETRANSLATE(B18,""zh-tw"",""KO"")"),"아이스팝으로 만들어 보세요!")</f>
        <v>아이스팝으로 만들어 보세요!</v>
      </c>
      <c r="W18" s="324" t="str">
        <f>IFERROR(__xludf.DUMMYFUNCTION("GOOGLETRANSLATE(C18,""zh-tw"",""KO"")"),"완전히 얼어붙어 버렸어요!")</f>
        <v>완전히 얼어붙어 버렸어요!</v>
      </c>
      <c r="X18" s="180" t="str">
        <f>IFERROR(__xludf.DUMMYFUNCTION("GOOGLETRANSLATE(D18,""zh-tw"",""KO"")"),"얼어붙은 슬라임")</f>
        <v>얼어붙은 슬라임</v>
      </c>
      <c r="Y18" s="320" t="str">
        <f>IFERROR(__xludf.DUMMYFUNCTION("GOOGLETRANSLATE(A18,""zh-tw"",""RU"")"),"Лед")</f>
        <v>Лед</v>
      </c>
      <c r="Z18" s="321" t="str">
        <f>IFERROR(__xludf.DUMMYFUNCTION("GOOGLETRANSLATE(B18,""zh-tw"",""RU"")"),"Превратите его в фруктовый лед!")</f>
        <v>Превратите его в фруктовый лед!</v>
      </c>
      <c r="AA18" s="322" t="str">
        <f>IFERROR(__xludf.DUMMYFUNCTION("GOOGLETRANSLATE(C18,""zh-tw"",""RU"")"),"Он замерз!")</f>
        <v>Он замерз!</v>
      </c>
      <c r="AB18" s="401" t="str">
        <f>IFERROR(__xludf.DUMMYFUNCTION("GOOGLETRANSLATE(D18,""zh-tw"",""RU"")"),"Замороженная слизь")</f>
        <v>Замороженная слизь</v>
      </c>
      <c r="AC18" s="320" t="str">
        <f>IFERROR(__xludf.DUMMYFUNCTION("GOOGLETRANSLATE(A18,""zh-tw"",""DE"")"),"Eis")</f>
        <v>Eis</v>
      </c>
      <c r="AD18" s="321" t="str">
        <f>IFERROR(__xludf.DUMMYFUNCTION("GOOGLETRANSLATE(B18,""zh-tw"",""DE"")"),"Verwandle es in ein Eis am Stiel!")</f>
        <v>Verwandle es in ein Eis am Stiel!</v>
      </c>
      <c r="AE18" s="322" t="str">
        <f>IFERROR(__xludf.DUMMYFUNCTION("GOOGLETRANSLATE(C18,""zh-tw"",""DE"")"),"Es ist komplett durchgefroren!")</f>
        <v>Es ist komplett durchgefroren!</v>
      </c>
      <c r="AF18" s="401" t="str">
        <f>IFERROR(__xludf.DUMMYFUNCTION("GOOGLETRANSLATE(D18,""zh-tw"",""DE"")"),"Gefrorener Schleim")</f>
        <v>Gefrorener Schleim</v>
      </c>
      <c r="AG18" s="160" t="s">
        <v>6593</v>
      </c>
      <c r="AH18" s="170" t="s">
        <v>6594</v>
      </c>
      <c r="AI18" s="326" t="s">
        <v>6595</v>
      </c>
      <c r="AJ18" s="189" t="s">
        <v>3903</v>
      </c>
      <c r="AK18" s="400"/>
      <c r="AL18" s="400"/>
      <c r="AM18" s="400"/>
    </row>
    <row r="19">
      <c r="A19" s="179" t="s">
        <v>6596</v>
      </c>
      <c r="B19" s="323" t="s">
        <v>6597</v>
      </c>
      <c r="C19" s="325" t="s">
        <v>6598</v>
      </c>
      <c r="D19" s="400" t="s">
        <v>6599</v>
      </c>
      <c r="E19" s="179" t="s">
        <v>6600</v>
      </c>
      <c r="F19" s="321" t="str">
        <f>IFERROR(__xludf.DUMMYFUNCTION("GOOGLETRANSLATE(B19,""zh-tw"",""ja"")"),"ふふ、私に反抗するとこうなるのね～♡")</f>
        <v>ふふ、私に反抗するとこうなるのね～♡</v>
      </c>
      <c r="G19" s="325" t="s">
        <v>6601</v>
      </c>
      <c r="H19" s="401" t="str">
        <f>IFERROR(__xludf.DUMMYFUNCTION("GOOGLETRANSLATE(D19,""zh-tw"",""ja"")"),"ミステリーショップでは魚はもらえません。")</f>
        <v>ミステリーショップでは魚はもらえません。</v>
      </c>
      <c r="I19" s="179" t="s">
        <v>6602</v>
      </c>
      <c r="J19" s="323" t="s">
        <v>6603</v>
      </c>
      <c r="K19" s="325" t="s">
        <v>6604</v>
      </c>
      <c r="L19" s="400" t="s">
        <v>6605</v>
      </c>
      <c r="M19" s="320" t="str">
        <f>IFERROR(__xludf.DUMMYFUNCTION("GOOGLETRANSLATE(A19,""zh-tw"",""zh"")"),"恶魔诅咒")</f>
        <v>恶魔诅咒</v>
      </c>
      <c r="N19" s="321" t="str">
        <f>IFERROR(__xludf.DUMMYFUNCTION("GOOGLETRANSLATE(B19,""zh-tw"",""zh"")"),"呋呋，这就是反抗我的下场噢~♡")</f>
        <v>呋呋，这就是反抗我的下场噢~♡</v>
      </c>
      <c r="O19" s="322" t="str">
        <f>IFERROR(__xludf.DUMMYFUNCTION("GOOGLETRANSLATE(C19,""zh-tw"",""zh"")"),"被奇怪的小鬼店长诅咒了")</f>
        <v>被奇怪的小鬼店长诅咒了</v>
      </c>
      <c r="P19" s="401" t="str">
        <f>IFERROR(__xludf.DUMMYFUNCTION("GOOGLETRANSLATE(D19,""zh-tw"",""zh"")"),"神秘商店不给鱼")</f>
        <v>神秘商店不给鱼</v>
      </c>
      <c r="Q19" s="154" t="str">
        <f>IFERROR(__xludf.DUMMYFUNCTION("GOOGLETRANSLATE(A19,""zh-tw"",""es-MX"")"),"Maldición demoníaca")</f>
        <v>Maldición demoníaca</v>
      </c>
      <c r="R19" s="168" t="str">
        <f>IFERROR(__xludf.DUMMYFUNCTION("GOOGLETRANSLATE(B19,""zh-tw"",""es-MX"")"),"Jajaja, esto es lo que pasa cuando te rebelas contra mí~♡")</f>
        <v>Jajaja, esto es lo que pasa cuando te rebelas contra mí~♡</v>
      </c>
      <c r="S19" s="324" t="str">
        <f>IFERROR(__xludf.DUMMYFUNCTION("GOOGLETRANSLATE(C19,""zh-tw"",""es-MX"")"),"Maldito por el extraño y diablillo tendero")</f>
        <v>Maldito por el extraño y diablillo tendero</v>
      </c>
      <c r="T19" s="180" t="str">
        <f>IFERROR(__xludf.DUMMYFUNCTION("GOOGLETRANSLATE(D19,""zh-tw"",""es-MX"")"),"La tienda misteriosa no te da pescado.")</f>
        <v>La tienda misteriosa no te da pescado.</v>
      </c>
      <c r="U19" s="154" t="str">
        <f>IFERROR(__xludf.DUMMYFUNCTION("GOOGLETRANSLATE(A19,""zh-tw"",""KO"")"),"악마의 저주")</f>
        <v>악마의 저주</v>
      </c>
      <c r="V19" s="168" t="str">
        <f>IFERROR(__xludf.DUMMYFUNCTION("GOOGLETRANSLATE(B19,""zh-tw"",""KO"")"),"후후, 나한테 반항하면 이렇게 되는 거야~♡")</f>
        <v>후후, 나한테 반항하면 이렇게 되는 거야~♡</v>
      </c>
      <c r="W19" s="324" t="str">
        <f>IFERROR(__xludf.DUMMYFUNCTION("GOOGLETRANSLATE(C19,""zh-tw"",""KO"")"),"이상한 작은 악마 가게 주인의 저주를 받았습니다")</f>
        <v>이상한 작은 악마 가게 주인의 저주를 받았습니다</v>
      </c>
      <c r="X19" s="180" t="str">
        <f>IFERROR(__xludf.DUMMYFUNCTION("GOOGLETRANSLATE(D19,""zh-tw"",""KO"")"),"미스터리 샵에서는 물고기를 팔지 않습니다.")</f>
        <v>미스터리 샵에서는 물고기를 팔지 않습니다.</v>
      </c>
      <c r="Y19" s="320" t="str">
        <f>IFERROR(__xludf.DUMMYFUNCTION("GOOGLETRANSLATE(A19,""zh-tw"",""RU"")"),"Демоническое проклятие")</f>
        <v>Демоническое проклятие</v>
      </c>
      <c r="Z19" s="321" t="str">
        <f>IFERROR(__xludf.DUMMYFUNCTION("GOOGLETRANSLATE(B19,""zh-tw"",""RU"")"),"Фуфу, вот что происходит, когда ты восстаёшь против меня~♡")</f>
        <v>Фуфу, вот что происходит, когда ты восстаёшь против меня~♡</v>
      </c>
      <c r="AA19" s="322" t="str">
        <f>IFERROR(__xludf.DUMMYFUNCTION("GOOGLETRANSLATE(C19,""zh-tw"",""RU"")"),"Проклят странным маленьким дьяволом-торговцем")</f>
        <v>Проклят странным маленьким дьяволом-торговцем</v>
      </c>
      <c r="AB19" s="401" t="str">
        <f>IFERROR(__xludf.DUMMYFUNCTION("GOOGLETRANSLATE(D19,""zh-tw"",""RU"")"),"Таинственный магазин не даст вам рыбу.")</f>
        <v>Таинственный магазин не даст вам рыбу.</v>
      </c>
      <c r="AC19" s="320" t="str">
        <f>IFERROR(__xludf.DUMMYFUNCTION("GOOGLETRANSLATE(A19,""zh-tw"",""DE"")"),"Dämonischer Fluch")</f>
        <v>Dämonischer Fluch</v>
      </c>
      <c r="AD19" s="321" t="str">
        <f>IFERROR(__xludf.DUMMYFUNCTION("GOOGLETRANSLATE(B19,""zh-tw"",""DE"")"),"Fufu, das passiert, wenn man gegen mich rebelliert~♡")</f>
        <v>Fufu, das passiert, wenn man gegen mich rebelliert~♡</v>
      </c>
      <c r="AE19" s="322" t="str">
        <f>IFERROR(__xludf.DUMMYFUNCTION("GOOGLETRANSLATE(C19,""zh-tw"",""DE"")"),"Verflucht von dem seltsamen kleinen Teufelsladenbesitzer")</f>
        <v>Verflucht von dem seltsamen kleinen Teufelsladenbesitzer</v>
      </c>
      <c r="AF19" s="401" t="str">
        <f>IFERROR(__xludf.DUMMYFUNCTION("GOOGLETRANSLATE(D19,""zh-tw"",""DE"")"),"Der Mystery Shop schenkt Ihnen keinen Fisch.")</f>
        <v>Der Mystery Shop schenkt Ihnen keinen Fisch.</v>
      </c>
      <c r="AG19" s="160" t="s">
        <v>6606</v>
      </c>
      <c r="AH19" s="170" t="s">
        <v>6607</v>
      </c>
      <c r="AI19" s="326" t="s">
        <v>6608</v>
      </c>
      <c r="AJ19" s="189" t="s">
        <v>6609</v>
      </c>
      <c r="AK19" s="400"/>
      <c r="AL19" s="400"/>
      <c r="AM19" s="400"/>
    </row>
    <row r="20">
      <c r="A20" s="179" t="s">
        <v>6610</v>
      </c>
      <c r="B20" s="323" t="s">
        <v>6611</v>
      </c>
      <c r="C20" s="325" t="s">
        <v>6612</v>
      </c>
      <c r="D20" s="400" t="s">
        <v>6613</v>
      </c>
      <c r="E20" s="179" t="s">
        <v>6614</v>
      </c>
      <c r="F20" s="321" t="str">
        <f>IFERROR(__xludf.DUMMYFUNCTION("GOOGLETRANSLATE(B20,""zh-tw"",""ja"")"),"ここは私の領土だから悪いことはしちゃダメよ！♡")</f>
        <v>ここは私の領土だから悪いことはしちゃダメよ！♡</v>
      </c>
      <c r="G20" s="322" t="str">
        <f>IFERROR(__xludf.DUMMYFUNCTION("GOOGLETRANSLATE(C20,""zh-tw"",""ja"")"),"攻撃行為は禁止されています")</f>
        <v>攻撃行為は禁止されています</v>
      </c>
      <c r="H20" s="401" t="str">
        <f>IFERROR(__xludf.DUMMYFUNCTION("GOOGLETRANSLATE(D20,""zh-tw"",""ja"")"),"ミステリーショップの近く")</f>
        <v>ミステリーショップの近く</v>
      </c>
      <c r="I20" s="179" t="s">
        <v>6615</v>
      </c>
      <c r="J20" s="323" t="s">
        <v>6616</v>
      </c>
      <c r="K20" s="325" t="s">
        <v>6617</v>
      </c>
      <c r="L20" s="400" t="s">
        <v>6618</v>
      </c>
      <c r="M20" s="320" t="str">
        <f>IFERROR(__xludf.DUMMYFUNCTION("GOOGLETRANSLATE(A20,""zh-tw"",""zh"")"),"禁止攻击")</f>
        <v>禁止攻击</v>
      </c>
      <c r="N20" s="321" t="str">
        <f>IFERROR(__xludf.DUMMYFUNCTION("GOOGLETRANSLATE(B20,""zh-tw"",""zh"")"),"这里可是我的领域噢，可不能做坏事呢♡！")</f>
        <v>这里可是我的领域噢，可不能做坏事呢♡！</v>
      </c>
      <c r="O20" s="322" t="str">
        <f>IFERROR(__xludf.DUMMYFUNCTION("GOOGLETRANSLATE(C20,""zh-tw"",""zh"")"),"攻击行为禁止")</f>
        <v>攻击行为禁止</v>
      </c>
      <c r="P20" s="401" t="str">
        <f>IFERROR(__xludf.DUMMYFUNCTION("GOOGLETRANSLATE(D20,""zh-tw"",""zh"")"),"神秘商店附近")</f>
        <v>神秘商店附近</v>
      </c>
      <c r="Q20" s="154" t="str">
        <f>IFERROR(__xludf.DUMMYFUNCTION("GOOGLETRANSLATE(A20,""zh-tw"",""es-MX"")"),"No atacar")</f>
        <v>No atacar</v>
      </c>
      <c r="R20" s="168" t="str">
        <f>IFERROR(__xludf.DUMMYFUNCTION("GOOGLETRANSLATE(B20,""zh-tw"",""es-MX"")"),"¡Este es mi territorio, aquí no puedes hacer nada malo! ♡")</f>
        <v>¡Este es mi territorio, aquí no puedes hacer nada malo! ♡</v>
      </c>
      <c r="S20" s="324" t="str">
        <f>IFERROR(__xludf.DUMMYFUNCTION("GOOGLETRANSLATE(C20,""zh-tw"",""es-MX"")"),"Comportamiento de ataque prohibido")</f>
        <v>Comportamiento de ataque prohibido</v>
      </c>
      <c r="T20" s="180" t="str">
        <f>IFERROR(__xludf.DUMMYFUNCTION("GOOGLETRANSLATE(D20,""zh-tw"",""es-MX"")"),"Cerca de la tienda misteriosa")</f>
        <v>Cerca de la tienda misteriosa</v>
      </c>
      <c r="U20" s="154" t="str">
        <f>IFERROR(__xludf.DUMMYFUNCTION("GOOGLETRANSLATE(A20,""zh-tw"",""KO"")"),"공격하지 마세요")</f>
        <v>공격하지 마세요</v>
      </c>
      <c r="V20" s="168" t="str">
        <f>IFERROR(__xludf.DUMMYFUNCTION("GOOGLETRANSLATE(B20,""zh-tw"",""KO"")"),"여긴 내 영역이야, 여기서는 나쁜 짓을 하면 안 돼!♡")</f>
        <v>여긴 내 영역이야, 여기서는 나쁜 짓을 하면 안 돼!♡</v>
      </c>
      <c r="W20" s="324" t="str">
        <f>IFERROR(__xludf.DUMMYFUNCTION("GOOGLETRANSLATE(C20,""zh-tw"",""KO"")"),"공격 행위 금지")</f>
        <v>공격 행위 금지</v>
      </c>
      <c r="X20" s="180" t="str">
        <f>IFERROR(__xludf.DUMMYFUNCTION("GOOGLETRANSLATE(D20,""zh-tw"",""KO"")"),"미스터리 샵 근처")</f>
        <v>미스터리 샵 근처</v>
      </c>
      <c r="Y20" s="320" t="str">
        <f>IFERROR(__xludf.DUMMYFUNCTION("GOOGLETRANSLATE(A20,""zh-tw"",""RU"")"),"Не нападать")</f>
        <v>Не нападать</v>
      </c>
      <c r="Z20" s="321" t="str">
        <f>IFERROR(__xludf.DUMMYFUNCTION("GOOGLETRANSLATE(B20,""zh-tw"",""RU"")"),"Это моя территория, здесь нельзя делать ничего плохого!♡")</f>
        <v>Это моя территория, здесь нельзя делать ничего плохого!♡</v>
      </c>
      <c r="AA20" s="322" t="str">
        <f>IFERROR(__xludf.DUMMYFUNCTION("GOOGLETRANSLATE(C20,""zh-tw"",""RU"")"),"Атакующее поведение запрещено")</f>
        <v>Атакующее поведение запрещено</v>
      </c>
      <c r="AB20" s="401" t="str">
        <f>IFERROR(__xludf.DUMMYFUNCTION("GOOGLETRANSLATE(D20,""zh-tw"",""RU"")"),"Рядом с таинственным магазином")</f>
        <v>Рядом с таинственным магазином</v>
      </c>
      <c r="AC20" s="320" t="str">
        <f>IFERROR(__xludf.DUMMYFUNCTION("GOOGLETRANSLATE(A20,""zh-tw"",""DE"")"),"Nicht angreifen")</f>
        <v>Nicht angreifen</v>
      </c>
      <c r="AD20" s="321" t="str">
        <f>IFERROR(__xludf.DUMMYFUNCTION("GOOGLETRANSLATE(B20,""zh-tw"",""DE"")"),"Das ist mein Revier, hier kannst du nichts Schlimmes anstellen! ♡")</f>
        <v>Das ist mein Revier, hier kannst du nichts Schlimmes anstellen! ♡</v>
      </c>
      <c r="AE20" s="322" t="str">
        <f>IFERROR(__xludf.DUMMYFUNCTION("GOOGLETRANSLATE(C20,""zh-tw"",""DE"")"),"Angriffsverhalten verboten")</f>
        <v>Angriffsverhalten verboten</v>
      </c>
      <c r="AF20" s="401" t="str">
        <f>IFERROR(__xludf.DUMMYFUNCTION("GOOGLETRANSLATE(D20,""zh-tw"",""DE"")"),"In der Nähe des Mystery Shops")</f>
        <v>In der Nähe des Mystery Shops</v>
      </c>
      <c r="AG20" s="160" t="s">
        <v>6619</v>
      </c>
      <c r="AH20" s="170" t="s">
        <v>6620</v>
      </c>
      <c r="AI20" s="326" t="s">
        <v>6621</v>
      </c>
      <c r="AJ20" s="189" t="s">
        <v>6622</v>
      </c>
      <c r="AK20" s="400"/>
      <c r="AL20" s="400"/>
      <c r="AM20" s="400"/>
    </row>
    <row r="21">
      <c r="A21" s="179" t="s">
        <v>6623</v>
      </c>
      <c r="B21" s="323" t="s">
        <v>6624</v>
      </c>
      <c r="C21" s="325" t="s">
        <v>6625</v>
      </c>
      <c r="D21" s="400" t="s">
        <v>6626</v>
      </c>
      <c r="E21" s="179" t="s">
        <v>6627</v>
      </c>
      <c r="F21" s="323" t="s">
        <v>6628</v>
      </c>
      <c r="G21" s="325" t="s">
        <v>6629</v>
      </c>
      <c r="H21" s="401" t="str">
        <f>IFERROR(__xludf.DUMMYFUNCTION("GOOGLETRANSLATE(D21,""zh-tw"",""ja"")"),"妹にいたずらをすると怒る")</f>
        <v>妹にいたずらをすると怒る</v>
      </c>
      <c r="I21" s="179" t="s">
        <v>6630</v>
      </c>
      <c r="J21" s="323" t="s">
        <v>6631</v>
      </c>
      <c r="K21" s="325" t="s">
        <v>6632</v>
      </c>
      <c r="L21" s="400" t="s">
        <v>6633</v>
      </c>
      <c r="M21" s="320" t="str">
        <f>IFERROR(__xludf.DUMMYFUNCTION("GOOGLETRANSLATE(A21,""zh-tw"",""zh"")"),"不要受伤")</f>
        <v>不要受伤</v>
      </c>
      <c r="N21" s="321" t="str">
        <f>IFERROR(__xludf.DUMMYFUNCTION("GOOGLETRANSLATE(B21,""zh-tw"",""zh"")"),"和妹妹重要的约定，必须要遵守呢")</f>
        <v>和妹妹重要的约定，必须要遵守呢</v>
      </c>
      <c r="O21" s="322" t="str">
        <f>IFERROR(__xludf.DUMMYFUNCTION("GOOGLETRANSLATE(C21,""zh-tw"",""zh"")"),"不要重伤回家")</f>
        <v>不要重伤回家</v>
      </c>
      <c r="P21" s="401" t="str">
        <f>IFERROR(__xludf.DUMMYFUNCTION("GOOGLETRANSLATE(D21,""zh-tw"",""zh"")"),"对妹妹恶作剧时生气")</f>
        <v>对妹妹恶作剧时生气</v>
      </c>
      <c r="Q21" s="154" t="str">
        <f>IFERROR(__xludf.DUMMYFUNCTION("GOOGLETRANSLATE(A21,""zh-tw"",""es-MX"")"),"No te lastimes")</f>
        <v>No te lastimes</v>
      </c>
      <c r="R21" s="168" t="str">
        <f>IFERROR(__xludf.DUMMYFUNCTION("GOOGLETRANSLATE(B21,""zh-tw"",""es-MX"")"),"Debo cumplir la importante promesa que le hice a mi hermana.")</f>
        <v>Debo cumplir la importante promesa que le hice a mi hermana.</v>
      </c>
      <c r="S21" s="324" t="str">
        <f>IFERROR(__xludf.DUMMYFUNCTION("GOOGLETRANSLATE(C21,""zh-tw"",""es-MX"")"),"No regrese a casa con lesiones graves.")</f>
        <v>No regrese a casa con lesiones graves.</v>
      </c>
      <c r="T21" s="180" t="str">
        <f>IFERROR(__xludf.DUMMYFUNCTION("GOOGLETRANSLATE(D21,""zh-tw"",""es-MX"")"),"Me enfado cuando le gasto bromas a mi hermana pequeña.")</f>
        <v>Me enfado cuando le gasto bromas a mi hermana pequeña.</v>
      </c>
      <c r="U21" s="154" t="str">
        <f>IFERROR(__xludf.DUMMYFUNCTION("GOOGLETRANSLATE(A21,""zh-tw"",""KO"")"),"다치지 마세요")</f>
        <v>다치지 마세요</v>
      </c>
      <c r="V21" s="168" t="str">
        <f>IFERROR(__xludf.DUMMYFUNCTION("GOOGLETRANSLATE(B21,""zh-tw"",""KO"")"),"나는 언니와의 중요한 약속을 지켜야 한다.")</f>
        <v>나는 언니와의 중요한 약속을 지켜야 한다.</v>
      </c>
      <c r="W21" s="324" t="str">
        <f>IFERROR(__xludf.DUMMYFUNCTION("GOOGLETRANSLATE(C21,""zh-tw"",""KO"")"),"심각한 부상을 입고 집으로 돌아가지 마세요.")</f>
        <v>심각한 부상을 입고 집으로 돌아가지 마세요.</v>
      </c>
      <c r="X21" s="180" t="str">
        <f>IFERROR(__xludf.DUMMYFUNCTION("GOOGLETRANSLATE(D21,""zh-tw"",""KO"")"),"여동생에게 장난을 치다가 화가 난다")</f>
        <v>여동생에게 장난을 치다가 화가 난다</v>
      </c>
      <c r="Y21" s="320" t="str">
        <f>IFERROR(__xludf.DUMMYFUNCTION("GOOGLETRANSLATE(A21,""zh-tw"",""RU"")"),"Не поранься")</f>
        <v>Не поранься</v>
      </c>
      <c r="Z21" s="321" t="str">
        <f>IFERROR(__xludf.DUMMYFUNCTION("GOOGLETRANSLATE(B21,""zh-tw"",""RU"")"),"Я должен сдержать важное обещание, данное моей сестре.")</f>
        <v>Я должен сдержать важное обещание, данное моей сестре.</v>
      </c>
      <c r="AA21" s="322" t="str">
        <f>IFERROR(__xludf.DUMMYFUNCTION("GOOGLETRANSLATE(C21,""zh-tw"",""RU"")"),"Не возвращайтесь домой с серьезными травмами.")</f>
        <v>Не возвращайтесь домой с серьезными травмами.</v>
      </c>
      <c r="AB21" s="401" t="str">
        <f>IFERROR(__xludf.DUMMYFUNCTION("GOOGLETRANSLATE(D21,""zh-tw"",""RU"")"),"Я злюсь, когда подшучиваю над своей младшей сестрой.")</f>
        <v>Я злюсь, когда подшучиваю над своей младшей сестрой.</v>
      </c>
      <c r="AC21" s="320" t="str">
        <f>IFERROR(__xludf.DUMMYFUNCTION("GOOGLETRANSLATE(A21,""zh-tw"",""DE"")"),"Lass dich nicht verletzen")</f>
        <v>Lass dich nicht verletzen</v>
      </c>
      <c r="AD21" s="321" t="str">
        <f>IFERROR(__xludf.DUMMYFUNCTION("GOOGLETRANSLATE(B21,""zh-tw"",""DE"")"),"Ich muss mein wichtiges Versprechen an meine Schwester halten.")</f>
        <v>Ich muss mein wichtiges Versprechen an meine Schwester halten.</v>
      </c>
      <c r="AE21" s="322" t="str">
        <f>IFERROR(__xludf.DUMMYFUNCTION("GOOGLETRANSLATE(C21,""zh-tw"",""DE"")"),"Kehren Sie nicht mit schweren Verletzungen nach Hause zurück.")</f>
        <v>Kehren Sie nicht mit schweren Verletzungen nach Hause zurück.</v>
      </c>
      <c r="AF21" s="401" t="str">
        <f>IFERROR(__xludf.DUMMYFUNCTION("GOOGLETRANSLATE(D21,""zh-tw"",""DE"")"),"Ich werde wütend, wenn ich meiner jüngeren Schwester Streiche spiele")</f>
        <v>Ich werde wütend, wenn ich meiner jüngeren Schwester Streiche spiele</v>
      </c>
      <c r="AG21" s="160" t="s">
        <v>6634</v>
      </c>
      <c r="AH21" s="170" t="s">
        <v>6635</v>
      </c>
      <c r="AI21" s="326" t="s">
        <v>6634</v>
      </c>
      <c r="AJ21" s="189" t="s">
        <v>6636</v>
      </c>
      <c r="AK21" s="400"/>
      <c r="AL21" s="400"/>
      <c r="AM21" s="400"/>
    </row>
    <row r="22">
      <c r="A22" s="179" t="s">
        <v>6637</v>
      </c>
      <c r="B22" s="323" t="s">
        <v>6624</v>
      </c>
      <c r="C22" s="325" t="s">
        <v>6638</v>
      </c>
      <c r="D22" s="400" t="s">
        <v>6626</v>
      </c>
      <c r="E22" s="179" t="s">
        <v>6639</v>
      </c>
      <c r="F22" s="323" t="s">
        <v>6628</v>
      </c>
      <c r="G22" s="322" t="str">
        <f>IFERROR(__xludf.DUMMYFUNCTION("GOOGLETRANSLATE(C22,""zh-tw"",""ja"")"),"肉料理を作る")</f>
        <v>肉料理を作る</v>
      </c>
      <c r="H22" s="401" t="str">
        <f>IFERROR(__xludf.DUMMYFUNCTION("GOOGLETRANSLATE(D22,""zh-tw"",""ja"")"),"妹にいたずらをすると怒る")</f>
        <v>妹にいたずらをすると怒る</v>
      </c>
      <c r="I22" s="179" t="s">
        <v>6640</v>
      </c>
      <c r="J22" s="323" t="s">
        <v>6631</v>
      </c>
      <c r="K22" s="322" t="str">
        <f>IFERROR(__xludf.DUMMYFUNCTION("GOOGLETRANSLATE(C22,""zh-tw"",""en"")"),"Making meat dishes")</f>
        <v>Making meat dishes</v>
      </c>
      <c r="L22" s="400" t="s">
        <v>6633</v>
      </c>
      <c r="M22" s="320" t="str">
        <f>IFERROR(__xludf.DUMMYFUNCTION("GOOGLETRANSLATE(A22,""zh-tw"",""zh"")"),"肉料理")</f>
        <v>肉料理</v>
      </c>
      <c r="N22" s="321" t="str">
        <f>IFERROR(__xludf.DUMMYFUNCTION("GOOGLETRANSLATE(B22,""zh-tw"",""zh"")"),"和妹妹重要的约定，必须要遵守呢")</f>
        <v>和妹妹重要的约定，必须要遵守呢</v>
      </c>
      <c r="O22" s="322" t="str">
        <f>IFERROR(__xludf.DUMMYFUNCTION("GOOGLETRANSLATE(C22,""zh-tw"",""zh"")"),"做肉料理")</f>
        <v>做肉料理</v>
      </c>
      <c r="P22" s="401" t="str">
        <f>IFERROR(__xludf.DUMMYFUNCTION("GOOGLETRANSLATE(D22,""zh-tw"",""zh"")"),"对妹妹恶作剧时生气")</f>
        <v>对妹妹恶作剧时生气</v>
      </c>
      <c r="Q22" s="154" t="str">
        <f>IFERROR(__xludf.DUMMYFUNCTION("GOOGLETRANSLATE(A22,""zh-tw"",""es-MX"")"),"Platos de carne")</f>
        <v>Platos de carne</v>
      </c>
      <c r="R22" s="168" t="str">
        <f>IFERROR(__xludf.DUMMYFUNCTION("GOOGLETRANSLATE(B22,""zh-tw"",""es-MX"")"),"Debo cumplir la importante promesa que le hice a mi hermana.")</f>
        <v>Debo cumplir la importante promesa que le hice a mi hermana.</v>
      </c>
      <c r="S22" s="324" t="str">
        <f>IFERROR(__xludf.DUMMYFUNCTION("GOOGLETRANSLATE(C22,""zh-tw"",""es-MX"")"),"Elaboración de platos de carne")</f>
        <v>Elaboración de platos de carne</v>
      </c>
      <c r="T22" s="180" t="str">
        <f>IFERROR(__xludf.DUMMYFUNCTION("GOOGLETRANSLATE(D22,""zh-tw"",""es-MX"")"),"Me enfado cuando le gasto bromas a mi hermana pequeña.")</f>
        <v>Me enfado cuando le gasto bromas a mi hermana pequeña.</v>
      </c>
      <c r="U22" s="154" t="str">
        <f>IFERROR(__xludf.DUMMYFUNCTION("GOOGLETRANSLATE(A22,""zh-tw"",""KO"")"),"고기 요리")</f>
        <v>고기 요리</v>
      </c>
      <c r="V22" s="168" t="str">
        <f>IFERROR(__xludf.DUMMYFUNCTION("GOOGLETRANSLATE(B22,""zh-tw"",""KO"")"),"나는 언니와의 중요한 약속을 지켜야 한다.")</f>
        <v>나는 언니와의 중요한 약속을 지켜야 한다.</v>
      </c>
      <c r="W22" s="324" t="str">
        <f>IFERROR(__xludf.DUMMYFUNCTION("GOOGLETRANSLATE(C22,""zh-tw"",""KO"")"),"고기 요리 만들기")</f>
        <v>고기 요리 만들기</v>
      </c>
      <c r="X22" s="180" t="str">
        <f>IFERROR(__xludf.DUMMYFUNCTION("GOOGLETRANSLATE(D22,""zh-tw"",""KO"")"),"여동생에게 장난을 치다가 화가 난다")</f>
        <v>여동생에게 장난을 치다가 화가 난다</v>
      </c>
      <c r="Y22" s="320" t="str">
        <f>IFERROR(__xludf.DUMMYFUNCTION("GOOGLETRANSLATE(A22,""zh-tw"",""RU"")"),"Мясные блюда")</f>
        <v>Мясные блюда</v>
      </c>
      <c r="Z22" s="321" t="str">
        <f>IFERROR(__xludf.DUMMYFUNCTION("GOOGLETRANSLATE(B22,""zh-tw"",""RU"")"),"Я должен сдержать важное обещание, данное моей сестре.")</f>
        <v>Я должен сдержать важное обещание, данное моей сестре.</v>
      </c>
      <c r="AA22" s="322" t="str">
        <f>IFERROR(__xludf.DUMMYFUNCTION("GOOGLETRANSLATE(C22,""zh-tw"",""RU"")"),"Приготовление мясных блюд")</f>
        <v>Приготовление мясных блюд</v>
      </c>
      <c r="AB22" s="401" t="str">
        <f>IFERROR(__xludf.DUMMYFUNCTION("GOOGLETRANSLATE(D22,""zh-tw"",""RU"")"),"Я злюсь, когда подшучиваю над своей младшей сестрой.")</f>
        <v>Я злюсь, когда подшучиваю над своей младшей сестрой.</v>
      </c>
      <c r="AC22" s="320" t="str">
        <f>IFERROR(__xludf.DUMMYFUNCTION("GOOGLETRANSLATE(A22,""zh-tw"",""DE"")"),"Fleischgerichte")</f>
        <v>Fleischgerichte</v>
      </c>
      <c r="AD22" s="321" t="str">
        <f>IFERROR(__xludf.DUMMYFUNCTION("GOOGLETRANSLATE(B22,""zh-tw"",""DE"")"),"Ich muss mein wichtiges Versprechen an meine Schwester halten.")</f>
        <v>Ich muss mein wichtiges Versprechen an meine Schwester halten.</v>
      </c>
      <c r="AE22" s="322" t="str">
        <f>IFERROR(__xludf.DUMMYFUNCTION("GOOGLETRANSLATE(C22,""zh-tw"",""DE"")"),"Fleischgerichte zubereiten")</f>
        <v>Fleischgerichte zubereiten</v>
      </c>
      <c r="AF22" s="401" t="str">
        <f>IFERROR(__xludf.DUMMYFUNCTION("GOOGLETRANSLATE(D22,""zh-tw"",""DE"")"),"Ich werde wütend, wenn ich meiner jüngeren Schwester Streiche spiele")</f>
        <v>Ich werde wütend, wenn ich meiner jüngeren Schwester Streiche spiele</v>
      </c>
      <c r="AG22" s="160" t="s">
        <v>6641</v>
      </c>
      <c r="AH22" s="170" t="s">
        <v>6635</v>
      </c>
      <c r="AI22" s="326" t="s">
        <v>6642</v>
      </c>
      <c r="AJ22" s="189" t="s">
        <v>6636</v>
      </c>
      <c r="AK22" s="400"/>
      <c r="AL22" s="400"/>
      <c r="AM22" s="400"/>
    </row>
    <row r="23">
      <c r="A23" s="179" t="s">
        <v>6643</v>
      </c>
      <c r="B23" s="323" t="s">
        <v>6644</v>
      </c>
      <c r="C23" s="325" t="s">
        <v>6645</v>
      </c>
      <c r="D23" s="400" t="s">
        <v>246</v>
      </c>
      <c r="E23" s="179" t="s">
        <v>302</v>
      </c>
      <c r="F23" s="321" t="str">
        <f>IFERROR(__xludf.DUMMYFUNCTION("GOOGLETRANSLATE(B23,""zh-tw"",""ja"")"),"...")</f>
        <v>...</v>
      </c>
      <c r="G23" s="325" t="s">
        <v>6646</v>
      </c>
      <c r="H23" s="400" t="s">
        <v>249</v>
      </c>
      <c r="I23" s="179" t="s">
        <v>6647</v>
      </c>
      <c r="J23" s="321" t="str">
        <f>IFERROR(__xludf.DUMMYFUNCTION("GOOGLETRANSLATE(B23,""zh-tw"",""en"")"),"...")</f>
        <v>...</v>
      </c>
      <c r="K23" s="325" t="s">
        <v>6648</v>
      </c>
      <c r="L23" s="400" t="s">
        <v>251</v>
      </c>
      <c r="M23" s="320" t="str">
        <f>IFERROR(__xludf.DUMMYFUNCTION("GOOGLETRANSLATE(A23,""zh-tw"",""zh"")"),"到底忘记了什么")</f>
        <v>到底忘记了什么</v>
      </c>
      <c r="N23" s="321" t="str">
        <f>IFERROR(__xludf.DUMMYFUNCTION("GOOGLETRANSLATE(B23,""zh-tw"",""zh"")"),".....")</f>
        <v>.....</v>
      </c>
      <c r="O23" s="322" t="str">
        <f>IFERROR(__xludf.DUMMYFUNCTION("GOOGLETRANSLATE(C23,""zh-tw"",""zh"")"),"感觉忘记了什么重要的事情，总有一天会想起来吧？")</f>
        <v>感觉忘记了什么重要的事情，总有一天会想起来吧？</v>
      </c>
      <c r="P23" s="401" t="str">
        <f>IFERROR(__xludf.DUMMYFUNCTION("GOOGLETRANSLATE(D23,""zh-tw"",""zh"")"),"开局选项")</f>
        <v>开局选项</v>
      </c>
      <c r="Q23" s="154" t="str">
        <f>IFERROR(__xludf.DUMMYFUNCTION("GOOGLETRANSLATE(A23,""zh-tw"",""es-MX"")"),"¿Qué olvidé?")</f>
        <v>¿Qué olvidé?</v>
      </c>
      <c r="R23" s="168" t="str">
        <f>IFERROR(__xludf.DUMMYFUNCTION("GOOGLETRANSLATE(B23,""zh-tw"",""es-MX"")"),"...")</f>
        <v>...</v>
      </c>
      <c r="S23" s="324" t="str">
        <f>IFERROR(__xludf.DUMMYFUNCTION("GOOGLETRANSLATE(C23,""zh-tw"",""es-MX"")"),"Tengo la sensación de haber olvidado algo importante. Algún día lo recordaré, ¿verdad?")</f>
        <v>Tengo la sensación de haber olvidado algo importante. Algún día lo recordaré, ¿verdad?</v>
      </c>
      <c r="T23" s="180" t="str">
        <f>IFERROR(__xludf.DUMMYFUNCTION("GOOGLETRANSLATE(D23,""zh-tw"",""es-MX"")"),"Opciones iniciales")</f>
        <v>Opciones iniciales</v>
      </c>
      <c r="U23" s="154" t="str">
        <f>IFERROR(__xludf.DUMMYFUNCTION("GOOGLETRANSLATE(A23,""zh-tw"",""KO"")"),"내가 뭘 잊었나요?")</f>
        <v>내가 뭘 잊었나요?</v>
      </c>
      <c r="V23" s="168" t="str">
        <f>IFERROR(__xludf.DUMMYFUNCTION("GOOGLETRANSLATE(B23,""zh-tw"",""KO"")"),"...")</f>
        <v>...</v>
      </c>
      <c r="W23" s="324" t="str">
        <f>IFERROR(__xludf.DUMMYFUNCTION("GOOGLETRANSLATE(C23,""zh-tw"",""KO"")"),"뭔가 중요한 걸 잊어버린 것 같아. 언젠가는 생각날 거야, 그렇지?")</f>
        <v>뭔가 중요한 걸 잊어버린 것 같아. 언젠가는 생각날 거야, 그렇지?</v>
      </c>
      <c r="X23" s="180" t="str">
        <f>IFERROR(__xludf.DUMMYFUNCTION("GOOGLETRANSLATE(D23,""zh-tw"",""KO"")"),"시작 옵션")</f>
        <v>시작 옵션</v>
      </c>
      <c r="Y23" s="320" t="str">
        <f>IFERROR(__xludf.DUMMYFUNCTION("GOOGLETRANSLATE(A23,""zh-tw"",""RU"")"),"Что я забыл?")</f>
        <v>Что я забыл?</v>
      </c>
      <c r="Z23" s="321" t="str">
        <f>IFERROR(__xludf.DUMMYFUNCTION("GOOGLETRANSLATE(B23,""zh-tw"",""RU"")"),"...")</f>
        <v>...</v>
      </c>
      <c r="AA23" s="322"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401" t="str">
        <f>IFERROR(__xludf.DUMMYFUNCTION("GOOGLETRANSLATE(D23,""zh-tw"",""RU"")"),"Начальные параметры")</f>
        <v>Начальные параметры</v>
      </c>
      <c r="AC23" s="320" t="str">
        <f>IFERROR(__xludf.DUMMYFUNCTION("GOOGLETRANSLATE(A23,""zh-tw"",""DE"")"),"Was habe ich vergessen?")</f>
        <v>Was habe ich vergessen?</v>
      </c>
      <c r="AD23" s="321" t="str">
        <f>IFERROR(__xludf.DUMMYFUNCTION("GOOGLETRANSLATE(B23,""zh-tw"",""DE"")"),"...")</f>
        <v>...</v>
      </c>
      <c r="AE23" s="322" t="str">
        <f>IFERROR(__xludf.DUMMYFUNCTION("GOOGLETRANSLATE(C23,""zh-tw"",""DE"")"),"Ich habe das Gefühl, etwas Wichtiges vergessen zu haben. Mir wird es eines Tages wieder einfallen, oder?")</f>
        <v>Ich habe das Gefühl, etwas Wichtiges vergessen zu haben. Mir wird es eines Tages wieder einfallen, oder?</v>
      </c>
      <c r="AF23" s="401" t="str">
        <f>IFERROR(__xludf.DUMMYFUNCTION("GOOGLETRANSLATE(D23,""zh-tw"",""DE"")"),"Startoptionen")</f>
        <v>Startoptionen</v>
      </c>
      <c r="AG23" s="160" t="s">
        <v>6649</v>
      </c>
      <c r="AH23" s="170" t="s">
        <v>6650</v>
      </c>
      <c r="AI23" s="326" t="s">
        <v>6651</v>
      </c>
      <c r="AJ23" s="189" t="s">
        <v>266</v>
      </c>
      <c r="AK23" s="400"/>
      <c r="AL23" s="400"/>
      <c r="AM23" s="400"/>
    </row>
    <row r="24">
      <c r="A24" s="179" t="s">
        <v>6652</v>
      </c>
      <c r="B24" s="323" t="s">
        <v>6653</v>
      </c>
      <c r="C24" s="325" t="s">
        <v>6654</v>
      </c>
      <c r="D24" s="400" t="s">
        <v>4461</v>
      </c>
      <c r="E24" s="179" t="s">
        <v>6655</v>
      </c>
      <c r="F24" s="323" t="s">
        <v>6656</v>
      </c>
      <c r="G24" s="322" t="str">
        <f>IFERROR(__xludf.DUMMYFUNCTION("GOOGLETRANSLATE(C24,""zh-tw"",""ja"")"),"体は常に悪臭を放っている")</f>
        <v>体は常に悪臭を放っている</v>
      </c>
      <c r="H24" s="400" t="s">
        <v>4463</v>
      </c>
      <c r="I24" s="179" t="s">
        <v>6657</v>
      </c>
      <c r="J24" s="323" t="s">
        <v>6658</v>
      </c>
      <c r="K24" s="325" t="s">
        <v>6659</v>
      </c>
      <c r="L24" s="400" t="s">
        <v>4464</v>
      </c>
      <c r="M24" s="320" t="str">
        <f>IFERROR(__xludf.DUMMYFUNCTION("GOOGLETRANSLATE(A24,""zh-tw"",""zh"")"),"浑身恶臭")</f>
        <v>浑身恶臭</v>
      </c>
      <c r="N24" s="321" t="str">
        <f>IFERROR(__xludf.DUMMYFUNCTION("GOOGLETRANSLATE(B24,""zh-tw"",""zh"")"),"浑身恶臭。")</f>
        <v>浑身恶臭。</v>
      </c>
      <c r="O24" s="322" t="str">
        <f>IFERROR(__xludf.DUMMYFUNCTION("GOOGLETRANSLATE(C24,""zh-tw"",""zh"")"),"身上不断散发着恶臭")</f>
        <v>身上不断散发着恶臭</v>
      </c>
      <c r="P24" s="401" t="str">
        <f>IFERROR(__xludf.DUMMYFUNCTION("GOOGLETRANSLATE(D24,""zh-tw"",""zh"")"),"臭鱼骨")</f>
        <v>臭鱼骨</v>
      </c>
      <c r="Q24" s="154" t="str">
        <f>IFERROR(__xludf.DUMMYFUNCTION("GOOGLETRANSLATE(A24,""zh-tw"",""es-MX"")"),"Todo su cuerpo olía asqueroso.")</f>
        <v>Todo su cuerpo olía asqueroso.</v>
      </c>
      <c r="R24" s="168" t="str">
        <f>IFERROR(__xludf.DUMMYFUNCTION("GOOGLETRANSLATE(B24,""zh-tw"",""es-MX"")"),"Olía fatal.")</f>
        <v>Olía fatal.</v>
      </c>
      <c r="S24" s="324" t="str">
        <f>IFERROR(__xludf.DUMMYFUNCTION("GOOGLETRANSLATE(C24,""zh-tw"",""es-MX"")"),"El cuerpo emite constantemente un olor desagradable.")</f>
        <v>El cuerpo emite constantemente un olor desagradable.</v>
      </c>
      <c r="T24" s="180" t="str">
        <f>IFERROR(__xludf.DUMMYFUNCTION("GOOGLETRANSLATE(D24,""zh-tw"",""es-MX"")"),"Huesas de pescado apestosas")</f>
        <v>Huesas de pescado apestosas</v>
      </c>
      <c r="U24" s="154" t="str">
        <f>IFERROR(__xludf.DUMMYFUNCTION("GOOGLETRANSLATE(A24,""zh-tw"",""KO"")"),"온몸이 역겨운 냄새가 났다")</f>
        <v>온몸이 역겨운 냄새가 났다</v>
      </c>
      <c r="V24" s="168" t="str">
        <f>IFERROR(__xludf.DUMMYFUNCTION("GOOGLETRANSLATE(B24,""zh-tw"",""KO"")"),"그는 끔찍한 냄새를 풍겼다.")</f>
        <v>그는 끔찍한 냄새를 풍겼다.</v>
      </c>
      <c r="W24" s="324" t="str">
        <f>IFERROR(__xludf.DUMMYFUNCTION("GOOGLETRANSLATE(C24,""zh-tw"",""KO"")"),"몸에서 끊임없이 악취가 난다")</f>
        <v>몸에서 끊임없이 악취가 난다</v>
      </c>
      <c r="X24" s="180" t="str">
        <f>IFERROR(__xludf.DUMMYFUNCTION("GOOGLETRANSLATE(D24,""zh-tw"",""KO"")"),"냄새나는 생선 뼈")</f>
        <v>냄새나는 생선 뼈</v>
      </c>
      <c r="Y24" s="320" t="str">
        <f>IFERROR(__xludf.DUMMYFUNCTION("GOOGLETRANSLATE(A24,""zh-tw"",""RU"")"),"Все тело пахло отвратительно.")</f>
        <v>Все тело пахло отвратительно.</v>
      </c>
      <c r="Z24" s="321" t="str">
        <f>IFERROR(__xludf.DUMMYFUNCTION("GOOGLETRANSLATE(B24,""zh-tw"",""RU"")"),"От него ужасно пахло.")</f>
        <v>От него ужасно пахло.</v>
      </c>
      <c r="AA24" s="322" t="str">
        <f>IFERROR(__xludf.DUMMYFUNCTION("GOOGLETRANSLATE(C24,""zh-tw"",""RU"")"),"Тело постоянно испускает неприятный запах.")</f>
        <v>Тело постоянно испускает неприятный запах.</v>
      </c>
      <c r="AB24" s="401" t="str">
        <f>IFERROR(__xludf.DUMMYFUNCTION("GOOGLETRANSLATE(D24,""zh-tw"",""RU"")"),"Вонючие рыбьи кости")</f>
        <v>Вонючие рыбьи кости</v>
      </c>
      <c r="AC24" s="320" t="str">
        <f>IFERROR(__xludf.DUMMYFUNCTION("GOOGLETRANSLATE(A24,""zh-tw"",""DE"")"),"Der ganze Körper roch widerlich.")</f>
        <v>Der ganze Körper roch widerlich.</v>
      </c>
      <c r="AD24" s="321" t="str">
        <f>IFERROR(__xludf.DUMMYFUNCTION("GOOGLETRANSLATE(B24,""zh-tw"",""DE"")"),"Er roch abscheulich.")</f>
        <v>Er roch abscheulich.</v>
      </c>
      <c r="AE24" s="322" t="str">
        <f>IFERROR(__xludf.DUMMYFUNCTION("GOOGLETRANSLATE(C24,""zh-tw"",""DE"")"),"Der Körper verströmt ständig einen üblen Geruch")</f>
        <v>Der Körper verströmt ständig einen üblen Geruch</v>
      </c>
      <c r="AF24" s="401" t="str">
        <f>IFERROR(__xludf.DUMMYFUNCTION("GOOGLETRANSLATE(D24,""zh-tw"",""DE"")"),"Stinkende Fischgräten")</f>
        <v>Stinkende Fischgräten</v>
      </c>
      <c r="AG24" s="160" t="s">
        <v>6660</v>
      </c>
      <c r="AH24" s="170" t="s">
        <v>6661</v>
      </c>
      <c r="AI24" s="326" t="s">
        <v>6662</v>
      </c>
      <c r="AJ24" s="189" t="s">
        <v>4469</v>
      </c>
      <c r="AK24" s="400"/>
      <c r="AL24" s="400"/>
      <c r="AM24" s="400"/>
    </row>
    <row r="25">
      <c r="A25" s="179" t="s">
        <v>6663</v>
      </c>
      <c r="B25" s="323" t="s">
        <v>6664</v>
      </c>
      <c r="C25" s="325" t="s">
        <v>6665</v>
      </c>
      <c r="D25" s="400" t="s">
        <v>6666</v>
      </c>
      <c r="E25" s="320" t="str">
        <f>IFERROR(__xludf.DUMMYFUNCTION("GOOGLETRANSLATE(A25,""zh-tw"",""ja"")"),"美味しい")</f>
        <v>美味しい</v>
      </c>
      <c r="F25" s="321" t="str">
        <f>IFERROR(__xludf.DUMMYFUNCTION("GOOGLETRANSLATE(B25,""zh-tw"",""ja"")"),"美味しいものを食べてお腹も温まりました〜")</f>
        <v>美味しいものを食べてお腹も温まりました〜</v>
      </c>
      <c r="G25" s="322" t="str">
        <f>IFERROR(__xludf.DUMMYFUNCTION("GOOGLETRANSLATE(C25,""zh-tw"",""ja"")"),"スタミナは1秒ごとに少しずつ回復します")</f>
        <v>スタミナは1秒ごとに少しずつ回復します</v>
      </c>
      <c r="H25" s="401" t="str">
        <f>IFERROR(__xludf.DUMMYFUNCTION("GOOGLETRANSLATE(D25,""zh-tw"",""ja"")"),"美味しい料理")</f>
        <v>美味しい料理</v>
      </c>
      <c r="I25" s="179" t="s">
        <v>6667</v>
      </c>
      <c r="J25" s="323" t="s">
        <v>6668</v>
      </c>
      <c r="K25" s="325" t="s">
        <v>6669</v>
      </c>
      <c r="L25" s="400" t="s">
        <v>6670</v>
      </c>
      <c r="M25" s="320" t="str">
        <f>IFERROR(__xludf.DUMMYFUNCTION("GOOGLETRANSLATE(A25,""zh-tw"",""zh"")"),"美味い")</f>
        <v>美味い</v>
      </c>
      <c r="N25" s="321" t="str">
        <f>IFERROR(__xludf.DUMMYFUNCTION("GOOGLETRANSLATE(B25,""zh-tw"",""zh"")"),"吃到了美味的东西，肚子里暖暖的~")</f>
        <v>吃到了美味的东西，肚子里暖暖的~</v>
      </c>
      <c r="O25" s="322" t="str">
        <f>IFERROR(__xludf.DUMMYFUNCTION("GOOGLETRANSLATE(C25,""zh-tw"",""zh"")"),"每秒体力少量回复")</f>
        <v>每秒体力少量回复</v>
      </c>
      <c r="P25" s="401" t="str">
        <f>IFERROR(__xludf.DUMMYFUNCTION("GOOGLETRANSLATE(D25,""zh-tw"",""zh"")"),"美味料理")</f>
        <v>美味料理</v>
      </c>
      <c r="Q25" s="154" t="str">
        <f>IFERROR(__xludf.DUMMYFUNCTION("GOOGLETRANSLATE(A25,""zh-tw"",""es-MX"")"),"Delicioso")</f>
        <v>Delicioso</v>
      </c>
      <c r="R25" s="168" t="str">
        <f>IFERROR(__xludf.DUMMYFUNCTION("GOOGLETRANSLATE(B25,""zh-tw"",""es-MX"")"),"Comí algo delicioso y siento el estómago cálido por dentro.")</f>
        <v>Comí algo delicioso y siento el estómago cálido por dentro.</v>
      </c>
      <c r="S25" s="324" t="str">
        <f>IFERROR(__xludf.DUMMYFUNCTION("GOOGLETRANSLATE(C25,""zh-tw"",""es-MX"")"),"La resistencia se recupera una pequeña cantidad por segundo.")</f>
        <v>La resistencia se recupera una pequeña cantidad por segundo.</v>
      </c>
      <c r="T25" s="180" t="str">
        <f>IFERROR(__xludf.DUMMYFUNCTION("GOOGLETRANSLATE(D25,""zh-tw"",""es-MX"")"),"Deliciosa cocina")</f>
        <v>Deliciosa cocina</v>
      </c>
      <c r="U25" s="154" t="str">
        <f>IFERROR(__xludf.DUMMYFUNCTION("GOOGLETRANSLATE(A25,""zh-tw"",""KO"")"),"맛있는")</f>
        <v>맛있는</v>
      </c>
      <c r="V25" s="168" t="str">
        <f>IFERROR(__xludf.DUMMYFUNCTION("GOOGLETRANSLATE(B25,""zh-tw"",""KO"")"),"맛있는거 먹고 나니 배가 따뜻해졌어요~")</f>
        <v>맛있는거 먹고 나니 배가 따뜻해졌어요~</v>
      </c>
      <c r="W25" s="324" t="str">
        <f>IFERROR(__xludf.DUMMYFUNCTION("GOOGLETRANSLATE(C25,""zh-tw"",""KO"")"),"체력은 초당 소량 회복됩니다.")</f>
        <v>체력은 초당 소량 회복됩니다.</v>
      </c>
      <c r="X25" s="180" t="str">
        <f>IFERROR(__xludf.DUMMYFUNCTION("GOOGLETRANSLATE(D25,""zh-tw"",""KO"")"),"맛있는 요리")</f>
        <v>맛있는 요리</v>
      </c>
      <c r="Y25" s="320" t="str">
        <f>IFERROR(__xludf.DUMMYFUNCTION("GOOGLETRANSLATE(A25,""zh-tw"",""RU"")"),"Вкусный")</f>
        <v>Вкусный</v>
      </c>
      <c r="Z25" s="321" t="str">
        <f>IFERROR(__xludf.DUMMYFUNCTION("GOOGLETRANSLATE(B25,""zh-tw"",""RU"")"),"Я съела что-то вкусненькое, и у меня внутри тепло~")</f>
        <v>Я съела что-то вкусненькое, и у меня внутри тепло~</v>
      </c>
      <c r="AA25" s="322" t="str">
        <f>IFERROR(__xludf.DUMMYFUNCTION("GOOGLETRANSLATE(C25,""zh-tw"",""RU"")"),"Выносливость восстанавливается на небольшое количество в секунду.")</f>
        <v>Выносливость восстанавливается на небольшое количество в секунду.</v>
      </c>
      <c r="AB25" s="401" t="str">
        <f>IFERROR(__xludf.DUMMYFUNCTION("GOOGLETRANSLATE(D25,""zh-tw"",""RU"")"),"Вкусная кухня")</f>
        <v>Вкусная кухня</v>
      </c>
      <c r="AC25" s="320" t="str">
        <f>IFERROR(__xludf.DUMMYFUNCTION("GOOGLETRANSLATE(A25,""zh-tw"",""DE"")"),"Lecker")</f>
        <v>Lecker</v>
      </c>
      <c r="AD25" s="321" t="str">
        <f>IFERROR(__xludf.DUMMYFUNCTION("GOOGLETRANSLATE(B25,""zh-tw"",""DE"")"),"Ich habe etwas Leckeres gegessen und mein Bauch fühlt sich warm an.")</f>
        <v>Ich habe etwas Leckeres gegessen und mein Bauch fühlt sich warm an.</v>
      </c>
      <c r="AE25" s="322" t="str">
        <f>IFERROR(__xludf.DUMMYFUNCTION("GOOGLETRANSLATE(C25,""zh-tw"",""DE"")"),"Die Ausdauer regeneriert sich pro Sekunde nur geringfügig.")</f>
        <v>Die Ausdauer regeneriert sich pro Sekunde nur geringfügig.</v>
      </c>
      <c r="AF25" s="401" t="str">
        <f>IFERROR(__xludf.DUMMYFUNCTION("GOOGLETRANSLATE(D25,""zh-tw"",""DE"")"),"Köstliche Küche")</f>
        <v>Köstliche Küche</v>
      </c>
      <c r="AG25" s="160" t="s">
        <v>6671</v>
      </c>
      <c r="AH25" s="170" t="s">
        <v>6672</v>
      </c>
      <c r="AI25" s="326" t="s">
        <v>6673</v>
      </c>
      <c r="AJ25" s="189" t="s">
        <v>6674</v>
      </c>
      <c r="AK25" s="400"/>
      <c r="AL25" s="400"/>
      <c r="AM25" s="400"/>
    </row>
    <row r="26">
      <c r="A26" s="179" t="s">
        <v>6675</v>
      </c>
      <c r="B26" s="323" t="s">
        <v>6676</v>
      </c>
      <c r="C26" s="325" t="s">
        <v>6677</v>
      </c>
      <c r="D26" s="400" t="s">
        <v>6678</v>
      </c>
      <c r="E26" s="179" t="s">
        <v>6679</v>
      </c>
      <c r="F26" s="323" t="s">
        <v>6680</v>
      </c>
      <c r="G26" s="322" t="str">
        <f>IFERROR(__xludf.DUMMYFUNCTION("GOOGLETRANSLATE(C26,""zh-tw"",""ja"")"),"攻撃力+50%")</f>
        <v>攻撃力+50%</v>
      </c>
      <c r="H26" s="401" t="str">
        <f>IFERROR(__xludf.DUMMYFUNCTION("GOOGLETRANSLATE(D26,""zh-tw"",""ja"")"),"食べ物")</f>
        <v>食べ物</v>
      </c>
      <c r="I26" s="179" t="s">
        <v>6681</v>
      </c>
      <c r="J26" s="323" t="s">
        <v>6682</v>
      </c>
      <c r="K26" s="325" t="s">
        <v>6683</v>
      </c>
      <c r="L26" s="400" t="s">
        <v>6684</v>
      </c>
      <c r="M26" s="320" t="str">
        <f>IFERROR(__xludf.DUMMYFUNCTION("GOOGLETRANSLATE(A26,""zh-tw"",""zh"")"),"力量提升")</f>
        <v>力量提升</v>
      </c>
      <c r="N26" s="321" t="str">
        <f>IFERROR(__xludf.DUMMYFUNCTION("GOOGLETRANSLATE(B26,""zh-tw"",""zh"")"),"力量……涌上来了！")</f>
        <v>力量……涌上来了！</v>
      </c>
      <c r="O26" s="322" t="str">
        <f>IFERROR(__xludf.DUMMYFUNCTION("GOOGLETRANSLATE(C26,""zh-tw"",""zh"")"),"攻击力+50%")</f>
        <v>攻击力+50%</v>
      </c>
      <c r="P26" s="401" t="str">
        <f>IFERROR(__xludf.DUMMYFUNCTION("GOOGLETRANSLATE(D26,""zh-tw"",""zh"")"),"食物")</f>
        <v>食物</v>
      </c>
      <c r="Q26" s="154" t="str">
        <f>IFERROR(__xludf.DUMMYFUNCTION("GOOGLETRANSLATE(A26,""zh-tw"",""es-MX"")"),"Mejora de la fuerza")</f>
        <v>Mejora de la fuerza</v>
      </c>
      <c r="R26" s="168" t="str">
        <f>IFERROR(__xludf.DUMMYFUNCTION("GOOGLETRANSLATE(B26,""zh-tw"",""es-MX"")"),"¡La energía... aumentó repentinamente!")</f>
        <v>¡La energía... aumentó repentinamente!</v>
      </c>
      <c r="S26" s="324" t="str">
        <f>IFERROR(__xludf.DUMMYFUNCTION("GOOGLETRANSLATE(C26,""zh-tw"",""es-MX"")"),"Poder de ataque +50%")</f>
        <v>Poder de ataque +50%</v>
      </c>
      <c r="T26" s="180" t="str">
        <f>IFERROR(__xludf.DUMMYFUNCTION("GOOGLETRANSLATE(D26,""zh-tw"",""es-MX"")"),"alimento")</f>
        <v>alimento</v>
      </c>
      <c r="U26" s="154" t="str">
        <f>IFERROR(__xludf.DUMMYFUNCTION("GOOGLETRANSLATE(A26,""zh-tw"",""KO"")"),"근력 향상")</f>
        <v>근력 향상</v>
      </c>
      <c r="V26" s="168" t="str">
        <f>IFERROR(__xludf.DUMMYFUNCTION("GOOGLETRANSLATE(B26,""zh-tw"",""KO"")"),"힘이... 솟구쳐 올랐다!")</f>
        <v>힘이... 솟구쳐 올랐다!</v>
      </c>
      <c r="W26" s="324" t="str">
        <f>IFERROR(__xludf.DUMMYFUNCTION("GOOGLETRANSLATE(C26,""zh-tw"",""KO"")"),"공격력 +50%")</f>
        <v>공격력 +50%</v>
      </c>
      <c r="X26" s="180" t="str">
        <f>IFERROR(__xludf.DUMMYFUNCTION("GOOGLETRANSLATE(D26,""zh-tw"",""KO"")"),"음식")</f>
        <v>음식</v>
      </c>
      <c r="Y26" s="320" t="str">
        <f>IFERROR(__xludf.DUMMYFUNCTION("GOOGLETRANSLATE(A26,""zh-tw"",""RU"")"),"Улучшение силы")</f>
        <v>Улучшение силы</v>
      </c>
      <c r="Z26" s="321" t="str">
        <f>IFERROR(__xludf.DUMMYFUNCTION("GOOGLETRANSLATE(B26,""zh-tw"",""RU"")"),"Сила... возросла!")</f>
        <v>Сила... возросла!</v>
      </c>
      <c r="AA26" s="322" t="str">
        <f>IFERROR(__xludf.DUMMYFUNCTION("GOOGLETRANSLATE(C26,""zh-tw"",""RU"")"),"Сила атаки +50%")</f>
        <v>Сила атаки +50%</v>
      </c>
      <c r="AB26" s="401" t="str">
        <f>IFERROR(__xludf.DUMMYFUNCTION("GOOGLETRANSLATE(D26,""zh-tw"",""RU"")"),"еда")</f>
        <v>еда</v>
      </c>
      <c r="AC26" s="320" t="str">
        <f>IFERROR(__xludf.DUMMYFUNCTION("GOOGLETRANSLATE(A26,""zh-tw"",""DE"")"),"Kraftsteigerung")</f>
        <v>Kraftsteigerung</v>
      </c>
      <c r="AD26" s="321" t="str">
        <f>IFERROR(__xludf.DUMMYFUNCTION("GOOGLETRANSLATE(B26,""zh-tw"",""DE"")"),"Die Leistung... stieg sprunghaft an!")</f>
        <v>Die Leistung... stieg sprunghaft an!</v>
      </c>
      <c r="AE26" s="322" t="str">
        <f>IFERROR(__xludf.DUMMYFUNCTION("GOOGLETRANSLATE(C26,""zh-tw"",""DE"")"),"Angriffskraft +50%")</f>
        <v>Angriffskraft +50%</v>
      </c>
      <c r="AF26" s="401" t="str">
        <f>IFERROR(__xludf.DUMMYFUNCTION("GOOGLETRANSLATE(D26,""zh-tw"",""DE"")"),"Essen")</f>
        <v>Essen</v>
      </c>
      <c r="AG26" s="160" t="s">
        <v>6685</v>
      </c>
      <c r="AH26" s="170" t="s">
        <v>6686</v>
      </c>
      <c r="AI26" s="326" t="s">
        <v>6687</v>
      </c>
      <c r="AJ26" s="189" t="s">
        <v>6688</v>
      </c>
      <c r="AK26" s="400"/>
      <c r="AL26" s="400"/>
      <c r="AM26" s="400"/>
    </row>
    <row r="27">
      <c r="A27" s="179" t="s">
        <v>6689</v>
      </c>
      <c r="B27" s="323" t="s">
        <v>6690</v>
      </c>
      <c r="C27" s="325" t="s">
        <v>6691</v>
      </c>
      <c r="D27" s="400" t="s">
        <v>6678</v>
      </c>
      <c r="E27" s="179" t="s">
        <v>6692</v>
      </c>
      <c r="F27" s="323" t="s">
        <v>6693</v>
      </c>
      <c r="G27" s="322" t="str">
        <f>IFERROR(__xludf.DUMMYFUNCTION("GOOGLETRANSLATE(C27,""zh-tw"",""ja"")"),"魔法力+50%")</f>
        <v>魔法力+50%</v>
      </c>
      <c r="H27" s="401" t="str">
        <f>IFERROR(__xludf.DUMMYFUNCTION("GOOGLETRANSLATE(D27,""zh-tw"",""ja"")"),"食べ物")</f>
        <v>食べ物</v>
      </c>
      <c r="I27" s="179" t="s">
        <v>6694</v>
      </c>
      <c r="J27" s="323" t="s">
        <v>6695</v>
      </c>
      <c r="K27" s="325" t="s">
        <v>6696</v>
      </c>
      <c r="L27" s="400" t="s">
        <v>6684</v>
      </c>
      <c r="M27" s="320" t="str">
        <f>IFERROR(__xludf.DUMMYFUNCTION("GOOGLETRANSLATE(A27,""zh-tw"",""zh"")"),"魔力提升")</f>
        <v>魔力提升</v>
      </c>
      <c r="N27" s="321" t="str">
        <f>IFERROR(__xludf.DUMMYFUNCTION("GOOGLETRANSLATE(B27,""zh-tw"",""zh"")"),"我逐渐理解一切。")</f>
        <v>我逐渐理解一切。</v>
      </c>
      <c r="O27" s="322" t="str">
        <f>IFERROR(__xludf.DUMMYFUNCTION("GOOGLETRANSLATE(C27,""zh-tw"",""zh"")"),"魔功力+50%")</f>
        <v>魔功力+50%</v>
      </c>
      <c r="P27" s="401" t="str">
        <f>IFERROR(__xludf.DUMMYFUNCTION("GOOGLETRANSLATE(D27,""zh-tw"",""zh"")"),"食物")</f>
        <v>食物</v>
      </c>
      <c r="Q27" s="154" t="str">
        <f>IFERROR(__xludf.DUMMYFUNCTION("GOOGLETRANSLATE(A27,""zh-tw"",""es-MX"")"),"Aumento del poder mágico")</f>
        <v>Aumento del poder mágico</v>
      </c>
      <c r="R27" s="168" t="str">
        <f>IFERROR(__xludf.DUMMYFUNCTION("GOOGLETRANSLATE(B27,""zh-tw"",""es-MX"")"),"Poco a poco fui comprendiendo todo.")</f>
        <v>Poco a poco fui comprendiendo todo.</v>
      </c>
      <c r="S27" s="324" t="str">
        <f>IFERROR(__xludf.DUMMYFUNCTION("GOOGLETRANSLATE(C27,""zh-tw"",""es-MX"")"),"Poder mágico +50%")</f>
        <v>Poder mágico +50%</v>
      </c>
      <c r="T27" s="180" t="str">
        <f>IFERROR(__xludf.DUMMYFUNCTION("GOOGLETRANSLATE(D27,""zh-tw"",""es-MX"")"),"alimento")</f>
        <v>alimento</v>
      </c>
      <c r="U27" s="154" t="str">
        <f>IFERROR(__xludf.DUMMYFUNCTION("GOOGLETRANSLATE(A27,""zh-tw"",""KO"")"),"마법력 증가")</f>
        <v>마법력 증가</v>
      </c>
      <c r="V27" s="168" t="str">
        <f>IFERROR(__xludf.DUMMYFUNCTION("GOOGLETRANSLATE(B27,""zh-tw"",""KO"")"),"나는 점차 모든 것을 이해하게 되었습니다.")</f>
        <v>나는 점차 모든 것을 이해하게 되었습니다.</v>
      </c>
      <c r="W27" s="324" t="str">
        <f>IFERROR(__xludf.DUMMYFUNCTION("GOOGLETRANSLATE(C27,""zh-tw"",""KO"")"),"마법력 +50%")</f>
        <v>마법력 +50%</v>
      </c>
      <c r="X27" s="180" t="str">
        <f>IFERROR(__xludf.DUMMYFUNCTION("GOOGLETRANSLATE(D27,""zh-tw"",""KO"")"),"음식")</f>
        <v>음식</v>
      </c>
      <c r="Y27" s="320" t="str">
        <f>IFERROR(__xludf.DUMMYFUNCTION("GOOGLETRANSLATE(A27,""zh-tw"",""RU"")"),"Увеличение магической силы")</f>
        <v>Увеличение магической силы</v>
      </c>
      <c r="Z27" s="321" t="str">
        <f>IFERROR(__xludf.DUMMYFUNCTION("GOOGLETRANSLATE(B27,""zh-tw"",""RU"")"),"Постепенно я все понял.")</f>
        <v>Постепенно я все понял.</v>
      </c>
      <c r="AA27" s="322" t="str">
        <f>IFERROR(__xludf.DUMMYFUNCTION("GOOGLETRANSLATE(C27,""zh-tw"",""RU"")"),"Магическая сила +50%")</f>
        <v>Магическая сила +50%</v>
      </c>
      <c r="AB27" s="401" t="str">
        <f>IFERROR(__xludf.DUMMYFUNCTION("GOOGLETRANSLATE(D27,""zh-tw"",""RU"")"),"еда")</f>
        <v>еда</v>
      </c>
      <c r="AC27" s="320" t="str">
        <f>IFERROR(__xludf.DUMMYFUNCTION("GOOGLETRANSLATE(A27,""zh-tw"",""DE"")"),"Steigerung der magischen Kraft")</f>
        <v>Steigerung der magischen Kraft</v>
      </c>
      <c r="AD27" s="321" t="str">
        <f>IFERROR(__xludf.DUMMYFUNCTION("GOOGLETRANSLATE(B27,""zh-tw"",""DE"")"),"Nach und nach verstand ich alles.")</f>
        <v>Nach und nach verstand ich alles.</v>
      </c>
      <c r="AE27" s="322" t="str">
        <f>IFERROR(__xludf.DUMMYFUNCTION("GOOGLETRANSLATE(C27,""zh-tw"",""DE"")"),"Magische Kraft +50%")</f>
        <v>Magische Kraft +50%</v>
      </c>
      <c r="AF27" s="401" t="str">
        <f>IFERROR(__xludf.DUMMYFUNCTION("GOOGLETRANSLATE(D27,""zh-tw"",""DE"")"),"Essen")</f>
        <v>Essen</v>
      </c>
      <c r="AG27" s="160" t="s">
        <v>6697</v>
      </c>
      <c r="AH27" s="170" t="s">
        <v>6698</v>
      </c>
      <c r="AI27" s="326" t="s">
        <v>6699</v>
      </c>
      <c r="AJ27" s="189" t="s">
        <v>6688</v>
      </c>
      <c r="AK27" s="400"/>
      <c r="AL27" s="400"/>
      <c r="AM27" s="400"/>
    </row>
    <row r="28">
      <c r="A28" s="179" t="s">
        <v>6700</v>
      </c>
      <c r="B28" s="323" t="s">
        <v>6701</v>
      </c>
      <c r="C28" s="325" t="s">
        <v>6702</v>
      </c>
      <c r="D28" s="400" t="s">
        <v>6678</v>
      </c>
      <c r="E28" s="320" t="str">
        <f>IFERROR(__xludf.DUMMYFUNCTION("GOOGLETRANSLATE(A28,""zh-tw"",""ja"")"),"速度増加")</f>
        <v>速度増加</v>
      </c>
      <c r="F28" s="321" t="str">
        <f>IFERROR(__xludf.DUMMYFUNCTION("GOOGLETRANSLATE(B28,""zh-tw"",""ja"")"),"ついていけるかな…？私のスピード！")</f>
        <v>ついていけるかな…？私のスピード！</v>
      </c>
      <c r="G28" s="322" t="str">
        <f>IFERROR(__xludf.DUMMYFUNCTION("GOOGLETRANSLATE(C28,""zh-tw"",""ja"")"),"移動速度の向上")</f>
        <v>移動速度の向上</v>
      </c>
      <c r="H28" s="401" t="str">
        <f>IFERROR(__xludf.DUMMYFUNCTION("GOOGLETRANSLATE(D28,""zh-tw"",""ja"")"),"食べ物")</f>
        <v>食べ物</v>
      </c>
      <c r="I28" s="179" t="s">
        <v>6703</v>
      </c>
      <c r="J28" s="323" t="s">
        <v>6704</v>
      </c>
      <c r="K28" s="325" t="s">
        <v>6705</v>
      </c>
      <c r="L28" s="400" t="s">
        <v>6684</v>
      </c>
      <c r="M28" s="320" t="str">
        <f>IFERROR(__xludf.DUMMYFUNCTION("GOOGLETRANSLATE(A28,""zh-tw"",""zh"")"),"速度提升")</f>
        <v>速度提升</v>
      </c>
      <c r="N28" s="321" t="str">
        <f>IFERROR(__xludf.DUMMYFUNCTION("GOOGLETRANSLATE(B28,""zh-tw"",""zh"")"),"跟得上吗……我的SPEED！")</f>
        <v>跟得上吗……我的SPEED！</v>
      </c>
      <c r="O28" s="322" t="str">
        <f>IFERROR(__xludf.DUMMYFUNCTION("GOOGLETRANSLATE(C28,""zh-tw"",""zh"")"),"移动速度上升")</f>
        <v>移动速度上升</v>
      </c>
      <c r="P28" s="401" t="str">
        <f>IFERROR(__xludf.DUMMYFUNCTION("GOOGLETRANSLATE(D28,""zh-tw"",""zh"")"),"食物")</f>
        <v>食物</v>
      </c>
      <c r="Q28" s="154" t="str">
        <f>IFERROR(__xludf.DUMMYFUNCTION("GOOGLETRANSLATE(A28,""zh-tw"",""es-MX"")"),"aumento de velocidad")</f>
        <v>aumento de velocidad</v>
      </c>
      <c r="R28" s="168" t="str">
        <f>IFERROR(__xludf.DUMMYFUNCTION("GOOGLETRANSLATE(B28,""zh-tw"",""es-MX"")"),"¿Podré seguirte el ritmo...? ¡Mi velocidad!")</f>
        <v>¿Podré seguirte el ritmo...? ¡Mi velocidad!</v>
      </c>
      <c r="S28" s="324" t="str">
        <f>IFERROR(__xludf.DUMMYFUNCTION("GOOGLETRANSLATE(C28,""zh-tw"",""es-MX"")"),"Mayor velocidad de movimiento")</f>
        <v>Mayor velocidad de movimiento</v>
      </c>
      <c r="T28" s="180" t="str">
        <f>IFERROR(__xludf.DUMMYFUNCTION("GOOGLETRANSLATE(D28,""zh-tw"",""es-MX"")"),"alimento")</f>
        <v>alimento</v>
      </c>
      <c r="U28" s="154" t="str">
        <f>IFERROR(__xludf.DUMMYFUNCTION("GOOGLETRANSLATE(A28,""zh-tw"",""KO"")"),"속도 증가")</f>
        <v>속도 증가</v>
      </c>
      <c r="V28" s="168" t="str">
        <f>IFERROR(__xludf.DUMMYFUNCTION("GOOGLETRANSLATE(B28,""zh-tw"",""KO"")"),"따라잡을 수 있을까...? 내 속도!")</f>
        <v>따라잡을 수 있을까...? 내 속도!</v>
      </c>
      <c r="W28" s="324" t="str">
        <f>IFERROR(__xludf.DUMMYFUNCTION("GOOGLETRANSLATE(C28,""zh-tw"",""KO"")"),"이동 속도 증가")</f>
        <v>이동 속도 증가</v>
      </c>
      <c r="X28" s="180" t="str">
        <f>IFERROR(__xludf.DUMMYFUNCTION("GOOGLETRANSLATE(D28,""zh-tw"",""KO"")"),"음식")</f>
        <v>음식</v>
      </c>
      <c r="Y28" s="320" t="str">
        <f>IFERROR(__xludf.DUMMYFUNCTION("GOOGLETRANSLATE(A28,""zh-tw"",""RU"")"),"Увеличение скорости")</f>
        <v>Увеличение скорости</v>
      </c>
      <c r="Z28" s="321" t="str">
        <f>IFERROR(__xludf.DUMMYFUNCTION("GOOGLETRANSLATE(B28,""zh-tw"",""RU"")"),"Смогу ли я угнаться...? Моя скорость!")</f>
        <v>Смогу ли я угнаться...? Моя скорость!</v>
      </c>
      <c r="AA28" s="322" t="str">
        <f>IFERROR(__xludf.DUMMYFUNCTION("GOOGLETRANSLATE(C28,""zh-tw"",""RU"")"),"Увеличенная скорость передвижения")</f>
        <v>Увеличенная скорость передвижения</v>
      </c>
      <c r="AB28" s="401" t="str">
        <f>IFERROR(__xludf.DUMMYFUNCTION("GOOGLETRANSLATE(D28,""zh-tw"",""RU"")"),"еда")</f>
        <v>еда</v>
      </c>
      <c r="AC28" s="320" t="str">
        <f>IFERROR(__xludf.DUMMYFUNCTION("GOOGLETRANSLATE(A28,""zh-tw"",""DE"")"),"Geschwindigkeitserhöhung")</f>
        <v>Geschwindigkeitserhöhung</v>
      </c>
      <c r="AD28" s="321" t="str">
        <f>IFERROR(__xludf.DUMMYFUNCTION("GOOGLETRANSLATE(B28,""zh-tw"",""DE"")"),"Kann ich mithalten...? Meine Geschwindigkeit!")</f>
        <v>Kann ich mithalten...? Meine Geschwindigkeit!</v>
      </c>
      <c r="AE28" s="322" t="str">
        <f>IFERROR(__xludf.DUMMYFUNCTION("GOOGLETRANSLATE(C28,""zh-tw"",""DE"")"),"Erhöhte Bewegungsgeschwindigkeit")</f>
        <v>Erhöhte Bewegungsgeschwindigkeit</v>
      </c>
      <c r="AF28" s="401" t="str">
        <f>IFERROR(__xludf.DUMMYFUNCTION("GOOGLETRANSLATE(D28,""zh-tw"",""DE"")"),"Essen")</f>
        <v>Essen</v>
      </c>
      <c r="AG28" s="160" t="s">
        <v>6706</v>
      </c>
      <c r="AH28" s="170" t="s">
        <v>6707</v>
      </c>
      <c r="AI28" s="326" t="s">
        <v>6708</v>
      </c>
      <c r="AJ28" s="189" t="s">
        <v>6688</v>
      </c>
      <c r="AK28" s="400"/>
      <c r="AL28" s="400"/>
      <c r="AM28" s="400"/>
    </row>
    <row r="29">
      <c r="A29" s="179" t="s">
        <v>6709</v>
      </c>
      <c r="B29" s="323" t="s">
        <v>6710</v>
      </c>
      <c r="C29" s="325" t="s">
        <v>6711</v>
      </c>
      <c r="D29" s="400" t="s">
        <v>6712</v>
      </c>
      <c r="E29" s="320" t="str">
        <f>IFERROR(__xludf.DUMMYFUNCTION("GOOGLETRANSLATE(A29,""zh-tw"",""ja"")"),"巨神兵")</f>
        <v>巨神兵</v>
      </c>
      <c r="F29" s="323" t="s">
        <v>6713</v>
      </c>
      <c r="G29" s="325" t="s">
        <v>6714</v>
      </c>
      <c r="H29" s="401" t="str">
        <f>IFERROR(__xludf.DUMMYFUNCTION("GOOGLETRANSLATE(D29,""zh-tw"",""ja"")"),"タロットカード")</f>
        <v>タロットカード</v>
      </c>
      <c r="I29" s="179" t="s">
        <v>6715</v>
      </c>
      <c r="J29" s="323" t="s">
        <v>6716</v>
      </c>
      <c r="K29" s="325" t="s">
        <v>6717</v>
      </c>
      <c r="L29" s="400" t="s">
        <v>6718</v>
      </c>
      <c r="M29" s="320" t="str">
        <f>IFERROR(__xludf.DUMMYFUNCTION("GOOGLETRANSLATE(A29,""zh-tw"",""zh"")"),"巨神兵")</f>
        <v>巨神兵</v>
      </c>
      <c r="N29" s="321" t="str">
        <f>IFERROR(__xludf.DUMMYFUNCTION("GOOGLETRANSLATE(B29,""zh-tw"",""zh"")"),"神兵天将")</f>
        <v>神兵天将</v>
      </c>
      <c r="O29" s="322" t="str">
        <f>IFERROR(__xludf.DUMMYFUNCTION("GOOGLETRANSLATE(C29,""zh-tw"",""zh"")"),"状态持续期间武器巨大化，提升攻击范围和伤害")</f>
        <v>状态持续期间武器巨大化，提升攻击范围和伤害</v>
      </c>
      <c r="P29" s="401" t="str">
        <f>IFERROR(__xludf.DUMMYFUNCTION("GOOGLETRANSLATE(D29,""zh-tw"",""zh"")"),"塔罗牌")</f>
        <v>塔罗牌</v>
      </c>
      <c r="Q29" s="154" t="str">
        <f>IFERROR(__xludf.DUMMYFUNCTION("GOOGLETRANSLATE(A29,""zh-tw"",""es-MX"")"),"Soldado Dios Gigante")</f>
        <v>Soldado Dios Gigante</v>
      </c>
      <c r="R29" s="168" t="str">
        <f>IFERROR(__xludf.DUMMYFUNCTION("GOOGLETRANSLATE(B29,""zh-tw"",""es-MX"")"),"Soldados divinos y generales celestiales")</f>
        <v>Soldados divinos y generales celestiales</v>
      </c>
      <c r="S29" s="324" t="str">
        <f>IFERROR(__xludf.DUMMYFUNCTION("GOOGLETRANSLATE(C29,""zh-tw"",""es-MX"")"),"Durante la duración del efecto, el arma crece, aumentando su alcance de ataque y su daño.")</f>
        <v>Durante la duración del efecto, el arma crece, aumentando su alcance de ataque y su daño.</v>
      </c>
      <c r="T29" s="180" t="str">
        <f>IFERROR(__xludf.DUMMYFUNCTION("GOOGLETRANSLATE(D29,""zh-tw"",""es-MX"")"),"Cartas del tarot")</f>
        <v>Cartas del tarot</v>
      </c>
      <c r="U29" s="154" t="str">
        <f>IFERROR(__xludf.DUMMYFUNCTION("GOOGLETRANSLATE(A29,""zh-tw"",""KO"")"),"거신병")</f>
        <v>거신병</v>
      </c>
      <c r="V29" s="168" t="str">
        <f>IFERROR(__xludf.DUMMYFUNCTION("GOOGLETRANSLATE(B29,""zh-tw"",""KO"")"),"신성한 군인과 천상의 장군")</f>
        <v>신성한 군인과 천상의 장군</v>
      </c>
      <c r="W29" s="324" t="str">
        <f>IFERROR(__xludf.DUMMYFUNCTION("GOOGLETRANSLATE(C29,""zh-tw"",""KO"")"),"효과가 지속되는 동안 무기가 더 커져 공격 범위와 피해가 증가합니다.")</f>
        <v>효과가 지속되는 동안 무기가 더 커져 공격 범위와 피해가 증가합니다.</v>
      </c>
      <c r="X29" s="180" t="str">
        <f>IFERROR(__xludf.DUMMYFUNCTION("GOOGLETRANSLATE(D29,""zh-tw"",""KO"")"),"타로 카드")</f>
        <v>타로 카드</v>
      </c>
      <c r="Y29" s="320" t="str">
        <f>IFERROR(__xludf.DUMMYFUNCTION("GOOGLETRANSLATE(A29,""zh-tw"",""RU"")"),"Гигантский Божественный Солдат")</f>
        <v>Гигантский Божественный Солдат</v>
      </c>
      <c r="Z29" s="321" t="str">
        <f>IFERROR(__xludf.DUMMYFUNCTION("GOOGLETRANSLATE(B29,""zh-tw"",""RU"")"),"Божественные солдаты и небесные генералы")</f>
        <v>Божественные солдаты и небесные генералы</v>
      </c>
      <c r="AA29" s="322" t="str">
        <f>IFERROR(__xludf.DUMMYFUNCTION("GOOGLETRANSLATE(C29,""zh-tw"",""RU"")"),"Во время действия эффекта оружие увеличивается в размерах, увеличивая дальность его атаки и урон.")</f>
        <v>Во время действия эффекта оружие увеличивается в размерах, увеличивая дальность его атаки и урон.</v>
      </c>
      <c r="AB29" s="401" t="str">
        <f>IFERROR(__xludf.DUMMYFUNCTION("GOOGLETRANSLATE(D29,""zh-tw"",""RU"")"),"Карты Таро")</f>
        <v>Карты Таро</v>
      </c>
      <c r="AC29" s="320" t="str">
        <f>IFERROR(__xludf.DUMMYFUNCTION("GOOGLETRANSLATE(A29,""zh-tw"",""DE"")"),"Riesengottsoldat")</f>
        <v>Riesengottsoldat</v>
      </c>
      <c r="AD29" s="321" t="str">
        <f>IFERROR(__xludf.DUMMYFUNCTION("GOOGLETRANSLATE(B29,""zh-tw"",""DE"")"),"Göttliche Soldaten und himmlische Generäle")</f>
        <v>Göttliche Soldaten und himmlische Generäle</v>
      </c>
      <c r="AE29" s="322" t="str">
        <f>IFERROR(__xludf.DUMMYFUNCTION("GOOGLETRANSLATE(C29,""zh-tw"",""DE"")"),"Während der Wirkungsdauer vergrößert sich die Waffe, wodurch ihre Angriffsreichweite und ihr Schaden steigen.")</f>
        <v>Während der Wirkungsdauer vergrößert sich die Waffe, wodurch ihre Angriffsreichweite und ihr Schaden steigen.</v>
      </c>
      <c r="AF29" s="401" t="str">
        <f>IFERROR(__xludf.DUMMYFUNCTION("GOOGLETRANSLATE(D29,""zh-tw"",""DE"")"),"Tarotkarten")</f>
        <v>Tarotkarten</v>
      </c>
      <c r="AG29" s="160" t="s">
        <v>6719</v>
      </c>
      <c r="AH29" s="170" t="s">
        <v>6720</v>
      </c>
      <c r="AI29" s="326" t="s">
        <v>6721</v>
      </c>
      <c r="AJ29" s="189" t="s">
        <v>6722</v>
      </c>
      <c r="AK29" s="400"/>
      <c r="AL29" s="400"/>
      <c r="AM29" s="400"/>
    </row>
    <row r="30">
      <c r="A30" s="179" t="s">
        <v>6723</v>
      </c>
      <c r="B30" s="323" t="s">
        <v>6724</v>
      </c>
      <c r="C30" s="325" t="s">
        <v>6725</v>
      </c>
      <c r="D30" s="400" t="s">
        <v>6712</v>
      </c>
      <c r="E30" s="179" t="s">
        <v>6726</v>
      </c>
      <c r="F30" s="321" t="str">
        <f>IFERROR(__xludf.DUMMYFUNCTION("GOOGLETRANSLATE(B30,""zh-tw"",""ja"")"),"運命の流れ…")</f>
        <v>運命の流れ…</v>
      </c>
      <c r="G30" s="322" t="str">
        <f>IFERROR(__xludf.DUMMYFUNCTION("GOOGLETRANSLATE(C30,""zh-tw"",""ja"")"),"運命の祝福で幸せなことに出会いやすくなります！")</f>
        <v>運命の祝福で幸せなことに出会いやすくなります！</v>
      </c>
      <c r="H30" s="401" t="str">
        <f>IFERROR(__xludf.DUMMYFUNCTION("GOOGLETRANSLATE(D30,""zh-tw"",""ja"")"),"タロットカード")</f>
        <v>タロットカード</v>
      </c>
      <c r="I30" s="179" t="s">
        <v>6727</v>
      </c>
      <c r="J30" s="323" t="s">
        <v>6728</v>
      </c>
      <c r="K30" s="322" t="str">
        <f>IFERROR(__xludf.DUMMYFUNCTION("GOOGLETRANSLATE(C30,""zh-tw"",""en"")"),"With the blessing of fate, it's easier to encounter happy things!")</f>
        <v>With the blessing of fate, it's easier to encounter happy things!</v>
      </c>
      <c r="L30" s="400" t="s">
        <v>6729</v>
      </c>
      <c r="M30" s="320" t="str">
        <f>IFERROR(__xludf.DUMMYFUNCTION("GOOGLETRANSLATE(A30,""zh-tw"",""zh"")"),"命运之轮-正")</f>
        <v>命运之轮-正</v>
      </c>
      <c r="N30" s="321" t="str">
        <f>IFERROR(__xludf.DUMMYFUNCTION("GOOGLETRANSLATE(B30,""zh-tw"",""zh"")"),"命运的流动……")</f>
        <v>命运的流动……</v>
      </c>
      <c r="O30" s="322" t="str">
        <f>IFERROR(__xludf.DUMMYFUNCTION("GOOGLETRANSLATE(C30,""zh-tw"",""zh"")"),"得到命运的加护，更容易遇到开心的事情了！")</f>
        <v>得到命运的加护，更容易遇到开心的事情了！</v>
      </c>
      <c r="P30" s="401" t="str">
        <f>IFERROR(__xludf.DUMMYFUNCTION("GOOGLETRANSLATE(D30,""zh-tw"",""zh"")"),"塔罗牌")</f>
        <v>塔罗牌</v>
      </c>
      <c r="Q30" s="154" t="str">
        <f>IFERROR(__xludf.DUMMYFUNCTION("GOOGLETRANSLATE(A30,""zh-tw"",""es-MX"")"),"La rueda de la fortuna - Derecha")</f>
        <v>La rueda de la fortuna - Derecha</v>
      </c>
      <c r="R30" s="168" t="str">
        <f>IFERROR(__xludf.DUMMYFUNCTION("GOOGLETRANSLATE(B30,""zh-tw"",""es-MX"")"),"El flujo del destino...")</f>
        <v>El flujo del destino...</v>
      </c>
      <c r="S30" s="324" t="str">
        <f>IFERROR(__xludf.DUMMYFUNCTION("GOOGLETRANSLATE(C30,""zh-tw"",""es-MX"")"),"¡Con la bendición del destino, es más fácil encontrar cosas felices!")</f>
        <v>¡Con la bendición del destino, es más fácil encontrar cosas felices!</v>
      </c>
      <c r="T30" s="180" t="str">
        <f>IFERROR(__xludf.DUMMYFUNCTION("GOOGLETRANSLATE(D30,""zh-tw"",""es-MX"")"),"Cartas del tarot")</f>
        <v>Cartas del tarot</v>
      </c>
      <c r="U30" s="154" t="str">
        <f>IFERROR(__xludf.DUMMYFUNCTION("GOOGLETRANSLATE(A30,""zh-tw"",""KO"")"),"행운의 바퀴 - 오른쪽")</f>
        <v>행운의 바퀴 - 오른쪽</v>
      </c>
      <c r="V30" s="168" t="str">
        <f>IFERROR(__xludf.DUMMYFUNCTION("GOOGLETRANSLATE(B30,""zh-tw"",""KO"")"),"운명의 흐름...")</f>
        <v>운명의 흐름...</v>
      </c>
      <c r="W30" s="324" t="str">
        <f>IFERROR(__xludf.DUMMYFUNCTION("GOOGLETRANSLATE(C30,""zh-tw"",""KO"")"),"운명의 축복을 받으면 행복한 일이 더 쉽게 찾아올 거예요!")</f>
        <v>운명의 축복을 받으면 행복한 일이 더 쉽게 찾아올 거예요!</v>
      </c>
      <c r="X30" s="180" t="str">
        <f>IFERROR(__xludf.DUMMYFUNCTION("GOOGLETRANSLATE(D30,""zh-tw"",""KO"")"),"타로 카드")</f>
        <v>타로 카드</v>
      </c>
      <c r="Y30" s="320" t="str">
        <f>IFERROR(__xludf.DUMMYFUNCTION("GOOGLETRANSLATE(A30,""zh-tw"",""RU"")"),"Колесо Фортуны - Правое")</f>
        <v>Колесо Фортуны - Правое</v>
      </c>
      <c r="Z30" s="321" t="str">
        <f>IFERROR(__xludf.DUMMYFUNCTION("GOOGLETRANSLATE(B30,""zh-tw"",""RU"")"),"Поток судьбы...")</f>
        <v>Поток судьбы...</v>
      </c>
      <c r="AA30" s="322"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401" t="str">
        <f>IFERROR(__xludf.DUMMYFUNCTION("GOOGLETRANSLATE(D30,""zh-tw"",""RU"")"),"Карты Таро")</f>
        <v>Карты Таро</v>
      </c>
      <c r="AC30" s="320" t="str">
        <f>IFERROR(__xludf.DUMMYFUNCTION("GOOGLETRANSLATE(A30,""zh-tw"",""DE"")"),"Glücksrad - Rechts")</f>
        <v>Glücksrad - Rechts</v>
      </c>
      <c r="AD30" s="321" t="str">
        <f>IFERROR(__xludf.DUMMYFUNCTION("GOOGLETRANSLATE(B30,""zh-tw"",""DE"")"),"Der Lauf des Schicksals...")</f>
        <v>Der Lauf des Schicksals...</v>
      </c>
      <c r="AE30" s="322" t="str">
        <f>IFERROR(__xludf.DUMMYFUNCTION("GOOGLETRANSLATE(C30,""zh-tw"",""DE"")"),"Mit dem Segen des Schicksals begegnet man leichter glücklichen Dingen!")</f>
        <v>Mit dem Segen des Schicksals begegnet man leichter glücklichen Dingen!</v>
      </c>
      <c r="AF30" s="401" t="str">
        <f>IFERROR(__xludf.DUMMYFUNCTION("GOOGLETRANSLATE(D30,""zh-tw"",""DE"")"),"Tarotkarten")</f>
        <v>Tarotkarten</v>
      </c>
      <c r="AG30" s="160" t="s">
        <v>6730</v>
      </c>
      <c r="AH30" s="170" t="s">
        <v>6731</v>
      </c>
      <c r="AI30" s="326" t="s">
        <v>6732</v>
      </c>
      <c r="AJ30" s="189" t="s">
        <v>6733</v>
      </c>
      <c r="AK30" s="400"/>
      <c r="AL30" s="400"/>
      <c r="AM30" s="400"/>
    </row>
    <row r="31">
      <c r="A31" s="179" t="s">
        <v>6734</v>
      </c>
      <c r="B31" s="323" t="s">
        <v>6735</v>
      </c>
      <c r="C31" s="325" t="s">
        <v>6736</v>
      </c>
      <c r="D31" s="400" t="s">
        <v>6712</v>
      </c>
      <c r="E31" s="179" t="s">
        <v>6737</v>
      </c>
      <c r="F31" s="321" t="str">
        <f>IFERROR(__xludf.DUMMYFUNCTION("GOOGLETRANSLATE(B31,""zh-tw"",""ja"")"),"運命は流れる…")</f>
        <v>運命は流れる…</v>
      </c>
      <c r="G31" s="322" t="str">
        <f>IFERROR(__xludf.DUMMYFUNCTION("GOOGLETRANSLATE(C31,""zh-tw"",""ja"")"),"運命に恵まれると困難なことにも遭遇しやすくなります！")</f>
        <v>運命に恵まれると困難なことにも遭遇しやすくなります！</v>
      </c>
      <c r="H31" s="401" t="str">
        <f>IFERROR(__xludf.DUMMYFUNCTION("GOOGLETRANSLATE(D31,""zh-tw"",""ja"")"),"タロットカード")</f>
        <v>タロットカード</v>
      </c>
      <c r="I31" s="179" t="s">
        <v>6738</v>
      </c>
      <c r="J31" s="323" t="s">
        <v>6739</v>
      </c>
      <c r="K31" s="322" t="str">
        <f>IFERROR(__xludf.DUMMYFUNCTION("GOOGLETRANSLATE(C31,""zh-tw"",""en"")"),"Being blessed by fate makes it easier to encounter difficult things!")</f>
        <v>Being blessed by fate makes it easier to encounter difficult things!</v>
      </c>
      <c r="L31" s="400" t="s">
        <v>6729</v>
      </c>
      <c r="M31" s="320" t="str">
        <f>IFERROR(__xludf.DUMMYFUNCTION("GOOGLETRANSLATE(A31,""zh-tw"",""zh"")"),"命运之轮-逆")</f>
        <v>命运之轮-逆</v>
      </c>
      <c r="N31" s="321" t="str">
        <f>IFERROR(__xludf.DUMMYFUNCTION("GOOGLETRANSLATE(B31,""zh-tw"",""zh"")"),"命运流动……")</f>
        <v>命运流动……</v>
      </c>
      <c r="O31" s="322" t="str">
        <f>IFERROR(__xludf.DUMMYFUNCTION("GOOGLETRANSLATE(C31,""zh-tw"",""zh"")"),"得到命运的加护，更容易遇到难过的事情了！")</f>
        <v>得到命运的加护，更容易遇到难过的事情了！</v>
      </c>
      <c r="P31" s="401" t="str">
        <f>IFERROR(__xludf.DUMMYFUNCTION("GOOGLETRANSLATE(D31,""zh-tw"",""zh"")"),"塔罗牌")</f>
        <v>塔罗牌</v>
      </c>
      <c r="Q31" s="154" t="str">
        <f>IFERROR(__xludf.DUMMYFUNCTION("GOOGLETRANSLATE(A31,""zh-tw"",""es-MX"")"),"Rueda de la Fortuna - Inversa")</f>
        <v>Rueda de la Fortuna - Inversa</v>
      </c>
      <c r="R31" s="168" t="str">
        <f>IFERROR(__xludf.DUMMYFUNCTION("GOOGLETRANSLATE(B31,""zh-tw"",""es-MX"")"),"El destino fluye...")</f>
        <v>El destino fluye...</v>
      </c>
      <c r="S31" s="324" t="str">
        <f>IFERROR(__xludf.DUMMYFUNCTION("GOOGLETRANSLATE(C31,""zh-tw"",""es-MX"")"),"¡Estar bendecido por el destino hace más fácil afrontar las dificultades!")</f>
        <v>¡Estar bendecido por el destino hace más fácil afrontar las dificultades!</v>
      </c>
      <c r="T31" s="180" t="str">
        <f>IFERROR(__xludf.DUMMYFUNCTION("GOOGLETRANSLATE(D31,""zh-tw"",""es-MX"")"),"Cartas del tarot")</f>
        <v>Cartas del tarot</v>
      </c>
      <c r="U31" s="154" t="str">
        <f>IFERROR(__xludf.DUMMYFUNCTION("GOOGLETRANSLATE(A31,""zh-tw"",""KO"")"),"행운의 바퀴 - 역전")</f>
        <v>행운의 바퀴 - 역전</v>
      </c>
      <c r="V31" s="168" t="str">
        <f>IFERROR(__xludf.DUMMYFUNCTION("GOOGLETRANSLATE(B31,""zh-tw"",""KO"")"),"운명은 흐른다...")</f>
        <v>운명은 흐른다...</v>
      </c>
      <c r="W31" s="324" t="str">
        <f>IFERROR(__xludf.DUMMYFUNCTION("GOOGLETRANSLATE(C31,""zh-tw"",""KO"")"),"운명의 축복을 받으면 어려운 일을 겪기가 쉬워집니다!")</f>
        <v>운명의 축복을 받으면 어려운 일을 겪기가 쉬워집니다!</v>
      </c>
      <c r="X31" s="180" t="str">
        <f>IFERROR(__xludf.DUMMYFUNCTION("GOOGLETRANSLATE(D31,""zh-tw"",""KO"")"),"타로 카드")</f>
        <v>타로 카드</v>
      </c>
      <c r="Y31" s="320" t="str">
        <f>IFERROR(__xludf.DUMMYFUNCTION("GOOGLETRANSLATE(A31,""zh-tw"",""RU"")"),"Колесо Фортуны — Обратное")</f>
        <v>Колесо Фортуны — Обратное</v>
      </c>
      <c r="Z31" s="321" t="str">
        <f>IFERROR(__xludf.DUMMYFUNCTION("GOOGLETRANSLATE(B31,""zh-tw"",""RU"")"),"Судьба течет...")</f>
        <v>Судьба течет...</v>
      </c>
      <c r="AA31" s="322" t="str">
        <f>IFERROR(__xludf.DUMMYFUNCTION("GOOGLETRANSLATE(C31,""zh-tw"",""RU"")"),"Когда судьба благословляет тебя, тебе легче справляться со сложными вещами!")</f>
        <v>Когда судьба благословляет тебя, тебе легче справляться со сложными вещами!</v>
      </c>
      <c r="AB31" s="401" t="str">
        <f>IFERROR(__xludf.DUMMYFUNCTION("GOOGLETRANSLATE(D31,""zh-tw"",""RU"")"),"Карты Таро")</f>
        <v>Карты Таро</v>
      </c>
      <c r="AC31" s="320" t="str">
        <f>IFERROR(__xludf.DUMMYFUNCTION("GOOGLETRANSLATE(A31,""zh-tw"",""DE"")"),"Glücksrad - Rückwärts")</f>
        <v>Glücksrad - Rückwärts</v>
      </c>
      <c r="AD31" s="321" t="str">
        <f>IFERROR(__xludf.DUMMYFUNCTION("GOOGLETRANSLATE(B31,""zh-tw"",""DE"")"),"Das Schicksal bestimmt seinen Lauf...")</f>
        <v>Das Schicksal bestimmt seinen Lauf...</v>
      </c>
      <c r="AE31" s="322" t="str">
        <f>IFERROR(__xludf.DUMMYFUNCTION("GOOGLETRANSLATE(C31,""zh-tw"",""DE"")"),"Vom Schicksal begünstigt zu sein, erleichtert den Umgang mit schwierigen Dingen!")</f>
        <v>Vom Schicksal begünstigt zu sein, erleichtert den Umgang mit schwierigen Dingen!</v>
      </c>
      <c r="AF31" s="401" t="str">
        <f>IFERROR(__xludf.DUMMYFUNCTION("GOOGLETRANSLATE(D31,""zh-tw"",""DE"")"),"Tarotkarten")</f>
        <v>Tarotkarten</v>
      </c>
      <c r="AG31" s="160" t="s">
        <v>6740</v>
      </c>
      <c r="AH31" s="170" t="s">
        <v>6741</v>
      </c>
      <c r="AI31" s="326" t="s">
        <v>6742</v>
      </c>
      <c r="AJ31" s="189" t="s">
        <v>6733</v>
      </c>
      <c r="AK31" s="400"/>
      <c r="AL31" s="400"/>
      <c r="AM31" s="400"/>
    </row>
    <row r="32">
      <c r="A32" s="179" t="s">
        <v>6743</v>
      </c>
      <c r="B32" s="323" t="s">
        <v>6744</v>
      </c>
      <c r="C32" s="325" t="s">
        <v>6745</v>
      </c>
      <c r="D32" s="400" t="s">
        <v>5634</v>
      </c>
      <c r="E32" s="179" t="s">
        <v>6746</v>
      </c>
      <c r="F32" s="323" t="s">
        <v>6747</v>
      </c>
      <c r="G32" s="325" t="s">
        <v>6748</v>
      </c>
      <c r="H32" s="400" t="s">
        <v>5636</v>
      </c>
      <c r="I32" s="179" t="s">
        <v>6749</v>
      </c>
      <c r="J32" s="323" t="s">
        <v>6750</v>
      </c>
      <c r="K32" s="325" t="s">
        <v>6751</v>
      </c>
      <c r="L32" s="400" t="s">
        <v>5638</v>
      </c>
      <c r="M32" s="320" t="str">
        <f>IFERROR(__xludf.DUMMYFUNCTION("GOOGLETRANSLATE(A32,""zh-tw"",""zh"")"),"生命力")</f>
        <v>生命力</v>
      </c>
      <c r="N32" s="321" t="str">
        <f>IFERROR(__xludf.DUMMYFUNCTION("GOOGLETRANSLATE(B32,""zh-tw"",""zh"")"),"但是真的很难吃……")</f>
        <v>但是真的很难吃……</v>
      </c>
      <c r="O32" s="322" t="str">
        <f>IFERROR(__xludf.DUMMYFUNCTION("GOOGLETRANSLATE(C32,""zh-tw"",""zh"")"),"体内充满了生命力，体力增加了")</f>
        <v>体内充满了生命力，体力增加了</v>
      </c>
      <c r="P32" s="401" t="str">
        <f>IFERROR(__xludf.DUMMYFUNCTION("GOOGLETRANSLATE(D32,""zh-tw"",""zh"")"),"天上之石碎片")</f>
        <v>天上之石碎片</v>
      </c>
      <c r="Q32" s="154" t="str">
        <f>IFERROR(__xludf.DUMMYFUNCTION("GOOGLETRANSLATE(A32,""zh-tw"",""es-MX"")"),"vitalidad")</f>
        <v>vitalidad</v>
      </c>
      <c r="R32" s="168" t="str">
        <f>IFERROR(__xludf.DUMMYFUNCTION("GOOGLETRANSLATE(B32,""zh-tw"",""es-MX"")"),"Pero es muy difícil de comer…")</f>
        <v>Pero es muy difícil de comer…</v>
      </c>
      <c r="S32" s="324" t="str">
        <f>IFERROR(__xludf.DUMMYFUNCTION("GOOGLETRANSLATE(C32,""zh-tw"",""es-MX"")"),"Mi cuerpo rebosa de vitalidad y mi fuerza física ha aumentado.")</f>
        <v>Mi cuerpo rebosa de vitalidad y mi fuerza física ha aumentado.</v>
      </c>
      <c r="T32" s="180" t="str">
        <f>IFERROR(__xludf.DUMMYFUNCTION("GOOGLETRANSLATE(D32,""zh-tw"",""es-MX"")"),"Fragmentos de la Piedra Celestial")</f>
        <v>Fragmentos de la Piedra Celestial</v>
      </c>
      <c r="U32" s="154" t="str">
        <f>IFERROR(__xludf.DUMMYFUNCTION("GOOGLETRANSLATE(A32,""zh-tw"",""KO"")"),"활력")</f>
        <v>활력</v>
      </c>
      <c r="V32" s="168" t="str">
        <f>IFERROR(__xludf.DUMMYFUNCTION("GOOGLETRANSLATE(B32,""zh-tw"",""KO"")"),"하지만 먹기가 정말 힘들어요...")</f>
        <v>하지만 먹기가 정말 힘들어요...</v>
      </c>
      <c r="W32" s="324" t="str">
        <f>IFERROR(__xludf.DUMMYFUNCTION("GOOGLETRANSLATE(C32,""zh-tw"",""KO"")"),"내 몸은 활력으로 가득 차고, 체력도 증가했습니다.")</f>
        <v>내 몸은 활력으로 가득 차고, 체력도 증가했습니다.</v>
      </c>
      <c r="X32" s="180" t="str">
        <f>IFERROR(__xludf.DUMMYFUNCTION("GOOGLETRANSLATE(D32,""zh-tw"",""KO"")"),"천상의 돌 조각들")</f>
        <v>천상의 돌 조각들</v>
      </c>
      <c r="Y32" s="320" t="str">
        <f>IFERROR(__xludf.DUMMYFUNCTION("GOOGLETRANSLATE(A32,""zh-tw"",""RU"")"),"жизненная сила")</f>
        <v>жизненная сила</v>
      </c>
      <c r="Z32" s="321" t="str">
        <f>IFERROR(__xludf.DUMMYFUNCTION("GOOGLETRANSLATE(B32,""zh-tw"",""RU"")"),"Но его действительно трудно есть...")</f>
        <v>Но его действительно трудно есть...</v>
      </c>
      <c r="AA32" s="322" t="str">
        <f>IFERROR(__xludf.DUMMYFUNCTION("GOOGLETRANSLATE(C32,""zh-tw"",""RU"")"),"Мое тело полно жизненных сил, и моя физическая сила возросла.")</f>
        <v>Мое тело полно жизненных сил, и моя физическая сила возросла.</v>
      </c>
      <c r="AB32" s="401" t="str">
        <f>IFERROR(__xludf.DUMMYFUNCTION("GOOGLETRANSLATE(D32,""zh-tw"",""RU"")"),"Фрагменты Небесного Камня")</f>
        <v>Фрагменты Небесного Камня</v>
      </c>
      <c r="AC32" s="320" t="str">
        <f>IFERROR(__xludf.DUMMYFUNCTION("GOOGLETRANSLATE(A32,""zh-tw"",""DE"")"),"Vitalität")</f>
        <v>Vitalität</v>
      </c>
      <c r="AD32" s="321" t="str">
        <f>IFERROR(__xludf.DUMMYFUNCTION("GOOGLETRANSLATE(B32,""zh-tw"",""DE"")"),"Aber es ist wirklich schwer zu essen…")</f>
        <v>Aber es ist wirklich schwer zu essen…</v>
      </c>
      <c r="AE32" s="322" t="str">
        <f>IFERROR(__xludf.DUMMYFUNCTION("GOOGLETRANSLATE(C32,""zh-tw"",""DE"")"),"Mein Körper ist voller Vitalität und meine körperliche Kraft hat zugenommen.")</f>
        <v>Mein Körper ist voller Vitalität und meine körperliche Kraft hat zugenommen.</v>
      </c>
      <c r="AF32" s="401" t="str">
        <f>IFERROR(__xludf.DUMMYFUNCTION("GOOGLETRANSLATE(D32,""zh-tw"",""DE"")"),"Fragmente des Himmelssteins")</f>
        <v>Fragmente des Himmelssteins</v>
      </c>
      <c r="AG32" s="160" t="s">
        <v>6752</v>
      </c>
      <c r="AH32" s="170" t="s">
        <v>6753</v>
      </c>
      <c r="AI32" s="326" t="s">
        <v>6754</v>
      </c>
      <c r="AJ32" s="189" t="s">
        <v>5643</v>
      </c>
      <c r="AK32" s="400"/>
      <c r="AL32" s="400"/>
      <c r="AM32" s="400"/>
    </row>
    <row r="33">
      <c r="A33" s="179" t="s">
        <v>6755</v>
      </c>
      <c r="B33" s="323" t="s">
        <v>6756</v>
      </c>
      <c r="C33" s="325" t="s">
        <v>6757</v>
      </c>
      <c r="D33" s="400" t="s">
        <v>6758</v>
      </c>
      <c r="E33" s="179" t="s">
        <v>6759</v>
      </c>
      <c r="F33" s="323" t="s">
        <v>6760</v>
      </c>
      <c r="G33" s="322" t="str">
        <f>IFERROR(__xludf.DUMMYFUNCTION("GOOGLETRANSLATE(C33,""zh-tw"",""ja"")"),"体力とスタミナが不足すると、武器の性能を最大限に発揮できなくなります。")</f>
        <v>体力とスタミナが不足すると、武器の性能を最大限に発揮できなくなります。</v>
      </c>
      <c r="H33" s="400" t="s">
        <v>6761</v>
      </c>
      <c r="I33" s="179" t="s">
        <v>6762</v>
      </c>
      <c r="J33" s="323" t="s">
        <v>6763</v>
      </c>
      <c r="K33" s="325" t="s">
        <v>6764</v>
      </c>
      <c r="L33" s="400" t="s">
        <v>6765</v>
      </c>
      <c r="M33" s="320" t="str">
        <f>IFERROR(__xludf.DUMMYFUNCTION("GOOGLETRANSLATE(A33,""zh-tw"",""zh"")"),"力不从心")</f>
        <v>力不从心</v>
      </c>
      <c r="N33" s="321" t="str">
        <f>IFERROR(__xludf.DUMMYFUNCTION("GOOGLETRANSLATE(B33,""zh-tw"",""zh"")"),"拿、拿不动了……")</f>
        <v>拿、拿不动了……</v>
      </c>
      <c r="O33" s="322" t="str">
        <f>IFERROR(__xludf.DUMMYFUNCTION("GOOGLETRANSLATE(C33,""zh-tw"",""zh"")"),"力量和体力不足，无法发挥武器性能！")</f>
        <v>力量和体力不足，无法发挥武器性能！</v>
      </c>
      <c r="P33" s="401" t="str">
        <f>IFERROR(__xludf.DUMMYFUNCTION("GOOGLETRANSLATE(D33,""zh-tw"",""zh"")"),"银辉剑为达成条件")</f>
        <v>银辉剑为达成条件</v>
      </c>
      <c r="Q33" s="154" t="str">
        <f>IFERROR(__xludf.DUMMYFUNCTION("GOOGLETRANSLATE(A33,""zh-tw"",""es-MX"")"),"Sintiéndome impotente")</f>
        <v>Sintiéndome impotente</v>
      </c>
      <c r="R33" s="168" t="str">
        <f>IFERROR(__xludf.DUMMYFUNCTION("GOOGLETRANSLATE(B33,""zh-tw"",""es-MX"")"),"Ya no puedo levantarlo...")</f>
        <v>Ya no puedo levantarlo...</v>
      </c>
      <c r="S33" s="324" t="str">
        <f>IFERROR(__xludf.DUMMYFUNCTION("GOOGLETRANSLATE(C33,""zh-tw"",""es-MX"")"),"¡La falta de fuerza y ​​resistencia impide que el arma desarrolle todo su potencial!")</f>
        <v>¡La falta de fuerza y ​​resistencia impide que el arma desarrolle todo su potencial!</v>
      </c>
      <c r="T33" s="180" t="str">
        <f>IFERROR(__xludf.DUMMYFUNCTION("GOOGLETRANSLATE(D33,""zh-tw"",""es-MX"")"),"Se requiere la Espada de Plata para cumplir las condiciones.")</f>
        <v>Se requiere la Espada de Plata para cumplir las condiciones.</v>
      </c>
      <c r="U33" s="154" t="str">
        <f>IFERROR(__xludf.DUMMYFUNCTION("GOOGLETRANSLATE(A33,""zh-tw"",""KO"")"),"무력감을 느낀다")</f>
        <v>무력감을 느낀다</v>
      </c>
      <c r="V33" s="168" t="str">
        <f>IFERROR(__xludf.DUMMYFUNCTION("GOOGLETRANSLATE(B33,""zh-tw"",""KO"")"),"더 이상 들어올릴 수 없어요...")</f>
        <v>더 이상 들어올릴 수 없어요...</v>
      </c>
      <c r="W33" s="324" t="str">
        <f>IFERROR(__xludf.DUMMYFUNCTION("GOOGLETRANSLATE(C33,""zh-tw"",""KO"")"),"힘과 지구력이 부족하면 무기가 본래의 성능을 최대한 발휘하지 못합니다!")</f>
        <v>힘과 지구력이 부족하면 무기가 본래의 성능을 최대한 발휘하지 못합니다!</v>
      </c>
      <c r="X33" s="180" t="str">
        <f>IFERROR(__xludf.DUMMYFUNCTION("GOOGLETRANSLATE(D33,""zh-tw"",""KO"")"),"조건을 충족하려면 은검이 필요합니다.")</f>
        <v>조건을 충족하려면 은검이 필요합니다.</v>
      </c>
      <c r="Y33" s="320" t="str">
        <f>IFERROR(__xludf.DUMMYFUNCTION("GOOGLETRANSLATE(A33,""zh-tw"",""RU"")"),"Чувство бессилия")</f>
        <v>Чувство бессилия</v>
      </c>
      <c r="Z33" s="321" t="str">
        <f>IFERROR(__xludf.DUMMYFUNCTION("GOOGLETRANSLATE(B33,""zh-tw"",""RU"")"),"Я больше не могу его поднять...")</f>
        <v>Я больше не могу его поднять...</v>
      </c>
      <c r="AA33" s="322" t="str">
        <f>IFERROR(__xludf.DUMMYFUNCTION("GOOGLETRANSLATE(C33,""zh-tw"",""RU"")"),"Недостаточная сила и выносливость не позволяют оружию раскрыть весь свой потенциал!")</f>
        <v>Недостаточная сила и выносливость не позволяют оружию раскрыть весь свой потенциал!</v>
      </c>
      <c r="AB33" s="401" t="str">
        <f>IFERROR(__xludf.DUMMYFUNCTION("GOOGLETRANSLATE(D33,""zh-tw"",""RU"")"),"Для выполнения условий необходим Серебряный Меч.")</f>
        <v>Для выполнения условий необходим Серебряный Меч.</v>
      </c>
      <c r="AC33" s="320" t="str">
        <f>IFERROR(__xludf.DUMMYFUNCTION("GOOGLETRANSLATE(A33,""zh-tw"",""DE"")"),"Ich fühle mich machtlos")</f>
        <v>Ich fühle mich machtlos</v>
      </c>
      <c r="AD33" s="321" t="str">
        <f>IFERROR(__xludf.DUMMYFUNCTION("GOOGLETRANSLATE(B33,""zh-tw"",""DE"")"),"Ich kann es nicht mehr heben...")</f>
        <v>Ich kann es nicht mehr heben...</v>
      </c>
      <c r="AE33" s="322" t="str">
        <f>IFERROR(__xludf.DUMMYFUNCTION("GOOGLETRANSLATE(C33,""zh-tw"",""DE"")"),"Unzureichende Kraft und Ausdauer verhindern, dass die Waffe ihr volles Potenzial entfaltet!")</f>
        <v>Unzureichende Kraft und Ausdauer verhindern, dass die Waffe ihr volles Potenzial entfaltet!</v>
      </c>
      <c r="AF33" s="401" t="str">
        <f>IFERROR(__xludf.DUMMYFUNCTION("GOOGLETRANSLATE(D33,""zh-tw"",""DE"")"),"Das Silberschwert wird benötigt, um die Bedingungen zu erfüllen.")</f>
        <v>Das Silberschwert wird benötigt, um die Bedingungen zu erfüllen.</v>
      </c>
      <c r="AG33" s="160" t="s">
        <v>6766</v>
      </c>
      <c r="AH33" s="170" t="s">
        <v>6767</v>
      </c>
      <c r="AI33" s="326" t="s">
        <v>6768</v>
      </c>
      <c r="AJ33" s="189" t="s">
        <v>6769</v>
      </c>
      <c r="AK33" s="400"/>
      <c r="AL33" s="400"/>
      <c r="AM33" s="400"/>
    </row>
    <row r="34">
      <c r="A34" s="179" t="s">
        <v>6770</v>
      </c>
      <c r="B34" s="323" t="s">
        <v>6771</v>
      </c>
      <c r="C34" s="325" t="s">
        <v>6772</v>
      </c>
      <c r="D34" s="400" t="s">
        <v>5027</v>
      </c>
      <c r="E34" s="179" t="s">
        <v>6773</v>
      </c>
      <c r="F34" s="321" t="str">
        <f>IFERROR(__xludf.DUMMYFUNCTION("GOOGLETRANSLATE(B34,""zh-tw"",""ja"")"),"あなたに祝福を")</f>
        <v>あなたに祝福を</v>
      </c>
      <c r="G34" s="325" t="s">
        <v>6774</v>
      </c>
      <c r="H34" s="400" t="s">
        <v>5029</v>
      </c>
      <c r="I34" s="179" t="s">
        <v>6775</v>
      </c>
      <c r="J34" s="323" t="s">
        <v>6776</v>
      </c>
      <c r="K34" s="325" t="s">
        <v>6777</v>
      </c>
      <c r="L34" s="400" t="s">
        <v>5030</v>
      </c>
      <c r="M34" s="320" t="str">
        <f>IFERROR(__xludf.DUMMYFUNCTION("GOOGLETRANSLATE(A34,""zh-tw"",""zh"")"),"丰收的祝福")</f>
        <v>丰收的祝福</v>
      </c>
      <c r="N34" s="321" t="str">
        <f>IFERROR(__xludf.DUMMYFUNCTION("GOOGLETRANSLATE(B34,""zh-tw"",""zh"")"),"与汝享赐福")</f>
        <v>与汝享赐福</v>
      </c>
      <c r="O34" s="322" t="str">
        <f>IFERROR(__xludf.DUMMYFUNCTION("GOOGLETRANSLATE(C34,""zh-tw"",""zh"")"),"获得了圣杯的祝福，获取金钱翻倍")</f>
        <v>获得了圣杯的祝福，获取金钱翻倍</v>
      </c>
      <c r="P34" s="401" t="str">
        <f>IFERROR(__xludf.DUMMYFUNCTION("GOOGLETRANSLATE(D34,""zh-tw"",""zh"")"),"未满的黄金圣杯")</f>
        <v>未满的黄金圣杯</v>
      </c>
      <c r="Q34" s="154" t="str">
        <f>IFERROR(__xludf.DUMMYFUNCTION("GOOGLETRANSLATE(A34,""zh-tw"",""es-MX"")"),"Bendiciones de una cosecha abundante")</f>
        <v>Bendiciones de una cosecha abundante</v>
      </c>
      <c r="R34" s="168" t="str">
        <f>IFERROR(__xludf.DUMMYFUNCTION("GOOGLETRANSLATE(B34,""zh-tw"",""es-MX"")"),"Que Dios te bendiga con")</f>
        <v>Que Dios te bendiga con</v>
      </c>
      <c r="S34" s="324" t="str">
        <f>IFERROR(__xludf.DUMMYFUNCTION("GOOGLETRANSLATE(C34,""zh-tw"",""es-MX"")"),"Tras recibir la bendición del Santo Grial, tu dinero se duplicará.")</f>
        <v>Tras recibir la bendición del Santo Grial, tu dinero se duplicará.</v>
      </c>
      <c r="T34" s="180" t="str">
        <f>IFERROR(__xludf.DUMMYFUNCTION("GOOGLETRANSLATE(D34,""zh-tw"",""es-MX"")"),"El Santo Grial incompleto")</f>
        <v>El Santo Grial incompleto</v>
      </c>
      <c r="U34" s="154" t="str">
        <f>IFERROR(__xludf.DUMMYFUNCTION("GOOGLETRANSLATE(A34,""zh-tw"",""KO"")"),"풍성한 수확의 축복")</f>
        <v>풍성한 수확의 축복</v>
      </c>
      <c r="V34" s="168" t="str">
        <f>IFERROR(__xludf.DUMMYFUNCTION("GOOGLETRANSLATE(B34,""zh-tw"",""KO"")"),"당신에게 축복을 보냅니다")</f>
        <v>당신에게 축복을 보냅니다</v>
      </c>
      <c r="W34" s="324" t="str">
        <f>IFERROR(__xludf.DUMMYFUNCTION("GOOGLETRANSLATE(C34,""zh-tw"",""KO"")"),"성배의 축복을 받으면 당신의 돈은 두 배가 될 것입니다.")</f>
        <v>성배의 축복을 받으면 당신의 돈은 두 배가 될 것입니다.</v>
      </c>
      <c r="X34" s="180" t="str">
        <f>IFERROR(__xludf.DUMMYFUNCTION("GOOGLETRANSLATE(D34,""zh-tw"",""KO"")"),"불완전한 성배")</f>
        <v>불완전한 성배</v>
      </c>
      <c r="Y34" s="320" t="str">
        <f>IFERROR(__xludf.DUMMYFUNCTION("GOOGLETRANSLATE(A34,""zh-tw"",""RU"")"),"Благословения обильного урожая")</f>
        <v>Благословения обильного урожая</v>
      </c>
      <c r="Z34" s="321" t="str">
        <f>IFERROR(__xludf.DUMMYFUNCTION("GOOGLETRANSLATE(B34,""zh-tw"",""RU"")"),"Да благословит вас Бог")</f>
        <v>Да благословит вас Бог</v>
      </c>
      <c r="AA34" s="322" t="str">
        <f>IFERROR(__xludf.DUMMYFUNCTION("GOOGLETRANSLATE(C34,""zh-tw"",""RU"")"),"Получив благословение Святого Грааля, ваши деньги удвоятся.")</f>
        <v>Получив благословение Святого Грааля, ваши деньги удвоятся.</v>
      </c>
      <c r="AB34" s="401" t="str">
        <f>IFERROR(__xludf.DUMMYFUNCTION("GOOGLETRANSLATE(D34,""zh-tw"",""RU"")"),"Незавершённый Святой Грааль")</f>
        <v>Незавершённый Святой Грааль</v>
      </c>
      <c r="AC34" s="320" t="str">
        <f>IFERROR(__xludf.DUMMYFUNCTION("GOOGLETRANSLATE(A34,""zh-tw"",""DE"")"),"Segen einer reichen Ernte")</f>
        <v>Segen einer reichen Ernte</v>
      </c>
      <c r="AD34" s="321" t="str">
        <f>IFERROR(__xludf.DUMMYFUNCTION("GOOGLETRANSLATE(B34,""zh-tw"",""DE"")"),"Segne dich mit")</f>
        <v>Segne dich mit</v>
      </c>
      <c r="AE34" s="322" t="str">
        <f>IFERROR(__xludf.DUMMYFUNCTION("GOOGLETRANSLATE(C34,""zh-tw"",""DE"")"),"Nachdem Sie den Segen des Heiligen Grals erhalten haben, wird sich Ihr Geld verdoppeln.")</f>
        <v>Nachdem Sie den Segen des Heiligen Grals erhalten haben, wird sich Ihr Geld verdoppeln.</v>
      </c>
      <c r="AF34" s="401" t="str">
        <f>IFERROR(__xludf.DUMMYFUNCTION("GOOGLETRANSLATE(D34,""zh-tw"",""DE"")"),"Der unvollständige Heilige Gral")</f>
        <v>Der unvollständige Heilige Gral</v>
      </c>
      <c r="AG34" s="160" t="s">
        <v>6778</v>
      </c>
      <c r="AH34" s="170" t="s">
        <v>6779</v>
      </c>
      <c r="AI34" s="326" t="s">
        <v>6780</v>
      </c>
      <c r="AJ34" s="189" t="s">
        <v>6781</v>
      </c>
      <c r="AK34" s="400"/>
      <c r="AL34" s="400"/>
      <c r="AM34" s="400"/>
    </row>
    <row r="35">
      <c r="A35" s="179" t="s">
        <v>6782</v>
      </c>
      <c r="B35" s="323" t="s">
        <v>724</v>
      </c>
      <c r="C35" s="325" t="s">
        <v>724</v>
      </c>
      <c r="D35" s="400" t="s">
        <v>6783</v>
      </c>
      <c r="E35" s="320" t="str">
        <f>IFERROR(__xludf.DUMMYFUNCTION("GOOGLETRANSLATE(A35,""zh-tw"",""ja"")"),"氷床")</f>
        <v>氷床</v>
      </c>
      <c r="F35" s="321" t="str">
        <f>IFERROR(__xludf.DUMMYFUNCTION("GOOGLETRANSLATE(B35,""zh-tw"",""ja"")"),"-")</f>
        <v>-</v>
      </c>
      <c r="G35" s="322" t="str">
        <f>IFERROR(__xludf.DUMMYFUNCTION("GOOGLETRANSLATE(C35,""zh-tw"",""ja"")"),"-")</f>
        <v>-</v>
      </c>
      <c r="H35" s="401" t="str">
        <f>IFERROR(__xludf.DUMMYFUNCTION("GOOGLETRANSLATE(D35,""zh-tw"",""ja"")"),"例えば、古いバージョンのIce Staff")</f>
        <v>例えば、古いバージョンのIce Staff</v>
      </c>
      <c r="I35" s="179" t="s">
        <v>6784</v>
      </c>
      <c r="J35" s="321" t="str">
        <f>IFERROR(__xludf.DUMMYFUNCTION("GOOGLETRANSLATE(B35,""zh-tw"",""en"")"),"-")</f>
        <v>-</v>
      </c>
      <c r="K35" s="322" t="str">
        <f>IFERROR(__xludf.DUMMYFUNCTION("GOOGLETRANSLATE(C35,""zh-tw"",""en"")"),"-")</f>
        <v>-</v>
      </c>
      <c r="L35" s="400" t="s">
        <v>6785</v>
      </c>
      <c r="M35" s="320" t="str">
        <f>IFERROR(__xludf.DUMMYFUNCTION("GOOGLETRANSLATE(A35,""zh-tw"",""zh"")"),"冰地板")</f>
        <v>冰地板</v>
      </c>
      <c r="N35" s="321" t="str">
        <f>IFERROR(__xludf.DUMMYFUNCTION("GOOGLETRANSLATE(B35,""zh-tw"",""zh"")"),"-")</f>
        <v>-</v>
      </c>
      <c r="O35" s="322" t="str">
        <f>IFERROR(__xludf.DUMMYFUNCTION("GOOGLETRANSLATE(C35,""zh-tw"",""zh"")"),"-")</f>
        <v>-</v>
      </c>
      <c r="P35" s="401" t="str">
        <f>IFERROR(__xludf.DUMMYFUNCTION("GOOGLETRANSLATE(D35,""zh-tw"",""zh"")"),"例如:旧版本的寒冰杖")</f>
        <v>例如:旧版本的寒冰杖</v>
      </c>
      <c r="Q35" s="154" t="str">
        <f>IFERROR(__xludf.DUMMYFUNCTION("GOOGLETRANSLATE(A35,""zh-tw"",""es-MX"")"),"suelo de hielo")</f>
        <v>suelo de hielo</v>
      </c>
      <c r="R35" s="168" t="str">
        <f>IFERROR(__xludf.DUMMYFUNCTION("GOOGLETRANSLATE(B35,""zh-tw"",""es-MX"")"),"-")</f>
        <v>-</v>
      </c>
      <c r="S35" s="324" t="str">
        <f>IFERROR(__xludf.DUMMYFUNCTION("GOOGLETRANSLATE(C35,""zh-tw"",""es-MX"")"),"-")</f>
        <v>-</v>
      </c>
      <c r="T35" s="180" t="str">
        <f>IFERROR(__xludf.DUMMYFUNCTION("GOOGLETRANSLATE(D35,""zh-tw"",""es-MX"")"),"Por ejemplo: la versión antigua de Ice Staff")</f>
        <v>Por ejemplo: la versión antigua de Ice Staff</v>
      </c>
      <c r="U35" s="154" t="str">
        <f>IFERROR(__xludf.DUMMYFUNCTION("GOOGLETRANSLATE(A35,""zh-tw"",""KO"")"),"얼음 바닥")</f>
        <v>얼음 바닥</v>
      </c>
      <c r="V35" s="168" t="str">
        <f>IFERROR(__xludf.DUMMYFUNCTION("GOOGLETRANSLATE(B35,""zh-tw"",""KO"")"),"-")</f>
        <v>-</v>
      </c>
      <c r="W35" s="324" t="str">
        <f>IFERROR(__xludf.DUMMYFUNCTION("GOOGLETRANSLATE(C35,""zh-tw"",""KO"")"),"-")</f>
        <v>-</v>
      </c>
      <c r="X35" s="180" t="str">
        <f>IFERROR(__xludf.DUMMYFUNCTION("GOOGLETRANSLATE(D35,""zh-tw"",""KO"")"),"예를 들어: Ice Staff의 이전 버전")</f>
        <v>예를 들어: Ice Staff의 이전 버전</v>
      </c>
      <c r="Y35" s="320" t="str">
        <f>IFERROR(__xludf.DUMMYFUNCTION("GOOGLETRANSLATE(A35,""zh-tw"",""RU"")"),"Ледяной пол")</f>
        <v>Ледяной пол</v>
      </c>
      <c r="Z35" s="321" t="str">
        <f>IFERROR(__xludf.DUMMYFUNCTION("GOOGLETRANSLATE(B35,""zh-tw"",""RU"")"),"-")</f>
        <v>-</v>
      </c>
      <c r="AA35" s="322" t="str">
        <f>IFERROR(__xludf.DUMMYFUNCTION("GOOGLETRANSLATE(C35,""zh-tw"",""RU"")"),"-")</f>
        <v>-</v>
      </c>
      <c r="AB35" s="401" t="str">
        <f>IFERROR(__xludf.DUMMYFUNCTION("GOOGLETRANSLATE(D35,""zh-tw"",""RU"")"),"Например: старая версия Ice Staff")</f>
        <v>Например: старая версия Ice Staff</v>
      </c>
      <c r="AC35" s="320" t="str">
        <f>IFERROR(__xludf.DUMMYFUNCTION("GOOGLETRANSLATE(A35,""zh-tw"",""DE"")"),"Eisboden")</f>
        <v>Eisboden</v>
      </c>
      <c r="AD35" s="321" t="str">
        <f>IFERROR(__xludf.DUMMYFUNCTION("GOOGLETRANSLATE(B35,""zh-tw"",""DE"")"),"-")</f>
        <v>-</v>
      </c>
      <c r="AE35" s="322" t="str">
        <f>IFERROR(__xludf.DUMMYFUNCTION("GOOGLETRANSLATE(C35,""zh-tw"",""DE"")"),"-")</f>
        <v>-</v>
      </c>
      <c r="AF35" s="401" t="str">
        <f>IFERROR(__xludf.DUMMYFUNCTION("GOOGLETRANSLATE(D35,""zh-tw"",""DE"")"),"Zum Beispiel: die alte Version von Ice Staff")</f>
        <v>Zum Beispiel: die alte Version von Ice Staff</v>
      </c>
      <c r="AG35" s="160" t="s">
        <v>6786</v>
      </c>
      <c r="AH35" s="170" t="s">
        <v>724</v>
      </c>
      <c r="AI35" s="326" t="s">
        <v>724</v>
      </c>
      <c r="AJ35" s="189" t="s">
        <v>6787</v>
      </c>
      <c r="AK35" s="400"/>
      <c r="AL35" s="400"/>
      <c r="AM35" s="400"/>
    </row>
    <row r="36">
      <c r="A36" s="179" t="s">
        <v>6788</v>
      </c>
      <c r="B36" s="323" t="s">
        <v>6789</v>
      </c>
      <c r="C36" s="325" t="s">
        <v>6790</v>
      </c>
      <c r="D36" s="400" t="s">
        <v>4598</v>
      </c>
      <c r="E36" s="179" t="s">
        <v>4600</v>
      </c>
      <c r="F36" s="323" t="s">
        <v>6791</v>
      </c>
      <c r="G36" s="322" t="str">
        <f>IFERROR(__xludf.DUMMYFUNCTION("GOOGLETRANSLATE(C36,""zh-tw"",""ja"")"),"全属性が上昇し、一時的に無敵になる。")</f>
        <v>全属性が上昇し、一時的に無敵になる。</v>
      </c>
      <c r="H36" s="400" t="s">
        <v>4600</v>
      </c>
      <c r="I36" s="179" t="s">
        <v>4602</v>
      </c>
      <c r="J36" s="323" t="s">
        <v>6792</v>
      </c>
      <c r="K36" s="325" t="s">
        <v>6793</v>
      </c>
      <c r="L36" s="400" t="s">
        <v>4602</v>
      </c>
      <c r="M36" s="320" t="str">
        <f>IFERROR(__xludf.DUMMYFUNCTION("GOOGLETRANSLATE(A36,""zh-tw"",""zh"")"),"上古荣光")</f>
        <v>上古荣光</v>
      </c>
      <c r="N36" s="321" t="str">
        <f>IFERROR(__xludf.DUMMYFUNCTION("GOOGLETRANSLATE(B36,""zh-tw"",""zh"")"),"你散发着荣光")</f>
        <v>你散发着荣光</v>
      </c>
      <c r="O36" s="322" t="str">
        <f>IFERROR(__xludf.DUMMYFUNCTION("GOOGLETRANSLATE(C36,""zh-tw"",""zh"")"),"全属性上升，暂时无敌")</f>
        <v>全属性上升，暂时无敌</v>
      </c>
      <c r="P36" s="401" t="str">
        <f>IFERROR(__xludf.DUMMYFUNCTION("GOOGLETRANSLATE(D36,""zh-tw"",""zh"")"),"荒古荣光")</f>
        <v>荒古荣光</v>
      </c>
      <c r="Q36" s="154" t="str">
        <f>IFERROR(__xludf.DUMMYFUNCTION("GOOGLETRANSLATE(A36,""zh-tw"",""es-MX"")"),"Gloria Antigua")</f>
        <v>Gloria Antigua</v>
      </c>
      <c r="R36" s="168" t="str">
        <f>IFERROR(__xludf.DUMMYFUNCTION("GOOGLETRANSLATE(B36,""zh-tw"",""es-MX"")"),"Irradias gloria")</f>
        <v>Irradias gloria</v>
      </c>
      <c r="S36" s="324" t="str">
        <f>IFERROR(__xludf.DUMMYFUNCTION("GOOGLETRANSLATE(C36,""zh-tw"",""es-MX"")"),"Todos los atributos aumentaron, invencibles temporalmente.")</f>
        <v>Todos los atributos aumentaron, invencibles temporalmente.</v>
      </c>
      <c r="T36" s="180" t="str">
        <f>IFERROR(__xludf.DUMMYFUNCTION("GOOGLETRANSLATE(D36,""zh-tw"",""es-MX"")"),"Gloria Antigua")</f>
        <v>Gloria Antigua</v>
      </c>
      <c r="U36" s="154" t="str">
        <f>IFERROR(__xludf.DUMMYFUNCTION("GOOGLETRANSLATE(A36,""zh-tw"",""KO"")"),"고대의 영광")</f>
        <v>고대의 영광</v>
      </c>
      <c r="V36" s="168" t="str">
        <f>IFERROR(__xludf.DUMMYFUNCTION("GOOGLETRANSLATE(B36,""zh-tw"",""KO"")"),"당신은 영광을 발산합니다")</f>
        <v>당신은 영광을 발산합니다</v>
      </c>
      <c r="W36" s="324" t="str">
        <f>IFERROR(__xludf.DUMMYFUNCTION("GOOGLETRANSLATE(C36,""zh-tw"",""KO"")"),"모든 속성이 증가하고, 일시적으로 무적이 됩니다.")</f>
        <v>모든 속성이 증가하고, 일시적으로 무적이 됩니다.</v>
      </c>
      <c r="X36" s="180" t="str">
        <f>IFERROR(__xludf.DUMMYFUNCTION("GOOGLETRANSLATE(D36,""zh-tw"",""KO"")"),"고대의 영광")</f>
        <v>고대의 영광</v>
      </c>
      <c r="Y36" s="320" t="str">
        <f>IFERROR(__xludf.DUMMYFUNCTION("GOOGLETRANSLATE(A36,""zh-tw"",""RU"")"),"Древняя слава")</f>
        <v>Древняя слава</v>
      </c>
      <c r="Z36" s="321" t="str">
        <f>IFERROR(__xludf.DUMMYFUNCTION("GOOGLETRANSLATE(B36,""zh-tw"",""RU"")"),"Ты излучаешь славу")</f>
        <v>Ты излучаешь славу</v>
      </c>
      <c r="AA36" s="322" t="str">
        <f>IFERROR(__xludf.DUMMYFUNCTION("GOOGLETRANSLATE(C36,""zh-tw"",""RU"")"),"Все характеристики увеличены, временно неуязвим.")</f>
        <v>Все характеристики увеличены, временно неуязвим.</v>
      </c>
      <c r="AB36" s="401" t="str">
        <f>IFERROR(__xludf.DUMMYFUNCTION("GOOGLETRANSLATE(D36,""zh-tw"",""RU"")"),"Древняя слава")</f>
        <v>Древняя слава</v>
      </c>
      <c r="AC36" s="154" t="str">
        <f>IFERROR(__xludf.DUMMYFUNCTION("GOOGLETRANSLATE(A36,""zh-tw"",""DE"")"),"Antiker Ruhm")</f>
        <v>Antiker Ruhm</v>
      </c>
      <c r="AD36" s="321" t="str">
        <f>IFERROR(__xludf.DUMMYFUNCTION("GOOGLETRANSLATE(B36,""zh-tw"",""DE"")"),"Du strahlst Glanz aus")</f>
        <v>Du strahlst Glanz aus</v>
      </c>
      <c r="AE36" s="322" t="str">
        <f>IFERROR(__xludf.DUMMYFUNCTION("GOOGLETRANSLATE(C36,""zh-tw"",""DE"")"),"Alle Attribute erhöht, vorübergehend unbesiegbar.")</f>
        <v>Alle Attribute erhöht, vorübergehend unbesiegbar.</v>
      </c>
      <c r="AF36" s="401" t="str">
        <f>IFERROR(__xludf.DUMMYFUNCTION("GOOGLETRANSLATE(D36,""zh-tw"",""DE"")"),"Antiker Ruhm")</f>
        <v>Antiker Ruhm</v>
      </c>
      <c r="AG36" s="160" t="s">
        <v>6794</v>
      </c>
      <c r="AH36" s="170" t="s">
        <v>6795</v>
      </c>
      <c r="AI36" s="326" t="s">
        <v>6796</v>
      </c>
      <c r="AJ36" s="189" t="s">
        <v>6794</v>
      </c>
      <c r="AK36" s="400"/>
      <c r="AL36" s="400"/>
      <c r="AM36" s="400"/>
    </row>
    <row r="37">
      <c r="A37" s="179" t="s">
        <v>2689</v>
      </c>
      <c r="B37" s="323" t="s">
        <v>6797</v>
      </c>
      <c r="C37" s="325" t="s">
        <v>6798</v>
      </c>
      <c r="D37" s="400" t="s">
        <v>6799</v>
      </c>
      <c r="E37" s="179" t="s">
        <v>2692</v>
      </c>
      <c r="F37" s="323" t="s">
        <v>6800</v>
      </c>
      <c r="G37" s="322" t="str">
        <f>IFERROR(__xludf.DUMMYFUNCTION("GOOGLETRANSLATE(C37,""zh-tw"",""ja"")"),"スタミナを回復できない")</f>
        <v>スタミナを回復できない</v>
      </c>
      <c r="H37" s="400" t="s">
        <v>4234</v>
      </c>
      <c r="I37" s="179" t="s">
        <v>4236</v>
      </c>
      <c r="J37" s="323" t="s">
        <v>6801</v>
      </c>
      <c r="K37" s="325" t="s">
        <v>6802</v>
      </c>
      <c r="L37" s="400" t="s">
        <v>4236</v>
      </c>
      <c r="M37" s="320" t="str">
        <f>IFERROR(__xludf.DUMMYFUNCTION("GOOGLETRANSLATE(A37,""zh-tw"",""zh"")"),"稻草人")</f>
        <v>稻草人</v>
      </c>
      <c r="N37" s="321" t="str">
        <f>IFERROR(__xludf.DUMMYFUNCTION("GOOGLETRANSLATE(B37,""zh-tw"",""zh"")"),"不死的稻草人之心")</f>
        <v>不死的稻草人之心</v>
      </c>
      <c r="O37" s="322" t="str">
        <f>IFERROR(__xludf.DUMMYFUNCTION("GOOGLETRANSLATE(C37,""zh-tw"",""zh"")"),"无法回复体力")</f>
        <v>无法回复体力</v>
      </c>
      <c r="P37" s="401" t="str">
        <f>IFERROR(__xludf.DUMMYFUNCTION("GOOGLETRANSLATE(D37,""zh-tw"",""zh"")"),"稻草人之心")</f>
        <v>稻草人之心</v>
      </c>
      <c r="Q37" s="154" t="str">
        <f>IFERROR(__xludf.DUMMYFUNCTION("GOOGLETRANSLATE(A37,""zh-tw"",""es-MX"")"),"espantapájaros")</f>
        <v>espantapájaros</v>
      </c>
      <c r="R37" s="168" t="str">
        <f>IFERROR(__xludf.DUMMYFUNCTION("GOOGLETRANSLATE(B37,""zh-tw"",""es-MX"")"),"El corazón inmortal del espantapájaros")</f>
        <v>El corazón inmortal del espantapájaros</v>
      </c>
      <c r="S37" s="324" t="str">
        <f>IFERROR(__xludf.DUMMYFUNCTION("GOOGLETRANSLATE(C37,""zh-tw"",""es-MX"")"),"Incapaz de recuperar la resistencia")</f>
        <v>Incapaz de recuperar la resistencia</v>
      </c>
      <c r="T37" s="180" t="str">
        <f>IFERROR(__xludf.DUMMYFUNCTION("GOOGLETRANSLATE(D37,""zh-tw"",""es-MX"")"),"El corazón del espantapájaros")</f>
        <v>El corazón del espantapájaros</v>
      </c>
      <c r="U37" s="154" t="str">
        <f>IFERROR(__xludf.DUMMYFUNCTION("GOOGLETRANSLATE(A37,""zh-tw"",""KO"")"),"허수아비")</f>
        <v>허수아비</v>
      </c>
      <c r="V37" s="168" t="str">
        <f>IFERROR(__xludf.DUMMYFUNCTION("GOOGLETRANSLATE(B37,""zh-tw"",""KO"")"),"죽지 않는 허수아비의 심장")</f>
        <v>죽지 않는 허수아비의 심장</v>
      </c>
      <c r="W37" s="324" t="str">
        <f>IFERROR(__xludf.DUMMYFUNCTION("GOOGLETRANSLATE(C37,""zh-tw"",""KO"")"),"체력 회복이 불가능합니다")</f>
        <v>체력 회복이 불가능합니다</v>
      </c>
      <c r="X37" s="180" t="str">
        <f>IFERROR(__xludf.DUMMYFUNCTION("GOOGLETRANSLATE(D37,""zh-tw"",""KO"")"),"허수아비의 심장")</f>
        <v>허수아비의 심장</v>
      </c>
      <c r="Y37" s="320" t="str">
        <f>IFERROR(__xludf.DUMMYFUNCTION("GOOGLETRANSLATE(A37,""zh-tw"",""RU"")"),"пугало")</f>
        <v>пугало</v>
      </c>
      <c r="Z37" s="321" t="str">
        <f>IFERROR(__xludf.DUMMYFUNCTION("GOOGLETRANSLATE(B37,""zh-tw"",""RU"")"),"Сердце бессмертного пугала")</f>
        <v>Сердце бессмертного пугала</v>
      </c>
      <c r="AA37" s="322" t="str">
        <f>IFERROR(__xludf.DUMMYFUNCTION("GOOGLETRANSLATE(C37,""zh-tw"",""RU"")"),"Невозможно восстановить выносливость")</f>
        <v>Невозможно восстановить выносливость</v>
      </c>
      <c r="AB37" s="401" t="str">
        <f>IFERROR(__xludf.DUMMYFUNCTION("GOOGLETRANSLATE(D37,""zh-tw"",""RU"")"),"Сердце Пугала")</f>
        <v>Сердце Пугала</v>
      </c>
      <c r="AC37" s="320" t="str">
        <f>IFERROR(__xludf.DUMMYFUNCTION("GOOGLETRANSLATE(A37,""zh-tw"",""DE"")"),"Vogelscheuche")</f>
        <v>Vogelscheuche</v>
      </c>
      <c r="AD37" s="321" t="str">
        <f>IFERROR(__xludf.DUMMYFUNCTION("GOOGLETRANSLATE(B37,""zh-tw"",""DE"")"),"Das unsterbliche Herz der Vogelscheuche")</f>
        <v>Das unsterbliche Herz der Vogelscheuche</v>
      </c>
      <c r="AE37" s="322" t="str">
        <f>IFERROR(__xludf.DUMMYFUNCTION("GOOGLETRANSLATE(C37,""zh-tw"",""DE"")"),"Ausdauer kann nicht wiederhergestellt werden")</f>
        <v>Ausdauer kann nicht wiederhergestellt werden</v>
      </c>
      <c r="AF37" s="401" t="str">
        <f>IFERROR(__xludf.DUMMYFUNCTION("GOOGLETRANSLATE(D37,""zh-tw"",""DE"")"),"Vogelscheuchenherz")</f>
        <v>Vogelscheuchenherz</v>
      </c>
      <c r="AG37" s="160" t="s">
        <v>4242</v>
      </c>
      <c r="AH37" s="170" t="s">
        <v>6803</v>
      </c>
      <c r="AI37" s="326" t="s">
        <v>6804</v>
      </c>
      <c r="AJ37" s="189" t="s">
        <v>4242</v>
      </c>
      <c r="AK37" s="400"/>
      <c r="AL37" s="400"/>
      <c r="AM37" s="400"/>
    </row>
    <row r="38">
      <c r="A38" s="179" t="s">
        <v>6805</v>
      </c>
      <c r="B38" s="323" t="s">
        <v>724</v>
      </c>
      <c r="C38" s="325" t="s">
        <v>6806</v>
      </c>
      <c r="D38" s="400" t="s">
        <v>6807</v>
      </c>
      <c r="E38" s="320" t="str">
        <f>IFERROR(__xludf.DUMMYFUNCTION("GOOGLETRANSLATE(A38,""zh-tw"",""ja"")"),"水泳")</f>
        <v>水泳</v>
      </c>
      <c r="F38" s="321" t="str">
        <f>IFERROR(__xludf.DUMMYFUNCTION("GOOGLETRANSLATE(B38,""zh-tw"",""ja"")"),"-")</f>
        <v>-</v>
      </c>
      <c r="G38" s="322" t="str">
        <f>IFERROR(__xludf.DUMMYFUNCTION("GOOGLETRANSLATE(C38,""zh-tw"",""ja"")"),"水に浮くと移動速度が低下し、攻撃もできなくなります。")</f>
        <v>水に浮くと移動速度が低下し、攻撃もできなくなります。</v>
      </c>
      <c r="H38" s="401" t="str">
        <f>IFERROR(__xludf.DUMMYFUNCTION("GOOGLETRANSLATE(D38,""zh-tw"",""ja"")"),"泳ぐ")</f>
        <v>泳ぐ</v>
      </c>
      <c r="I38" s="179" t="s">
        <v>6808</v>
      </c>
      <c r="J38" s="321" t="str">
        <f>IFERROR(__xludf.DUMMYFUNCTION("GOOGLETRANSLATE(B38,""zh-tw"",""en"")"),"-")</f>
        <v>-</v>
      </c>
      <c r="K38" s="325" t="s">
        <v>6809</v>
      </c>
      <c r="L38" s="400" t="s">
        <v>6810</v>
      </c>
      <c r="M38" s="320" t="str">
        <f>IFERROR(__xludf.DUMMYFUNCTION("GOOGLETRANSLATE(A38,""zh-tw"",""zh"")"),"游泳中")</f>
        <v>游泳中</v>
      </c>
      <c r="N38" s="321" t="str">
        <f>IFERROR(__xludf.DUMMYFUNCTION("GOOGLETRANSLATE(B38,""zh-tw"",""zh"")"),"-")</f>
        <v>-</v>
      </c>
      <c r="O38" s="322" t="str">
        <f>IFERROR(__xludf.DUMMYFUNCTION("GOOGLETRANSLATE(C38,""zh-tw"",""zh"")"),"浮在水面上，移速下降，无法攻击")</f>
        <v>浮在水面上，移速下降，无法攻击</v>
      </c>
      <c r="P38" s="401" t="str">
        <f>IFERROR(__xludf.DUMMYFUNCTION("GOOGLETRANSLATE(D38,""zh-tw"",""zh"")"),"游泳")</f>
        <v>游泳</v>
      </c>
      <c r="Q38" s="154" t="str">
        <f>IFERROR(__xludf.DUMMYFUNCTION("GOOGLETRANSLATE(A38,""zh-tw"",""es-MX"")"),"Nadar")</f>
        <v>Nadar</v>
      </c>
      <c r="R38" s="168" t="str">
        <f>IFERROR(__xludf.DUMMYFUNCTION("GOOGLETRANSLATE(B38,""zh-tw"",""es-MX"")"),"-")</f>
        <v>-</v>
      </c>
      <c r="S38" s="324" t="str">
        <f>IFERROR(__xludf.DUMMYFUNCTION("GOOGLETRANSLATE(C38,""zh-tw"",""es-MX"")"),"Al flotar en el agua, la velocidad de movimiento disminuye y los ataques se vuelven imposibles.")</f>
        <v>Al flotar en el agua, la velocidad de movimiento disminuye y los ataques se vuelven imposibles.</v>
      </c>
      <c r="T38" s="180" t="str">
        <f>IFERROR(__xludf.DUMMYFUNCTION("GOOGLETRANSLATE(D38,""zh-tw"",""es-MX"")"),"nadar")</f>
        <v>nadar</v>
      </c>
      <c r="U38" s="154" t="str">
        <f>IFERROR(__xludf.DUMMYFUNCTION("GOOGLETRANSLATE(A38,""zh-tw"",""KO"")"),"수영")</f>
        <v>수영</v>
      </c>
      <c r="V38" s="168" t="str">
        <f>IFERROR(__xludf.DUMMYFUNCTION("GOOGLETRANSLATE(B38,""zh-tw"",""KO"")"),"-")</f>
        <v>-</v>
      </c>
      <c r="W38" s="324" t="str">
        <f>IFERROR(__xludf.DUMMYFUNCTION("GOOGLETRANSLATE(C38,""zh-tw"",""KO"")"),"물 위에 떠 있는 동안에는 이동 속도가 감소하고 공격이 불가능해집니다.")</f>
        <v>물 위에 떠 있는 동안에는 이동 속도가 감소하고 공격이 불가능해집니다.</v>
      </c>
      <c r="X38" s="180" t="str">
        <f>IFERROR(__xludf.DUMMYFUNCTION("GOOGLETRANSLATE(D38,""zh-tw"",""KO"")"),"헤엄")</f>
        <v>헤엄</v>
      </c>
      <c r="Y38" s="320" t="str">
        <f>IFERROR(__xludf.DUMMYFUNCTION("GOOGLETRANSLATE(A38,""zh-tw"",""RU"")"),"Плавание")</f>
        <v>Плавание</v>
      </c>
      <c r="Z38" s="321" t="str">
        <f>IFERROR(__xludf.DUMMYFUNCTION("GOOGLETRANSLATE(B38,""zh-tw"",""RU"")"),"-")</f>
        <v>-</v>
      </c>
      <c r="AA38" s="322" t="str">
        <f>IFERROR(__xludf.DUMMYFUNCTION("GOOGLETRANSLATE(C38,""zh-tw"",""RU"")"),"Находясь на воде, скорость передвижения снижается, а атаки становятся невозможными.")</f>
        <v>Находясь на воде, скорость передвижения снижается, а атаки становятся невозможными.</v>
      </c>
      <c r="AB38" s="401" t="str">
        <f>IFERROR(__xludf.DUMMYFUNCTION("GOOGLETRANSLATE(D38,""zh-tw"",""RU"")"),"плавать")</f>
        <v>плавать</v>
      </c>
      <c r="AC38" s="320" t="str">
        <f>IFERROR(__xludf.DUMMYFUNCTION("GOOGLETRANSLATE(A38,""zh-tw"",""DE"")"),"Baden")</f>
        <v>Baden</v>
      </c>
      <c r="AD38" s="321" t="str">
        <f>IFERROR(__xludf.DUMMYFUNCTION("GOOGLETRANSLATE(B38,""zh-tw"",""DE"")"),"-")</f>
        <v>-</v>
      </c>
      <c r="AE38" s="322" t="str">
        <f>IFERROR(__xludf.DUMMYFUNCTION("GOOGLETRANSLATE(C38,""zh-tw"",""DE"")"),"Auf dem Wasser treibend, verringert sich die Bewegungsgeschwindigkeit und Angriffe werden unmöglich.")</f>
        <v>Auf dem Wasser treibend, verringert sich die Bewegungsgeschwindigkeit und Angriffe werden unmöglich.</v>
      </c>
      <c r="AF38" s="401" t="str">
        <f>IFERROR(__xludf.DUMMYFUNCTION("GOOGLETRANSLATE(D38,""zh-tw"",""DE"")"),"schwimmen")</f>
        <v>schwimmen</v>
      </c>
      <c r="AG38" s="160" t="s">
        <v>6811</v>
      </c>
      <c r="AH38" s="170" t="s">
        <v>724</v>
      </c>
      <c r="AI38" s="326" t="s">
        <v>6812</v>
      </c>
      <c r="AJ38" s="189" t="s">
        <v>6813</v>
      </c>
      <c r="AK38" s="400"/>
      <c r="AL38" s="400"/>
      <c r="AM38" s="400"/>
    </row>
    <row r="39">
      <c r="A39" s="179" t="s">
        <v>6814</v>
      </c>
      <c r="B39" s="323" t="s">
        <v>6815</v>
      </c>
      <c r="C39" s="325" t="s">
        <v>6816</v>
      </c>
      <c r="D39" s="400" t="s">
        <v>4422</v>
      </c>
      <c r="E39" s="320" t="str">
        <f>IFERROR(__xludf.DUMMYFUNCTION("GOOGLETRANSLATE(A39,""zh-tw"",""ja"")"),"騎士道")</f>
        <v>騎士道</v>
      </c>
      <c r="F39" s="321" t="str">
        <f>IFERROR(__xludf.DUMMYFUNCTION("GOOGLETRANSLATE(B39,""zh-tw"",""ja"")"),"我々は守護者だ。")</f>
        <v>我々は守護者だ。</v>
      </c>
      <c r="G39" s="322" t="str">
        <f>IFERROR(__xludf.DUMMYFUNCTION("GOOGLETRANSLATE(C39,""zh-tw"",""ja"")"),"攻撃力が30増加")</f>
        <v>攻撃力が30増加</v>
      </c>
      <c r="H39" s="401" t="str">
        <f>IFERROR(__xludf.DUMMYFUNCTION("GOOGLETRANSLATE(D39,""zh-tw"",""ja"")"),"騎士の剣")</f>
        <v>騎士の剣</v>
      </c>
      <c r="I39" s="179" t="s">
        <v>6817</v>
      </c>
      <c r="J39" s="323" t="s">
        <v>6818</v>
      </c>
      <c r="K39" s="325" t="s">
        <v>6819</v>
      </c>
      <c r="L39" s="400" t="s">
        <v>3999</v>
      </c>
      <c r="M39" s="320" t="str">
        <f>IFERROR(__xludf.DUMMYFUNCTION("GOOGLETRANSLATE(A39,""zh-tw"",""zh"")"),"骑士精神")</f>
        <v>骑士精神</v>
      </c>
      <c r="N39" s="321" t="str">
        <f>IFERROR(__xludf.DUMMYFUNCTION("GOOGLETRANSLATE(B39,""zh-tw"",""zh"")"),"我等乃是守护者")</f>
        <v>我等乃是守护者</v>
      </c>
      <c r="O39" s="322" t="str">
        <f>IFERROR(__xludf.DUMMYFUNCTION("GOOGLETRANSLATE(C39,""zh-tw"",""zh"")"),"攻击力提升30")</f>
        <v>攻击力提升30</v>
      </c>
      <c r="P39" s="401" t="str">
        <f>IFERROR(__xludf.DUMMYFUNCTION("GOOGLETRANSLATE(D39,""zh-tw"",""zh"")"),"骑士之剑")</f>
        <v>骑士之剑</v>
      </c>
      <c r="Q39" s="154" t="str">
        <f>IFERROR(__xludf.DUMMYFUNCTION("GOOGLETRANSLATE(A39,""zh-tw"",""es-MX"")"),"Caballería")</f>
        <v>Caballería</v>
      </c>
      <c r="R39" s="168" t="str">
        <f>IFERROR(__xludf.DUMMYFUNCTION("GOOGLETRANSLATE(B39,""zh-tw"",""es-MX"")"),"Somos los guardianes.")</f>
        <v>Somos los guardianes.</v>
      </c>
      <c r="S39" s="324" t="str">
        <f>IFERROR(__xludf.DUMMYFUNCTION("GOOGLETRANSLATE(C39,""zh-tw"",""es-MX"")"),"Aumenta el poder de ataque en 30")</f>
        <v>Aumenta el poder de ataque en 30</v>
      </c>
      <c r="T39" s="180" t="str">
        <f>IFERROR(__xludf.DUMMYFUNCTION("GOOGLETRANSLATE(D39,""zh-tw"",""es-MX"")"),"Espada de caballero")</f>
        <v>Espada de caballero</v>
      </c>
      <c r="U39" s="154" t="str">
        <f>IFERROR(__xludf.DUMMYFUNCTION("GOOGLETRANSLATE(A39,""zh-tw"",""KO"")"),"기사도")</f>
        <v>기사도</v>
      </c>
      <c r="V39" s="168" t="str">
        <f>IFERROR(__xludf.DUMMYFUNCTION("GOOGLETRANSLATE(B39,""zh-tw"",""KO"")"),"우리는 수호자입니다.")</f>
        <v>우리는 수호자입니다.</v>
      </c>
      <c r="W39" s="324" t="str">
        <f>IFERROR(__xludf.DUMMYFUNCTION("GOOGLETRANSLATE(C39,""zh-tw"",""KO"")"),"공격력 30 증가")</f>
        <v>공격력 30 증가</v>
      </c>
      <c r="X39" s="180" t="str">
        <f>IFERROR(__xludf.DUMMYFUNCTION("GOOGLETRANSLATE(D39,""zh-tw"",""KO"")"),"기사의 검")</f>
        <v>기사의 검</v>
      </c>
      <c r="Y39" s="320" t="str">
        <f>IFERROR(__xludf.DUMMYFUNCTION("GOOGLETRANSLATE(A39,""zh-tw"",""RU"")"),"Рыцарство")</f>
        <v>Рыцарство</v>
      </c>
      <c r="Z39" s="321" t="str">
        <f>IFERROR(__xludf.DUMMYFUNCTION("GOOGLETRANSLATE(B39,""zh-tw"",""RU"")"),"Мы — хранители.")</f>
        <v>Мы — хранители.</v>
      </c>
      <c r="AA39" s="322" t="str">
        <f>IFERROR(__xludf.DUMMYFUNCTION("GOOGLETRANSLATE(C39,""zh-tw"",""RU"")"),"Увеличивает силу атаки на 30")</f>
        <v>Увеличивает силу атаки на 30</v>
      </c>
      <c r="AB39" s="401" t="str">
        <f>IFERROR(__xludf.DUMMYFUNCTION("GOOGLETRANSLATE(D39,""zh-tw"",""RU"")"),"Рыцарский меч")</f>
        <v>Рыцарский меч</v>
      </c>
      <c r="AC39" s="320" t="str">
        <f>IFERROR(__xludf.DUMMYFUNCTION("GOOGLETRANSLATE(A39,""zh-tw"",""DE"")"),"Ritterlichkeit")</f>
        <v>Ritterlichkeit</v>
      </c>
      <c r="AD39" s="321" t="str">
        <f>IFERROR(__xludf.DUMMYFUNCTION("GOOGLETRANSLATE(B39,""zh-tw"",""DE"")"),"Wir sind die Wächter.")</f>
        <v>Wir sind die Wächter.</v>
      </c>
      <c r="AE39" s="322" t="str">
        <f>IFERROR(__xludf.DUMMYFUNCTION("GOOGLETRANSLATE(C39,""zh-tw"",""DE"")"),"Erhöht die Angriffskraft um 30")</f>
        <v>Erhöht die Angriffskraft um 30</v>
      </c>
      <c r="AF39" s="401" t="str">
        <f>IFERROR(__xludf.DUMMYFUNCTION("GOOGLETRANSLATE(D39,""zh-tw"",""DE"")"),"Ritterschwert")</f>
        <v>Ritterschwert</v>
      </c>
      <c r="AG39" s="160" t="s">
        <v>6820</v>
      </c>
      <c r="AH39" s="170" t="s">
        <v>6821</v>
      </c>
      <c r="AI39" s="326" t="s">
        <v>6822</v>
      </c>
      <c r="AJ39" s="189" t="s">
        <v>4006</v>
      </c>
      <c r="AK39" s="400"/>
      <c r="AL39" s="400"/>
      <c r="AM39" s="400"/>
    </row>
    <row r="40">
      <c r="A40" s="179" t="s">
        <v>6823</v>
      </c>
      <c r="B40" s="323" t="s">
        <v>6824</v>
      </c>
      <c r="C40" s="325" t="s">
        <v>6825</v>
      </c>
      <c r="D40" s="400" t="s">
        <v>4800</v>
      </c>
      <c r="E40" s="179" t="s">
        <v>6826</v>
      </c>
      <c r="F40" s="323" t="s">
        <v>6827</v>
      </c>
      <c r="G40" s="322" t="str">
        <f>IFERROR(__xludf.DUMMYFUNCTION("GOOGLETRANSLATE(C40,""zh-tw"",""ja"")"),"体力は自動的に回復します")</f>
        <v>体力は自動的に回復します</v>
      </c>
      <c r="H40" s="400" t="s">
        <v>6828</v>
      </c>
      <c r="I40" s="179" t="s">
        <v>6829</v>
      </c>
      <c r="J40" s="323" t="s">
        <v>6830</v>
      </c>
      <c r="K40" s="325" t="s">
        <v>6831</v>
      </c>
      <c r="L40" s="400" t="s">
        <v>6832</v>
      </c>
      <c r="M40" s="320" t="str">
        <f>IFERROR(__xludf.DUMMYFUNCTION("GOOGLETRANSLATE(A40,""zh-tw"",""zh"")"),"妹妹的胖次")</f>
        <v>妹妹的胖次</v>
      </c>
      <c r="N40" s="321" t="str">
        <f>IFERROR(__xludf.DUMMYFUNCTION("GOOGLETRANSLATE(B40,""zh-tw"",""zh"")"),"就感觉妹妹在身边一样……")</f>
        <v>就感觉妹妹在身边一样……</v>
      </c>
      <c r="O40" s="322" t="str">
        <f>IFERROR(__xludf.DUMMYFUNCTION("GOOGLETRANSLATE(C40,""zh-tw"",""zh"")"),"体力自动恢复中")</f>
        <v>体力自动恢复中</v>
      </c>
      <c r="P40" s="401" t="str">
        <f>IFERROR(__xludf.DUMMYFUNCTION("GOOGLETRANSLATE(D40,""zh-tw"",""zh"")"),"妹妹脱下的内裤")</f>
        <v>妹妹脱下的内裤</v>
      </c>
      <c r="Q40" s="154" t="str">
        <f>IFERROR(__xludf.DUMMYFUNCTION("GOOGLETRANSLATE(A40,""zh-tw"",""es-MX"")"),"Las bragas de mi hermana")</f>
        <v>Las bragas de mi hermana</v>
      </c>
      <c r="R40" s="168" t="str">
        <f>IFERROR(__xludf.DUMMYFUNCTION("GOOGLETRANSLATE(B40,""zh-tw"",""es-MX"")"),"Siento como si mi hermana estuviera justo a mi lado...")</f>
        <v>Siento como si mi hermana estuviera justo a mi lado...</v>
      </c>
      <c r="S40" s="324" t="str">
        <f>IFERROR(__xludf.DUMMYFUNCTION("GOOGLETRANSLATE(C40,""zh-tw"",""es-MX"")"),"La fuerza física se recupera automáticamente.")</f>
        <v>La fuerza física se recupera automáticamente.</v>
      </c>
      <c r="T40" s="180" t="str">
        <f>IFERROR(__xludf.DUMMYFUNCTION("GOOGLETRANSLATE(D40,""zh-tw"",""es-MX"")"),"La ropa interior de mi hermana")</f>
        <v>La ropa interior de mi hermana</v>
      </c>
      <c r="U40" s="154" t="str">
        <f>IFERROR(__xludf.DUMMYFUNCTION("GOOGLETRANSLATE(A40,""zh-tw"",""KO"")"),"내 여동생의 팬티")</f>
        <v>내 여동생의 팬티</v>
      </c>
      <c r="V40" s="168" t="str">
        <f>IFERROR(__xludf.DUMMYFUNCTION("GOOGLETRANSLATE(B40,""zh-tw"",""KO"")"),"마치 언니가 바로 옆에 있는 것 같은 느낌이 들어요...")</f>
        <v>마치 언니가 바로 옆에 있는 것 같은 느낌이 들어요...</v>
      </c>
      <c r="W40" s="324" t="str">
        <f>IFERROR(__xludf.DUMMYFUNCTION("GOOGLETRANSLATE(C40,""zh-tw"",""KO"")"),"체력은 자동으로 회복됩니다")</f>
        <v>체력은 자동으로 회복됩니다</v>
      </c>
      <c r="X40" s="180" t="str">
        <f>IFERROR(__xludf.DUMMYFUNCTION("GOOGLETRANSLATE(D40,""zh-tw"",""KO"")"),"내 여동생의 속옷")</f>
        <v>내 여동생의 속옷</v>
      </c>
      <c r="Y40" s="320" t="str">
        <f>IFERROR(__xludf.DUMMYFUNCTION("GOOGLETRANSLATE(A40,""zh-tw"",""RU"")"),"Трусики моей сестры")</f>
        <v>Трусики моей сестры</v>
      </c>
      <c r="Z40" s="321" t="str">
        <f>IFERROR(__xludf.DUMMYFUNCTION("GOOGLETRANSLATE(B40,""zh-tw"",""RU"")"),"Такое ощущение, будто моя сестра рядом со мной...")</f>
        <v>Такое ощущение, будто моя сестра рядом со мной...</v>
      </c>
      <c r="AA40" s="322" t="str">
        <f>IFERROR(__xludf.DUMMYFUNCTION("GOOGLETRANSLATE(C40,""zh-tw"",""RU"")"),"Физическая сила автоматически восстанавливается")</f>
        <v>Физическая сила автоматически восстанавливается</v>
      </c>
      <c r="AB40" s="401" t="str">
        <f>IFERROR(__xludf.DUMMYFUNCTION("GOOGLETRANSLATE(D40,""zh-tw"",""RU"")"),"Нижнее белье моей сестры")</f>
        <v>Нижнее белье моей сестры</v>
      </c>
      <c r="AC40" s="320" t="str">
        <f>IFERROR(__xludf.DUMMYFUNCTION("GOOGLETRANSLATE(A40,""zh-tw"",""DE"")"),"Das Höschen meiner Schwester")</f>
        <v>Das Höschen meiner Schwester</v>
      </c>
      <c r="AD40" s="321" t="str">
        <f>IFERROR(__xludf.DUMMYFUNCTION("GOOGLETRANSLATE(B40,""zh-tw"",""DE"")"),"Es fühlt sich an, als wäre meine Schwester direkt neben mir...")</f>
        <v>Es fühlt sich an, als wäre meine Schwester direkt neben mir...</v>
      </c>
      <c r="AE40" s="322" t="str">
        <f>IFERROR(__xludf.DUMMYFUNCTION("GOOGLETRANSLATE(C40,""zh-tw"",""DE"")"),"Die körperliche Kraft wird automatisch wiederhergestellt")</f>
        <v>Die körperliche Kraft wird automatisch wiederhergestellt</v>
      </c>
      <c r="AF40" s="401" t="str">
        <f>IFERROR(__xludf.DUMMYFUNCTION("GOOGLETRANSLATE(D40,""zh-tw"",""DE"")"),"Die Unterwäsche meiner Schwester")</f>
        <v>Die Unterwäsche meiner Schwester</v>
      </c>
      <c r="AG40" s="160" t="s">
        <v>6833</v>
      </c>
      <c r="AH40" s="170" t="s">
        <v>6834</v>
      </c>
      <c r="AI40" s="326" t="s">
        <v>6835</v>
      </c>
      <c r="AJ40" s="189" t="s">
        <v>6836</v>
      </c>
      <c r="AK40" s="400"/>
      <c r="AL40" s="400"/>
      <c r="AM40" s="400"/>
    </row>
    <row r="41">
      <c r="A41" s="179" t="s">
        <v>6837</v>
      </c>
      <c r="B41" s="323" t="s">
        <v>6838</v>
      </c>
      <c r="C41" s="325" t="s">
        <v>6839</v>
      </c>
      <c r="D41" s="400" t="s">
        <v>6840</v>
      </c>
      <c r="E41" s="179" t="s">
        <v>6841</v>
      </c>
      <c r="F41" s="323" t="s">
        <v>6842</v>
      </c>
      <c r="G41" s="325" t="s">
        <v>6843</v>
      </c>
      <c r="H41" s="400" t="s">
        <v>6844</v>
      </c>
      <c r="I41" s="179" t="s">
        <v>6845</v>
      </c>
      <c r="J41" s="323" t="s">
        <v>6846</v>
      </c>
      <c r="K41" s="325" t="s">
        <v>6847</v>
      </c>
      <c r="L41" s="400" t="s">
        <v>6848</v>
      </c>
      <c r="M41" s="320" t="str">
        <f>IFERROR(__xludf.DUMMYFUNCTION("GOOGLETRANSLATE(A41,""zh-tw"",""zh"")"),"咕噜咕噜")</f>
        <v>咕噜咕噜</v>
      </c>
      <c r="N41" s="321" t="str">
        <f>IFERROR(__xludf.DUMMYFUNCTION("GOOGLETRANSLATE(B41,""zh-tw"",""zh"")"),"吃坏了肚子......")</f>
        <v>吃坏了肚子......</v>
      </c>
      <c r="O41" s="322" t="str">
        <f>IFERROR(__xludf.DUMMYFUNCTION("GOOGLETRANSLATE(C41,""zh-tw"",""zh"")"),"腹痛不止！")</f>
        <v>腹痛不止！</v>
      </c>
      <c r="P41" s="401" t="str">
        <f>IFERROR(__xludf.DUMMYFUNCTION("GOOGLETRANSLATE(D41,""zh-tw"",""zh"")"),"毒料理")</f>
        <v>毒料理</v>
      </c>
      <c r="Q41" s="154" t="str">
        <f>IFERROR(__xludf.DUMMYFUNCTION("GOOGLETRANSLATE(A41,""zh-tw"",""es-MX"")"),"Glug glug")</f>
        <v>Glug glug</v>
      </c>
      <c r="R41" s="168" t="str">
        <f>IFERROR(__xludf.DUMMYFUNCTION("GOOGLETRANSLATE(B41,""zh-tw"",""es-MX"")"),"Me dio dolor de estómago...")</f>
        <v>Me dio dolor de estómago...</v>
      </c>
      <c r="S41" s="324" t="str">
        <f>IFERROR(__xludf.DUMMYFUNCTION("GOOGLETRANSLATE(C41,""zh-tw"",""es-MX"")"),"¡No me deja de doler el estómago!")</f>
        <v>¡No me deja de doler el estómago!</v>
      </c>
      <c r="T41" s="180" t="str">
        <f>IFERROR(__xludf.DUMMYFUNCTION("GOOGLETRANSLATE(D41,""zh-tw"",""es-MX"")"),"cocina venenosa")</f>
        <v>cocina venenosa</v>
      </c>
      <c r="U41" s="154" t="str">
        <f>IFERROR(__xludf.DUMMYFUNCTION("GOOGLETRANSLATE(A41,""zh-tw"",""KO"")"),"글룩글룩")</f>
        <v>글룩글룩</v>
      </c>
      <c r="V41" s="168" t="str">
        <f>IFERROR(__xludf.DUMMYFUNCTION("GOOGLETRANSLATE(B41,""zh-tw"",""KO"")"),"배가 뒤집혔어요...")</f>
        <v>배가 뒤집혔어요...</v>
      </c>
      <c r="W41" s="324" t="str">
        <f>IFERROR(__xludf.DUMMYFUNCTION("GOOGLETRANSLATE(C41,""zh-tw"",""KO"")"),"배가 계속 아파요!")</f>
        <v>배가 계속 아파요!</v>
      </c>
      <c r="X41" s="180" t="str">
        <f>IFERROR(__xludf.DUMMYFUNCTION("GOOGLETRANSLATE(D41,""zh-tw"",""KO"")"),"독이 있는 요리")</f>
        <v>독이 있는 요리</v>
      </c>
      <c r="Y41" s="320" t="str">
        <f>IFERROR(__xludf.DUMMYFUNCTION("GOOGLETRANSLATE(A41,""zh-tw"",""RU"")"),"Глюг-глюг")</f>
        <v>Глюг-глюг</v>
      </c>
      <c r="Z41" s="321" t="str">
        <f>IFERROR(__xludf.DUMMYFUNCTION("GOOGLETRANSLATE(B41,""zh-tw"",""RU"")"),"У меня было расстройство желудка...")</f>
        <v>У меня было расстройство желудка...</v>
      </c>
      <c r="AA41" s="322" t="str">
        <f>IFERROR(__xludf.DUMMYFUNCTION("GOOGLETRANSLATE(C41,""zh-tw"",""RU"")"),"Боль в животе не проходит!")</f>
        <v>Боль в животе не проходит!</v>
      </c>
      <c r="AB41" s="401" t="str">
        <f>IFERROR(__xludf.DUMMYFUNCTION("GOOGLETRANSLATE(D41,""zh-tw"",""RU"")"),"ядовитая кухня")</f>
        <v>ядовитая кухня</v>
      </c>
      <c r="AC41" s="320" t="str">
        <f>IFERROR(__xludf.DUMMYFUNCTION("GOOGLETRANSLATE(A41,""zh-tw"",""DE"")"),"Glucks, glucks")</f>
        <v>Glucks, glucks</v>
      </c>
      <c r="AD41" s="321" t="str">
        <f>IFERROR(__xludf.DUMMYFUNCTION("GOOGLETRANSLATE(B41,""zh-tw"",""DE"")"),"Ich habe Magenbeschwerden...")</f>
        <v>Ich habe Magenbeschwerden...</v>
      </c>
      <c r="AE41" s="322" t="str">
        <f>IFERROR(__xludf.DUMMYFUNCTION("GOOGLETRANSLATE(C41,""zh-tw"",""DE"")"),"Meine Magenschmerzen hören nicht auf!")</f>
        <v>Meine Magenschmerzen hören nicht auf!</v>
      </c>
      <c r="AF41" s="401" t="str">
        <f>IFERROR(__xludf.DUMMYFUNCTION("GOOGLETRANSLATE(D41,""zh-tw"",""DE"")"),"giftige Küche")</f>
        <v>giftige Küche</v>
      </c>
      <c r="AG41" s="160" t="s">
        <v>6849</v>
      </c>
      <c r="AH41" s="170" t="s">
        <v>6850</v>
      </c>
      <c r="AI41" s="326" t="s">
        <v>6851</v>
      </c>
      <c r="AJ41" s="189" t="s">
        <v>6852</v>
      </c>
      <c r="AK41" s="400"/>
      <c r="AL41" s="400"/>
      <c r="AM41" s="400"/>
    </row>
    <row r="42">
      <c r="A42" s="179" t="s">
        <v>6853</v>
      </c>
      <c r="B42" s="323" t="s">
        <v>6854</v>
      </c>
      <c r="C42" s="325" t="s">
        <v>6855</v>
      </c>
      <c r="D42" s="400" t="s">
        <v>6856</v>
      </c>
      <c r="E42" s="179" t="s">
        <v>6857</v>
      </c>
      <c r="F42" s="323" t="s">
        <v>6858</v>
      </c>
      <c r="G42" s="325" t="s">
        <v>6859</v>
      </c>
      <c r="H42" s="400" t="s">
        <v>6860</v>
      </c>
      <c r="I42" s="179" t="s">
        <v>6861</v>
      </c>
      <c r="J42" s="323" t="s">
        <v>6862</v>
      </c>
      <c r="K42" s="325" t="s">
        <v>6863</v>
      </c>
      <c r="L42" s="400" t="s">
        <v>6864</v>
      </c>
      <c r="M42" s="320" t="str">
        <f>IFERROR(__xludf.DUMMYFUNCTION("GOOGLETRANSLATE(A42,""zh-tw"",""zh"")"),"咕噜咕噜咕噜")</f>
        <v>咕噜咕噜咕噜</v>
      </c>
      <c r="N42" s="321" t="str">
        <f>IFERROR(__xludf.DUMMYFUNCTION("GOOGLETRANSLATE(B42,""zh-tw"",""zh"")"),"菊花残、满地伤...")</f>
        <v>菊花残、满地伤...</v>
      </c>
      <c r="O42" s="322" t="str">
        <f>IFERROR(__xludf.DUMMYFUNCTION("GOOGLETRANSLATE(C42,""zh-tw"",""zh"")"),"因屁股疼痛无法奔跑和冲刺！")</f>
        <v>因屁股疼痛无法奔跑和冲刺！</v>
      </c>
      <c r="P42" s="401" t="str">
        <f>IFERROR(__xludf.DUMMYFUNCTION("GOOGLETRANSLATE(D42,""zh-tw"",""zh"")"),"毒辣料理")</f>
        <v>毒辣料理</v>
      </c>
      <c r="Q42" s="154" t="str">
        <f>IFERROR(__xludf.DUMMYFUNCTION("GOOGLETRANSLATE(A42,""zh-tw"",""es-MX"")"),"Glug glug glug")</f>
        <v>Glug glug glug</v>
      </c>
      <c r="R42" s="168" t="str">
        <f>IFERROR(__xludf.DUMMYFUNCTION("GOOGLETRANSLATE(B42,""zh-tw"",""es-MX"")"),"Los crisantemos se marchitaron, las heridas quedaron esparcidas por el suelo...")</f>
        <v>Los crisantemos se marchitaron, las heridas quedaron esparcidas por el suelo...</v>
      </c>
      <c r="S42" s="324" t="str">
        <f>IFERROR(__xludf.DUMMYFUNCTION("GOOGLETRANSLATE(C42,""zh-tw"",""es-MX"")"),"¡No puedo correr ni esprintar por el dolor en las nalgas!")</f>
        <v>¡No puedo correr ni esprintar por el dolor en las nalgas!</v>
      </c>
      <c r="T42" s="180" t="str">
        <f>IFERROR(__xludf.DUMMYFUNCTION("GOOGLETRANSLATE(D42,""zh-tw"",""es-MX"")"),"Cocina picante")</f>
        <v>Cocina picante</v>
      </c>
      <c r="U42" s="154" t="str">
        <f>IFERROR(__xludf.DUMMYFUNCTION("GOOGLETRANSLATE(A42,""zh-tw"",""KO"")"),"글루 글루 글루")</f>
        <v>글루 글루 글루</v>
      </c>
      <c r="V42" s="168" t="str">
        <f>IFERROR(__xludf.DUMMYFUNCTION("GOOGLETRANSLATE(B42,""zh-tw"",""KO"")"),"국화는 시들었고, 상처는 땅에 흩어져 있었습니다...")</f>
        <v>국화는 시들었고, 상처는 땅에 흩어져 있었습니다...</v>
      </c>
      <c r="W42" s="324" t="str">
        <f>IFERROR(__xludf.DUMMYFUNCTION("GOOGLETRANSLATE(C42,""zh-tw"",""KO"")"),"엉덩이 통증 때문에 달리거나 달릴 수 없어요!")</f>
        <v>엉덩이 통증 때문에 달리거나 달릴 수 없어요!</v>
      </c>
      <c r="X42" s="180" t="str">
        <f>IFERROR(__xludf.DUMMYFUNCTION("GOOGLETRANSLATE(D42,""zh-tw"",""KO"")"),"매운 요리")</f>
        <v>매운 요리</v>
      </c>
      <c r="Y42" s="320" t="str">
        <f>IFERROR(__xludf.DUMMYFUNCTION("GOOGLETRANSLATE(A42,""zh-tw"",""RU"")"),"Глюг-глюг-глюг")</f>
        <v>Глюг-глюг-глюг</v>
      </c>
      <c r="Z42" s="321" t="str">
        <f>IFERROR(__xludf.DUMMYFUNCTION("GOOGLETRANSLATE(B42,""zh-tw"",""RU"")"),"Хризантемы увяли, раны разбросаны по земле...")</f>
        <v>Хризантемы увяли, раны разбросаны по земле...</v>
      </c>
      <c r="AA42" s="322" t="str">
        <f>IFERROR(__xludf.DUMMYFUNCTION("GOOGLETRANSLATE(C42,""zh-tw"",""RU"")"),"Я не могу бегать или спринтовать из-за боли в ягодицах!")</f>
        <v>Я не могу бегать или спринтовать из-за боли в ягодицах!</v>
      </c>
      <c r="AB42" s="401" t="str">
        <f>IFERROR(__xludf.DUMMYFUNCTION("GOOGLETRANSLATE(D42,""zh-tw"",""RU"")"),"Острая кухня")</f>
        <v>Острая кухня</v>
      </c>
      <c r="AC42" s="320" t="str">
        <f>IFERROR(__xludf.DUMMYFUNCTION("GOOGLETRANSLATE(A42,""zh-tw"",""DE"")"),"Glucks, glucks, glucks")</f>
        <v>Glucks, glucks, glucks</v>
      </c>
      <c r="AD42" s="321" t="str">
        <f>IFERROR(__xludf.DUMMYFUNCTION("GOOGLETRANSLATE(B42,""zh-tw"",""DE"")"),"Chrysanthemen verwelkten, Wunden lagen verstreut auf dem Boden...")</f>
        <v>Chrysanthemen verwelkten, Wunden lagen verstreut auf dem Boden...</v>
      </c>
      <c r="AE42" s="322" t="str">
        <f>IFERROR(__xludf.DUMMYFUNCTION("GOOGLETRANSLATE(C42,""zh-tw"",""DE"")"),"Ich kann wegen der Schmerzen im Gesäßbereich weder rennen noch sprinten!")</f>
        <v>Ich kann wegen der Schmerzen im Gesäßbereich weder rennen noch sprinten!</v>
      </c>
      <c r="AF42" s="401" t="str">
        <f>IFERROR(__xludf.DUMMYFUNCTION("GOOGLETRANSLATE(D42,""zh-tw"",""DE"")"),"Scharfe Küche")</f>
        <v>Scharfe Küche</v>
      </c>
      <c r="AG42" s="160" t="s">
        <v>6865</v>
      </c>
      <c r="AH42" s="170" t="s">
        <v>6866</v>
      </c>
      <c r="AI42" s="326" t="s">
        <v>6867</v>
      </c>
      <c r="AJ42" s="189" t="s">
        <v>6868</v>
      </c>
      <c r="AK42" s="400"/>
      <c r="AL42" s="400"/>
      <c r="AM42" s="400"/>
    </row>
    <row r="43">
      <c r="A43" s="179" t="s">
        <v>6869</v>
      </c>
      <c r="B43" s="323" t="s">
        <v>6870</v>
      </c>
      <c r="C43" s="325" t="s">
        <v>6871</v>
      </c>
      <c r="D43" s="400" t="s">
        <v>6872</v>
      </c>
      <c r="E43" s="179" t="s">
        <v>6873</v>
      </c>
      <c r="F43" s="323" t="s">
        <v>6874</v>
      </c>
      <c r="G43" s="325" t="s">
        <v>6875</v>
      </c>
      <c r="H43" s="400" t="s">
        <v>6876</v>
      </c>
      <c r="I43" s="179" t="s">
        <v>6877</v>
      </c>
      <c r="J43" s="323" t="s">
        <v>6878</v>
      </c>
      <c r="K43" s="325" t="s">
        <v>6879</v>
      </c>
      <c r="L43" s="401"/>
      <c r="M43" s="320" t="str">
        <f>IFERROR(__xludf.DUMMYFUNCTION("GOOGLETRANSLATE(A43,""zh-tw"",""zh"")"),"早点回家吧")</f>
        <v>早点回家吧</v>
      </c>
      <c r="N43" s="321" t="str">
        <f>IFERROR(__xludf.DUMMYFUNCTION("GOOGLETRANSLATE(B43,""zh-tw"",""zh"")"),"热死了.....")</f>
        <v>热死了.....</v>
      </c>
      <c r="O43" s="322" t="str">
        <f>IFERROR(__xludf.DUMMYFUNCTION("GOOGLETRANSLATE(C43,""zh-tw"",""zh"")"),"因为炎热浑身无力...")</f>
        <v>因为炎热浑身无力...</v>
      </c>
      <c r="P43" s="401" t="str">
        <f>IFERROR(__xludf.DUMMYFUNCTION("GOOGLETRANSLATE(D43,""zh-tw"",""zh"")"),"炎热天气")</f>
        <v>炎热天气</v>
      </c>
      <c r="Q43" s="154" t="str">
        <f>IFERROR(__xludf.DUMMYFUNCTION("GOOGLETRANSLATE(A43,""zh-tw"",""es-MX"")"),"Vete a casa temprano")</f>
        <v>Vete a casa temprano</v>
      </c>
      <c r="R43" s="168" t="str">
        <f>IFERROR(__xludf.DUMMYFUNCTION("GOOGLETRANSLATE(B43,""zh-tw"",""es-MX"")"),"Hace mucho calor.....")</f>
        <v>Hace mucho calor.....</v>
      </c>
      <c r="S43" s="324" t="str">
        <f>IFERROR(__xludf.DUMMYFUNCTION("GOOGLETRANSLATE(C43,""zh-tw"",""es-MX"")"),"Me siento débil por completo debido al calor...")</f>
        <v>Me siento débil por completo debido al calor...</v>
      </c>
      <c r="T43" s="180" t="str">
        <f>IFERROR(__xludf.DUMMYFUNCTION("GOOGLETRANSLATE(D43,""zh-tw"",""es-MX"")"),"clima cálido")</f>
        <v>clima cálido</v>
      </c>
      <c r="U43" s="154" t="str">
        <f>IFERROR(__xludf.DUMMYFUNCTION("GOOGLETRANSLATE(A43,""zh-tw"",""KO"")"),"일찍 집에 가세요")</f>
        <v>일찍 집에 가세요</v>
      </c>
      <c r="V43" s="168" t="str">
        <f>IFERROR(__xludf.DUMMYFUNCTION("GOOGLETRANSLATE(B43,""zh-tw"",""KO"")"),"너무 더워요.....")</f>
        <v>너무 더워요.....</v>
      </c>
      <c r="W43" s="324" t="str">
        <f>IFERROR(__xludf.DUMMYFUNCTION("GOOGLETRANSLATE(C43,""zh-tw"",""KO"")"),"더위 때문에 온몸이 약해지는 것 같아요...")</f>
        <v>더위 때문에 온몸이 약해지는 것 같아요...</v>
      </c>
      <c r="X43" s="180" t="str">
        <f>IFERROR(__xludf.DUMMYFUNCTION("GOOGLETRANSLATE(D43,""zh-tw"",""KO"")"),"더운 날씨")</f>
        <v>더운 날씨</v>
      </c>
      <c r="Y43" s="320" t="str">
        <f>IFERROR(__xludf.DUMMYFUNCTION("GOOGLETRANSLATE(A43,""zh-tw"",""RU"")"),"Иди домой пораньше")</f>
        <v>Иди домой пораньше</v>
      </c>
      <c r="Z43" s="321" t="str">
        <f>IFERROR(__xludf.DUMMYFUNCTION("GOOGLETRANSLATE(B43,""zh-tw"",""RU"")"),"Так жарко...")</f>
        <v>Так жарко...</v>
      </c>
      <c r="AA43" s="322" t="str">
        <f>IFERROR(__xludf.DUMMYFUNCTION("GOOGLETRANSLATE(C43,""zh-tw"",""RU"")"),"Из-за жары я чувствую слабость во всем теле...")</f>
        <v>Из-за жары я чувствую слабость во всем теле...</v>
      </c>
      <c r="AB43" s="401" t="str">
        <f>IFERROR(__xludf.DUMMYFUNCTION("GOOGLETRANSLATE(D43,""zh-tw"",""RU"")"),"жаркая погода")</f>
        <v>жаркая погода</v>
      </c>
      <c r="AC43" s="320" t="str">
        <f>IFERROR(__xludf.DUMMYFUNCTION("GOOGLETRANSLATE(A43,""zh-tw"",""DE"")"),"Geh früh nach Hause")</f>
        <v>Geh früh nach Hause</v>
      </c>
      <c r="AD43" s="321" t="str">
        <f>IFERROR(__xludf.DUMMYFUNCTION("GOOGLETRANSLATE(B43,""zh-tw"",""DE"")"),"Es ist so heiß.....")</f>
        <v>Es ist so heiß.....</v>
      </c>
      <c r="AE43" s="322" t="str">
        <f>IFERROR(__xludf.DUMMYFUNCTION("GOOGLETRANSLATE(C43,""zh-tw"",""DE"")"),"Mir ist wegen der Hitze ganz schwindelig...")</f>
        <v>Mir ist wegen der Hitze ganz schwindelig...</v>
      </c>
      <c r="AF43" s="401" t="str">
        <f>IFERROR(__xludf.DUMMYFUNCTION("GOOGLETRANSLATE(D43,""zh-tw"",""DE"")"),"heißes Wetter")</f>
        <v>heißes Wetter</v>
      </c>
      <c r="AG43" s="160" t="s">
        <v>1883</v>
      </c>
      <c r="AH43" s="170" t="s">
        <v>6880</v>
      </c>
      <c r="AI43" s="326" t="s">
        <v>6881</v>
      </c>
      <c r="AJ43" s="402"/>
      <c r="AK43" s="400"/>
      <c r="AL43" s="400"/>
      <c r="AM43" s="400"/>
    </row>
    <row r="44">
      <c r="A44" s="179" t="s">
        <v>6882</v>
      </c>
      <c r="B44" s="323" t="s">
        <v>6883</v>
      </c>
      <c r="C44" s="325" t="s">
        <v>6884</v>
      </c>
      <c r="D44" s="400" t="s">
        <v>6885</v>
      </c>
      <c r="E44" s="179" t="s">
        <v>6886</v>
      </c>
      <c r="F44" s="323" t="s">
        <v>6887</v>
      </c>
      <c r="G44" s="325" t="s">
        <v>6888</v>
      </c>
      <c r="H44" s="400" t="s">
        <v>6889</v>
      </c>
      <c r="I44" s="179" t="s">
        <v>6890</v>
      </c>
      <c r="J44" s="323" t="s">
        <v>6891</v>
      </c>
      <c r="K44" s="325" t="s">
        <v>6892</v>
      </c>
      <c r="L44" s="400"/>
      <c r="M44" s="320" t="str">
        <f>IFERROR(__xludf.DUMMYFUNCTION("GOOGLETRANSLATE(A44,""zh-tw"",""zh"")"),"杂鱼哥哥")</f>
        <v>杂鱼哥哥</v>
      </c>
      <c r="N44" s="321" t="str">
        <f>IFERROR(__xludf.DUMMYFUNCTION("GOOGLETRANSLATE(B44,""zh-tw"",""zh"")"),"这么简单的游戏也不会玩，真是杂鱼呢~")</f>
        <v>这么简单的游戏也不会玩，真是杂鱼呢~</v>
      </c>
      <c r="O44" s="322" t="str">
        <f>IFERROR(__xludf.DUMMYFUNCTION("GOOGLETRANSLATE(C44,""zh-tw"",""zh"")"),"因作弊而获得了杂鱼认证！")</f>
        <v>因作弊而获得了杂鱼认证！</v>
      </c>
      <c r="P44" s="401" t="str">
        <f>IFERROR(__xludf.DUMMYFUNCTION("GOOGLETRANSLATE(D44,""zh-tw"",""zh"")"),"使用作弊码")</f>
        <v>使用作弊码</v>
      </c>
      <c r="Q44" s="154" t="str">
        <f>IFERROR(__xludf.DUMMYFUNCTION("GOOGLETRANSLATE(A44,""zh-tw"",""es-MX"")"),"Hermano Peces Varios")</f>
        <v>Hermano Peces Varios</v>
      </c>
      <c r="R44" s="168" t="str">
        <f>IFERROR(__xludf.DUMMYFUNCTION("GOOGLETRANSLATE(B44,""zh-tw"",""es-MX"")"),"¿Ni siquiera puedes jugar a un juego tan sencillo? ¡Eres un novato total!")</f>
        <v>¿Ni siquiera puedes jugar a un juego tan sencillo? ¡Eres un novato total!</v>
      </c>
      <c r="S44" s="324" t="str">
        <f>IFERROR(__xludf.DUMMYFUNCTION("GOOGLETRANSLATE(C44,""zh-tw"",""es-MX"")"),"¡Obtuvo la certificación de ""pez pequeño"" haciendo trampa!")</f>
        <v>¡Obtuvo la certificación de "pez pequeño" haciendo trampa!</v>
      </c>
      <c r="T44" s="180" t="str">
        <f>IFERROR(__xludf.DUMMYFUNCTION("GOOGLETRANSLATE(D44,""zh-tw"",""es-MX"")"),"Utiliza códigos de trucos")</f>
        <v>Utiliza códigos de trucos</v>
      </c>
      <c r="U44" s="154" t="str">
        <f>IFERROR(__xludf.DUMMYFUNCTION("GOOGLETRANSLATE(A44,""zh-tw"",""KO"")"),"형제 잡어")</f>
        <v>형제 잡어</v>
      </c>
      <c r="V44" s="168" t="str">
        <f>IFERROR(__xludf.DUMMYFUNCTION("GOOGLETRANSLATE(B44,""zh-tw"",""KO"")"),"그렇게 간단한 게임도 못 하냐? 완전 초보잖아!")</f>
        <v>그렇게 간단한 게임도 못 하냐? 완전 초보잖아!</v>
      </c>
      <c r="W44" s="324" t="str">
        <f>IFERROR(__xludf.DUMMYFUNCTION("GOOGLETRANSLATE(C44,""zh-tw"",""KO"")"),"그는 부정행위를 해서 ""작은 물고기"" 자격증을 받았습니다!")</f>
        <v>그는 부정행위를 해서 "작은 물고기" 자격증을 받았습니다!</v>
      </c>
      <c r="X44" s="180" t="str">
        <f>IFERROR(__xludf.DUMMYFUNCTION("GOOGLETRANSLATE(D44,""zh-tw"",""KO"")"),"치트 코드를 사용하세요")</f>
        <v>치트 코드를 사용하세요</v>
      </c>
      <c r="Y44" s="320" t="str">
        <f>IFERROR(__xludf.DUMMYFUNCTION("GOOGLETRANSLATE(A44,""zh-tw"",""RU"")"),"Брат Разные Рыбы")</f>
        <v>Брат Разные Рыбы</v>
      </c>
      <c r="Z44" s="321" t="str">
        <f>IFERROR(__xludf.DUMMYFUNCTION("GOOGLETRANSLATE(B44,""zh-tw"",""RU"")"),"Ты даже в такую ​​простую игру не можешь играть? Ты нуб!")</f>
        <v>Ты даже в такую ​​простую игру не можешь играть? Ты нуб!</v>
      </c>
      <c r="AA44" s="322" t="str">
        <f>IFERROR(__xludf.DUMMYFUNCTION("GOOGLETRANSLATE(C44,""zh-tw"",""RU"")"),"Он получил сертификат «мелкой рыбки» обманным путем!")</f>
        <v>Он получил сертификат «мелкой рыбки» обманным путем!</v>
      </c>
      <c r="AB44" s="401" t="str">
        <f>IFERROR(__xludf.DUMMYFUNCTION("GOOGLETRANSLATE(D44,""zh-tw"",""RU"")"),"Используйте чит-коды")</f>
        <v>Используйте чит-коды</v>
      </c>
      <c r="AC44" s="320" t="str">
        <f>IFERROR(__xludf.DUMMYFUNCTION("GOOGLETRANSLATE(A44,""zh-tw"",""DE"")"),"Bruder Verschiedene Fische")</f>
        <v>Bruder Verschiedene Fische</v>
      </c>
      <c r="AD44" s="321" t="str">
        <f>IFERROR(__xludf.DUMMYFUNCTION("GOOGLETRANSLATE(B44,""zh-tw"",""DE"")"),"Du kannst nicht mal so ein einfaches Spiel spielen? Du bist echt ein Anfänger!")</f>
        <v>Du kannst nicht mal so ein einfaches Spiel spielen? Du bist echt ein Anfänger!</v>
      </c>
      <c r="AE44" s="322" t="str">
        <f>IFERROR(__xludf.DUMMYFUNCTION("GOOGLETRANSLATE(C44,""zh-tw"",""DE"")"),"Er hat das „kleine Fisch“-Zertifikat durch Betrug erlangt!")</f>
        <v>Er hat das „kleine Fisch“-Zertifikat durch Betrug erlangt!</v>
      </c>
      <c r="AF44" s="401" t="str">
        <f>IFERROR(__xludf.DUMMYFUNCTION("GOOGLETRANSLATE(D44,""zh-tw"",""DE"")"),"Cheat-Codes verwenden")</f>
        <v>Cheat-Codes verwenden</v>
      </c>
      <c r="AG44" s="160" t="s">
        <v>6893</v>
      </c>
      <c r="AH44" s="170" t="s">
        <v>6894</v>
      </c>
      <c r="AI44" s="326" t="s">
        <v>6895</v>
      </c>
      <c r="AJ44" s="402"/>
      <c r="AK44" s="400"/>
      <c r="AL44" s="400"/>
      <c r="AM44" s="400"/>
    </row>
    <row r="45">
      <c r="A45" s="179" t="s">
        <v>6896</v>
      </c>
      <c r="B45" s="323" t="s">
        <v>6897</v>
      </c>
      <c r="C45" s="325" t="s">
        <v>724</v>
      </c>
      <c r="D45" s="400" t="s">
        <v>5347</v>
      </c>
      <c r="E45" s="179" t="s">
        <v>6898</v>
      </c>
      <c r="F45" s="323" t="s">
        <v>6899</v>
      </c>
      <c r="G45" s="325" t="s">
        <v>724</v>
      </c>
      <c r="H45" s="400" t="s">
        <v>6900</v>
      </c>
      <c r="I45" s="179" t="s">
        <v>5351</v>
      </c>
      <c r="J45" s="323" t="s">
        <v>6901</v>
      </c>
      <c r="K45" s="322"/>
      <c r="L45" s="401"/>
      <c r="M45" s="320" t="str">
        <f>IFERROR(__xludf.DUMMYFUNCTION("GOOGLETRANSLATE(A45,""zh-tw"",""zh"")"),"世界的勇者")</f>
        <v>世界的勇者</v>
      </c>
      <c r="N45" s="321" t="str">
        <f>IFERROR(__xludf.DUMMYFUNCTION("GOOGLETRANSLATE(B45,""zh-tw"",""zh"")"),"如此可得世界荣耀，远离黑暗蒙昧")</f>
        <v>如此可得世界荣耀，远离黑暗蒙昧</v>
      </c>
      <c r="O45" s="322" t="str">
        <f>IFERROR(__xludf.DUMMYFUNCTION("GOOGLETRANSLATE(C45,""zh-tw"",""zh"")"),"-")</f>
        <v>-</v>
      </c>
      <c r="P45" s="401" t="str">
        <f>IFERROR(__xludf.DUMMYFUNCTION("GOOGLETRANSLATE(D45,""zh-tw"",""zh"")"),"红髓玉吊坠")</f>
        <v>红髓玉吊坠</v>
      </c>
      <c r="Q45" s="154" t="str">
        <f>IFERROR(__xludf.DUMMYFUNCTION("GOOGLETRANSLATE(A45,""zh-tw"",""es-MX"")"),"Los héroes del mundo")</f>
        <v>Los héroes del mundo</v>
      </c>
      <c r="R45" s="168" t="str">
        <f>IFERROR(__xludf.DUMMYFUNCTION("GOOGLETRANSLATE(B45,""zh-tw"",""es-MX"")"),"De esta manera, podrás alcanzar la gloria mundial y alejarte de la oscuridad y la ignorancia.")</f>
        <v>De esta manera, podrás alcanzar la gloria mundial y alejarte de la oscuridad y la ignorancia.</v>
      </c>
      <c r="S45" s="324" t="str">
        <f>IFERROR(__xludf.DUMMYFUNCTION("GOOGLETRANSLATE(C45,""zh-tw"",""es-MX"")"),"-")</f>
        <v>-</v>
      </c>
      <c r="T45" s="180" t="str">
        <f>IFERROR(__xludf.DUMMYFUNCTION("GOOGLETRANSLATE(D45,""zh-tw"",""es-MX"")"),"Colgante de cornalina roja")</f>
        <v>Colgante de cornalina roja</v>
      </c>
      <c r="U45" s="154" t="str">
        <f>IFERROR(__xludf.DUMMYFUNCTION("GOOGLETRANSLATE(A45,""zh-tw"",""KO"")"),"세계의 영웅들")</f>
        <v>세계의 영웅들</v>
      </c>
      <c r="V45" s="168"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24" t="str">
        <f>IFERROR(__xludf.DUMMYFUNCTION("GOOGLETRANSLATE(C45,""zh-tw"",""KO"")"),"-")</f>
        <v>-</v>
      </c>
      <c r="X45" s="180" t="str">
        <f>IFERROR(__xludf.DUMMYFUNCTION("GOOGLETRANSLATE(D45,""zh-tw"",""KO"")"),"붉은 홍옥수 펜던트")</f>
        <v>붉은 홍옥수 펜던트</v>
      </c>
      <c r="Y45" s="320" t="str">
        <f>IFERROR(__xludf.DUMMYFUNCTION("GOOGLETRANSLATE(A45,""zh-tw"",""RU"")"),"Герои мира")</f>
        <v>Герои мира</v>
      </c>
      <c r="Z45" s="321"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22" t="str">
        <f>IFERROR(__xludf.DUMMYFUNCTION("GOOGLETRANSLATE(C45,""zh-tw"",""RU"")"),"-")</f>
        <v>-</v>
      </c>
      <c r="AB45" s="401" t="str">
        <f>IFERROR(__xludf.DUMMYFUNCTION("GOOGLETRANSLATE(D45,""zh-tw"",""RU"")"),"Кулон из красного сердолика")</f>
        <v>Кулон из красного сердолика</v>
      </c>
      <c r="AC45" s="320" t="str">
        <f>IFERROR(__xludf.DUMMYFUNCTION("GOOGLETRANSLATE(A45,""zh-tw"",""DE"")"),"Die Helden der Welt")</f>
        <v>Die Helden der Welt</v>
      </c>
      <c r="AD45" s="321" t="str">
        <f>IFERROR(__xludf.DUMMYFUNCTION("GOOGLETRANSLATE(B45,""zh-tw"",""DE"")"),"Auf diese Weise kannst du weltlichen Ruhm erlangen und dich von Dunkelheit und Unwissenheit fernhalten.")</f>
        <v>Auf diese Weise kannst du weltlichen Ruhm erlangen und dich von Dunkelheit und Unwissenheit fernhalten.</v>
      </c>
      <c r="AE45" s="322" t="str">
        <f>IFERROR(__xludf.DUMMYFUNCTION("GOOGLETRANSLATE(C45,""zh-tw"",""DE"")"),"-")</f>
        <v>-</v>
      </c>
      <c r="AF45" s="401" t="str">
        <f>IFERROR(__xludf.DUMMYFUNCTION("GOOGLETRANSLATE(D45,""zh-tw"",""DE"")"),"Anhänger aus rotem Karneol")</f>
        <v>Anhänger aus rotem Karneol</v>
      </c>
      <c r="AG45" s="160" t="s">
        <v>6902</v>
      </c>
      <c r="AH45" s="170" t="s">
        <v>6903</v>
      </c>
      <c r="AI45" s="403"/>
      <c r="AJ45" s="402"/>
      <c r="AK45" s="400"/>
      <c r="AL45" s="400"/>
      <c r="AM45" s="400"/>
    </row>
    <row r="46">
      <c r="A46" s="320"/>
      <c r="B46" s="321"/>
      <c r="C46" s="322"/>
      <c r="D46" s="401"/>
      <c r="E46" s="320"/>
      <c r="F46" s="321"/>
      <c r="G46" s="322"/>
      <c r="H46" s="401"/>
      <c r="I46" s="320"/>
      <c r="J46" s="321"/>
      <c r="K46" s="322"/>
      <c r="L46" s="401"/>
      <c r="M46" s="320"/>
      <c r="N46" s="321"/>
      <c r="O46" s="322"/>
      <c r="P46" s="401"/>
      <c r="Q46" s="203"/>
      <c r="R46" s="223"/>
      <c r="S46" s="404"/>
      <c r="T46" s="405"/>
      <c r="U46" s="203"/>
      <c r="V46" s="223"/>
      <c r="W46" s="404"/>
      <c r="X46" s="405"/>
      <c r="Y46" s="406"/>
      <c r="Z46" s="407"/>
      <c r="AA46" s="408"/>
      <c r="AB46" s="409"/>
      <c r="AC46" s="406"/>
      <c r="AD46" s="407"/>
      <c r="AE46" s="408"/>
      <c r="AF46" s="409"/>
      <c r="AG46" s="203"/>
      <c r="AH46" s="223"/>
      <c r="AI46" s="404"/>
      <c r="AJ46" s="405"/>
      <c r="AK46" s="401"/>
      <c r="AL46" s="401"/>
      <c r="AM46" s="401"/>
    </row>
    <row r="47">
      <c r="A47" s="320"/>
      <c r="B47" s="321"/>
      <c r="C47" s="322"/>
      <c r="D47" s="401"/>
      <c r="E47" s="320"/>
      <c r="F47" s="321"/>
      <c r="G47" s="322"/>
      <c r="H47" s="401"/>
      <c r="I47" s="320"/>
      <c r="J47" s="321"/>
      <c r="K47" s="322"/>
      <c r="L47" s="401"/>
      <c r="M47" s="320"/>
      <c r="N47" s="321"/>
      <c r="O47" s="322"/>
      <c r="P47" s="401"/>
      <c r="Q47" s="203"/>
      <c r="R47" s="223"/>
      <c r="S47" s="404"/>
      <c r="T47" s="405"/>
      <c r="U47" s="203"/>
      <c r="V47" s="223"/>
      <c r="W47" s="404"/>
      <c r="X47" s="405"/>
      <c r="Y47" s="406"/>
      <c r="Z47" s="407"/>
      <c r="AA47" s="408"/>
      <c r="AB47" s="409"/>
      <c r="AC47" s="406"/>
      <c r="AD47" s="407"/>
      <c r="AE47" s="408"/>
      <c r="AF47" s="409"/>
      <c r="AG47" s="203"/>
      <c r="AH47" s="223"/>
      <c r="AI47" s="404"/>
      <c r="AJ47" s="405"/>
      <c r="AK47" s="401"/>
      <c r="AL47" s="401"/>
      <c r="AM47" s="401"/>
    </row>
    <row r="48">
      <c r="A48" s="320"/>
      <c r="B48" s="321"/>
      <c r="C48" s="322"/>
      <c r="D48" s="401"/>
      <c r="E48" s="320"/>
      <c r="F48" s="321"/>
      <c r="G48" s="322"/>
      <c r="H48" s="401"/>
      <c r="I48" s="320"/>
      <c r="J48" s="321"/>
      <c r="K48" s="322"/>
      <c r="L48" s="401"/>
      <c r="M48" s="320"/>
      <c r="N48" s="321"/>
      <c r="O48" s="322"/>
      <c r="P48" s="401"/>
      <c r="Q48" s="203"/>
      <c r="R48" s="223"/>
      <c r="S48" s="404"/>
      <c r="T48" s="405"/>
      <c r="U48" s="203"/>
      <c r="V48" s="223"/>
      <c r="W48" s="404"/>
      <c r="X48" s="405"/>
      <c r="Y48" s="406"/>
      <c r="Z48" s="407"/>
      <c r="AA48" s="408"/>
      <c r="AB48" s="409"/>
      <c r="AC48" s="406"/>
      <c r="AD48" s="407"/>
      <c r="AE48" s="408"/>
      <c r="AF48" s="409"/>
      <c r="AG48" s="203"/>
      <c r="AH48" s="223"/>
      <c r="AI48" s="404"/>
      <c r="AJ48" s="405"/>
      <c r="AK48" s="401"/>
      <c r="AL48" s="401"/>
      <c r="AM48" s="401"/>
    </row>
    <row r="49">
      <c r="A49" s="320"/>
      <c r="B49" s="321"/>
      <c r="C49" s="322"/>
      <c r="D49" s="401"/>
      <c r="E49" s="320"/>
      <c r="F49" s="321"/>
      <c r="G49" s="322"/>
      <c r="H49" s="401"/>
      <c r="I49" s="320"/>
      <c r="J49" s="321"/>
      <c r="K49" s="322"/>
      <c r="L49" s="401"/>
      <c r="M49" s="320"/>
      <c r="N49" s="321"/>
      <c r="O49" s="322"/>
      <c r="P49" s="401"/>
      <c r="Q49" s="203"/>
      <c r="R49" s="223"/>
      <c r="S49" s="404"/>
      <c r="T49" s="405"/>
      <c r="U49" s="203"/>
      <c r="V49" s="223"/>
      <c r="W49" s="404"/>
      <c r="X49" s="405"/>
      <c r="Y49" s="406"/>
      <c r="Z49" s="407"/>
      <c r="AA49" s="408"/>
      <c r="AB49" s="409"/>
      <c r="AC49" s="406"/>
      <c r="AD49" s="407"/>
      <c r="AE49" s="408"/>
      <c r="AF49" s="409"/>
      <c r="AG49" s="203"/>
      <c r="AH49" s="223"/>
      <c r="AI49" s="404"/>
      <c r="AJ49" s="405"/>
      <c r="AK49" s="401"/>
      <c r="AL49" s="401"/>
      <c r="AM49" s="401"/>
    </row>
    <row r="50">
      <c r="A50" s="320"/>
      <c r="B50" s="321"/>
      <c r="C50" s="322"/>
      <c r="D50" s="401"/>
      <c r="E50" s="320"/>
      <c r="F50" s="321"/>
      <c r="G50" s="322"/>
      <c r="H50" s="401"/>
      <c r="I50" s="320"/>
      <c r="J50" s="321"/>
      <c r="K50" s="322"/>
      <c r="L50" s="401"/>
      <c r="M50" s="320"/>
      <c r="N50" s="321"/>
      <c r="O50" s="322"/>
      <c r="P50" s="401"/>
      <c r="Q50" s="203"/>
      <c r="R50" s="223"/>
      <c r="S50" s="404"/>
      <c r="T50" s="405"/>
      <c r="U50" s="203"/>
      <c r="V50" s="223"/>
      <c r="W50" s="404"/>
      <c r="X50" s="405"/>
      <c r="Y50" s="406"/>
      <c r="Z50" s="407"/>
      <c r="AA50" s="408"/>
      <c r="AB50" s="409"/>
      <c r="AC50" s="406"/>
      <c r="AD50" s="407"/>
      <c r="AE50" s="408"/>
      <c r="AF50" s="409"/>
      <c r="AG50" s="203"/>
      <c r="AH50" s="223"/>
      <c r="AI50" s="404"/>
      <c r="AJ50" s="405"/>
      <c r="AK50" s="401"/>
      <c r="AL50" s="401"/>
      <c r="AM50" s="401"/>
    </row>
    <row r="51">
      <c r="A51" s="320"/>
      <c r="B51" s="321"/>
      <c r="C51" s="322"/>
      <c r="D51" s="401"/>
      <c r="E51" s="320"/>
      <c r="F51" s="321"/>
      <c r="G51" s="322"/>
      <c r="H51" s="401"/>
      <c r="I51" s="320"/>
      <c r="J51" s="321"/>
      <c r="K51" s="322"/>
      <c r="L51" s="401"/>
      <c r="M51" s="320"/>
      <c r="N51" s="321"/>
      <c r="O51" s="322"/>
      <c r="P51" s="401"/>
      <c r="Q51" s="203"/>
      <c r="R51" s="223"/>
      <c r="S51" s="404"/>
      <c r="T51" s="405"/>
      <c r="U51" s="203"/>
      <c r="V51" s="223"/>
      <c r="W51" s="404"/>
      <c r="X51" s="405"/>
      <c r="Y51" s="406"/>
      <c r="Z51" s="407"/>
      <c r="AA51" s="408"/>
      <c r="AB51" s="409"/>
      <c r="AC51" s="406"/>
      <c r="AD51" s="407"/>
      <c r="AE51" s="408"/>
      <c r="AF51" s="409"/>
      <c r="AG51" s="203"/>
      <c r="AH51" s="223"/>
      <c r="AI51" s="404"/>
      <c r="AJ51" s="405"/>
      <c r="AK51" s="401"/>
      <c r="AL51" s="401"/>
      <c r="AM51" s="401"/>
    </row>
    <row r="52">
      <c r="A52" s="320"/>
      <c r="B52" s="321"/>
      <c r="C52" s="322"/>
      <c r="D52" s="401"/>
      <c r="E52" s="320"/>
      <c r="F52" s="321"/>
      <c r="G52" s="322"/>
      <c r="H52" s="401"/>
      <c r="I52" s="320"/>
      <c r="J52" s="321"/>
      <c r="K52" s="322"/>
      <c r="L52" s="401"/>
      <c r="M52" s="320"/>
      <c r="N52" s="321"/>
      <c r="O52" s="322"/>
      <c r="P52" s="401"/>
      <c r="Q52" s="203"/>
      <c r="R52" s="223"/>
      <c r="S52" s="404"/>
      <c r="T52" s="405"/>
      <c r="U52" s="203"/>
      <c r="V52" s="223"/>
      <c r="W52" s="404"/>
      <c r="X52" s="405"/>
      <c r="Y52" s="406"/>
      <c r="Z52" s="407"/>
      <c r="AA52" s="408"/>
      <c r="AB52" s="409"/>
      <c r="AC52" s="406"/>
      <c r="AD52" s="407"/>
      <c r="AE52" s="408"/>
      <c r="AF52" s="409"/>
      <c r="AG52" s="203"/>
      <c r="AH52" s="223"/>
      <c r="AI52" s="404"/>
      <c r="AJ52" s="405"/>
      <c r="AK52" s="401"/>
      <c r="AL52" s="401"/>
      <c r="AM52" s="401"/>
    </row>
    <row r="53">
      <c r="A53" s="320"/>
      <c r="B53" s="321"/>
      <c r="C53" s="322"/>
      <c r="D53" s="401"/>
      <c r="E53" s="320"/>
      <c r="F53" s="321"/>
      <c r="G53" s="322"/>
      <c r="H53" s="401"/>
      <c r="I53" s="320"/>
      <c r="J53" s="321"/>
      <c r="K53" s="322"/>
      <c r="L53" s="401"/>
      <c r="M53" s="320"/>
      <c r="N53" s="321"/>
      <c r="O53" s="322"/>
      <c r="P53" s="401"/>
      <c r="Q53" s="203"/>
      <c r="R53" s="223"/>
      <c r="S53" s="404"/>
      <c r="T53" s="405"/>
      <c r="U53" s="203"/>
      <c r="V53" s="223"/>
      <c r="W53" s="404"/>
      <c r="X53" s="405"/>
      <c r="Y53" s="203"/>
      <c r="Z53" s="223"/>
      <c r="AA53" s="404"/>
      <c r="AB53" s="405"/>
      <c r="AC53" s="203"/>
      <c r="AD53" s="223"/>
      <c r="AE53" s="404"/>
      <c r="AF53" s="405"/>
      <c r="AG53" s="203"/>
      <c r="AH53" s="223"/>
      <c r="AI53" s="404"/>
      <c r="AJ53" s="405"/>
      <c r="AK53" s="401"/>
      <c r="AL53" s="401"/>
      <c r="AM53" s="401"/>
    </row>
    <row r="54">
      <c r="A54" s="320"/>
      <c r="B54" s="321"/>
      <c r="C54" s="322"/>
      <c r="D54" s="401"/>
      <c r="E54" s="320"/>
      <c r="F54" s="321"/>
      <c r="G54" s="322"/>
      <c r="H54" s="401"/>
      <c r="I54" s="320"/>
      <c r="J54" s="321"/>
      <c r="K54" s="322"/>
      <c r="L54" s="401"/>
      <c r="M54" s="320"/>
      <c r="N54" s="321"/>
      <c r="O54" s="322"/>
      <c r="P54" s="401"/>
      <c r="Q54" s="203"/>
      <c r="R54" s="223"/>
      <c r="S54" s="404"/>
      <c r="T54" s="405"/>
      <c r="U54" s="203"/>
      <c r="V54" s="223"/>
      <c r="W54" s="404"/>
      <c r="X54" s="405"/>
      <c r="Y54" s="203"/>
      <c r="Z54" s="223"/>
      <c r="AA54" s="404"/>
      <c r="AB54" s="405"/>
      <c r="AC54" s="203"/>
      <c r="AD54" s="223"/>
      <c r="AE54" s="404"/>
      <c r="AF54" s="405"/>
      <c r="AG54" s="203"/>
      <c r="AH54" s="223"/>
      <c r="AI54" s="404"/>
      <c r="AJ54" s="405"/>
      <c r="AK54" s="401"/>
      <c r="AL54" s="401"/>
      <c r="AM54" s="401"/>
    </row>
    <row r="55">
      <c r="A55" s="320"/>
      <c r="B55" s="321"/>
      <c r="C55" s="322"/>
      <c r="D55" s="401"/>
      <c r="E55" s="320"/>
      <c r="F55" s="321"/>
      <c r="G55" s="322"/>
      <c r="H55" s="401"/>
      <c r="I55" s="320"/>
      <c r="J55" s="321"/>
      <c r="K55" s="322"/>
      <c r="L55" s="401"/>
      <c r="M55" s="320"/>
      <c r="N55" s="321"/>
      <c r="O55" s="322"/>
      <c r="P55" s="401"/>
      <c r="Q55" s="203"/>
      <c r="R55" s="223"/>
      <c r="S55" s="404"/>
      <c r="T55" s="405"/>
      <c r="U55" s="203"/>
      <c r="V55" s="223"/>
      <c r="W55" s="404"/>
      <c r="X55" s="405"/>
      <c r="Y55" s="203"/>
      <c r="Z55" s="223"/>
      <c r="AA55" s="404"/>
      <c r="AB55" s="405"/>
      <c r="AC55" s="203"/>
      <c r="AD55" s="223"/>
      <c r="AE55" s="404"/>
      <c r="AF55" s="405"/>
      <c r="AG55" s="203"/>
      <c r="AH55" s="223"/>
      <c r="AI55" s="404"/>
      <c r="AJ55" s="405"/>
      <c r="AK55" s="401"/>
      <c r="AL55" s="401"/>
      <c r="AM55" s="401"/>
    </row>
    <row r="56">
      <c r="A56" s="320"/>
      <c r="B56" s="321"/>
      <c r="C56" s="322"/>
      <c r="D56" s="401"/>
      <c r="E56" s="320"/>
      <c r="F56" s="321"/>
      <c r="G56" s="322"/>
      <c r="H56" s="401"/>
      <c r="I56" s="320"/>
      <c r="J56" s="321"/>
      <c r="K56" s="322"/>
      <c r="L56" s="401"/>
      <c r="M56" s="320"/>
      <c r="N56" s="321"/>
      <c r="O56" s="322"/>
      <c r="P56" s="401"/>
      <c r="Q56" s="203"/>
      <c r="R56" s="223"/>
      <c r="S56" s="404"/>
      <c r="T56" s="405"/>
      <c r="U56" s="203"/>
      <c r="V56" s="223"/>
      <c r="W56" s="404"/>
      <c r="X56" s="405"/>
      <c r="Y56" s="203"/>
      <c r="Z56" s="223"/>
      <c r="AA56" s="404"/>
      <c r="AB56" s="405"/>
      <c r="AC56" s="203"/>
      <c r="AD56" s="223"/>
      <c r="AE56" s="404"/>
      <c r="AF56" s="405"/>
      <c r="AG56" s="203"/>
      <c r="AH56" s="223"/>
      <c r="AI56" s="404"/>
      <c r="AJ56" s="405"/>
      <c r="AK56" s="401"/>
      <c r="AL56" s="401"/>
      <c r="AM56" s="401"/>
    </row>
    <row r="57">
      <c r="A57" s="320"/>
      <c r="B57" s="321"/>
      <c r="C57" s="322"/>
      <c r="D57" s="401"/>
      <c r="E57" s="320"/>
      <c r="F57" s="321"/>
      <c r="G57" s="322"/>
      <c r="H57" s="401"/>
      <c r="I57" s="320"/>
      <c r="J57" s="321"/>
      <c r="K57" s="322"/>
      <c r="L57" s="401"/>
      <c r="M57" s="320"/>
      <c r="N57" s="321"/>
      <c r="O57" s="322"/>
      <c r="P57" s="401"/>
      <c r="Q57" s="203"/>
      <c r="R57" s="223"/>
      <c r="S57" s="404"/>
      <c r="T57" s="405"/>
      <c r="U57" s="203"/>
      <c r="V57" s="223"/>
      <c r="W57" s="404"/>
      <c r="X57" s="405"/>
      <c r="Y57" s="203"/>
      <c r="Z57" s="223"/>
      <c r="AA57" s="404"/>
      <c r="AB57" s="405"/>
      <c r="AC57" s="203"/>
      <c r="AD57" s="223"/>
      <c r="AE57" s="404"/>
      <c r="AF57" s="405"/>
      <c r="AG57" s="203"/>
      <c r="AH57" s="223"/>
      <c r="AI57" s="404"/>
      <c r="AJ57" s="405"/>
      <c r="AK57" s="401"/>
      <c r="AL57" s="401"/>
      <c r="AM57" s="401"/>
    </row>
    <row r="58">
      <c r="A58" s="320"/>
      <c r="B58" s="321"/>
      <c r="C58" s="322"/>
      <c r="D58" s="401"/>
      <c r="E58" s="320"/>
      <c r="F58" s="321"/>
      <c r="G58" s="322"/>
      <c r="H58" s="401"/>
      <c r="I58" s="320"/>
      <c r="J58" s="321"/>
      <c r="K58" s="322"/>
      <c r="L58" s="401"/>
      <c r="M58" s="320"/>
      <c r="N58" s="321"/>
      <c r="O58" s="322"/>
      <c r="P58" s="401"/>
      <c r="Q58" s="203"/>
      <c r="R58" s="223"/>
      <c r="S58" s="404"/>
      <c r="T58" s="405"/>
      <c r="U58" s="203"/>
      <c r="V58" s="223"/>
      <c r="W58" s="404"/>
      <c r="X58" s="405"/>
      <c r="Y58" s="203"/>
      <c r="Z58" s="223"/>
      <c r="AA58" s="404"/>
      <c r="AB58" s="405"/>
      <c r="AC58" s="203"/>
      <c r="AD58" s="223"/>
      <c r="AE58" s="404"/>
      <c r="AF58" s="405"/>
      <c r="AG58" s="203"/>
      <c r="AH58" s="223"/>
      <c r="AI58" s="404"/>
      <c r="AJ58" s="405"/>
      <c r="AK58" s="401"/>
      <c r="AL58" s="401"/>
      <c r="AM58" s="401"/>
    </row>
    <row r="59">
      <c r="A59" s="320"/>
      <c r="B59" s="321"/>
      <c r="C59" s="322"/>
      <c r="D59" s="401"/>
      <c r="E59" s="320"/>
      <c r="F59" s="321"/>
      <c r="G59" s="322"/>
      <c r="H59" s="401"/>
      <c r="I59" s="320"/>
      <c r="J59" s="321"/>
      <c r="K59" s="322"/>
      <c r="L59" s="401"/>
      <c r="M59" s="320"/>
      <c r="N59" s="321"/>
      <c r="O59" s="322"/>
      <c r="P59" s="401"/>
      <c r="Q59" s="203"/>
      <c r="R59" s="223"/>
      <c r="S59" s="404"/>
      <c r="T59" s="405"/>
      <c r="U59" s="203"/>
      <c r="V59" s="223"/>
      <c r="W59" s="404"/>
      <c r="X59" s="405"/>
      <c r="Y59" s="203"/>
      <c r="Z59" s="223"/>
      <c r="AA59" s="404"/>
      <c r="AB59" s="405"/>
      <c r="AC59" s="203"/>
      <c r="AD59" s="223"/>
      <c r="AE59" s="404"/>
      <c r="AF59" s="405"/>
      <c r="AG59" s="203"/>
      <c r="AH59" s="223"/>
      <c r="AI59" s="404"/>
      <c r="AJ59" s="405"/>
      <c r="AK59" s="401"/>
      <c r="AL59" s="401"/>
      <c r="AM59" s="401"/>
    </row>
    <row r="60">
      <c r="A60" s="320"/>
      <c r="B60" s="321"/>
      <c r="C60" s="322"/>
      <c r="D60" s="401"/>
      <c r="E60" s="320"/>
      <c r="F60" s="321"/>
      <c r="G60" s="322"/>
      <c r="H60" s="401"/>
      <c r="I60" s="320"/>
      <c r="J60" s="321"/>
      <c r="K60" s="322"/>
      <c r="L60" s="401"/>
      <c r="M60" s="320"/>
      <c r="N60" s="321"/>
      <c r="O60" s="322"/>
      <c r="P60" s="401"/>
      <c r="Q60" s="203"/>
      <c r="R60" s="223"/>
      <c r="S60" s="404"/>
      <c r="T60" s="405"/>
      <c r="U60" s="203"/>
      <c r="V60" s="223"/>
      <c r="W60" s="404"/>
      <c r="X60" s="405"/>
      <c r="Y60" s="203"/>
      <c r="Z60" s="223"/>
      <c r="AA60" s="404"/>
      <c r="AB60" s="405"/>
      <c r="AC60" s="203"/>
      <c r="AD60" s="223"/>
      <c r="AE60" s="404"/>
      <c r="AF60" s="405"/>
      <c r="AG60" s="203"/>
      <c r="AH60" s="223"/>
      <c r="AI60" s="404"/>
      <c r="AJ60" s="405"/>
      <c r="AK60" s="401"/>
      <c r="AL60" s="401"/>
      <c r="AM60" s="401"/>
    </row>
    <row r="61">
      <c r="A61" s="320"/>
      <c r="B61" s="321"/>
      <c r="C61" s="322"/>
      <c r="D61" s="401"/>
      <c r="E61" s="320"/>
      <c r="F61" s="321"/>
      <c r="G61" s="322"/>
      <c r="H61" s="401"/>
      <c r="I61" s="320"/>
      <c r="J61" s="321"/>
      <c r="K61" s="322"/>
      <c r="L61" s="401"/>
      <c r="M61" s="320"/>
      <c r="N61" s="321"/>
      <c r="O61" s="322"/>
      <c r="P61" s="401"/>
      <c r="Q61" s="203"/>
      <c r="R61" s="223"/>
      <c r="S61" s="404"/>
      <c r="T61" s="405"/>
      <c r="U61" s="203"/>
      <c r="V61" s="223"/>
      <c r="W61" s="404"/>
      <c r="X61" s="405"/>
      <c r="Y61" s="203"/>
      <c r="Z61" s="223"/>
      <c r="AA61" s="404"/>
      <c r="AB61" s="405"/>
      <c r="AC61" s="203"/>
      <c r="AD61" s="223"/>
      <c r="AE61" s="404"/>
      <c r="AF61" s="405"/>
      <c r="AG61" s="203"/>
      <c r="AH61" s="223"/>
      <c r="AI61" s="404"/>
      <c r="AJ61" s="405"/>
      <c r="AK61" s="401"/>
      <c r="AL61" s="401"/>
      <c r="AM61" s="401"/>
    </row>
    <row r="62">
      <c r="A62" s="320"/>
      <c r="B62" s="321"/>
      <c r="C62" s="322"/>
      <c r="D62" s="401"/>
      <c r="E62" s="320"/>
      <c r="F62" s="321"/>
      <c r="G62" s="322"/>
      <c r="H62" s="401"/>
      <c r="I62" s="320"/>
      <c r="J62" s="321"/>
      <c r="K62" s="322"/>
      <c r="L62" s="401"/>
      <c r="M62" s="320"/>
      <c r="N62" s="321"/>
      <c r="O62" s="322"/>
      <c r="P62" s="401"/>
      <c r="Q62" s="203"/>
      <c r="R62" s="223"/>
      <c r="S62" s="404"/>
      <c r="T62" s="405"/>
      <c r="U62" s="203"/>
      <c r="V62" s="223"/>
      <c r="W62" s="404"/>
      <c r="X62" s="405"/>
      <c r="Y62" s="203"/>
      <c r="Z62" s="223"/>
      <c r="AA62" s="404"/>
      <c r="AB62" s="405"/>
      <c r="AC62" s="203"/>
      <c r="AD62" s="223"/>
      <c r="AE62" s="404"/>
      <c r="AF62" s="405"/>
      <c r="AG62" s="203"/>
      <c r="AH62" s="223"/>
      <c r="AI62" s="404"/>
      <c r="AJ62" s="405"/>
      <c r="AK62" s="401"/>
      <c r="AL62" s="401"/>
      <c r="AM62" s="401"/>
    </row>
    <row r="63">
      <c r="A63" s="320"/>
      <c r="B63" s="321"/>
      <c r="C63" s="322"/>
      <c r="D63" s="401"/>
      <c r="E63" s="320"/>
      <c r="F63" s="321"/>
      <c r="G63" s="322"/>
      <c r="H63" s="401"/>
      <c r="I63" s="320"/>
      <c r="J63" s="321"/>
      <c r="K63" s="322"/>
      <c r="L63" s="401"/>
      <c r="M63" s="320"/>
      <c r="N63" s="321"/>
      <c r="O63" s="322"/>
      <c r="P63" s="401"/>
      <c r="Q63" s="203"/>
      <c r="R63" s="223"/>
      <c r="S63" s="404"/>
      <c r="T63" s="405"/>
      <c r="U63" s="203"/>
      <c r="V63" s="223"/>
      <c r="W63" s="404"/>
      <c r="X63" s="405"/>
      <c r="Y63" s="203"/>
      <c r="Z63" s="223"/>
      <c r="AA63" s="404"/>
      <c r="AB63" s="405"/>
      <c r="AC63" s="203"/>
      <c r="AD63" s="223"/>
      <c r="AE63" s="404"/>
      <c r="AF63" s="405"/>
      <c r="AG63" s="203"/>
      <c r="AH63" s="223"/>
      <c r="AI63" s="404"/>
      <c r="AJ63" s="405"/>
      <c r="AK63" s="401"/>
      <c r="AL63" s="401"/>
      <c r="AM63" s="401"/>
    </row>
    <row r="64">
      <c r="A64" s="320"/>
      <c r="B64" s="321"/>
      <c r="C64" s="322"/>
      <c r="D64" s="401"/>
      <c r="E64" s="320"/>
      <c r="F64" s="321"/>
      <c r="G64" s="322"/>
      <c r="H64" s="401"/>
      <c r="I64" s="320"/>
      <c r="J64" s="321"/>
      <c r="K64" s="322"/>
      <c r="L64" s="401"/>
      <c r="M64" s="320"/>
      <c r="N64" s="321"/>
      <c r="O64" s="322"/>
      <c r="P64" s="401"/>
      <c r="Q64" s="203"/>
      <c r="R64" s="223"/>
      <c r="S64" s="404"/>
      <c r="T64" s="405"/>
      <c r="U64" s="203"/>
      <c r="V64" s="223"/>
      <c r="W64" s="404"/>
      <c r="X64" s="405"/>
      <c r="Y64" s="203"/>
      <c r="Z64" s="223"/>
      <c r="AA64" s="404"/>
      <c r="AB64" s="405"/>
      <c r="AC64" s="203"/>
      <c r="AD64" s="223"/>
      <c r="AE64" s="404"/>
      <c r="AF64" s="405"/>
      <c r="AG64" s="203"/>
      <c r="AH64" s="223"/>
      <c r="AI64" s="404"/>
      <c r="AJ64" s="405"/>
      <c r="AK64" s="401"/>
      <c r="AL64" s="401"/>
      <c r="AM64" s="401"/>
    </row>
    <row r="65">
      <c r="A65" s="320"/>
      <c r="B65" s="321"/>
      <c r="C65" s="322"/>
      <c r="D65" s="401"/>
      <c r="E65" s="320"/>
      <c r="F65" s="321"/>
      <c r="G65" s="322"/>
      <c r="H65" s="401"/>
      <c r="I65" s="320"/>
      <c r="J65" s="321"/>
      <c r="K65" s="322"/>
      <c r="L65" s="401"/>
      <c r="M65" s="320"/>
      <c r="N65" s="321"/>
      <c r="O65" s="322"/>
      <c r="P65" s="401"/>
      <c r="Q65" s="203"/>
      <c r="R65" s="223"/>
      <c r="S65" s="404"/>
      <c r="T65" s="405"/>
      <c r="U65" s="203"/>
      <c r="V65" s="223"/>
      <c r="W65" s="404"/>
      <c r="X65" s="405"/>
      <c r="Y65" s="203"/>
      <c r="Z65" s="223"/>
      <c r="AA65" s="404"/>
      <c r="AB65" s="405"/>
      <c r="AC65" s="203"/>
      <c r="AD65" s="223"/>
      <c r="AE65" s="404"/>
      <c r="AF65" s="405"/>
      <c r="AG65" s="203"/>
      <c r="AH65" s="223"/>
      <c r="AI65" s="404"/>
      <c r="AJ65" s="405"/>
      <c r="AK65" s="401"/>
      <c r="AL65" s="401"/>
      <c r="AM65" s="401"/>
    </row>
    <row r="66">
      <c r="A66" s="320"/>
      <c r="B66" s="321"/>
      <c r="C66" s="322"/>
      <c r="D66" s="401"/>
      <c r="E66" s="320"/>
      <c r="F66" s="321"/>
      <c r="G66" s="322"/>
      <c r="H66" s="401"/>
      <c r="I66" s="320"/>
      <c r="J66" s="321"/>
      <c r="K66" s="322"/>
      <c r="L66" s="401"/>
      <c r="M66" s="320"/>
      <c r="N66" s="321"/>
      <c r="O66" s="322"/>
      <c r="P66" s="401"/>
      <c r="Q66" s="203"/>
      <c r="R66" s="223"/>
      <c r="S66" s="404"/>
      <c r="T66" s="405"/>
      <c r="U66" s="203"/>
      <c r="V66" s="223"/>
      <c r="W66" s="404"/>
      <c r="X66" s="405"/>
      <c r="Y66" s="203"/>
      <c r="Z66" s="223"/>
      <c r="AA66" s="404"/>
      <c r="AB66" s="405"/>
      <c r="AC66" s="203"/>
      <c r="AD66" s="223"/>
      <c r="AE66" s="404"/>
      <c r="AF66" s="405"/>
      <c r="AG66" s="203"/>
      <c r="AH66" s="223"/>
      <c r="AI66" s="404"/>
      <c r="AJ66" s="405"/>
      <c r="AK66" s="401"/>
      <c r="AL66" s="401"/>
      <c r="AM66" s="401"/>
    </row>
    <row r="67">
      <c r="A67" s="320"/>
      <c r="B67" s="321"/>
      <c r="C67" s="322"/>
      <c r="D67" s="401"/>
      <c r="E67" s="320"/>
      <c r="F67" s="321"/>
      <c r="G67" s="322"/>
      <c r="H67" s="401"/>
      <c r="I67" s="320"/>
      <c r="J67" s="321"/>
      <c r="K67" s="322"/>
      <c r="L67" s="401"/>
      <c r="M67" s="320"/>
      <c r="N67" s="321"/>
      <c r="O67" s="322"/>
      <c r="P67" s="401"/>
      <c r="Q67" s="203"/>
      <c r="R67" s="223"/>
      <c r="S67" s="404"/>
      <c r="T67" s="405"/>
      <c r="U67" s="203"/>
      <c r="V67" s="223"/>
      <c r="W67" s="404"/>
      <c r="X67" s="405"/>
      <c r="Y67" s="203"/>
      <c r="Z67" s="223"/>
      <c r="AA67" s="404"/>
      <c r="AB67" s="405"/>
      <c r="AC67" s="203"/>
      <c r="AD67" s="223"/>
      <c r="AE67" s="404"/>
      <c r="AF67" s="405"/>
      <c r="AG67" s="203"/>
      <c r="AH67" s="223"/>
      <c r="AI67" s="404"/>
      <c r="AJ67" s="405"/>
      <c r="AK67" s="401"/>
      <c r="AL67" s="401"/>
      <c r="AM67" s="401"/>
    </row>
    <row r="68">
      <c r="A68" s="320"/>
      <c r="B68" s="321"/>
      <c r="C68" s="322"/>
      <c r="D68" s="401"/>
      <c r="E68" s="320"/>
      <c r="F68" s="321"/>
      <c r="G68" s="322"/>
      <c r="H68" s="401"/>
      <c r="I68" s="320"/>
      <c r="J68" s="321"/>
      <c r="K68" s="322"/>
      <c r="L68" s="401"/>
      <c r="M68" s="320"/>
      <c r="N68" s="321"/>
      <c r="O68" s="322"/>
      <c r="P68" s="401"/>
      <c r="Q68" s="203"/>
      <c r="R68" s="223"/>
      <c r="S68" s="404"/>
      <c r="T68" s="405"/>
      <c r="U68" s="203"/>
      <c r="V68" s="223"/>
      <c r="W68" s="404"/>
      <c r="X68" s="405"/>
      <c r="Y68" s="203"/>
      <c r="Z68" s="223"/>
      <c r="AA68" s="404"/>
      <c r="AB68" s="405"/>
      <c r="AC68" s="203"/>
      <c r="AD68" s="223"/>
      <c r="AE68" s="404"/>
      <c r="AF68" s="405"/>
      <c r="AG68" s="203"/>
      <c r="AH68" s="223"/>
      <c r="AI68" s="404"/>
      <c r="AJ68" s="405"/>
      <c r="AK68" s="401"/>
      <c r="AL68" s="401"/>
      <c r="AM68" s="401"/>
    </row>
    <row r="69">
      <c r="A69" s="320"/>
      <c r="B69" s="321"/>
      <c r="C69" s="322"/>
      <c r="D69" s="401"/>
      <c r="E69" s="320"/>
      <c r="F69" s="321"/>
      <c r="G69" s="322"/>
      <c r="H69" s="401"/>
      <c r="I69" s="320"/>
      <c r="J69" s="321"/>
      <c r="K69" s="322"/>
      <c r="L69" s="401"/>
      <c r="M69" s="320"/>
      <c r="N69" s="321"/>
      <c r="O69" s="322"/>
      <c r="P69" s="401"/>
      <c r="Q69" s="203"/>
      <c r="R69" s="223"/>
      <c r="S69" s="404"/>
      <c r="T69" s="405"/>
      <c r="U69" s="203"/>
      <c r="V69" s="223"/>
      <c r="W69" s="404"/>
      <c r="X69" s="405"/>
      <c r="Y69" s="203"/>
      <c r="Z69" s="223"/>
      <c r="AA69" s="404"/>
      <c r="AB69" s="405"/>
      <c r="AC69" s="203"/>
      <c r="AD69" s="223"/>
      <c r="AE69" s="404"/>
      <c r="AF69" s="405"/>
      <c r="AG69" s="203"/>
      <c r="AH69" s="223"/>
      <c r="AI69" s="404"/>
      <c r="AJ69" s="405"/>
      <c r="AK69" s="401"/>
      <c r="AL69" s="401"/>
      <c r="AM69" s="401"/>
    </row>
    <row r="70">
      <c r="A70" s="320"/>
      <c r="B70" s="321"/>
      <c r="C70" s="322"/>
      <c r="D70" s="401"/>
      <c r="E70" s="320"/>
      <c r="F70" s="321"/>
      <c r="G70" s="322"/>
      <c r="H70" s="401"/>
      <c r="I70" s="320"/>
      <c r="J70" s="321"/>
      <c r="K70" s="322"/>
      <c r="L70" s="401"/>
      <c r="M70" s="320"/>
      <c r="N70" s="321"/>
      <c r="O70" s="322"/>
      <c r="P70" s="401"/>
      <c r="Q70" s="203"/>
      <c r="R70" s="223"/>
      <c r="S70" s="404"/>
      <c r="T70" s="405"/>
      <c r="U70" s="203"/>
      <c r="V70" s="223"/>
      <c r="W70" s="404"/>
      <c r="X70" s="405"/>
      <c r="Y70" s="203"/>
      <c r="Z70" s="223"/>
      <c r="AA70" s="404"/>
      <c r="AB70" s="405"/>
      <c r="AC70" s="203"/>
      <c r="AD70" s="223"/>
      <c r="AE70" s="404"/>
      <c r="AF70" s="405"/>
      <c r="AG70" s="203"/>
      <c r="AH70" s="223"/>
      <c r="AI70" s="404"/>
      <c r="AJ70" s="405"/>
      <c r="AK70" s="401"/>
      <c r="AL70" s="401"/>
      <c r="AM70" s="401"/>
    </row>
    <row r="71">
      <c r="A71" s="320"/>
      <c r="B71" s="321"/>
      <c r="C71" s="322"/>
      <c r="D71" s="401"/>
      <c r="E71" s="320"/>
      <c r="F71" s="321"/>
      <c r="G71" s="322"/>
      <c r="H71" s="401"/>
      <c r="I71" s="320"/>
      <c r="J71" s="321"/>
      <c r="K71" s="322"/>
      <c r="L71" s="401"/>
      <c r="M71" s="320"/>
      <c r="N71" s="321"/>
      <c r="O71" s="322"/>
      <c r="P71" s="401"/>
      <c r="Q71" s="203"/>
      <c r="R71" s="223"/>
      <c r="S71" s="404"/>
      <c r="T71" s="405"/>
      <c r="U71" s="203"/>
      <c r="V71" s="223"/>
      <c r="W71" s="404"/>
      <c r="X71" s="405"/>
      <c r="Y71" s="203"/>
      <c r="Z71" s="223"/>
      <c r="AA71" s="404"/>
      <c r="AB71" s="405"/>
      <c r="AC71" s="203"/>
      <c r="AD71" s="223"/>
      <c r="AE71" s="404"/>
      <c r="AF71" s="405"/>
      <c r="AG71" s="203"/>
      <c r="AH71" s="223"/>
      <c r="AI71" s="404"/>
      <c r="AJ71" s="405"/>
      <c r="AK71" s="401"/>
      <c r="AL71" s="401"/>
      <c r="AM71" s="401"/>
    </row>
    <row r="72">
      <c r="A72" s="320"/>
      <c r="B72" s="321"/>
      <c r="C72" s="322"/>
      <c r="D72" s="401"/>
      <c r="E72" s="320"/>
      <c r="F72" s="321"/>
      <c r="G72" s="322"/>
      <c r="H72" s="401"/>
      <c r="I72" s="320"/>
      <c r="J72" s="321"/>
      <c r="K72" s="322"/>
      <c r="L72" s="401"/>
      <c r="M72" s="320"/>
      <c r="N72" s="321"/>
      <c r="O72" s="322"/>
      <c r="P72" s="401"/>
      <c r="Q72" s="203"/>
      <c r="R72" s="223"/>
      <c r="S72" s="404"/>
      <c r="T72" s="405"/>
      <c r="U72" s="203"/>
      <c r="V72" s="223"/>
      <c r="W72" s="404"/>
      <c r="X72" s="405"/>
      <c r="Y72" s="203"/>
      <c r="Z72" s="223"/>
      <c r="AA72" s="404"/>
      <c r="AB72" s="405"/>
      <c r="AC72" s="203"/>
      <c r="AD72" s="223"/>
      <c r="AE72" s="404"/>
      <c r="AF72" s="405"/>
      <c r="AG72" s="203"/>
      <c r="AH72" s="223"/>
      <c r="AI72" s="404"/>
      <c r="AJ72" s="405"/>
      <c r="AK72" s="401"/>
      <c r="AL72" s="401"/>
      <c r="AM72" s="401"/>
    </row>
    <row r="73">
      <c r="A73" s="320"/>
      <c r="B73" s="321"/>
      <c r="C73" s="322"/>
      <c r="D73" s="401"/>
      <c r="E73" s="320"/>
      <c r="F73" s="321"/>
      <c r="G73" s="322"/>
      <c r="H73" s="401"/>
      <c r="I73" s="320"/>
      <c r="J73" s="321"/>
      <c r="K73" s="322"/>
      <c r="L73" s="401"/>
      <c r="M73" s="320"/>
      <c r="N73" s="321"/>
      <c r="O73" s="322"/>
      <c r="P73" s="401"/>
      <c r="Q73" s="203"/>
      <c r="R73" s="223"/>
      <c r="S73" s="404"/>
      <c r="T73" s="405"/>
      <c r="U73" s="203"/>
      <c r="V73" s="223"/>
      <c r="W73" s="404"/>
      <c r="X73" s="405"/>
      <c r="Y73" s="203"/>
      <c r="Z73" s="223"/>
      <c r="AA73" s="404"/>
      <c r="AB73" s="405"/>
      <c r="AC73" s="203"/>
      <c r="AD73" s="223"/>
      <c r="AE73" s="404"/>
      <c r="AF73" s="405"/>
      <c r="AG73" s="203"/>
      <c r="AH73" s="223"/>
      <c r="AI73" s="404"/>
      <c r="AJ73" s="405"/>
      <c r="AK73" s="401"/>
      <c r="AL73" s="401"/>
      <c r="AM73" s="401"/>
    </row>
    <row r="74">
      <c r="A74" s="320"/>
      <c r="B74" s="321"/>
      <c r="C74" s="322"/>
      <c r="D74" s="401"/>
      <c r="E74" s="320"/>
      <c r="F74" s="321"/>
      <c r="G74" s="322"/>
      <c r="H74" s="401"/>
      <c r="I74" s="320"/>
      <c r="J74" s="321"/>
      <c r="K74" s="322"/>
      <c r="L74" s="401"/>
      <c r="M74" s="320"/>
      <c r="N74" s="321"/>
      <c r="O74" s="322"/>
      <c r="P74" s="401"/>
      <c r="Q74" s="203"/>
      <c r="R74" s="223"/>
      <c r="S74" s="404"/>
      <c r="T74" s="405"/>
      <c r="U74" s="203"/>
      <c r="V74" s="223"/>
      <c r="W74" s="404"/>
      <c r="X74" s="405"/>
      <c r="Y74" s="203"/>
      <c r="Z74" s="223"/>
      <c r="AA74" s="404"/>
      <c r="AB74" s="405"/>
      <c r="AC74" s="203"/>
      <c r="AD74" s="223"/>
      <c r="AE74" s="404"/>
      <c r="AF74" s="405"/>
      <c r="AG74" s="203"/>
      <c r="AH74" s="223"/>
      <c r="AI74" s="404"/>
      <c r="AJ74" s="405"/>
      <c r="AK74" s="401"/>
      <c r="AL74" s="401"/>
      <c r="AM74" s="401"/>
    </row>
    <row r="75">
      <c r="A75" s="320"/>
      <c r="B75" s="321"/>
      <c r="C75" s="322"/>
      <c r="D75" s="401"/>
      <c r="E75" s="320"/>
      <c r="F75" s="321"/>
      <c r="G75" s="322"/>
      <c r="H75" s="401"/>
      <c r="I75" s="320"/>
      <c r="J75" s="321"/>
      <c r="K75" s="322"/>
      <c r="L75" s="401"/>
      <c r="M75" s="320"/>
      <c r="N75" s="321"/>
      <c r="O75" s="322"/>
      <c r="P75" s="401"/>
      <c r="Q75" s="203"/>
      <c r="R75" s="223"/>
      <c r="S75" s="404"/>
      <c r="T75" s="405"/>
      <c r="U75" s="203"/>
      <c r="V75" s="223"/>
      <c r="W75" s="404"/>
      <c r="X75" s="405"/>
      <c r="Y75" s="203"/>
      <c r="Z75" s="223"/>
      <c r="AA75" s="404"/>
      <c r="AB75" s="405"/>
      <c r="AC75" s="203"/>
      <c r="AD75" s="223"/>
      <c r="AE75" s="404"/>
      <c r="AF75" s="405"/>
      <c r="AG75" s="203"/>
      <c r="AH75" s="223"/>
      <c r="AI75" s="404"/>
      <c r="AJ75" s="405"/>
      <c r="AK75" s="401"/>
      <c r="AL75" s="401"/>
      <c r="AM75" s="401"/>
    </row>
    <row r="76">
      <c r="A76" s="320"/>
      <c r="B76" s="321"/>
      <c r="C76" s="322"/>
      <c r="D76" s="401"/>
      <c r="E76" s="320"/>
      <c r="F76" s="321"/>
      <c r="G76" s="322"/>
      <c r="H76" s="401"/>
      <c r="I76" s="320"/>
      <c r="J76" s="321"/>
      <c r="K76" s="322"/>
      <c r="L76" s="401"/>
      <c r="M76" s="320"/>
      <c r="N76" s="321"/>
      <c r="O76" s="322"/>
      <c r="P76" s="401"/>
      <c r="Q76" s="203"/>
      <c r="R76" s="223"/>
      <c r="S76" s="404"/>
      <c r="T76" s="405"/>
      <c r="U76" s="203"/>
      <c r="V76" s="223"/>
      <c r="W76" s="404"/>
      <c r="X76" s="405"/>
      <c r="Y76" s="203"/>
      <c r="Z76" s="223"/>
      <c r="AA76" s="404"/>
      <c r="AB76" s="405"/>
      <c r="AC76" s="203"/>
      <c r="AD76" s="223"/>
      <c r="AE76" s="404"/>
      <c r="AF76" s="405"/>
      <c r="AG76" s="203"/>
      <c r="AH76" s="223"/>
      <c r="AI76" s="404"/>
      <c r="AJ76" s="405"/>
      <c r="AK76" s="401"/>
      <c r="AL76" s="401"/>
      <c r="AM76" s="401"/>
    </row>
    <row r="77">
      <c r="A77" s="320"/>
      <c r="B77" s="321"/>
      <c r="C77" s="322"/>
      <c r="D77" s="401"/>
      <c r="E77" s="320"/>
      <c r="F77" s="321"/>
      <c r="G77" s="322"/>
      <c r="H77" s="401"/>
      <c r="I77" s="320"/>
      <c r="J77" s="321"/>
      <c r="K77" s="322"/>
      <c r="L77" s="401"/>
      <c r="M77" s="320"/>
      <c r="N77" s="321"/>
      <c r="O77" s="322"/>
      <c r="P77" s="401"/>
      <c r="Q77" s="203"/>
      <c r="R77" s="223"/>
      <c r="S77" s="404"/>
      <c r="T77" s="405"/>
      <c r="U77" s="203"/>
      <c r="V77" s="223"/>
      <c r="W77" s="404"/>
      <c r="X77" s="405"/>
      <c r="Y77" s="203"/>
      <c r="Z77" s="223"/>
      <c r="AA77" s="404"/>
      <c r="AB77" s="405"/>
      <c r="AC77" s="203"/>
      <c r="AD77" s="223"/>
      <c r="AE77" s="404"/>
      <c r="AF77" s="405"/>
      <c r="AG77" s="203"/>
      <c r="AH77" s="223"/>
      <c r="AI77" s="404"/>
      <c r="AJ77" s="405"/>
      <c r="AK77" s="401"/>
      <c r="AL77" s="401"/>
      <c r="AM77" s="401"/>
    </row>
    <row r="78">
      <c r="A78" s="320"/>
      <c r="B78" s="321"/>
      <c r="C78" s="322"/>
      <c r="D78" s="401"/>
      <c r="E78" s="320"/>
      <c r="F78" s="321"/>
      <c r="G78" s="322"/>
      <c r="H78" s="401"/>
      <c r="I78" s="320"/>
      <c r="J78" s="321"/>
      <c r="K78" s="322"/>
      <c r="L78" s="401"/>
      <c r="M78" s="320"/>
      <c r="N78" s="321"/>
      <c r="O78" s="322"/>
      <c r="P78" s="401"/>
      <c r="Q78" s="203"/>
      <c r="R78" s="223"/>
      <c r="S78" s="404"/>
      <c r="T78" s="405"/>
      <c r="U78" s="203"/>
      <c r="V78" s="223"/>
      <c r="W78" s="404"/>
      <c r="X78" s="405"/>
      <c r="Y78" s="203"/>
      <c r="Z78" s="223"/>
      <c r="AA78" s="404"/>
      <c r="AB78" s="405"/>
      <c r="AC78" s="203"/>
      <c r="AD78" s="223"/>
      <c r="AE78" s="404"/>
      <c r="AF78" s="405"/>
      <c r="AG78" s="203"/>
      <c r="AH78" s="223"/>
      <c r="AI78" s="404"/>
      <c r="AJ78" s="405"/>
      <c r="AK78" s="401"/>
      <c r="AL78" s="401"/>
      <c r="AM78" s="401"/>
    </row>
    <row r="79">
      <c r="A79" s="320"/>
      <c r="B79" s="321"/>
      <c r="C79" s="322"/>
      <c r="D79" s="401"/>
      <c r="E79" s="320"/>
      <c r="F79" s="321"/>
      <c r="G79" s="322"/>
      <c r="H79" s="401"/>
      <c r="I79" s="320"/>
      <c r="J79" s="321"/>
      <c r="K79" s="322"/>
      <c r="L79" s="401"/>
      <c r="M79" s="320"/>
      <c r="N79" s="321"/>
      <c r="O79" s="322"/>
      <c r="P79" s="401"/>
      <c r="Q79" s="203"/>
      <c r="R79" s="223"/>
      <c r="S79" s="404"/>
      <c r="T79" s="405"/>
      <c r="U79" s="203"/>
      <c r="V79" s="223"/>
      <c r="W79" s="404"/>
      <c r="X79" s="405"/>
      <c r="Y79" s="203"/>
      <c r="Z79" s="223"/>
      <c r="AA79" s="404"/>
      <c r="AB79" s="405"/>
      <c r="AC79" s="203"/>
      <c r="AD79" s="223"/>
      <c r="AE79" s="404"/>
      <c r="AF79" s="405"/>
      <c r="AG79" s="203"/>
      <c r="AH79" s="223"/>
      <c r="AI79" s="404"/>
      <c r="AJ79" s="405"/>
      <c r="AK79" s="401"/>
      <c r="AL79" s="401"/>
      <c r="AM79" s="401"/>
    </row>
    <row r="80">
      <c r="A80" s="320"/>
      <c r="B80" s="321"/>
      <c r="C80" s="322"/>
      <c r="D80" s="401"/>
      <c r="E80" s="320"/>
      <c r="F80" s="321"/>
      <c r="G80" s="322"/>
      <c r="H80" s="401"/>
      <c r="I80" s="320"/>
      <c r="J80" s="321"/>
      <c r="K80" s="322"/>
      <c r="L80" s="401"/>
      <c r="M80" s="320"/>
      <c r="N80" s="321"/>
      <c r="O80" s="322"/>
      <c r="P80" s="401"/>
      <c r="Q80" s="203"/>
      <c r="R80" s="223"/>
      <c r="S80" s="404"/>
      <c r="T80" s="405"/>
      <c r="U80" s="203"/>
      <c r="V80" s="223"/>
      <c r="W80" s="404"/>
      <c r="X80" s="405"/>
      <c r="Y80" s="203"/>
      <c r="Z80" s="223"/>
      <c r="AA80" s="404"/>
      <c r="AB80" s="405"/>
      <c r="AC80" s="203"/>
      <c r="AD80" s="223"/>
      <c r="AE80" s="404"/>
      <c r="AF80" s="405"/>
      <c r="AG80" s="203"/>
      <c r="AH80" s="223"/>
      <c r="AI80" s="404"/>
      <c r="AJ80" s="405"/>
      <c r="AK80" s="401"/>
      <c r="AL80" s="401"/>
      <c r="AM80" s="401"/>
    </row>
    <row r="81">
      <c r="A81" s="320"/>
      <c r="B81" s="321"/>
      <c r="C81" s="322"/>
      <c r="D81" s="401"/>
      <c r="E81" s="320"/>
      <c r="F81" s="321"/>
      <c r="G81" s="322"/>
      <c r="H81" s="401"/>
      <c r="I81" s="320"/>
      <c r="J81" s="321"/>
      <c r="K81" s="322"/>
      <c r="L81" s="401"/>
      <c r="M81" s="320"/>
      <c r="N81" s="321"/>
      <c r="O81" s="322"/>
      <c r="P81" s="401"/>
      <c r="Q81" s="203"/>
      <c r="R81" s="223"/>
      <c r="S81" s="404"/>
      <c r="T81" s="405"/>
      <c r="U81" s="203"/>
      <c r="V81" s="223"/>
      <c r="W81" s="404"/>
      <c r="X81" s="405"/>
      <c r="Y81" s="203"/>
      <c r="Z81" s="223"/>
      <c r="AA81" s="404"/>
      <c r="AB81" s="405"/>
      <c r="AC81" s="203"/>
      <c r="AD81" s="223"/>
      <c r="AE81" s="404"/>
      <c r="AF81" s="405"/>
      <c r="AG81" s="203"/>
      <c r="AH81" s="223"/>
      <c r="AI81" s="404"/>
      <c r="AJ81" s="405"/>
      <c r="AK81" s="401"/>
      <c r="AL81" s="401"/>
      <c r="AM81" s="401"/>
    </row>
    <row r="82">
      <c r="A82" s="320"/>
      <c r="B82" s="321"/>
      <c r="C82" s="322"/>
      <c r="D82" s="401"/>
      <c r="E82" s="320"/>
      <c r="F82" s="321"/>
      <c r="G82" s="322"/>
      <c r="H82" s="401"/>
      <c r="I82" s="320"/>
      <c r="J82" s="321"/>
      <c r="K82" s="322"/>
      <c r="L82" s="401"/>
      <c r="M82" s="320"/>
      <c r="N82" s="321"/>
      <c r="O82" s="322"/>
      <c r="P82" s="401"/>
      <c r="Q82" s="203"/>
      <c r="R82" s="223"/>
      <c r="S82" s="404"/>
      <c r="T82" s="405"/>
      <c r="U82" s="203"/>
      <c r="V82" s="223"/>
      <c r="W82" s="404"/>
      <c r="X82" s="405"/>
      <c r="Y82" s="203"/>
      <c r="Z82" s="223"/>
      <c r="AA82" s="404"/>
      <c r="AB82" s="405"/>
      <c r="AC82" s="203"/>
      <c r="AD82" s="223"/>
      <c r="AE82" s="404"/>
      <c r="AF82" s="405"/>
      <c r="AG82" s="203"/>
      <c r="AH82" s="223"/>
      <c r="AI82" s="404"/>
      <c r="AJ82" s="405"/>
      <c r="AK82" s="401"/>
      <c r="AL82" s="401"/>
      <c r="AM82" s="401"/>
    </row>
    <row r="83">
      <c r="A83" s="320"/>
      <c r="B83" s="321"/>
      <c r="C83" s="322"/>
      <c r="D83" s="401"/>
      <c r="E83" s="320"/>
      <c r="F83" s="321"/>
      <c r="G83" s="322"/>
      <c r="H83" s="401"/>
      <c r="I83" s="320"/>
      <c r="J83" s="321"/>
      <c r="K83" s="322"/>
      <c r="L83" s="401"/>
      <c r="M83" s="320"/>
      <c r="N83" s="321"/>
      <c r="O83" s="322"/>
      <c r="P83" s="401"/>
      <c r="Q83" s="203"/>
      <c r="R83" s="223"/>
      <c r="S83" s="404"/>
      <c r="T83" s="405"/>
      <c r="U83" s="203"/>
      <c r="V83" s="223"/>
      <c r="W83" s="404"/>
      <c r="X83" s="405"/>
      <c r="Y83" s="203"/>
      <c r="Z83" s="223"/>
      <c r="AA83" s="404"/>
      <c r="AB83" s="405"/>
      <c r="AC83" s="203"/>
      <c r="AD83" s="223"/>
      <c r="AE83" s="404"/>
      <c r="AF83" s="405"/>
      <c r="AG83" s="203"/>
      <c r="AH83" s="223"/>
      <c r="AI83" s="404"/>
      <c r="AJ83" s="405"/>
      <c r="AK83" s="401"/>
      <c r="AL83" s="401"/>
      <c r="AM83" s="401"/>
    </row>
    <row r="84">
      <c r="A84" s="320"/>
      <c r="B84" s="321"/>
      <c r="C84" s="322"/>
      <c r="D84" s="401"/>
      <c r="E84" s="320"/>
      <c r="F84" s="321"/>
      <c r="G84" s="322"/>
      <c r="H84" s="401"/>
      <c r="I84" s="320"/>
      <c r="J84" s="321"/>
      <c r="K84" s="322"/>
      <c r="L84" s="401"/>
      <c r="M84" s="320"/>
      <c r="N84" s="321"/>
      <c r="O84" s="322"/>
      <c r="P84" s="401"/>
      <c r="Q84" s="203"/>
      <c r="R84" s="223"/>
      <c r="S84" s="404"/>
      <c r="T84" s="405"/>
      <c r="U84" s="203"/>
      <c r="V84" s="223"/>
      <c r="W84" s="404"/>
      <c r="X84" s="405"/>
      <c r="Y84" s="203"/>
      <c r="Z84" s="223"/>
      <c r="AA84" s="404"/>
      <c r="AB84" s="405"/>
      <c r="AC84" s="203"/>
      <c r="AD84" s="223"/>
      <c r="AE84" s="404"/>
      <c r="AF84" s="405"/>
      <c r="AG84" s="203"/>
      <c r="AH84" s="223"/>
      <c r="AI84" s="404"/>
      <c r="AJ84" s="405"/>
      <c r="AK84" s="401"/>
      <c r="AL84" s="401"/>
      <c r="AM84" s="401"/>
    </row>
    <row r="85">
      <c r="A85" s="320"/>
      <c r="B85" s="321"/>
      <c r="C85" s="322"/>
      <c r="D85" s="401"/>
      <c r="E85" s="320"/>
      <c r="F85" s="321"/>
      <c r="G85" s="322"/>
      <c r="H85" s="401"/>
      <c r="I85" s="320"/>
      <c r="J85" s="321"/>
      <c r="K85" s="322"/>
      <c r="L85" s="401"/>
      <c r="M85" s="320"/>
      <c r="N85" s="321"/>
      <c r="O85" s="322"/>
      <c r="P85" s="401"/>
      <c r="Q85" s="203"/>
      <c r="R85" s="223"/>
      <c r="S85" s="404"/>
      <c r="T85" s="405"/>
      <c r="U85" s="203"/>
      <c r="V85" s="223"/>
      <c r="W85" s="404"/>
      <c r="X85" s="405"/>
      <c r="Y85" s="203"/>
      <c r="Z85" s="223"/>
      <c r="AA85" s="404"/>
      <c r="AB85" s="405"/>
      <c r="AC85" s="203"/>
      <c r="AD85" s="223"/>
      <c r="AE85" s="404"/>
      <c r="AF85" s="405"/>
      <c r="AG85" s="203"/>
      <c r="AH85" s="223"/>
      <c r="AI85" s="404"/>
      <c r="AJ85" s="405"/>
      <c r="AK85" s="401"/>
      <c r="AL85" s="401"/>
      <c r="AM85" s="401"/>
    </row>
    <row r="86">
      <c r="A86" s="320"/>
      <c r="B86" s="321"/>
      <c r="C86" s="322"/>
      <c r="D86" s="401"/>
      <c r="E86" s="320"/>
      <c r="F86" s="321"/>
      <c r="G86" s="322"/>
      <c r="H86" s="401"/>
      <c r="I86" s="320"/>
      <c r="J86" s="321"/>
      <c r="K86" s="322"/>
      <c r="L86" s="401"/>
      <c r="M86" s="320"/>
      <c r="N86" s="321"/>
      <c r="O86" s="322"/>
      <c r="P86" s="401"/>
      <c r="Q86" s="203"/>
      <c r="R86" s="223"/>
      <c r="S86" s="404"/>
      <c r="T86" s="405"/>
      <c r="U86" s="203"/>
      <c r="V86" s="223"/>
      <c r="W86" s="404"/>
      <c r="X86" s="405"/>
      <c r="Y86" s="203"/>
      <c r="Z86" s="223"/>
      <c r="AA86" s="404"/>
      <c r="AB86" s="405"/>
      <c r="AC86" s="203"/>
      <c r="AD86" s="223"/>
      <c r="AE86" s="404"/>
      <c r="AF86" s="405"/>
      <c r="AG86" s="203"/>
      <c r="AH86" s="223"/>
      <c r="AI86" s="404"/>
      <c r="AJ86" s="405"/>
      <c r="AK86" s="401"/>
      <c r="AL86" s="401"/>
      <c r="AM86" s="401"/>
    </row>
    <row r="87">
      <c r="A87" s="320"/>
      <c r="B87" s="321"/>
      <c r="C87" s="322"/>
      <c r="D87" s="401"/>
      <c r="E87" s="320"/>
      <c r="F87" s="321"/>
      <c r="G87" s="322"/>
      <c r="H87" s="401"/>
      <c r="I87" s="320"/>
      <c r="J87" s="321"/>
      <c r="K87" s="322"/>
      <c r="L87" s="401"/>
      <c r="M87" s="320"/>
      <c r="N87" s="321"/>
      <c r="O87" s="322"/>
      <c r="P87" s="401"/>
      <c r="Q87" s="203"/>
      <c r="R87" s="223"/>
      <c r="S87" s="404"/>
      <c r="T87" s="405"/>
      <c r="U87" s="203"/>
      <c r="V87" s="223"/>
      <c r="W87" s="404"/>
      <c r="X87" s="405"/>
      <c r="Y87" s="203"/>
      <c r="Z87" s="223"/>
      <c r="AA87" s="404"/>
      <c r="AB87" s="405"/>
      <c r="AC87" s="203"/>
      <c r="AD87" s="223"/>
      <c r="AE87" s="404"/>
      <c r="AF87" s="405"/>
      <c r="AG87" s="203"/>
      <c r="AH87" s="223"/>
      <c r="AI87" s="404"/>
      <c r="AJ87" s="405"/>
      <c r="AK87" s="401"/>
      <c r="AL87" s="401"/>
      <c r="AM87" s="401"/>
    </row>
    <row r="88">
      <c r="A88" s="320"/>
      <c r="B88" s="321"/>
      <c r="C88" s="322"/>
      <c r="D88" s="401"/>
      <c r="E88" s="320"/>
      <c r="F88" s="321"/>
      <c r="G88" s="322"/>
      <c r="H88" s="401"/>
      <c r="I88" s="320"/>
      <c r="J88" s="321"/>
      <c r="K88" s="322"/>
      <c r="L88" s="401"/>
      <c r="M88" s="320"/>
      <c r="N88" s="321"/>
      <c r="O88" s="322"/>
      <c r="P88" s="401"/>
      <c r="Q88" s="203"/>
      <c r="R88" s="223"/>
      <c r="S88" s="404"/>
      <c r="T88" s="405"/>
      <c r="U88" s="203"/>
      <c r="V88" s="223"/>
      <c r="W88" s="404"/>
      <c r="X88" s="405"/>
      <c r="Y88" s="203"/>
      <c r="Z88" s="223"/>
      <c r="AA88" s="404"/>
      <c r="AB88" s="405"/>
      <c r="AC88" s="203"/>
      <c r="AD88" s="223"/>
      <c r="AE88" s="404"/>
      <c r="AF88" s="405"/>
      <c r="AG88" s="203"/>
      <c r="AH88" s="223"/>
      <c r="AI88" s="404"/>
      <c r="AJ88" s="405"/>
      <c r="AK88" s="401"/>
      <c r="AL88" s="401"/>
      <c r="AM88" s="401"/>
    </row>
    <row r="89">
      <c r="A89" s="320"/>
      <c r="B89" s="321"/>
      <c r="C89" s="322"/>
      <c r="D89" s="401"/>
      <c r="E89" s="320"/>
      <c r="F89" s="321"/>
      <c r="G89" s="322"/>
      <c r="H89" s="401"/>
      <c r="I89" s="320"/>
      <c r="J89" s="321"/>
      <c r="K89" s="322"/>
      <c r="L89" s="401"/>
      <c r="M89" s="320"/>
      <c r="N89" s="321"/>
      <c r="O89" s="322"/>
      <c r="P89" s="401"/>
      <c r="Q89" s="203"/>
      <c r="R89" s="223"/>
      <c r="S89" s="404"/>
      <c r="T89" s="405"/>
      <c r="U89" s="203"/>
      <c r="V89" s="223"/>
      <c r="W89" s="404"/>
      <c r="X89" s="405"/>
      <c r="Y89" s="203"/>
      <c r="Z89" s="223"/>
      <c r="AA89" s="404"/>
      <c r="AB89" s="405"/>
      <c r="AC89" s="203"/>
      <c r="AD89" s="223"/>
      <c r="AE89" s="404"/>
      <c r="AF89" s="405"/>
      <c r="AG89" s="203"/>
      <c r="AH89" s="223"/>
      <c r="AI89" s="404"/>
      <c r="AJ89" s="405"/>
      <c r="AK89" s="401"/>
      <c r="AL89" s="401"/>
      <c r="AM89" s="401"/>
    </row>
    <row r="90">
      <c r="A90" s="320"/>
      <c r="B90" s="321"/>
      <c r="C90" s="322"/>
      <c r="D90" s="401"/>
      <c r="E90" s="320"/>
      <c r="F90" s="321"/>
      <c r="G90" s="322"/>
      <c r="H90" s="401"/>
      <c r="I90" s="320"/>
      <c r="J90" s="321"/>
      <c r="K90" s="322"/>
      <c r="L90" s="401"/>
      <c r="M90" s="320"/>
      <c r="N90" s="321"/>
      <c r="O90" s="322"/>
      <c r="P90" s="401"/>
      <c r="Q90" s="203"/>
      <c r="R90" s="223"/>
      <c r="S90" s="404"/>
      <c r="T90" s="405"/>
      <c r="U90" s="203"/>
      <c r="V90" s="223"/>
      <c r="W90" s="404"/>
      <c r="X90" s="405"/>
      <c r="Y90" s="203"/>
      <c r="Z90" s="223"/>
      <c r="AA90" s="404"/>
      <c r="AB90" s="405"/>
      <c r="AC90" s="203"/>
      <c r="AD90" s="223"/>
      <c r="AE90" s="404"/>
      <c r="AF90" s="405"/>
      <c r="AG90" s="203"/>
      <c r="AH90" s="223"/>
      <c r="AI90" s="404"/>
      <c r="AJ90" s="405"/>
      <c r="AK90" s="401"/>
      <c r="AL90" s="401"/>
      <c r="AM90" s="401"/>
    </row>
    <row r="91">
      <c r="A91" s="320"/>
      <c r="B91" s="321"/>
      <c r="C91" s="322"/>
      <c r="D91" s="401"/>
      <c r="E91" s="320"/>
      <c r="F91" s="321"/>
      <c r="G91" s="322"/>
      <c r="H91" s="401"/>
      <c r="I91" s="320"/>
      <c r="J91" s="321"/>
      <c r="K91" s="322"/>
      <c r="L91" s="401"/>
      <c r="M91" s="320"/>
      <c r="N91" s="321"/>
      <c r="O91" s="322"/>
      <c r="P91" s="401"/>
      <c r="Q91" s="203"/>
      <c r="R91" s="223"/>
      <c r="S91" s="404"/>
      <c r="T91" s="405"/>
      <c r="U91" s="203"/>
      <c r="V91" s="223"/>
      <c r="W91" s="404"/>
      <c r="X91" s="405"/>
      <c r="Y91" s="203"/>
      <c r="Z91" s="223"/>
      <c r="AA91" s="404"/>
      <c r="AB91" s="405"/>
      <c r="AC91" s="203"/>
      <c r="AD91" s="223"/>
      <c r="AE91" s="404"/>
      <c r="AF91" s="405"/>
      <c r="AG91" s="203"/>
      <c r="AH91" s="223"/>
      <c r="AI91" s="404"/>
      <c r="AJ91" s="405"/>
      <c r="AK91" s="401"/>
      <c r="AL91" s="401"/>
      <c r="AM91" s="401"/>
    </row>
    <row r="92">
      <c r="A92" s="320"/>
      <c r="B92" s="321"/>
      <c r="C92" s="322"/>
      <c r="D92" s="401"/>
      <c r="E92" s="320"/>
      <c r="F92" s="321"/>
      <c r="G92" s="322"/>
      <c r="H92" s="401"/>
      <c r="I92" s="320"/>
      <c r="J92" s="321"/>
      <c r="K92" s="322"/>
      <c r="L92" s="401"/>
      <c r="M92" s="320"/>
      <c r="N92" s="321"/>
      <c r="O92" s="322"/>
      <c r="P92" s="401"/>
      <c r="Q92" s="203"/>
      <c r="R92" s="223"/>
      <c r="S92" s="404"/>
      <c r="T92" s="405"/>
      <c r="U92" s="203"/>
      <c r="V92" s="223"/>
      <c r="W92" s="404"/>
      <c r="X92" s="405"/>
      <c r="Y92" s="203"/>
      <c r="Z92" s="223"/>
      <c r="AA92" s="404"/>
      <c r="AB92" s="405"/>
      <c r="AC92" s="203"/>
      <c r="AD92" s="223"/>
      <c r="AE92" s="404"/>
      <c r="AF92" s="405"/>
      <c r="AG92" s="203"/>
      <c r="AH92" s="223"/>
      <c r="AI92" s="404"/>
      <c r="AJ92" s="405"/>
      <c r="AK92" s="401"/>
      <c r="AL92" s="401"/>
      <c r="AM92" s="401"/>
    </row>
    <row r="93">
      <c r="A93" s="320"/>
      <c r="B93" s="321"/>
      <c r="C93" s="322"/>
      <c r="D93" s="401"/>
      <c r="E93" s="320"/>
      <c r="F93" s="321"/>
      <c r="G93" s="322"/>
      <c r="H93" s="401"/>
      <c r="I93" s="320"/>
      <c r="J93" s="321"/>
      <c r="K93" s="322"/>
      <c r="L93" s="401"/>
      <c r="M93" s="320"/>
      <c r="N93" s="321"/>
      <c r="O93" s="322"/>
      <c r="P93" s="401"/>
      <c r="Q93" s="203"/>
      <c r="R93" s="223"/>
      <c r="S93" s="404"/>
      <c r="T93" s="405"/>
      <c r="U93" s="203"/>
      <c r="V93" s="223"/>
      <c r="W93" s="404"/>
      <c r="X93" s="405"/>
      <c r="Y93" s="203"/>
      <c r="Z93" s="223"/>
      <c r="AA93" s="404"/>
      <c r="AB93" s="405"/>
      <c r="AC93" s="203"/>
      <c r="AD93" s="223"/>
      <c r="AE93" s="404"/>
      <c r="AF93" s="405"/>
      <c r="AG93" s="203"/>
      <c r="AH93" s="223"/>
      <c r="AI93" s="404"/>
      <c r="AJ93" s="405"/>
      <c r="AK93" s="401"/>
      <c r="AL93" s="401"/>
      <c r="AM93" s="401"/>
    </row>
    <row r="94">
      <c r="A94" s="320"/>
      <c r="B94" s="321"/>
      <c r="C94" s="322"/>
      <c r="D94" s="401"/>
      <c r="E94" s="320"/>
      <c r="F94" s="321"/>
      <c r="G94" s="322"/>
      <c r="H94" s="401"/>
      <c r="I94" s="320"/>
      <c r="J94" s="321"/>
      <c r="K94" s="322"/>
      <c r="L94" s="401"/>
      <c r="M94" s="320"/>
      <c r="N94" s="321"/>
      <c r="O94" s="322"/>
      <c r="P94" s="401"/>
      <c r="Q94" s="203"/>
      <c r="R94" s="223"/>
      <c r="S94" s="404"/>
      <c r="T94" s="405"/>
      <c r="U94" s="203"/>
      <c r="V94" s="223"/>
      <c r="W94" s="404"/>
      <c r="X94" s="405"/>
      <c r="Y94" s="203"/>
      <c r="Z94" s="223"/>
      <c r="AA94" s="404"/>
      <c r="AB94" s="405"/>
      <c r="AC94" s="203"/>
      <c r="AD94" s="223"/>
      <c r="AE94" s="404"/>
      <c r="AF94" s="405"/>
      <c r="AG94" s="203"/>
      <c r="AH94" s="223"/>
      <c r="AI94" s="404"/>
      <c r="AJ94" s="405"/>
      <c r="AK94" s="401"/>
      <c r="AL94" s="401"/>
      <c r="AM94" s="401"/>
    </row>
    <row r="95">
      <c r="A95" s="320"/>
      <c r="B95" s="321"/>
      <c r="C95" s="322"/>
      <c r="D95" s="401"/>
      <c r="E95" s="320"/>
      <c r="F95" s="321"/>
      <c r="G95" s="322"/>
      <c r="H95" s="401"/>
      <c r="I95" s="320"/>
      <c r="J95" s="321"/>
      <c r="K95" s="322"/>
      <c r="L95" s="401"/>
      <c r="M95" s="320"/>
      <c r="N95" s="321"/>
      <c r="O95" s="322"/>
      <c r="P95" s="401"/>
      <c r="Q95" s="203"/>
      <c r="R95" s="223"/>
      <c r="S95" s="404"/>
      <c r="T95" s="405"/>
      <c r="U95" s="203"/>
      <c r="V95" s="223"/>
      <c r="W95" s="404"/>
      <c r="X95" s="405"/>
      <c r="Y95" s="203"/>
      <c r="Z95" s="223"/>
      <c r="AA95" s="404"/>
      <c r="AB95" s="405"/>
      <c r="AC95" s="203"/>
      <c r="AD95" s="223"/>
      <c r="AE95" s="404"/>
      <c r="AF95" s="405"/>
      <c r="AG95" s="203"/>
      <c r="AH95" s="223"/>
      <c r="AI95" s="404"/>
      <c r="AJ95" s="405"/>
      <c r="AK95" s="401"/>
      <c r="AL95" s="401"/>
      <c r="AM95" s="401"/>
    </row>
    <row r="96">
      <c r="A96" s="320"/>
      <c r="B96" s="321"/>
      <c r="C96" s="322"/>
      <c r="D96" s="401"/>
      <c r="E96" s="320"/>
      <c r="F96" s="321"/>
      <c r="G96" s="322"/>
      <c r="H96" s="401"/>
      <c r="I96" s="320"/>
      <c r="J96" s="321"/>
      <c r="K96" s="322"/>
      <c r="L96" s="401"/>
      <c r="M96" s="320"/>
      <c r="N96" s="321"/>
      <c r="O96" s="322"/>
      <c r="P96" s="401"/>
      <c r="Q96" s="203"/>
      <c r="R96" s="223"/>
      <c r="S96" s="404"/>
      <c r="T96" s="405"/>
      <c r="U96" s="203"/>
      <c r="V96" s="223"/>
      <c r="W96" s="404"/>
      <c r="X96" s="405"/>
      <c r="Y96" s="203"/>
      <c r="Z96" s="223"/>
      <c r="AA96" s="404"/>
      <c r="AB96" s="405"/>
      <c r="AC96" s="203"/>
      <c r="AD96" s="223"/>
      <c r="AE96" s="404"/>
      <c r="AF96" s="405"/>
      <c r="AG96" s="203"/>
      <c r="AH96" s="223"/>
      <c r="AI96" s="404"/>
      <c r="AJ96" s="405"/>
      <c r="AK96" s="401"/>
      <c r="AL96" s="401"/>
      <c r="AM96" s="401"/>
    </row>
    <row r="97">
      <c r="A97" s="320"/>
      <c r="B97" s="321"/>
      <c r="C97" s="322"/>
      <c r="D97" s="401"/>
      <c r="E97" s="320"/>
      <c r="F97" s="321"/>
      <c r="G97" s="322"/>
      <c r="H97" s="401"/>
      <c r="I97" s="320"/>
      <c r="J97" s="321"/>
      <c r="K97" s="322"/>
      <c r="L97" s="401"/>
      <c r="M97" s="320"/>
      <c r="N97" s="321"/>
      <c r="O97" s="322"/>
      <c r="P97" s="401"/>
      <c r="Q97" s="203"/>
      <c r="R97" s="223"/>
      <c r="S97" s="404"/>
      <c r="T97" s="405"/>
      <c r="U97" s="203"/>
      <c r="V97" s="223"/>
      <c r="W97" s="404"/>
      <c r="X97" s="405"/>
      <c r="Y97" s="203"/>
      <c r="Z97" s="223"/>
      <c r="AA97" s="404"/>
      <c r="AB97" s="405"/>
      <c r="AC97" s="203"/>
      <c r="AD97" s="223"/>
      <c r="AE97" s="404"/>
      <c r="AF97" s="405"/>
      <c r="AG97" s="203"/>
      <c r="AH97" s="223"/>
      <c r="AI97" s="404"/>
      <c r="AJ97" s="405"/>
      <c r="AK97" s="401"/>
      <c r="AL97" s="401"/>
      <c r="AM97" s="401"/>
    </row>
    <row r="98">
      <c r="A98" s="320"/>
      <c r="B98" s="321"/>
      <c r="C98" s="322"/>
      <c r="D98" s="401"/>
      <c r="E98" s="320"/>
      <c r="F98" s="321"/>
      <c r="G98" s="322"/>
      <c r="H98" s="401"/>
      <c r="I98" s="320"/>
      <c r="J98" s="321"/>
      <c r="K98" s="322"/>
      <c r="L98" s="401"/>
      <c r="M98" s="320"/>
      <c r="N98" s="321"/>
      <c r="O98" s="322"/>
      <c r="P98" s="401"/>
      <c r="Q98" s="203"/>
      <c r="R98" s="223"/>
      <c r="S98" s="404"/>
      <c r="T98" s="405"/>
      <c r="U98" s="203"/>
      <c r="V98" s="223"/>
      <c r="W98" s="404"/>
      <c r="X98" s="405"/>
      <c r="Y98" s="203"/>
      <c r="Z98" s="223"/>
      <c r="AA98" s="404"/>
      <c r="AB98" s="405"/>
      <c r="AC98" s="203"/>
      <c r="AD98" s="223"/>
      <c r="AE98" s="404"/>
      <c r="AF98" s="405"/>
      <c r="AG98" s="203"/>
      <c r="AH98" s="223"/>
      <c r="AI98" s="404"/>
      <c r="AJ98" s="405"/>
      <c r="AK98" s="401"/>
      <c r="AL98" s="401"/>
      <c r="AM98" s="401"/>
    </row>
    <row r="99">
      <c r="A99" s="320"/>
      <c r="B99" s="321"/>
      <c r="C99" s="322"/>
      <c r="D99" s="401"/>
      <c r="E99" s="320"/>
      <c r="F99" s="321"/>
      <c r="G99" s="322"/>
      <c r="H99" s="401"/>
      <c r="I99" s="320"/>
      <c r="J99" s="321"/>
      <c r="K99" s="322"/>
      <c r="L99" s="401"/>
      <c r="M99" s="320"/>
      <c r="N99" s="321"/>
      <c r="O99" s="322"/>
      <c r="P99" s="401"/>
      <c r="Q99" s="203"/>
      <c r="R99" s="223"/>
      <c r="S99" s="404"/>
      <c r="T99" s="405"/>
      <c r="U99" s="203"/>
      <c r="V99" s="223"/>
      <c r="W99" s="404"/>
      <c r="X99" s="405"/>
      <c r="Y99" s="203"/>
      <c r="Z99" s="223"/>
      <c r="AA99" s="404"/>
      <c r="AB99" s="405"/>
      <c r="AC99" s="203"/>
      <c r="AD99" s="223"/>
      <c r="AE99" s="404"/>
      <c r="AF99" s="405"/>
      <c r="AG99" s="203"/>
      <c r="AH99" s="223"/>
      <c r="AI99" s="404"/>
      <c r="AJ99" s="405"/>
      <c r="AK99" s="401"/>
      <c r="AL99" s="401"/>
      <c r="AM99" s="401"/>
    </row>
    <row r="100">
      <c r="A100" s="320"/>
      <c r="B100" s="321"/>
      <c r="C100" s="322"/>
      <c r="D100" s="401"/>
      <c r="E100" s="320"/>
      <c r="F100" s="321"/>
      <c r="G100" s="322"/>
      <c r="H100" s="401"/>
      <c r="I100" s="320"/>
      <c r="J100" s="321"/>
      <c r="K100" s="322"/>
      <c r="L100" s="401"/>
      <c r="M100" s="320"/>
      <c r="N100" s="321"/>
      <c r="O100" s="322"/>
      <c r="P100" s="401"/>
      <c r="Q100" s="203"/>
      <c r="R100" s="223"/>
      <c r="S100" s="404"/>
      <c r="T100" s="405"/>
      <c r="U100" s="203"/>
      <c r="V100" s="223"/>
      <c r="W100" s="404"/>
      <c r="X100" s="405"/>
      <c r="Y100" s="203"/>
      <c r="Z100" s="223"/>
      <c r="AA100" s="404"/>
      <c r="AB100" s="405"/>
      <c r="AC100" s="203"/>
      <c r="AD100" s="223"/>
      <c r="AE100" s="404"/>
      <c r="AF100" s="405"/>
      <c r="AG100" s="203"/>
      <c r="AH100" s="223"/>
      <c r="AI100" s="404"/>
      <c r="AJ100" s="405"/>
      <c r="AK100" s="401"/>
      <c r="AL100" s="401"/>
      <c r="AM100" s="401"/>
    </row>
    <row r="101">
      <c r="A101" s="320"/>
      <c r="B101" s="321"/>
      <c r="C101" s="322"/>
      <c r="D101" s="401"/>
      <c r="E101" s="320"/>
      <c r="F101" s="321"/>
      <c r="G101" s="322"/>
      <c r="H101" s="401"/>
      <c r="I101" s="320"/>
      <c r="J101" s="321"/>
      <c r="K101" s="322"/>
      <c r="L101" s="401"/>
      <c r="M101" s="320"/>
      <c r="N101" s="321"/>
      <c r="O101" s="322"/>
      <c r="P101" s="401"/>
      <c r="Q101" s="203"/>
      <c r="R101" s="223"/>
      <c r="S101" s="404"/>
      <c r="T101" s="405"/>
      <c r="U101" s="203"/>
      <c r="V101" s="223"/>
      <c r="W101" s="404"/>
      <c r="X101" s="405"/>
      <c r="Y101" s="203"/>
      <c r="Z101" s="223"/>
      <c r="AA101" s="404"/>
      <c r="AB101" s="405"/>
      <c r="AC101" s="203"/>
      <c r="AD101" s="223"/>
      <c r="AE101" s="404"/>
      <c r="AF101" s="405"/>
      <c r="AG101" s="203"/>
      <c r="AH101" s="223"/>
      <c r="AI101" s="404"/>
      <c r="AJ101" s="405"/>
      <c r="AK101" s="401"/>
      <c r="AL101" s="401"/>
      <c r="AM101" s="401"/>
    </row>
    <row r="102">
      <c r="A102" s="320"/>
      <c r="B102" s="321"/>
      <c r="C102" s="322"/>
      <c r="D102" s="401"/>
      <c r="E102" s="320"/>
      <c r="F102" s="321"/>
      <c r="G102" s="322"/>
      <c r="H102" s="401"/>
      <c r="I102" s="320"/>
      <c r="J102" s="321"/>
      <c r="K102" s="322"/>
      <c r="L102" s="401"/>
      <c r="M102" s="320"/>
      <c r="N102" s="321"/>
      <c r="O102" s="322"/>
      <c r="P102" s="401"/>
      <c r="Q102" s="203"/>
      <c r="R102" s="223"/>
      <c r="S102" s="404"/>
      <c r="T102" s="405"/>
      <c r="U102" s="203"/>
      <c r="V102" s="223"/>
      <c r="W102" s="404"/>
      <c r="X102" s="405"/>
      <c r="Y102" s="203"/>
      <c r="Z102" s="223"/>
      <c r="AA102" s="404"/>
      <c r="AB102" s="405"/>
      <c r="AC102" s="203"/>
      <c r="AD102" s="223"/>
      <c r="AE102" s="404"/>
      <c r="AF102" s="405"/>
      <c r="AG102" s="203"/>
      <c r="AH102" s="223"/>
      <c r="AI102" s="404"/>
      <c r="AJ102" s="405"/>
      <c r="AK102" s="401"/>
      <c r="AL102" s="401"/>
      <c r="AM102" s="401"/>
    </row>
    <row r="103">
      <c r="A103" s="320"/>
      <c r="B103" s="321"/>
      <c r="C103" s="322"/>
      <c r="D103" s="401"/>
      <c r="E103" s="320"/>
      <c r="F103" s="321"/>
      <c r="G103" s="322"/>
      <c r="H103" s="401"/>
      <c r="I103" s="320"/>
      <c r="J103" s="321"/>
      <c r="K103" s="322"/>
      <c r="L103" s="401"/>
      <c r="M103" s="320"/>
      <c r="N103" s="321"/>
      <c r="O103" s="322"/>
      <c r="P103" s="401"/>
      <c r="Q103" s="203"/>
      <c r="R103" s="223"/>
      <c r="S103" s="404"/>
      <c r="T103" s="405"/>
      <c r="U103" s="203"/>
      <c r="V103" s="223"/>
      <c r="W103" s="404"/>
      <c r="X103" s="405"/>
      <c r="Y103" s="203"/>
      <c r="Z103" s="223"/>
      <c r="AA103" s="404"/>
      <c r="AB103" s="405"/>
      <c r="AC103" s="203"/>
      <c r="AD103" s="223"/>
      <c r="AE103" s="404"/>
      <c r="AF103" s="405"/>
      <c r="AG103" s="203"/>
      <c r="AH103" s="223"/>
      <c r="AI103" s="404"/>
      <c r="AJ103" s="405"/>
      <c r="AK103" s="401"/>
      <c r="AL103" s="401"/>
      <c r="AM103" s="401"/>
    </row>
    <row r="104">
      <c r="A104" s="320"/>
      <c r="B104" s="321"/>
      <c r="C104" s="322"/>
      <c r="D104" s="401"/>
      <c r="E104" s="320"/>
      <c r="F104" s="321"/>
      <c r="G104" s="322"/>
      <c r="H104" s="401"/>
      <c r="I104" s="320"/>
      <c r="J104" s="321"/>
      <c r="K104" s="322"/>
      <c r="L104" s="401"/>
      <c r="M104" s="320"/>
      <c r="N104" s="321"/>
      <c r="O104" s="322"/>
      <c r="P104" s="401"/>
      <c r="Q104" s="203"/>
      <c r="R104" s="223"/>
      <c r="S104" s="404"/>
      <c r="T104" s="405"/>
      <c r="U104" s="203"/>
      <c r="V104" s="223"/>
      <c r="W104" s="404"/>
      <c r="X104" s="405"/>
      <c r="Y104" s="203"/>
      <c r="Z104" s="223"/>
      <c r="AA104" s="404"/>
      <c r="AB104" s="405"/>
      <c r="AC104" s="203"/>
      <c r="AD104" s="223"/>
      <c r="AE104" s="404"/>
      <c r="AF104" s="405"/>
      <c r="AG104" s="203"/>
      <c r="AH104" s="223"/>
      <c r="AI104" s="404"/>
      <c r="AJ104" s="405"/>
      <c r="AK104" s="401"/>
      <c r="AL104" s="401"/>
      <c r="AM104" s="401"/>
    </row>
    <row r="105">
      <c r="A105" s="320"/>
      <c r="B105" s="321"/>
      <c r="C105" s="322"/>
      <c r="D105" s="401"/>
      <c r="E105" s="320"/>
      <c r="F105" s="321"/>
      <c r="G105" s="322"/>
      <c r="H105" s="401"/>
      <c r="I105" s="320"/>
      <c r="J105" s="321"/>
      <c r="K105" s="322"/>
      <c r="L105" s="401"/>
      <c r="M105" s="320"/>
      <c r="N105" s="321"/>
      <c r="O105" s="322"/>
      <c r="P105" s="401"/>
      <c r="Q105" s="203"/>
      <c r="R105" s="223"/>
      <c r="S105" s="404"/>
      <c r="T105" s="405"/>
      <c r="U105" s="203"/>
      <c r="V105" s="223"/>
      <c r="W105" s="404"/>
      <c r="X105" s="405"/>
      <c r="Y105" s="203"/>
      <c r="Z105" s="223"/>
      <c r="AA105" s="404"/>
      <c r="AB105" s="405"/>
      <c r="AC105" s="203"/>
      <c r="AD105" s="223"/>
      <c r="AE105" s="404"/>
      <c r="AF105" s="405"/>
      <c r="AG105" s="203"/>
      <c r="AH105" s="223"/>
      <c r="AI105" s="404"/>
      <c r="AJ105" s="405"/>
      <c r="AK105" s="401"/>
      <c r="AL105" s="401"/>
      <c r="AM105" s="401"/>
    </row>
    <row r="106">
      <c r="A106" s="320"/>
      <c r="B106" s="321"/>
      <c r="C106" s="322"/>
      <c r="D106" s="401"/>
      <c r="E106" s="320"/>
      <c r="F106" s="321"/>
      <c r="G106" s="322"/>
      <c r="H106" s="401"/>
      <c r="I106" s="320"/>
      <c r="J106" s="321"/>
      <c r="K106" s="322"/>
      <c r="L106" s="401"/>
      <c r="M106" s="320"/>
      <c r="N106" s="321"/>
      <c r="O106" s="322"/>
      <c r="P106" s="401"/>
      <c r="Q106" s="203"/>
      <c r="R106" s="223"/>
      <c r="S106" s="404"/>
      <c r="T106" s="405"/>
      <c r="U106" s="203"/>
      <c r="V106" s="223"/>
      <c r="W106" s="404"/>
      <c r="X106" s="405"/>
      <c r="Y106" s="203"/>
      <c r="Z106" s="223"/>
      <c r="AA106" s="404"/>
      <c r="AB106" s="405"/>
      <c r="AC106" s="203"/>
      <c r="AD106" s="223"/>
      <c r="AE106" s="404"/>
      <c r="AF106" s="405"/>
      <c r="AG106" s="203"/>
      <c r="AH106" s="223"/>
      <c r="AI106" s="404"/>
      <c r="AJ106" s="405"/>
      <c r="AK106" s="401"/>
      <c r="AL106" s="401"/>
      <c r="AM106" s="401"/>
    </row>
    <row r="107">
      <c r="A107" s="320"/>
      <c r="B107" s="321"/>
      <c r="C107" s="322"/>
      <c r="D107" s="401"/>
      <c r="E107" s="320"/>
      <c r="F107" s="321"/>
      <c r="G107" s="322"/>
      <c r="H107" s="401"/>
      <c r="I107" s="320"/>
      <c r="J107" s="321"/>
      <c r="K107" s="322"/>
      <c r="L107" s="401"/>
      <c r="M107" s="320"/>
      <c r="N107" s="321"/>
      <c r="O107" s="322"/>
      <c r="P107" s="401"/>
      <c r="Q107" s="203"/>
      <c r="R107" s="223"/>
      <c r="S107" s="404"/>
      <c r="T107" s="405"/>
      <c r="U107" s="203"/>
      <c r="V107" s="223"/>
      <c r="W107" s="404"/>
      <c r="X107" s="405"/>
      <c r="Y107" s="203"/>
      <c r="Z107" s="223"/>
      <c r="AA107" s="404"/>
      <c r="AB107" s="405"/>
      <c r="AC107" s="203"/>
      <c r="AD107" s="223"/>
      <c r="AE107" s="404"/>
      <c r="AF107" s="405"/>
      <c r="AG107" s="203"/>
      <c r="AH107" s="223"/>
      <c r="AI107" s="404"/>
      <c r="AJ107" s="405"/>
      <c r="AK107" s="401"/>
      <c r="AL107" s="401"/>
      <c r="AM107" s="401"/>
    </row>
    <row r="108">
      <c r="A108" s="320"/>
      <c r="B108" s="321"/>
      <c r="C108" s="322"/>
      <c r="D108" s="401"/>
      <c r="E108" s="320"/>
      <c r="F108" s="321"/>
      <c r="G108" s="322"/>
      <c r="H108" s="401"/>
      <c r="I108" s="320"/>
      <c r="J108" s="321"/>
      <c r="K108" s="322"/>
      <c r="L108" s="401"/>
      <c r="M108" s="320"/>
      <c r="N108" s="321"/>
      <c r="O108" s="322"/>
      <c r="P108" s="401"/>
      <c r="Q108" s="203"/>
      <c r="R108" s="223"/>
      <c r="S108" s="404"/>
      <c r="T108" s="405"/>
      <c r="U108" s="203"/>
      <c r="V108" s="223"/>
      <c r="W108" s="404"/>
      <c r="X108" s="405"/>
      <c r="Y108" s="203"/>
      <c r="Z108" s="223"/>
      <c r="AA108" s="404"/>
      <c r="AB108" s="405"/>
      <c r="AC108" s="203"/>
      <c r="AD108" s="223"/>
      <c r="AE108" s="404"/>
      <c r="AF108" s="405"/>
      <c r="AG108" s="203"/>
      <c r="AH108" s="223"/>
      <c r="AI108" s="404"/>
      <c r="AJ108" s="405"/>
      <c r="AK108" s="401"/>
      <c r="AL108" s="401"/>
      <c r="AM108" s="401"/>
    </row>
    <row r="109">
      <c r="A109" s="320"/>
      <c r="B109" s="321"/>
      <c r="C109" s="322"/>
      <c r="D109" s="401"/>
      <c r="E109" s="320"/>
      <c r="F109" s="321"/>
      <c r="G109" s="322"/>
      <c r="H109" s="401"/>
      <c r="I109" s="320"/>
      <c r="J109" s="321"/>
      <c r="K109" s="322"/>
      <c r="L109" s="401"/>
      <c r="M109" s="320"/>
      <c r="N109" s="321"/>
      <c r="O109" s="322"/>
      <c r="P109" s="401"/>
      <c r="Q109" s="203"/>
      <c r="R109" s="223"/>
      <c r="S109" s="404"/>
      <c r="T109" s="405"/>
      <c r="U109" s="203"/>
      <c r="V109" s="223"/>
      <c r="W109" s="404"/>
      <c r="X109" s="405"/>
      <c r="Y109" s="203"/>
      <c r="Z109" s="223"/>
      <c r="AA109" s="404"/>
      <c r="AB109" s="405"/>
      <c r="AC109" s="203"/>
      <c r="AD109" s="223"/>
      <c r="AE109" s="404"/>
      <c r="AF109" s="405"/>
      <c r="AG109" s="203"/>
      <c r="AH109" s="223"/>
      <c r="AI109" s="404"/>
      <c r="AJ109" s="405"/>
      <c r="AK109" s="401"/>
      <c r="AL109" s="401"/>
      <c r="AM109" s="401"/>
    </row>
    <row r="110">
      <c r="A110" s="320"/>
      <c r="B110" s="321"/>
      <c r="C110" s="322"/>
      <c r="D110" s="401"/>
      <c r="E110" s="320"/>
      <c r="F110" s="321"/>
      <c r="G110" s="322"/>
      <c r="H110" s="401"/>
      <c r="I110" s="320"/>
      <c r="J110" s="321"/>
      <c r="K110" s="322"/>
      <c r="L110" s="401"/>
      <c r="M110" s="320"/>
      <c r="N110" s="321"/>
      <c r="O110" s="322"/>
      <c r="P110" s="401"/>
      <c r="Q110" s="203"/>
      <c r="R110" s="223"/>
      <c r="S110" s="404"/>
      <c r="T110" s="405"/>
      <c r="U110" s="203"/>
      <c r="V110" s="223"/>
      <c r="W110" s="404"/>
      <c r="X110" s="405"/>
      <c r="Y110" s="203"/>
      <c r="Z110" s="223"/>
      <c r="AA110" s="404"/>
      <c r="AB110" s="405"/>
      <c r="AC110" s="203"/>
      <c r="AD110" s="223"/>
      <c r="AE110" s="404"/>
      <c r="AF110" s="405"/>
      <c r="AG110" s="203"/>
      <c r="AH110" s="223"/>
      <c r="AI110" s="404"/>
      <c r="AJ110" s="405"/>
      <c r="AK110" s="401"/>
      <c r="AL110" s="401"/>
      <c r="AM110" s="401"/>
    </row>
    <row r="111">
      <c r="A111" s="320"/>
      <c r="B111" s="321"/>
      <c r="C111" s="322"/>
      <c r="D111" s="401"/>
      <c r="E111" s="320"/>
      <c r="F111" s="321"/>
      <c r="G111" s="322"/>
      <c r="H111" s="401"/>
      <c r="I111" s="320"/>
      <c r="J111" s="321"/>
      <c r="K111" s="322"/>
      <c r="L111" s="401"/>
      <c r="M111" s="320"/>
      <c r="N111" s="321"/>
      <c r="O111" s="322"/>
      <c r="P111" s="401"/>
      <c r="Q111" s="203"/>
      <c r="R111" s="223"/>
      <c r="S111" s="404"/>
      <c r="T111" s="405"/>
      <c r="U111" s="203"/>
      <c r="V111" s="223"/>
      <c r="W111" s="404"/>
      <c r="X111" s="405"/>
      <c r="Y111" s="203"/>
      <c r="Z111" s="223"/>
      <c r="AA111" s="404"/>
      <c r="AB111" s="405"/>
      <c r="AC111" s="203"/>
      <c r="AD111" s="223"/>
      <c r="AE111" s="404"/>
      <c r="AF111" s="405"/>
      <c r="AG111" s="203"/>
      <c r="AH111" s="223"/>
      <c r="AI111" s="404"/>
      <c r="AJ111" s="405"/>
      <c r="AK111" s="401"/>
      <c r="AL111" s="401"/>
      <c r="AM111" s="401"/>
    </row>
    <row r="112">
      <c r="A112" s="320"/>
      <c r="B112" s="321"/>
      <c r="C112" s="322"/>
      <c r="D112" s="401"/>
      <c r="E112" s="320"/>
      <c r="F112" s="321"/>
      <c r="G112" s="322"/>
      <c r="H112" s="401"/>
      <c r="I112" s="320"/>
      <c r="J112" s="321"/>
      <c r="K112" s="322"/>
      <c r="L112" s="401"/>
      <c r="M112" s="320"/>
      <c r="N112" s="321"/>
      <c r="O112" s="322"/>
      <c r="P112" s="401"/>
      <c r="Q112" s="203"/>
      <c r="R112" s="223"/>
      <c r="S112" s="404"/>
      <c r="T112" s="405"/>
      <c r="U112" s="203"/>
      <c r="V112" s="223"/>
      <c r="W112" s="404"/>
      <c r="X112" s="405"/>
      <c r="Y112" s="203"/>
      <c r="Z112" s="223"/>
      <c r="AA112" s="404"/>
      <c r="AB112" s="405"/>
      <c r="AC112" s="203"/>
      <c r="AD112" s="223"/>
      <c r="AE112" s="404"/>
      <c r="AF112" s="405"/>
      <c r="AG112" s="203"/>
      <c r="AH112" s="223"/>
      <c r="AI112" s="404"/>
      <c r="AJ112" s="405"/>
      <c r="AK112" s="401"/>
      <c r="AL112" s="401"/>
      <c r="AM112" s="401"/>
    </row>
    <row r="113">
      <c r="A113" s="320"/>
      <c r="B113" s="321"/>
      <c r="C113" s="322"/>
      <c r="D113" s="401"/>
      <c r="E113" s="320"/>
      <c r="F113" s="321"/>
      <c r="G113" s="322"/>
      <c r="H113" s="401"/>
      <c r="I113" s="320"/>
      <c r="J113" s="321"/>
      <c r="K113" s="322"/>
      <c r="L113" s="401"/>
      <c r="M113" s="320"/>
      <c r="N113" s="321"/>
      <c r="O113" s="322"/>
      <c r="P113" s="401"/>
      <c r="Q113" s="203"/>
      <c r="R113" s="223"/>
      <c r="S113" s="404"/>
      <c r="T113" s="405"/>
      <c r="U113" s="203"/>
      <c r="V113" s="223"/>
      <c r="W113" s="404"/>
      <c r="X113" s="405"/>
      <c r="Y113" s="203"/>
      <c r="Z113" s="223"/>
      <c r="AA113" s="404"/>
      <c r="AB113" s="405"/>
      <c r="AC113" s="203"/>
      <c r="AD113" s="223"/>
      <c r="AE113" s="404"/>
      <c r="AF113" s="405"/>
      <c r="AG113" s="203"/>
      <c r="AH113" s="223"/>
      <c r="AI113" s="404"/>
      <c r="AJ113" s="405"/>
      <c r="AK113" s="401"/>
      <c r="AL113" s="401"/>
      <c r="AM113" s="401"/>
    </row>
    <row r="114">
      <c r="A114" s="320"/>
      <c r="B114" s="321"/>
      <c r="C114" s="322"/>
      <c r="D114" s="401"/>
      <c r="E114" s="320"/>
      <c r="F114" s="321"/>
      <c r="G114" s="322"/>
      <c r="H114" s="401"/>
      <c r="I114" s="320"/>
      <c r="J114" s="321"/>
      <c r="K114" s="322"/>
      <c r="L114" s="401"/>
      <c r="M114" s="320"/>
      <c r="N114" s="321"/>
      <c r="O114" s="322"/>
      <c r="P114" s="401"/>
      <c r="Q114" s="203"/>
      <c r="R114" s="223"/>
      <c r="S114" s="404"/>
      <c r="T114" s="405"/>
      <c r="U114" s="203"/>
      <c r="V114" s="223"/>
      <c r="W114" s="404"/>
      <c r="X114" s="405"/>
      <c r="Y114" s="203"/>
      <c r="Z114" s="223"/>
      <c r="AA114" s="404"/>
      <c r="AB114" s="405"/>
      <c r="AC114" s="203"/>
      <c r="AD114" s="223"/>
      <c r="AE114" s="404"/>
      <c r="AF114" s="405"/>
      <c r="AG114" s="203"/>
      <c r="AH114" s="223"/>
      <c r="AI114" s="404"/>
      <c r="AJ114" s="405"/>
      <c r="AK114" s="401"/>
      <c r="AL114" s="401"/>
      <c r="AM114" s="401"/>
    </row>
    <row r="115">
      <c r="A115" s="320"/>
      <c r="B115" s="321"/>
      <c r="C115" s="322"/>
      <c r="D115" s="401"/>
      <c r="E115" s="320"/>
      <c r="F115" s="321"/>
      <c r="G115" s="322"/>
      <c r="H115" s="401"/>
      <c r="I115" s="320"/>
      <c r="J115" s="321"/>
      <c r="K115" s="322"/>
      <c r="L115" s="401"/>
      <c r="M115" s="320"/>
      <c r="N115" s="321"/>
      <c r="O115" s="322"/>
      <c r="P115" s="401"/>
      <c r="Q115" s="203"/>
      <c r="R115" s="223"/>
      <c r="S115" s="404"/>
      <c r="T115" s="405"/>
      <c r="U115" s="203"/>
      <c r="V115" s="223"/>
      <c r="W115" s="404"/>
      <c r="X115" s="405"/>
      <c r="Y115" s="203"/>
      <c r="Z115" s="223"/>
      <c r="AA115" s="404"/>
      <c r="AB115" s="405"/>
      <c r="AC115" s="203"/>
      <c r="AD115" s="223"/>
      <c r="AE115" s="404"/>
      <c r="AF115" s="405"/>
      <c r="AG115" s="203"/>
      <c r="AH115" s="223"/>
      <c r="AI115" s="404"/>
      <c r="AJ115" s="405"/>
      <c r="AK115" s="401"/>
      <c r="AL115" s="401"/>
      <c r="AM115" s="401"/>
    </row>
    <row r="116">
      <c r="A116" s="320"/>
      <c r="B116" s="321"/>
      <c r="C116" s="322"/>
      <c r="D116" s="401"/>
      <c r="E116" s="320"/>
      <c r="F116" s="321"/>
      <c r="G116" s="322"/>
      <c r="H116" s="401"/>
      <c r="I116" s="320"/>
      <c r="J116" s="321"/>
      <c r="K116" s="322"/>
      <c r="L116" s="401"/>
      <c r="M116" s="320"/>
      <c r="N116" s="321"/>
      <c r="O116" s="322"/>
      <c r="P116" s="401"/>
      <c r="Q116" s="203"/>
      <c r="R116" s="223"/>
      <c r="S116" s="404"/>
      <c r="T116" s="405"/>
      <c r="U116" s="203"/>
      <c r="V116" s="223"/>
      <c r="W116" s="404"/>
      <c r="X116" s="405"/>
      <c r="Y116" s="203"/>
      <c r="Z116" s="223"/>
      <c r="AA116" s="404"/>
      <c r="AB116" s="405"/>
      <c r="AC116" s="203"/>
      <c r="AD116" s="223"/>
      <c r="AE116" s="404"/>
      <c r="AF116" s="405"/>
      <c r="AG116" s="203"/>
      <c r="AH116" s="223"/>
      <c r="AI116" s="404"/>
      <c r="AJ116" s="405"/>
      <c r="AK116" s="401"/>
      <c r="AL116" s="401"/>
      <c r="AM116" s="401"/>
    </row>
    <row r="117">
      <c r="A117" s="320"/>
      <c r="B117" s="321"/>
      <c r="C117" s="322"/>
      <c r="D117" s="401"/>
      <c r="E117" s="320"/>
      <c r="F117" s="321"/>
      <c r="G117" s="322"/>
      <c r="H117" s="401"/>
      <c r="I117" s="320"/>
      <c r="J117" s="321"/>
      <c r="K117" s="322"/>
      <c r="L117" s="401"/>
      <c r="M117" s="320"/>
      <c r="N117" s="321"/>
      <c r="O117" s="322"/>
      <c r="P117" s="401"/>
      <c r="Q117" s="203"/>
      <c r="R117" s="223"/>
      <c r="S117" s="404"/>
      <c r="T117" s="405"/>
      <c r="U117" s="203"/>
      <c r="V117" s="223"/>
      <c r="W117" s="404"/>
      <c r="X117" s="405"/>
      <c r="Y117" s="203"/>
      <c r="Z117" s="223"/>
      <c r="AA117" s="404"/>
      <c r="AB117" s="405"/>
      <c r="AC117" s="203"/>
      <c r="AD117" s="223"/>
      <c r="AE117" s="404"/>
      <c r="AF117" s="405"/>
      <c r="AG117" s="203"/>
      <c r="AH117" s="223"/>
      <c r="AI117" s="404"/>
      <c r="AJ117" s="405"/>
      <c r="AK117" s="401"/>
      <c r="AL117" s="401"/>
      <c r="AM117" s="401"/>
    </row>
    <row r="118">
      <c r="A118" s="320"/>
      <c r="B118" s="321"/>
      <c r="C118" s="322"/>
      <c r="D118" s="401"/>
      <c r="E118" s="320"/>
      <c r="F118" s="321"/>
      <c r="G118" s="322"/>
      <c r="H118" s="401"/>
      <c r="I118" s="320"/>
      <c r="J118" s="321"/>
      <c r="K118" s="322"/>
      <c r="L118" s="401"/>
      <c r="M118" s="320"/>
      <c r="N118" s="321"/>
      <c r="O118" s="322"/>
      <c r="P118" s="401"/>
      <c r="Q118" s="203"/>
      <c r="R118" s="223"/>
      <c r="S118" s="404"/>
      <c r="T118" s="405"/>
      <c r="U118" s="203"/>
      <c r="V118" s="223"/>
      <c r="W118" s="404"/>
      <c r="X118" s="405"/>
      <c r="Y118" s="203"/>
      <c r="Z118" s="223"/>
      <c r="AA118" s="404"/>
      <c r="AB118" s="405"/>
      <c r="AC118" s="203"/>
      <c r="AD118" s="223"/>
      <c r="AE118" s="404"/>
      <c r="AF118" s="405"/>
      <c r="AG118" s="203"/>
      <c r="AH118" s="223"/>
      <c r="AI118" s="404"/>
      <c r="AJ118" s="405"/>
      <c r="AK118" s="401"/>
      <c r="AL118" s="401"/>
      <c r="AM118" s="401"/>
    </row>
    <row r="119">
      <c r="A119" s="320"/>
      <c r="B119" s="321"/>
      <c r="C119" s="322"/>
      <c r="D119" s="401"/>
      <c r="E119" s="320"/>
      <c r="F119" s="321"/>
      <c r="G119" s="322"/>
      <c r="H119" s="401"/>
      <c r="I119" s="320"/>
      <c r="J119" s="321"/>
      <c r="K119" s="322"/>
      <c r="L119" s="401"/>
      <c r="M119" s="320"/>
      <c r="N119" s="321"/>
      <c r="O119" s="322"/>
      <c r="P119" s="401"/>
      <c r="Q119" s="203"/>
      <c r="R119" s="223"/>
      <c r="S119" s="404"/>
      <c r="T119" s="405"/>
      <c r="U119" s="203"/>
      <c r="V119" s="223"/>
      <c r="W119" s="404"/>
      <c r="X119" s="405"/>
      <c r="Y119" s="203"/>
      <c r="Z119" s="223"/>
      <c r="AA119" s="404"/>
      <c r="AB119" s="405"/>
      <c r="AC119" s="203"/>
      <c r="AD119" s="223"/>
      <c r="AE119" s="404"/>
      <c r="AF119" s="405"/>
      <c r="AG119" s="203"/>
      <c r="AH119" s="223"/>
      <c r="AI119" s="404"/>
      <c r="AJ119" s="405"/>
      <c r="AK119" s="401"/>
      <c r="AL119" s="401"/>
      <c r="AM119" s="401"/>
    </row>
    <row r="120">
      <c r="A120" s="320"/>
      <c r="B120" s="321"/>
      <c r="C120" s="322"/>
      <c r="D120" s="401"/>
      <c r="E120" s="320"/>
      <c r="F120" s="321"/>
      <c r="G120" s="322"/>
      <c r="H120" s="401"/>
      <c r="I120" s="320"/>
      <c r="J120" s="321"/>
      <c r="K120" s="322"/>
      <c r="L120" s="401"/>
      <c r="M120" s="320"/>
      <c r="N120" s="321"/>
      <c r="O120" s="322"/>
      <c r="P120" s="401"/>
      <c r="Q120" s="203"/>
      <c r="R120" s="223"/>
      <c r="S120" s="404"/>
      <c r="T120" s="405"/>
      <c r="U120" s="203"/>
      <c r="V120" s="223"/>
      <c r="W120" s="404"/>
      <c r="X120" s="405"/>
      <c r="Y120" s="203"/>
      <c r="Z120" s="223"/>
      <c r="AA120" s="404"/>
      <c r="AB120" s="405"/>
      <c r="AC120" s="203"/>
      <c r="AD120" s="223"/>
      <c r="AE120" s="404"/>
      <c r="AF120" s="405"/>
      <c r="AG120" s="203"/>
      <c r="AH120" s="223"/>
      <c r="AI120" s="404"/>
      <c r="AJ120" s="405"/>
      <c r="AK120" s="401"/>
      <c r="AL120" s="401"/>
      <c r="AM120" s="401"/>
    </row>
    <row r="121">
      <c r="A121" s="320"/>
      <c r="B121" s="321"/>
      <c r="C121" s="322"/>
      <c r="D121" s="401"/>
      <c r="E121" s="320"/>
      <c r="F121" s="321"/>
      <c r="G121" s="322"/>
      <c r="H121" s="401"/>
      <c r="I121" s="320"/>
      <c r="J121" s="321"/>
      <c r="K121" s="322"/>
      <c r="L121" s="401"/>
      <c r="M121" s="320"/>
      <c r="N121" s="321"/>
      <c r="O121" s="322"/>
      <c r="P121" s="401"/>
      <c r="Q121" s="203"/>
      <c r="R121" s="223"/>
      <c r="S121" s="404"/>
      <c r="T121" s="405"/>
      <c r="U121" s="203"/>
      <c r="V121" s="223"/>
      <c r="W121" s="404"/>
      <c r="X121" s="405"/>
      <c r="Y121" s="203"/>
      <c r="Z121" s="223"/>
      <c r="AA121" s="404"/>
      <c r="AB121" s="405"/>
      <c r="AC121" s="203"/>
      <c r="AD121" s="223"/>
      <c r="AE121" s="404"/>
      <c r="AF121" s="405"/>
      <c r="AG121" s="203"/>
      <c r="AH121" s="223"/>
      <c r="AI121" s="404"/>
      <c r="AJ121" s="405"/>
      <c r="AK121" s="401"/>
      <c r="AL121" s="401"/>
      <c r="AM121" s="401"/>
    </row>
    <row r="122">
      <c r="A122" s="320"/>
      <c r="B122" s="321"/>
      <c r="C122" s="322"/>
      <c r="D122" s="401"/>
      <c r="E122" s="320"/>
      <c r="F122" s="321"/>
      <c r="G122" s="322"/>
      <c r="H122" s="401"/>
      <c r="I122" s="320"/>
      <c r="J122" s="321"/>
      <c r="K122" s="322"/>
      <c r="L122" s="401"/>
      <c r="M122" s="320"/>
      <c r="N122" s="321"/>
      <c r="O122" s="322"/>
      <c r="P122" s="401"/>
      <c r="Q122" s="203"/>
      <c r="R122" s="223"/>
      <c r="S122" s="404"/>
      <c r="T122" s="405"/>
      <c r="U122" s="203"/>
      <c r="V122" s="223"/>
      <c r="W122" s="404"/>
      <c r="X122" s="405"/>
      <c r="Y122" s="203"/>
      <c r="Z122" s="223"/>
      <c r="AA122" s="404"/>
      <c r="AB122" s="405"/>
      <c r="AC122" s="203"/>
      <c r="AD122" s="223"/>
      <c r="AE122" s="404"/>
      <c r="AF122" s="405"/>
      <c r="AG122" s="203"/>
      <c r="AH122" s="223"/>
      <c r="AI122" s="404"/>
      <c r="AJ122" s="405"/>
      <c r="AK122" s="401"/>
      <c r="AL122" s="401"/>
      <c r="AM122" s="401"/>
    </row>
    <row r="123">
      <c r="A123" s="320"/>
      <c r="B123" s="321"/>
      <c r="C123" s="322"/>
      <c r="D123" s="401"/>
      <c r="E123" s="320"/>
      <c r="F123" s="321"/>
      <c r="G123" s="322"/>
      <c r="H123" s="401"/>
      <c r="I123" s="320"/>
      <c r="J123" s="321"/>
      <c r="K123" s="322"/>
      <c r="L123" s="401"/>
      <c r="M123" s="320"/>
      <c r="N123" s="321"/>
      <c r="O123" s="322"/>
      <c r="P123" s="401"/>
      <c r="Q123" s="203"/>
      <c r="R123" s="223"/>
      <c r="S123" s="404"/>
      <c r="T123" s="405"/>
      <c r="U123" s="203"/>
      <c r="V123" s="223"/>
      <c r="W123" s="404"/>
      <c r="X123" s="405"/>
      <c r="Y123" s="203"/>
      <c r="Z123" s="223"/>
      <c r="AA123" s="404"/>
      <c r="AB123" s="405"/>
      <c r="AC123" s="203"/>
      <c r="AD123" s="223"/>
      <c r="AE123" s="404"/>
      <c r="AF123" s="405"/>
      <c r="AG123" s="203"/>
      <c r="AH123" s="223"/>
      <c r="AI123" s="404"/>
      <c r="AJ123" s="405"/>
      <c r="AK123" s="401"/>
      <c r="AL123" s="401"/>
      <c r="AM123" s="401"/>
    </row>
    <row r="124">
      <c r="A124" s="320"/>
      <c r="B124" s="321"/>
      <c r="C124" s="322"/>
      <c r="D124" s="401"/>
      <c r="E124" s="320"/>
      <c r="F124" s="321"/>
      <c r="G124" s="322"/>
      <c r="H124" s="401"/>
      <c r="I124" s="320"/>
      <c r="J124" s="321"/>
      <c r="K124" s="322"/>
      <c r="L124" s="401"/>
      <c r="M124" s="320"/>
      <c r="N124" s="321"/>
      <c r="O124" s="322"/>
      <c r="P124" s="401"/>
      <c r="Q124" s="203"/>
      <c r="R124" s="223"/>
      <c r="S124" s="404"/>
      <c r="T124" s="405"/>
      <c r="U124" s="203"/>
      <c r="V124" s="223"/>
      <c r="W124" s="404"/>
      <c r="X124" s="405"/>
      <c r="Y124" s="203"/>
      <c r="Z124" s="223"/>
      <c r="AA124" s="404"/>
      <c r="AB124" s="405"/>
      <c r="AC124" s="203"/>
      <c r="AD124" s="223"/>
      <c r="AE124" s="404"/>
      <c r="AF124" s="405"/>
      <c r="AG124" s="203"/>
      <c r="AH124" s="223"/>
      <c r="AI124" s="404"/>
      <c r="AJ124" s="405"/>
      <c r="AK124" s="401"/>
      <c r="AL124" s="401"/>
      <c r="AM124" s="401"/>
    </row>
    <row r="125">
      <c r="A125" s="320"/>
      <c r="B125" s="321"/>
      <c r="C125" s="322"/>
      <c r="D125" s="401"/>
      <c r="E125" s="320"/>
      <c r="F125" s="321"/>
      <c r="G125" s="322"/>
      <c r="H125" s="401"/>
      <c r="I125" s="320"/>
      <c r="J125" s="321"/>
      <c r="K125" s="322"/>
      <c r="L125" s="401"/>
      <c r="M125" s="320"/>
      <c r="N125" s="321"/>
      <c r="O125" s="322"/>
      <c r="P125" s="401"/>
      <c r="Q125" s="203"/>
      <c r="R125" s="223"/>
      <c r="S125" s="404"/>
      <c r="T125" s="405"/>
      <c r="U125" s="203"/>
      <c r="V125" s="223"/>
      <c r="W125" s="404"/>
      <c r="X125" s="405"/>
      <c r="Y125" s="203"/>
      <c r="Z125" s="223"/>
      <c r="AA125" s="404"/>
      <c r="AB125" s="405"/>
      <c r="AC125" s="203"/>
      <c r="AD125" s="223"/>
      <c r="AE125" s="404"/>
      <c r="AF125" s="405"/>
      <c r="AG125" s="203"/>
      <c r="AH125" s="223"/>
      <c r="AI125" s="404"/>
      <c r="AJ125" s="405"/>
      <c r="AK125" s="401"/>
      <c r="AL125" s="401"/>
      <c r="AM125" s="401"/>
    </row>
    <row r="126">
      <c r="A126" s="320"/>
      <c r="B126" s="321"/>
      <c r="C126" s="322"/>
      <c r="D126" s="401"/>
      <c r="E126" s="320"/>
      <c r="F126" s="321"/>
      <c r="G126" s="322"/>
      <c r="H126" s="401"/>
      <c r="I126" s="320"/>
      <c r="J126" s="321"/>
      <c r="K126" s="322"/>
      <c r="L126" s="401"/>
      <c r="M126" s="320"/>
      <c r="N126" s="321"/>
      <c r="O126" s="322"/>
      <c r="P126" s="401"/>
      <c r="Q126" s="203"/>
      <c r="R126" s="223"/>
      <c r="S126" s="404"/>
      <c r="T126" s="405"/>
      <c r="U126" s="203"/>
      <c r="V126" s="223"/>
      <c r="W126" s="404"/>
      <c r="X126" s="405"/>
      <c r="Y126" s="203"/>
      <c r="Z126" s="223"/>
      <c r="AA126" s="404"/>
      <c r="AB126" s="405"/>
      <c r="AC126" s="203"/>
      <c r="AD126" s="223"/>
      <c r="AE126" s="404"/>
      <c r="AF126" s="405"/>
      <c r="AG126" s="203"/>
      <c r="AH126" s="223"/>
      <c r="AI126" s="404"/>
      <c r="AJ126" s="405"/>
      <c r="AK126" s="401"/>
      <c r="AL126" s="401"/>
      <c r="AM126" s="401"/>
    </row>
    <row r="127">
      <c r="A127" s="320"/>
      <c r="B127" s="321"/>
      <c r="C127" s="322"/>
      <c r="D127" s="401"/>
      <c r="E127" s="320"/>
      <c r="F127" s="321"/>
      <c r="G127" s="322"/>
      <c r="H127" s="401"/>
      <c r="I127" s="320"/>
      <c r="J127" s="321"/>
      <c r="K127" s="322"/>
      <c r="L127" s="401"/>
      <c r="M127" s="320"/>
      <c r="N127" s="321"/>
      <c r="O127" s="322"/>
      <c r="P127" s="401"/>
      <c r="Q127" s="203"/>
      <c r="R127" s="223"/>
      <c r="S127" s="404"/>
      <c r="T127" s="405"/>
      <c r="U127" s="203"/>
      <c r="V127" s="223"/>
      <c r="W127" s="404"/>
      <c r="X127" s="405"/>
      <c r="Y127" s="203"/>
      <c r="Z127" s="223"/>
      <c r="AA127" s="404"/>
      <c r="AB127" s="405"/>
      <c r="AC127" s="203"/>
      <c r="AD127" s="223"/>
      <c r="AE127" s="404"/>
      <c r="AF127" s="405"/>
      <c r="AG127" s="203"/>
      <c r="AH127" s="223"/>
      <c r="AI127" s="404"/>
      <c r="AJ127" s="405"/>
      <c r="AK127" s="401"/>
      <c r="AL127" s="401"/>
      <c r="AM127" s="401"/>
    </row>
    <row r="128">
      <c r="A128" s="320"/>
      <c r="B128" s="321"/>
      <c r="C128" s="322"/>
      <c r="D128" s="401"/>
      <c r="E128" s="320"/>
      <c r="F128" s="321"/>
      <c r="G128" s="322"/>
      <c r="H128" s="401"/>
      <c r="I128" s="320"/>
      <c r="J128" s="321"/>
      <c r="K128" s="322"/>
      <c r="L128" s="401"/>
      <c r="M128" s="320"/>
      <c r="N128" s="321"/>
      <c r="O128" s="322"/>
      <c r="P128" s="401"/>
      <c r="Q128" s="203"/>
      <c r="R128" s="223"/>
      <c r="S128" s="404"/>
      <c r="T128" s="405"/>
      <c r="U128" s="203"/>
      <c r="V128" s="223"/>
      <c r="W128" s="404"/>
      <c r="X128" s="405"/>
      <c r="Y128" s="203"/>
      <c r="Z128" s="223"/>
      <c r="AA128" s="404"/>
      <c r="AB128" s="405"/>
      <c r="AC128" s="203"/>
      <c r="AD128" s="223"/>
      <c r="AE128" s="404"/>
      <c r="AF128" s="405"/>
      <c r="AG128" s="203"/>
      <c r="AH128" s="223"/>
      <c r="AI128" s="404"/>
      <c r="AJ128" s="405"/>
      <c r="AK128" s="401"/>
      <c r="AL128" s="401"/>
      <c r="AM128" s="401"/>
    </row>
    <row r="129">
      <c r="A129" s="320"/>
      <c r="B129" s="321"/>
      <c r="C129" s="322"/>
      <c r="D129" s="401"/>
      <c r="E129" s="320"/>
      <c r="F129" s="321"/>
      <c r="G129" s="322"/>
      <c r="H129" s="401"/>
      <c r="I129" s="320"/>
      <c r="J129" s="321"/>
      <c r="K129" s="322"/>
      <c r="L129" s="401"/>
      <c r="M129" s="320"/>
      <c r="N129" s="321"/>
      <c r="O129" s="322"/>
      <c r="P129" s="401"/>
      <c r="Q129" s="203"/>
      <c r="R129" s="223"/>
      <c r="S129" s="404"/>
      <c r="T129" s="405"/>
      <c r="U129" s="203"/>
      <c r="V129" s="223"/>
      <c r="W129" s="404"/>
      <c r="X129" s="405"/>
      <c r="Y129" s="203"/>
      <c r="Z129" s="223"/>
      <c r="AA129" s="404"/>
      <c r="AB129" s="405"/>
      <c r="AC129" s="203"/>
      <c r="AD129" s="223"/>
      <c r="AE129" s="404"/>
      <c r="AF129" s="405"/>
      <c r="AG129" s="203"/>
      <c r="AH129" s="223"/>
      <c r="AI129" s="404"/>
      <c r="AJ129" s="405"/>
      <c r="AK129" s="401"/>
      <c r="AL129" s="401"/>
      <c r="AM129" s="401"/>
    </row>
    <row r="130">
      <c r="A130" s="320"/>
      <c r="B130" s="321"/>
      <c r="C130" s="322"/>
      <c r="D130" s="401"/>
      <c r="E130" s="320"/>
      <c r="F130" s="321"/>
      <c r="G130" s="322"/>
      <c r="H130" s="401"/>
      <c r="I130" s="320"/>
      <c r="J130" s="321"/>
      <c r="K130" s="322"/>
      <c r="L130" s="401"/>
      <c r="M130" s="320"/>
      <c r="N130" s="321"/>
      <c r="O130" s="322"/>
      <c r="P130" s="401"/>
      <c r="Q130" s="203"/>
      <c r="R130" s="223"/>
      <c r="S130" s="404"/>
      <c r="T130" s="405"/>
      <c r="U130" s="203"/>
      <c r="V130" s="223"/>
      <c r="W130" s="404"/>
      <c r="X130" s="405"/>
      <c r="Y130" s="203"/>
      <c r="Z130" s="223"/>
      <c r="AA130" s="404"/>
      <c r="AB130" s="405"/>
      <c r="AC130" s="203"/>
      <c r="AD130" s="223"/>
      <c r="AE130" s="404"/>
      <c r="AF130" s="405"/>
      <c r="AG130" s="203"/>
      <c r="AH130" s="223"/>
      <c r="AI130" s="404"/>
      <c r="AJ130" s="405"/>
      <c r="AK130" s="401"/>
      <c r="AL130" s="401"/>
      <c r="AM130" s="401"/>
    </row>
    <row r="131">
      <c r="A131" s="320"/>
      <c r="B131" s="321"/>
      <c r="C131" s="322"/>
      <c r="D131" s="401"/>
      <c r="E131" s="320"/>
      <c r="F131" s="321"/>
      <c r="G131" s="322"/>
      <c r="H131" s="401"/>
      <c r="I131" s="320"/>
      <c r="J131" s="321"/>
      <c r="K131" s="322"/>
      <c r="L131" s="401"/>
      <c r="M131" s="320"/>
      <c r="N131" s="321"/>
      <c r="O131" s="322"/>
      <c r="P131" s="401"/>
      <c r="Q131" s="203"/>
      <c r="R131" s="223"/>
      <c r="S131" s="404"/>
      <c r="T131" s="405"/>
      <c r="U131" s="203"/>
      <c r="V131" s="223"/>
      <c r="W131" s="404"/>
      <c r="X131" s="405"/>
      <c r="Y131" s="203"/>
      <c r="Z131" s="223"/>
      <c r="AA131" s="404"/>
      <c r="AB131" s="405"/>
      <c r="AC131" s="203"/>
      <c r="AD131" s="223"/>
      <c r="AE131" s="404"/>
      <c r="AF131" s="405"/>
      <c r="AG131" s="203"/>
      <c r="AH131" s="223"/>
      <c r="AI131" s="404"/>
      <c r="AJ131" s="405"/>
      <c r="AK131" s="401"/>
      <c r="AL131" s="401"/>
      <c r="AM131" s="401"/>
    </row>
    <row r="132">
      <c r="A132" s="320"/>
      <c r="B132" s="321"/>
      <c r="C132" s="322"/>
      <c r="D132" s="401"/>
      <c r="E132" s="320"/>
      <c r="F132" s="321"/>
      <c r="G132" s="322"/>
      <c r="H132" s="401"/>
      <c r="I132" s="320"/>
      <c r="J132" s="321"/>
      <c r="K132" s="322"/>
      <c r="L132" s="401"/>
      <c r="M132" s="320"/>
      <c r="N132" s="321"/>
      <c r="O132" s="322"/>
      <c r="P132" s="401"/>
      <c r="Q132" s="203"/>
      <c r="R132" s="223"/>
      <c r="S132" s="404"/>
      <c r="T132" s="405"/>
      <c r="U132" s="203"/>
      <c r="V132" s="223"/>
      <c r="W132" s="404"/>
      <c r="X132" s="405"/>
      <c r="Y132" s="203"/>
      <c r="Z132" s="223"/>
      <c r="AA132" s="404"/>
      <c r="AB132" s="405"/>
      <c r="AC132" s="203"/>
      <c r="AD132" s="223"/>
      <c r="AE132" s="404"/>
      <c r="AF132" s="405"/>
      <c r="AG132" s="203"/>
      <c r="AH132" s="223"/>
      <c r="AI132" s="404"/>
      <c r="AJ132" s="405"/>
      <c r="AK132" s="401"/>
      <c r="AL132" s="401"/>
      <c r="AM132" s="401"/>
    </row>
    <row r="133">
      <c r="A133" s="320"/>
      <c r="B133" s="321"/>
      <c r="C133" s="322"/>
      <c r="D133" s="401"/>
      <c r="E133" s="320"/>
      <c r="F133" s="321"/>
      <c r="G133" s="322"/>
      <c r="H133" s="401"/>
      <c r="I133" s="320"/>
      <c r="J133" s="321"/>
      <c r="K133" s="322"/>
      <c r="L133" s="401"/>
      <c r="M133" s="320"/>
      <c r="N133" s="321"/>
      <c r="O133" s="322"/>
      <c r="P133" s="401"/>
      <c r="Q133" s="203"/>
      <c r="R133" s="223"/>
      <c r="S133" s="404"/>
      <c r="T133" s="405"/>
      <c r="U133" s="203"/>
      <c r="V133" s="223"/>
      <c r="W133" s="404"/>
      <c r="X133" s="405"/>
      <c r="Y133" s="203"/>
      <c r="Z133" s="223"/>
      <c r="AA133" s="404"/>
      <c r="AB133" s="405"/>
      <c r="AC133" s="203"/>
      <c r="AD133" s="223"/>
      <c r="AE133" s="404"/>
      <c r="AF133" s="405"/>
      <c r="AG133" s="203"/>
      <c r="AH133" s="223"/>
      <c r="AI133" s="404"/>
      <c r="AJ133" s="405"/>
      <c r="AK133" s="401"/>
      <c r="AL133" s="401"/>
      <c r="AM133" s="401"/>
    </row>
    <row r="134">
      <c r="A134" s="320"/>
      <c r="B134" s="321"/>
      <c r="C134" s="322"/>
      <c r="D134" s="401"/>
      <c r="E134" s="320"/>
      <c r="F134" s="321"/>
      <c r="G134" s="322"/>
      <c r="H134" s="401"/>
      <c r="I134" s="320"/>
      <c r="J134" s="321"/>
      <c r="K134" s="322"/>
      <c r="L134" s="401"/>
      <c r="M134" s="320"/>
      <c r="N134" s="321"/>
      <c r="O134" s="322"/>
      <c r="P134" s="401"/>
      <c r="Q134" s="203"/>
      <c r="R134" s="223"/>
      <c r="S134" s="404"/>
      <c r="T134" s="405"/>
      <c r="U134" s="203"/>
      <c r="V134" s="223"/>
      <c r="W134" s="404"/>
      <c r="X134" s="405"/>
      <c r="Y134" s="203"/>
      <c r="Z134" s="223"/>
      <c r="AA134" s="404"/>
      <c r="AB134" s="405"/>
      <c r="AC134" s="203"/>
      <c r="AD134" s="223"/>
      <c r="AE134" s="404"/>
      <c r="AF134" s="405"/>
      <c r="AG134" s="203"/>
      <c r="AH134" s="223"/>
      <c r="AI134" s="404"/>
      <c r="AJ134" s="405"/>
      <c r="AK134" s="401"/>
      <c r="AL134" s="401"/>
      <c r="AM134" s="401"/>
    </row>
    <row r="135">
      <c r="A135" s="320"/>
      <c r="B135" s="321"/>
      <c r="C135" s="322"/>
      <c r="D135" s="401"/>
      <c r="E135" s="320"/>
      <c r="F135" s="321"/>
      <c r="G135" s="322"/>
      <c r="H135" s="401"/>
      <c r="I135" s="320"/>
      <c r="J135" s="321"/>
      <c r="K135" s="322"/>
      <c r="L135" s="401"/>
      <c r="M135" s="320"/>
      <c r="N135" s="321"/>
      <c r="O135" s="322"/>
      <c r="P135" s="401"/>
      <c r="Q135" s="203"/>
      <c r="R135" s="223"/>
      <c r="S135" s="404"/>
      <c r="T135" s="405"/>
      <c r="U135" s="203"/>
      <c r="V135" s="223"/>
      <c r="W135" s="404"/>
      <c r="X135" s="405"/>
      <c r="Y135" s="203"/>
      <c r="Z135" s="223"/>
      <c r="AA135" s="404"/>
      <c r="AB135" s="405"/>
      <c r="AC135" s="203"/>
      <c r="AD135" s="223"/>
      <c r="AE135" s="404"/>
      <c r="AF135" s="405"/>
      <c r="AG135" s="203"/>
      <c r="AH135" s="223"/>
      <c r="AI135" s="404"/>
      <c r="AJ135" s="405"/>
      <c r="AK135" s="401"/>
      <c r="AL135" s="401"/>
      <c r="AM135" s="401"/>
    </row>
    <row r="136">
      <c r="A136" s="320"/>
      <c r="B136" s="321"/>
      <c r="C136" s="322"/>
      <c r="D136" s="401"/>
      <c r="E136" s="320"/>
      <c r="F136" s="321"/>
      <c r="G136" s="322"/>
      <c r="H136" s="401"/>
      <c r="I136" s="320"/>
      <c r="J136" s="321"/>
      <c r="K136" s="322"/>
      <c r="L136" s="401"/>
      <c r="M136" s="320"/>
      <c r="N136" s="321"/>
      <c r="O136" s="322"/>
      <c r="P136" s="401"/>
      <c r="Q136" s="203"/>
      <c r="R136" s="223"/>
      <c r="S136" s="404"/>
      <c r="T136" s="405"/>
      <c r="U136" s="203"/>
      <c r="V136" s="223"/>
      <c r="W136" s="404"/>
      <c r="X136" s="405"/>
      <c r="Y136" s="203"/>
      <c r="Z136" s="223"/>
      <c r="AA136" s="404"/>
      <c r="AB136" s="405"/>
      <c r="AC136" s="203"/>
      <c r="AD136" s="223"/>
      <c r="AE136" s="404"/>
      <c r="AF136" s="405"/>
      <c r="AG136" s="203"/>
      <c r="AH136" s="223"/>
      <c r="AI136" s="404"/>
      <c r="AJ136" s="405"/>
      <c r="AK136" s="401"/>
      <c r="AL136" s="401"/>
      <c r="AM136" s="401"/>
    </row>
    <row r="137">
      <c r="A137" s="320"/>
      <c r="B137" s="321"/>
      <c r="C137" s="322"/>
      <c r="D137" s="401"/>
      <c r="E137" s="320"/>
      <c r="F137" s="321"/>
      <c r="G137" s="322"/>
      <c r="H137" s="401"/>
      <c r="I137" s="320"/>
      <c r="J137" s="321"/>
      <c r="K137" s="322"/>
      <c r="L137" s="401"/>
      <c r="M137" s="320"/>
      <c r="N137" s="321"/>
      <c r="O137" s="322"/>
      <c r="P137" s="401"/>
      <c r="Q137" s="203"/>
      <c r="R137" s="223"/>
      <c r="S137" s="404"/>
      <c r="T137" s="405"/>
      <c r="U137" s="203"/>
      <c r="V137" s="223"/>
      <c r="W137" s="404"/>
      <c r="X137" s="405"/>
      <c r="Y137" s="203"/>
      <c r="Z137" s="223"/>
      <c r="AA137" s="404"/>
      <c r="AB137" s="405"/>
      <c r="AC137" s="203"/>
      <c r="AD137" s="223"/>
      <c r="AE137" s="404"/>
      <c r="AF137" s="405"/>
      <c r="AG137" s="203"/>
      <c r="AH137" s="223"/>
      <c r="AI137" s="404"/>
      <c r="AJ137" s="405"/>
      <c r="AK137" s="401"/>
      <c r="AL137" s="401"/>
      <c r="AM137" s="401"/>
    </row>
    <row r="138">
      <c r="A138" s="320"/>
      <c r="B138" s="321"/>
      <c r="C138" s="322"/>
      <c r="D138" s="401"/>
      <c r="E138" s="320"/>
      <c r="F138" s="321"/>
      <c r="G138" s="322"/>
      <c r="H138" s="401"/>
      <c r="I138" s="320"/>
      <c r="J138" s="321"/>
      <c r="K138" s="322"/>
      <c r="L138" s="401"/>
      <c r="M138" s="320"/>
      <c r="N138" s="321"/>
      <c r="O138" s="322"/>
      <c r="P138" s="401"/>
      <c r="Q138" s="203"/>
      <c r="R138" s="223"/>
      <c r="S138" s="404"/>
      <c r="T138" s="405"/>
      <c r="U138" s="203"/>
      <c r="V138" s="223"/>
      <c r="W138" s="404"/>
      <c r="X138" s="405"/>
      <c r="Y138" s="203"/>
      <c r="Z138" s="223"/>
      <c r="AA138" s="404"/>
      <c r="AB138" s="405"/>
      <c r="AC138" s="203"/>
      <c r="AD138" s="223"/>
      <c r="AE138" s="404"/>
      <c r="AF138" s="405"/>
      <c r="AG138" s="203"/>
      <c r="AH138" s="223"/>
      <c r="AI138" s="404"/>
      <c r="AJ138" s="405"/>
      <c r="AK138" s="401"/>
      <c r="AL138" s="401"/>
      <c r="AM138" s="401"/>
    </row>
    <row r="139">
      <c r="A139" s="320"/>
      <c r="B139" s="321"/>
      <c r="C139" s="322"/>
      <c r="D139" s="401"/>
      <c r="E139" s="320"/>
      <c r="F139" s="321"/>
      <c r="G139" s="322"/>
      <c r="H139" s="401"/>
      <c r="I139" s="320"/>
      <c r="J139" s="321"/>
      <c r="K139" s="322"/>
      <c r="L139" s="401"/>
      <c r="M139" s="320"/>
      <c r="N139" s="321"/>
      <c r="O139" s="322"/>
      <c r="P139" s="401"/>
      <c r="Q139" s="203"/>
      <c r="R139" s="223"/>
      <c r="S139" s="404"/>
      <c r="T139" s="405"/>
      <c r="U139" s="203"/>
      <c r="V139" s="223"/>
      <c r="W139" s="404"/>
      <c r="X139" s="405"/>
      <c r="Y139" s="203"/>
      <c r="Z139" s="223"/>
      <c r="AA139" s="404"/>
      <c r="AB139" s="405"/>
      <c r="AC139" s="203"/>
      <c r="AD139" s="223"/>
      <c r="AE139" s="404"/>
      <c r="AF139" s="405"/>
      <c r="AG139" s="203"/>
      <c r="AH139" s="223"/>
      <c r="AI139" s="404"/>
      <c r="AJ139" s="405"/>
      <c r="AK139" s="401"/>
      <c r="AL139" s="401"/>
      <c r="AM139" s="401"/>
    </row>
    <row r="140">
      <c r="A140" s="320"/>
      <c r="B140" s="321"/>
      <c r="C140" s="322"/>
      <c r="D140" s="401"/>
      <c r="E140" s="320"/>
      <c r="F140" s="321"/>
      <c r="G140" s="322"/>
      <c r="H140" s="401"/>
      <c r="I140" s="320"/>
      <c r="J140" s="321"/>
      <c r="K140" s="322"/>
      <c r="L140" s="401"/>
      <c r="M140" s="320"/>
      <c r="N140" s="321"/>
      <c r="O140" s="322"/>
      <c r="P140" s="401"/>
      <c r="Q140" s="203"/>
      <c r="R140" s="223"/>
      <c r="S140" s="404"/>
      <c r="T140" s="405"/>
      <c r="U140" s="203"/>
      <c r="V140" s="223"/>
      <c r="W140" s="404"/>
      <c r="X140" s="405"/>
      <c r="Y140" s="203"/>
      <c r="Z140" s="223"/>
      <c r="AA140" s="404"/>
      <c r="AB140" s="405"/>
      <c r="AC140" s="203"/>
      <c r="AD140" s="223"/>
      <c r="AE140" s="404"/>
      <c r="AF140" s="405"/>
      <c r="AG140" s="203"/>
      <c r="AH140" s="223"/>
      <c r="AI140" s="404"/>
      <c r="AJ140" s="405"/>
      <c r="AK140" s="401"/>
      <c r="AL140" s="401"/>
      <c r="AM140" s="401"/>
    </row>
    <row r="141">
      <c r="A141" s="320"/>
      <c r="B141" s="321"/>
      <c r="C141" s="322"/>
      <c r="D141" s="401"/>
      <c r="E141" s="320"/>
      <c r="F141" s="321"/>
      <c r="G141" s="322"/>
      <c r="H141" s="401"/>
      <c r="I141" s="320"/>
      <c r="J141" s="321"/>
      <c r="K141" s="322"/>
      <c r="L141" s="401"/>
      <c r="M141" s="320"/>
      <c r="N141" s="321"/>
      <c r="O141" s="322"/>
      <c r="P141" s="401"/>
      <c r="Q141" s="203"/>
      <c r="R141" s="223"/>
      <c r="S141" s="404"/>
      <c r="T141" s="405"/>
      <c r="U141" s="203"/>
      <c r="V141" s="223"/>
      <c r="W141" s="404"/>
      <c r="X141" s="405"/>
      <c r="Y141" s="203"/>
      <c r="Z141" s="223"/>
      <c r="AA141" s="404"/>
      <c r="AB141" s="405"/>
      <c r="AC141" s="203"/>
      <c r="AD141" s="223"/>
      <c r="AE141" s="404"/>
      <c r="AF141" s="405"/>
      <c r="AG141" s="203"/>
      <c r="AH141" s="223"/>
      <c r="AI141" s="404"/>
      <c r="AJ141" s="405"/>
      <c r="AK141" s="401"/>
      <c r="AL141" s="401"/>
      <c r="AM141" s="401"/>
    </row>
    <row r="142">
      <c r="A142" s="320"/>
      <c r="B142" s="321"/>
      <c r="C142" s="322"/>
      <c r="D142" s="401"/>
      <c r="E142" s="320"/>
      <c r="F142" s="321"/>
      <c r="G142" s="322"/>
      <c r="H142" s="401"/>
      <c r="I142" s="320"/>
      <c r="J142" s="321"/>
      <c r="K142" s="322"/>
      <c r="L142" s="401"/>
      <c r="M142" s="320"/>
      <c r="N142" s="321"/>
      <c r="O142" s="322"/>
      <c r="P142" s="401"/>
      <c r="Q142" s="203"/>
      <c r="R142" s="223"/>
      <c r="S142" s="404"/>
      <c r="T142" s="405"/>
      <c r="U142" s="203"/>
      <c r="V142" s="223"/>
      <c r="W142" s="404"/>
      <c r="X142" s="405"/>
      <c r="Y142" s="203"/>
      <c r="Z142" s="223"/>
      <c r="AA142" s="404"/>
      <c r="AB142" s="405"/>
      <c r="AC142" s="203"/>
      <c r="AD142" s="223"/>
      <c r="AE142" s="404"/>
      <c r="AF142" s="405"/>
      <c r="AG142" s="203"/>
      <c r="AH142" s="223"/>
      <c r="AI142" s="404"/>
      <c r="AJ142" s="405"/>
      <c r="AK142" s="401"/>
      <c r="AL142" s="401"/>
      <c r="AM142" s="401"/>
    </row>
    <row r="143">
      <c r="A143" s="320"/>
      <c r="B143" s="321"/>
      <c r="C143" s="322"/>
      <c r="D143" s="401"/>
      <c r="E143" s="320"/>
      <c r="F143" s="321"/>
      <c r="G143" s="322"/>
      <c r="H143" s="401"/>
      <c r="I143" s="320"/>
      <c r="J143" s="321"/>
      <c r="K143" s="322"/>
      <c r="L143" s="401"/>
      <c r="M143" s="320"/>
      <c r="N143" s="321"/>
      <c r="O143" s="322"/>
      <c r="P143" s="401"/>
      <c r="Q143" s="203"/>
      <c r="R143" s="223"/>
      <c r="S143" s="404"/>
      <c r="T143" s="405"/>
      <c r="U143" s="203"/>
      <c r="V143" s="223"/>
      <c r="W143" s="404"/>
      <c r="X143" s="405"/>
      <c r="Y143" s="203"/>
      <c r="Z143" s="223"/>
      <c r="AA143" s="404"/>
      <c r="AB143" s="405"/>
      <c r="AC143" s="203"/>
      <c r="AD143" s="223"/>
      <c r="AE143" s="404"/>
      <c r="AF143" s="405"/>
      <c r="AG143" s="203"/>
      <c r="AH143" s="223"/>
      <c r="AI143" s="404"/>
      <c r="AJ143" s="405"/>
      <c r="AK143" s="401"/>
      <c r="AL143" s="401"/>
      <c r="AM143" s="401"/>
    </row>
    <row r="144">
      <c r="A144" s="320"/>
      <c r="B144" s="321"/>
      <c r="C144" s="322"/>
      <c r="D144" s="401"/>
      <c r="E144" s="320"/>
      <c r="F144" s="321"/>
      <c r="G144" s="322"/>
      <c r="H144" s="401"/>
      <c r="I144" s="320"/>
      <c r="J144" s="321"/>
      <c r="K144" s="322"/>
      <c r="L144" s="401"/>
      <c r="M144" s="320"/>
      <c r="N144" s="321"/>
      <c r="O144" s="322"/>
      <c r="P144" s="401"/>
      <c r="Q144" s="203"/>
      <c r="R144" s="223"/>
      <c r="S144" s="404"/>
      <c r="T144" s="405"/>
      <c r="U144" s="203"/>
      <c r="V144" s="223"/>
      <c r="W144" s="404"/>
      <c r="X144" s="405"/>
      <c r="Y144" s="203"/>
      <c r="Z144" s="223"/>
      <c r="AA144" s="404"/>
      <c r="AB144" s="405"/>
      <c r="AC144" s="203"/>
      <c r="AD144" s="223"/>
      <c r="AE144" s="404"/>
      <c r="AF144" s="405"/>
      <c r="AG144" s="203"/>
      <c r="AH144" s="223"/>
      <c r="AI144" s="404"/>
      <c r="AJ144" s="405"/>
      <c r="AK144" s="401"/>
      <c r="AL144" s="401"/>
      <c r="AM144" s="401"/>
    </row>
    <row r="145">
      <c r="A145" s="320"/>
      <c r="B145" s="321"/>
      <c r="C145" s="322"/>
      <c r="D145" s="401"/>
      <c r="E145" s="320"/>
      <c r="F145" s="321"/>
      <c r="G145" s="322"/>
      <c r="H145" s="401"/>
      <c r="I145" s="320"/>
      <c r="J145" s="321"/>
      <c r="K145" s="322"/>
      <c r="L145" s="401"/>
      <c r="M145" s="320"/>
      <c r="N145" s="321"/>
      <c r="O145" s="322"/>
      <c r="P145" s="401"/>
      <c r="Q145" s="203"/>
      <c r="R145" s="223"/>
      <c r="S145" s="404"/>
      <c r="T145" s="405"/>
      <c r="U145" s="203"/>
      <c r="V145" s="223"/>
      <c r="W145" s="404"/>
      <c r="X145" s="405"/>
      <c r="Y145" s="203"/>
      <c r="Z145" s="223"/>
      <c r="AA145" s="404"/>
      <c r="AB145" s="405"/>
      <c r="AC145" s="203"/>
      <c r="AD145" s="223"/>
      <c r="AE145" s="404"/>
      <c r="AF145" s="405"/>
      <c r="AG145" s="203"/>
      <c r="AH145" s="223"/>
      <c r="AI145" s="404"/>
      <c r="AJ145" s="405"/>
      <c r="AK145" s="401"/>
      <c r="AL145" s="401"/>
      <c r="AM145" s="401"/>
    </row>
    <row r="146">
      <c r="A146" s="320"/>
      <c r="B146" s="321"/>
      <c r="C146" s="322"/>
      <c r="D146" s="401"/>
      <c r="E146" s="320"/>
      <c r="F146" s="321"/>
      <c r="G146" s="322"/>
      <c r="H146" s="401"/>
      <c r="I146" s="320"/>
      <c r="J146" s="321"/>
      <c r="K146" s="322"/>
      <c r="L146" s="401"/>
      <c r="M146" s="320"/>
      <c r="N146" s="321"/>
      <c r="O146" s="322"/>
      <c r="P146" s="401"/>
      <c r="Q146" s="203"/>
      <c r="R146" s="223"/>
      <c r="S146" s="404"/>
      <c r="T146" s="405"/>
      <c r="U146" s="203"/>
      <c r="V146" s="223"/>
      <c r="W146" s="404"/>
      <c r="X146" s="405"/>
      <c r="Y146" s="203"/>
      <c r="Z146" s="223"/>
      <c r="AA146" s="404"/>
      <c r="AB146" s="405"/>
      <c r="AC146" s="203"/>
      <c r="AD146" s="223"/>
      <c r="AE146" s="404"/>
      <c r="AF146" s="405"/>
      <c r="AG146" s="203"/>
      <c r="AH146" s="223"/>
      <c r="AI146" s="404"/>
      <c r="AJ146" s="405"/>
      <c r="AK146" s="401"/>
      <c r="AL146" s="401"/>
      <c r="AM146" s="401"/>
    </row>
    <row r="147">
      <c r="A147" s="320"/>
      <c r="B147" s="321"/>
      <c r="C147" s="322"/>
      <c r="D147" s="401"/>
      <c r="E147" s="320"/>
      <c r="F147" s="321"/>
      <c r="G147" s="322"/>
      <c r="H147" s="401"/>
      <c r="I147" s="320"/>
      <c r="J147" s="321"/>
      <c r="K147" s="322"/>
      <c r="L147" s="401"/>
      <c r="M147" s="320"/>
      <c r="N147" s="321"/>
      <c r="O147" s="322"/>
      <c r="P147" s="401"/>
      <c r="Q147" s="203"/>
      <c r="R147" s="223"/>
      <c r="S147" s="404"/>
      <c r="T147" s="405"/>
      <c r="U147" s="203"/>
      <c r="V147" s="223"/>
      <c r="W147" s="404"/>
      <c r="X147" s="405"/>
      <c r="Y147" s="203"/>
      <c r="Z147" s="223"/>
      <c r="AA147" s="404"/>
      <c r="AB147" s="405"/>
      <c r="AC147" s="203"/>
      <c r="AD147" s="223"/>
      <c r="AE147" s="404"/>
      <c r="AF147" s="405"/>
      <c r="AG147" s="203"/>
      <c r="AH147" s="223"/>
      <c r="AI147" s="404"/>
      <c r="AJ147" s="405"/>
      <c r="AK147" s="401"/>
      <c r="AL147" s="401"/>
      <c r="AM147" s="401"/>
    </row>
    <row r="148">
      <c r="A148" s="320"/>
      <c r="B148" s="321"/>
      <c r="C148" s="322"/>
      <c r="D148" s="401"/>
      <c r="E148" s="320"/>
      <c r="F148" s="321"/>
      <c r="G148" s="322"/>
      <c r="H148" s="401"/>
      <c r="I148" s="320"/>
      <c r="J148" s="321"/>
      <c r="K148" s="322"/>
      <c r="L148" s="401"/>
      <c r="M148" s="320"/>
      <c r="N148" s="321"/>
      <c r="O148" s="322"/>
      <c r="P148" s="401"/>
      <c r="Q148" s="203"/>
      <c r="R148" s="223"/>
      <c r="S148" s="404"/>
      <c r="T148" s="405"/>
      <c r="U148" s="203"/>
      <c r="V148" s="223"/>
      <c r="W148" s="404"/>
      <c r="X148" s="405"/>
      <c r="Y148" s="203"/>
      <c r="Z148" s="223"/>
      <c r="AA148" s="404"/>
      <c r="AB148" s="405"/>
      <c r="AC148" s="203"/>
      <c r="AD148" s="223"/>
      <c r="AE148" s="404"/>
      <c r="AF148" s="405"/>
      <c r="AG148" s="203"/>
      <c r="AH148" s="223"/>
      <c r="AI148" s="404"/>
      <c r="AJ148" s="405"/>
      <c r="AK148" s="401"/>
      <c r="AL148" s="401"/>
      <c r="AM148" s="401"/>
    </row>
    <row r="149">
      <c r="A149" s="320"/>
      <c r="B149" s="321"/>
      <c r="C149" s="322"/>
      <c r="D149" s="401"/>
      <c r="E149" s="320"/>
      <c r="F149" s="321"/>
      <c r="G149" s="322"/>
      <c r="H149" s="401"/>
      <c r="I149" s="320"/>
      <c r="J149" s="321"/>
      <c r="K149" s="322"/>
      <c r="L149" s="401"/>
      <c r="M149" s="320"/>
      <c r="N149" s="321"/>
      <c r="O149" s="322"/>
      <c r="P149" s="401"/>
      <c r="Q149" s="203"/>
      <c r="R149" s="223"/>
      <c r="S149" s="404"/>
      <c r="T149" s="405"/>
      <c r="U149" s="203"/>
      <c r="V149" s="223"/>
      <c r="W149" s="404"/>
      <c r="X149" s="405"/>
      <c r="Y149" s="203"/>
      <c r="Z149" s="223"/>
      <c r="AA149" s="404"/>
      <c r="AB149" s="405"/>
      <c r="AC149" s="203"/>
      <c r="AD149" s="223"/>
      <c r="AE149" s="404"/>
      <c r="AF149" s="405"/>
      <c r="AG149" s="203"/>
      <c r="AH149" s="223"/>
      <c r="AI149" s="404"/>
      <c r="AJ149" s="405"/>
      <c r="AK149" s="401"/>
      <c r="AL149" s="401"/>
      <c r="AM149" s="401"/>
    </row>
    <row r="150">
      <c r="A150" s="320"/>
      <c r="B150" s="321"/>
      <c r="C150" s="322"/>
      <c r="D150" s="401"/>
      <c r="E150" s="320"/>
      <c r="F150" s="321"/>
      <c r="G150" s="322"/>
      <c r="H150" s="401"/>
      <c r="I150" s="320"/>
      <c r="J150" s="321"/>
      <c r="K150" s="322"/>
      <c r="L150" s="401"/>
      <c r="M150" s="320"/>
      <c r="N150" s="321"/>
      <c r="O150" s="322"/>
      <c r="P150" s="401"/>
      <c r="Q150" s="203"/>
      <c r="R150" s="223"/>
      <c r="S150" s="404"/>
      <c r="T150" s="405"/>
      <c r="U150" s="203"/>
      <c r="V150" s="223"/>
      <c r="W150" s="404"/>
      <c r="X150" s="405"/>
      <c r="Y150" s="203"/>
      <c r="Z150" s="223"/>
      <c r="AA150" s="404"/>
      <c r="AB150" s="405"/>
      <c r="AC150" s="203"/>
      <c r="AD150" s="223"/>
      <c r="AE150" s="404"/>
      <c r="AF150" s="405"/>
      <c r="AG150" s="203"/>
      <c r="AH150" s="223"/>
      <c r="AI150" s="404"/>
      <c r="AJ150" s="405"/>
      <c r="AK150" s="401"/>
      <c r="AL150" s="401"/>
      <c r="AM150" s="401"/>
    </row>
    <row r="151">
      <c r="A151" s="320"/>
      <c r="B151" s="321"/>
      <c r="C151" s="322"/>
      <c r="D151" s="401"/>
      <c r="E151" s="320"/>
      <c r="F151" s="321"/>
      <c r="G151" s="322"/>
      <c r="H151" s="401"/>
      <c r="I151" s="320"/>
      <c r="J151" s="321"/>
      <c r="K151" s="322"/>
      <c r="L151" s="401"/>
      <c r="M151" s="320"/>
      <c r="N151" s="321"/>
      <c r="O151" s="322"/>
      <c r="P151" s="401"/>
      <c r="Q151" s="203"/>
      <c r="R151" s="223"/>
      <c r="S151" s="404"/>
      <c r="T151" s="405"/>
      <c r="U151" s="203"/>
      <c r="V151" s="223"/>
      <c r="W151" s="404"/>
      <c r="X151" s="405"/>
      <c r="Y151" s="203"/>
      <c r="Z151" s="223"/>
      <c r="AA151" s="404"/>
      <c r="AB151" s="405"/>
      <c r="AC151" s="203"/>
      <c r="AD151" s="223"/>
      <c r="AE151" s="404"/>
      <c r="AF151" s="405"/>
      <c r="AG151" s="203"/>
      <c r="AH151" s="223"/>
      <c r="AI151" s="404"/>
      <c r="AJ151" s="405"/>
      <c r="AK151" s="401"/>
      <c r="AL151" s="401"/>
      <c r="AM151" s="401"/>
    </row>
    <row r="152">
      <c r="A152" s="320"/>
      <c r="B152" s="321"/>
      <c r="C152" s="322"/>
      <c r="D152" s="401"/>
      <c r="E152" s="320"/>
      <c r="F152" s="321"/>
      <c r="G152" s="322"/>
      <c r="H152" s="401"/>
      <c r="I152" s="320"/>
      <c r="J152" s="321"/>
      <c r="K152" s="322"/>
      <c r="L152" s="401"/>
      <c r="M152" s="320"/>
      <c r="N152" s="321"/>
      <c r="O152" s="322"/>
      <c r="P152" s="401"/>
      <c r="Q152" s="203"/>
      <c r="R152" s="223"/>
      <c r="S152" s="404"/>
      <c r="T152" s="405"/>
      <c r="U152" s="203"/>
      <c r="V152" s="223"/>
      <c r="W152" s="404"/>
      <c r="X152" s="405"/>
      <c r="Y152" s="203"/>
      <c r="Z152" s="223"/>
      <c r="AA152" s="404"/>
      <c r="AB152" s="405"/>
      <c r="AC152" s="203"/>
      <c r="AD152" s="223"/>
      <c r="AE152" s="404"/>
      <c r="AF152" s="405"/>
      <c r="AG152" s="203"/>
      <c r="AH152" s="223"/>
      <c r="AI152" s="404"/>
      <c r="AJ152" s="405"/>
      <c r="AK152" s="401"/>
      <c r="AL152" s="401"/>
      <c r="AM152" s="401"/>
    </row>
    <row r="153">
      <c r="A153" s="320"/>
      <c r="B153" s="321"/>
      <c r="C153" s="322"/>
      <c r="D153" s="401"/>
      <c r="E153" s="320"/>
      <c r="F153" s="321"/>
      <c r="G153" s="322"/>
      <c r="H153" s="401"/>
      <c r="I153" s="320"/>
      <c r="J153" s="321"/>
      <c r="K153" s="322"/>
      <c r="L153" s="401"/>
      <c r="M153" s="320"/>
      <c r="N153" s="321"/>
      <c r="O153" s="322"/>
      <c r="P153" s="401"/>
      <c r="Q153" s="203"/>
      <c r="R153" s="223"/>
      <c r="S153" s="404"/>
      <c r="T153" s="405"/>
      <c r="U153" s="203"/>
      <c r="V153" s="223"/>
      <c r="W153" s="404"/>
      <c r="X153" s="405"/>
      <c r="Y153" s="203"/>
      <c r="Z153" s="223"/>
      <c r="AA153" s="404"/>
      <c r="AB153" s="405"/>
      <c r="AC153" s="203"/>
      <c r="AD153" s="223"/>
      <c r="AE153" s="404"/>
      <c r="AF153" s="405"/>
      <c r="AG153" s="203"/>
      <c r="AH153" s="223"/>
      <c r="AI153" s="404"/>
      <c r="AJ153" s="405"/>
      <c r="AK153" s="401"/>
      <c r="AL153" s="401"/>
      <c r="AM153" s="401"/>
    </row>
    <row r="154">
      <c r="A154" s="320"/>
      <c r="B154" s="321"/>
      <c r="C154" s="322"/>
      <c r="D154" s="401"/>
      <c r="E154" s="320"/>
      <c r="F154" s="321"/>
      <c r="G154" s="322"/>
      <c r="H154" s="401"/>
      <c r="I154" s="320"/>
      <c r="J154" s="321"/>
      <c r="K154" s="322"/>
      <c r="L154" s="401"/>
      <c r="M154" s="320"/>
      <c r="N154" s="321"/>
      <c r="O154" s="322"/>
      <c r="P154" s="401"/>
      <c r="Q154" s="203"/>
      <c r="R154" s="223"/>
      <c r="S154" s="404"/>
      <c r="T154" s="405"/>
      <c r="U154" s="203"/>
      <c r="V154" s="223"/>
      <c r="W154" s="404"/>
      <c r="X154" s="405"/>
      <c r="Y154" s="203"/>
      <c r="Z154" s="223"/>
      <c r="AA154" s="404"/>
      <c r="AB154" s="405"/>
      <c r="AC154" s="203"/>
      <c r="AD154" s="223"/>
      <c r="AE154" s="404"/>
      <c r="AF154" s="405"/>
      <c r="AG154" s="203"/>
      <c r="AH154" s="223"/>
      <c r="AI154" s="404"/>
      <c r="AJ154" s="405"/>
      <c r="AK154" s="401"/>
      <c r="AL154" s="401"/>
      <c r="AM154" s="401"/>
    </row>
    <row r="155">
      <c r="A155" s="320"/>
      <c r="B155" s="321"/>
      <c r="C155" s="322"/>
      <c r="D155" s="401"/>
      <c r="E155" s="320"/>
      <c r="F155" s="321"/>
      <c r="G155" s="322"/>
      <c r="H155" s="401"/>
      <c r="I155" s="320"/>
      <c r="J155" s="321"/>
      <c r="K155" s="322"/>
      <c r="L155" s="401"/>
      <c r="M155" s="320"/>
      <c r="N155" s="321"/>
      <c r="O155" s="322"/>
      <c r="P155" s="401"/>
      <c r="Q155" s="203"/>
      <c r="R155" s="223"/>
      <c r="S155" s="404"/>
      <c r="T155" s="405"/>
      <c r="U155" s="203"/>
      <c r="V155" s="223"/>
      <c r="W155" s="404"/>
      <c r="X155" s="405"/>
      <c r="Y155" s="203"/>
      <c r="Z155" s="223"/>
      <c r="AA155" s="404"/>
      <c r="AB155" s="405"/>
      <c r="AC155" s="203"/>
      <c r="AD155" s="223"/>
      <c r="AE155" s="404"/>
      <c r="AF155" s="405"/>
      <c r="AG155" s="203"/>
      <c r="AH155" s="223"/>
      <c r="AI155" s="404"/>
      <c r="AJ155" s="405"/>
      <c r="AK155" s="401"/>
      <c r="AL155" s="401"/>
      <c r="AM155" s="401"/>
    </row>
    <row r="156">
      <c r="A156" s="320"/>
      <c r="B156" s="321"/>
      <c r="C156" s="322"/>
      <c r="D156" s="401"/>
      <c r="E156" s="320"/>
      <c r="F156" s="321"/>
      <c r="G156" s="322"/>
      <c r="H156" s="401"/>
      <c r="I156" s="320"/>
      <c r="J156" s="321"/>
      <c r="K156" s="322"/>
      <c r="L156" s="401"/>
      <c r="M156" s="320"/>
      <c r="N156" s="321"/>
      <c r="O156" s="322"/>
      <c r="P156" s="401"/>
      <c r="Q156" s="203"/>
      <c r="R156" s="223"/>
      <c r="S156" s="404"/>
      <c r="T156" s="405"/>
      <c r="U156" s="203"/>
      <c r="V156" s="223"/>
      <c r="W156" s="404"/>
      <c r="X156" s="405"/>
      <c r="Y156" s="203"/>
      <c r="Z156" s="223"/>
      <c r="AA156" s="404"/>
      <c r="AB156" s="405"/>
      <c r="AC156" s="203"/>
      <c r="AD156" s="223"/>
      <c r="AE156" s="404"/>
      <c r="AF156" s="405"/>
      <c r="AG156" s="203"/>
      <c r="AH156" s="223"/>
      <c r="AI156" s="404"/>
      <c r="AJ156" s="405"/>
      <c r="AK156" s="401"/>
      <c r="AL156" s="401"/>
      <c r="AM156" s="401"/>
    </row>
    <row r="157">
      <c r="A157" s="320"/>
      <c r="B157" s="321"/>
      <c r="C157" s="322"/>
      <c r="D157" s="401"/>
      <c r="E157" s="320"/>
      <c r="F157" s="321"/>
      <c r="G157" s="322"/>
      <c r="H157" s="401"/>
      <c r="I157" s="320"/>
      <c r="J157" s="321"/>
      <c r="K157" s="322"/>
      <c r="L157" s="401"/>
      <c r="M157" s="320"/>
      <c r="N157" s="321"/>
      <c r="O157" s="322"/>
      <c r="P157" s="401"/>
      <c r="Q157" s="203"/>
      <c r="R157" s="223"/>
      <c r="S157" s="404"/>
      <c r="T157" s="405"/>
      <c r="U157" s="203"/>
      <c r="V157" s="223"/>
      <c r="W157" s="404"/>
      <c r="X157" s="405"/>
      <c r="Y157" s="203"/>
      <c r="Z157" s="223"/>
      <c r="AA157" s="404"/>
      <c r="AB157" s="405"/>
      <c r="AC157" s="203"/>
      <c r="AD157" s="223"/>
      <c r="AE157" s="404"/>
      <c r="AF157" s="405"/>
      <c r="AG157" s="203"/>
      <c r="AH157" s="223"/>
      <c r="AI157" s="404"/>
      <c r="AJ157" s="405"/>
      <c r="AK157" s="401"/>
      <c r="AL157" s="401"/>
      <c r="AM157" s="401"/>
    </row>
    <row r="158">
      <c r="A158" s="320"/>
      <c r="B158" s="321"/>
      <c r="C158" s="322"/>
      <c r="D158" s="401"/>
      <c r="E158" s="320"/>
      <c r="F158" s="321"/>
      <c r="G158" s="322"/>
      <c r="H158" s="401"/>
      <c r="I158" s="320"/>
      <c r="J158" s="321"/>
      <c r="K158" s="322"/>
      <c r="L158" s="401"/>
      <c r="M158" s="320"/>
      <c r="N158" s="321"/>
      <c r="O158" s="322"/>
      <c r="P158" s="401"/>
      <c r="Q158" s="203"/>
      <c r="R158" s="223"/>
      <c r="S158" s="404"/>
      <c r="T158" s="405"/>
      <c r="U158" s="203"/>
      <c r="V158" s="223"/>
      <c r="W158" s="404"/>
      <c r="X158" s="405"/>
      <c r="Y158" s="203"/>
      <c r="Z158" s="223"/>
      <c r="AA158" s="404"/>
      <c r="AB158" s="405"/>
      <c r="AC158" s="203"/>
      <c r="AD158" s="223"/>
      <c r="AE158" s="404"/>
      <c r="AF158" s="405"/>
      <c r="AG158" s="203"/>
      <c r="AH158" s="223"/>
      <c r="AI158" s="404"/>
      <c r="AJ158" s="405"/>
      <c r="AK158" s="401"/>
      <c r="AL158" s="401"/>
      <c r="AM158" s="401"/>
    </row>
    <row r="159">
      <c r="A159" s="320"/>
      <c r="B159" s="321"/>
      <c r="C159" s="322"/>
      <c r="D159" s="401"/>
      <c r="E159" s="320"/>
      <c r="F159" s="321"/>
      <c r="G159" s="322"/>
      <c r="H159" s="401"/>
      <c r="I159" s="320"/>
      <c r="J159" s="321"/>
      <c r="K159" s="322"/>
      <c r="L159" s="401"/>
      <c r="M159" s="320"/>
      <c r="N159" s="321"/>
      <c r="O159" s="322"/>
      <c r="P159" s="401"/>
      <c r="Q159" s="203"/>
      <c r="R159" s="223"/>
      <c r="S159" s="404"/>
      <c r="T159" s="405"/>
      <c r="U159" s="203"/>
      <c r="V159" s="223"/>
      <c r="W159" s="404"/>
      <c r="X159" s="405"/>
      <c r="Y159" s="203"/>
      <c r="Z159" s="223"/>
      <c r="AA159" s="404"/>
      <c r="AB159" s="405"/>
      <c r="AC159" s="203"/>
      <c r="AD159" s="223"/>
      <c r="AE159" s="404"/>
      <c r="AF159" s="405"/>
      <c r="AG159" s="203"/>
      <c r="AH159" s="223"/>
      <c r="AI159" s="404"/>
      <c r="AJ159" s="405"/>
      <c r="AK159" s="401"/>
      <c r="AL159" s="401"/>
      <c r="AM159" s="401"/>
    </row>
    <row r="160">
      <c r="A160" s="320"/>
      <c r="B160" s="321"/>
      <c r="C160" s="322"/>
      <c r="D160" s="401"/>
      <c r="E160" s="320"/>
      <c r="F160" s="321"/>
      <c r="G160" s="322"/>
      <c r="H160" s="401"/>
      <c r="I160" s="320"/>
      <c r="J160" s="321"/>
      <c r="K160" s="322"/>
      <c r="L160" s="401"/>
      <c r="M160" s="320"/>
      <c r="N160" s="321"/>
      <c r="O160" s="322"/>
      <c r="P160" s="401"/>
      <c r="Q160" s="203"/>
      <c r="R160" s="223"/>
      <c r="S160" s="404"/>
      <c r="T160" s="405"/>
      <c r="U160" s="203"/>
      <c r="V160" s="223"/>
      <c r="W160" s="404"/>
      <c r="X160" s="405"/>
      <c r="Y160" s="203"/>
      <c r="Z160" s="223"/>
      <c r="AA160" s="404"/>
      <c r="AB160" s="405"/>
      <c r="AC160" s="203"/>
      <c r="AD160" s="223"/>
      <c r="AE160" s="404"/>
      <c r="AF160" s="405"/>
      <c r="AG160" s="203"/>
      <c r="AH160" s="223"/>
      <c r="AI160" s="404"/>
      <c r="AJ160" s="405"/>
      <c r="AK160" s="401"/>
      <c r="AL160" s="401"/>
      <c r="AM160" s="401"/>
    </row>
    <row r="161">
      <c r="A161" s="320"/>
      <c r="B161" s="321"/>
      <c r="C161" s="322"/>
      <c r="D161" s="401"/>
      <c r="E161" s="320"/>
      <c r="F161" s="321"/>
      <c r="G161" s="322"/>
      <c r="H161" s="401"/>
      <c r="I161" s="320"/>
      <c r="J161" s="321"/>
      <c r="K161" s="322"/>
      <c r="L161" s="401"/>
      <c r="M161" s="320"/>
      <c r="N161" s="321"/>
      <c r="O161" s="322"/>
      <c r="P161" s="401"/>
      <c r="Q161" s="203"/>
      <c r="R161" s="223"/>
      <c r="S161" s="404"/>
      <c r="T161" s="405"/>
      <c r="U161" s="203"/>
      <c r="V161" s="223"/>
      <c r="W161" s="404"/>
      <c r="X161" s="405"/>
      <c r="Y161" s="203"/>
      <c r="Z161" s="223"/>
      <c r="AA161" s="404"/>
      <c r="AB161" s="405"/>
      <c r="AC161" s="203"/>
      <c r="AD161" s="223"/>
      <c r="AE161" s="404"/>
      <c r="AF161" s="405"/>
      <c r="AG161" s="203"/>
      <c r="AH161" s="223"/>
      <c r="AI161" s="404"/>
      <c r="AJ161" s="405"/>
      <c r="AK161" s="401"/>
      <c r="AL161" s="401"/>
      <c r="AM161" s="401"/>
    </row>
    <row r="162">
      <c r="A162" s="320"/>
      <c r="B162" s="321"/>
      <c r="C162" s="322"/>
      <c r="D162" s="401"/>
      <c r="E162" s="320"/>
      <c r="F162" s="321"/>
      <c r="G162" s="322"/>
      <c r="H162" s="401"/>
      <c r="I162" s="320"/>
      <c r="J162" s="321"/>
      <c r="K162" s="322"/>
      <c r="L162" s="401"/>
      <c r="M162" s="320"/>
      <c r="N162" s="321"/>
      <c r="O162" s="322"/>
      <c r="P162" s="401"/>
      <c r="Q162" s="203"/>
      <c r="R162" s="223"/>
      <c r="S162" s="404"/>
      <c r="T162" s="405"/>
      <c r="U162" s="203"/>
      <c r="V162" s="223"/>
      <c r="W162" s="404"/>
      <c r="X162" s="405"/>
      <c r="Y162" s="203"/>
      <c r="Z162" s="223"/>
      <c r="AA162" s="404"/>
      <c r="AB162" s="405"/>
      <c r="AC162" s="203"/>
      <c r="AD162" s="223"/>
      <c r="AE162" s="404"/>
      <c r="AF162" s="405"/>
      <c r="AG162" s="203"/>
      <c r="AH162" s="223"/>
      <c r="AI162" s="404"/>
      <c r="AJ162" s="405"/>
      <c r="AK162" s="401"/>
      <c r="AL162" s="401"/>
      <c r="AM162" s="401"/>
    </row>
    <row r="163">
      <c r="A163" s="320"/>
      <c r="B163" s="321"/>
      <c r="C163" s="322"/>
      <c r="D163" s="401"/>
      <c r="E163" s="320"/>
      <c r="F163" s="321"/>
      <c r="G163" s="322"/>
      <c r="H163" s="401"/>
      <c r="I163" s="320"/>
      <c r="J163" s="321"/>
      <c r="K163" s="322"/>
      <c r="L163" s="401"/>
      <c r="M163" s="320"/>
      <c r="N163" s="321"/>
      <c r="O163" s="322"/>
      <c r="P163" s="401"/>
      <c r="Q163" s="203"/>
      <c r="R163" s="223"/>
      <c r="S163" s="404"/>
      <c r="T163" s="405"/>
      <c r="U163" s="203"/>
      <c r="V163" s="223"/>
      <c r="W163" s="404"/>
      <c r="X163" s="405"/>
      <c r="Y163" s="203"/>
      <c r="Z163" s="223"/>
      <c r="AA163" s="404"/>
      <c r="AB163" s="405"/>
      <c r="AC163" s="203"/>
      <c r="AD163" s="223"/>
      <c r="AE163" s="404"/>
      <c r="AF163" s="405"/>
      <c r="AG163" s="203"/>
      <c r="AH163" s="223"/>
      <c r="AI163" s="404"/>
      <c r="AJ163" s="405"/>
      <c r="AK163" s="401"/>
      <c r="AL163" s="401"/>
      <c r="AM163" s="401"/>
    </row>
    <row r="164">
      <c r="A164" s="320"/>
      <c r="B164" s="321"/>
      <c r="C164" s="322"/>
      <c r="D164" s="401"/>
      <c r="E164" s="320"/>
      <c r="F164" s="321"/>
      <c r="G164" s="322"/>
      <c r="H164" s="401"/>
      <c r="I164" s="320"/>
      <c r="J164" s="321"/>
      <c r="K164" s="322"/>
      <c r="L164" s="401"/>
      <c r="M164" s="320"/>
      <c r="N164" s="321"/>
      <c r="O164" s="322"/>
      <c r="P164" s="401"/>
      <c r="Q164" s="203"/>
      <c r="R164" s="223"/>
      <c r="S164" s="404"/>
      <c r="T164" s="405"/>
      <c r="U164" s="203"/>
      <c r="V164" s="223"/>
      <c r="W164" s="404"/>
      <c r="X164" s="405"/>
      <c r="Y164" s="203"/>
      <c r="Z164" s="223"/>
      <c r="AA164" s="404"/>
      <c r="AB164" s="405"/>
      <c r="AC164" s="203"/>
      <c r="AD164" s="223"/>
      <c r="AE164" s="404"/>
      <c r="AF164" s="405"/>
      <c r="AG164" s="203"/>
      <c r="AH164" s="223"/>
      <c r="AI164" s="404"/>
      <c r="AJ164" s="405"/>
      <c r="AK164" s="401"/>
      <c r="AL164" s="401"/>
      <c r="AM164" s="401"/>
    </row>
    <row r="165">
      <c r="A165" s="320"/>
      <c r="B165" s="321"/>
      <c r="C165" s="322"/>
      <c r="D165" s="401"/>
      <c r="E165" s="320"/>
      <c r="F165" s="321"/>
      <c r="G165" s="322"/>
      <c r="H165" s="401"/>
      <c r="I165" s="320"/>
      <c r="J165" s="321"/>
      <c r="K165" s="322"/>
      <c r="L165" s="401"/>
      <c r="M165" s="320"/>
      <c r="N165" s="321"/>
      <c r="O165" s="322"/>
      <c r="P165" s="401"/>
      <c r="Q165" s="203"/>
      <c r="R165" s="223"/>
      <c r="S165" s="404"/>
      <c r="T165" s="405"/>
      <c r="U165" s="203"/>
      <c r="V165" s="223"/>
      <c r="W165" s="404"/>
      <c r="X165" s="405"/>
      <c r="Y165" s="203"/>
      <c r="Z165" s="223"/>
      <c r="AA165" s="404"/>
      <c r="AB165" s="405"/>
      <c r="AC165" s="203"/>
      <c r="AD165" s="223"/>
      <c r="AE165" s="404"/>
      <c r="AF165" s="405"/>
      <c r="AG165" s="203"/>
      <c r="AH165" s="223"/>
      <c r="AI165" s="404"/>
      <c r="AJ165" s="405"/>
      <c r="AK165" s="401"/>
      <c r="AL165" s="401"/>
      <c r="AM165" s="401"/>
    </row>
    <row r="166">
      <c r="A166" s="320"/>
      <c r="B166" s="321"/>
      <c r="C166" s="322"/>
      <c r="D166" s="401"/>
      <c r="E166" s="320"/>
      <c r="F166" s="321"/>
      <c r="G166" s="322"/>
      <c r="H166" s="401"/>
      <c r="I166" s="320"/>
      <c r="J166" s="321"/>
      <c r="K166" s="322"/>
      <c r="L166" s="401"/>
      <c r="M166" s="320"/>
      <c r="N166" s="321"/>
      <c r="O166" s="322"/>
      <c r="P166" s="401"/>
      <c r="Q166" s="203"/>
      <c r="R166" s="223"/>
      <c r="S166" s="404"/>
      <c r="T166" s="405"/>
      <c r="U166" s="203"/>
      <c r="V166" s="223"/>
      <c r="W166" s="404"/>
      <c r="X166" s="405"/>
      <c r="Y166" s="203"/>
      <c r="Z166" s="223"/>
      <c r="AA166" s="404"/>
      <c r="AB166" s="405"/>
      <c r="AC166" s="203"/>
      <c r="AD166" s="223"/>
      <c r="AE166" s="404"/>
      <c r="AF166" s="405"/>
      <c r="AG166" s="203"/>
      <c r="AH166" s="223"/>
      <c r="AI166" s="404"/>
      <c r="AJ166" s="405"/>
      <c r="AK166" s="401"/>
      <c r="AL166" s="401"/>
      <c r="AM166" s="401"/>
    </row>
    <row r="167">
      <c r="A167" s="320"/>
      <c r="B167" s="321"/>
      <c r="C167" s="322"/>
      <c r="D167" s="401"/>
      <c r="E167" s="320"/>
      <c r="F167" s="321"/>
      <c r="G167" s="322"/>
      <c r="H167" s="401"/>
      <c r="I167" s="320"/>
      <c r="J167" s="321"/>
      <c r="K167" s="322"/>
      <c r="L167" s="401"/>
      <c r="M167" s="320"/>
      <c r="N167" s="321"/>
      <c r="O167" s="322"/>
      <c r="P167" s="401"/>
      <c r="Q167" s="203"/>
      <c r="R167" s="223"/>
      <c r="S167" s="404"/>
      <c r="T167" s="405"/>
      <c r="U167" s="203"/>
      <c r="V167" s="223"/>
      <c r="W167" s="404"/>
      <c r="X167" s="405"/>
      <c r="Y167" s="203"/>
      <c r="Z167" s="223"/>
      <c r="AA167" s="404"/>
      <c r="AB167" s="405"/>
      <c r="AC167" s="203"/>
      <c r="AD167" s="223"/>
      <c r="AE167" s="404"/>
      <c r="AF167" s="405"/>
      <c r="AG167" s="203"/>
      <c r="AH167" s="223"/>
      <c r="AI167" s="404"/>
      <c r="AJ167" s="405"/>
      <c r="AK167" s="401"/>
      <c r="AL167" s="401"/>
      <c r="AM167" s="401"/>
    </row>
    <row r="168">
      <c r="A168" s="320"/>
      <c r="B168" s="321"/>
      <c r="C168" s="322"/>
      <c r="D168" s="401"/>
      <c r="E168" s="320"/>
      <c r="F168" s="321"/>
      <c r="G168" s="322"/>
      <c r="H168" s="401"/>
      <c r="I168" s="320"/>
      <c r="J168" s="321"/>
      <c r="K168" s="322"/>
      <c r="L168" s="401"/>
      <c r="M168" s="320"/>
      <c r="N168" s="321"/>
      <c r="O168" s="322"/>
      <c r="P168" s="401"/>
      <c r="Q168" s="203"/>
      <c r="R168" s="223"/>
      <c r="S168" s="404"/>
      <c r="T168" s="405"/>
      <c r="U168" s="203"/>
      <c r="V168" s="223"/>
      <c r="W168" s="404"/>
      <c r="X168" s="405"/>
      <c r="Y168" s="203"/>
      <c r="Z168" s="223"/>
      <c r="AA168" s="404"/>
      <c r="AB168" s="405"/>
      <c r="AC168" s="203"/>
      <c r="AD168" s="223"/>
      <c r="AE168" s="404"/>
      <c r="AF168" s="405"/>
      <c r="AG168" s="203"/>
      <c r="AH168" s="223"/>
      <c r="AI168" s="404"/>
      <c r="AJ168" s="405"/>
      <c r="AK168" s="401"/>
      <c r="AL168" s="401"/>
      <c r="AM168" s="401"/>
    </row>
    <row r="169">
      <c r="A169" s="320"/>
      <c r="B169" s="321"/>
      <c r="C169" s="322"/>
      <c r="D169" s="401"/>
      <c r="E169" s="320"/>
      <c r="F169" s="321"/>
      <c r="G169" s="322"/>
      <c r="H169" s="401"/>
      <c r="I169" s="320"/>
      <c r="J169" s="321"/>
      <c r="K169" s="322"/>
      <c r="L169" s="401"/>
      <c r="M169" s="320"/>
      <c r="N169" s="321"/>
      <c r="O169" s="322"/>
      <c r="P169" s="401"/>
      <c r="Q169" s="203"/>
      <c r="R169" s="223"/>
      <c r="S169" s="404"/>
      <c r="T169" s="405"/>
      <c r="U169" s="203"/>
      <c r="V169" s="223"/>
      <c r="W169" s="404"/>
      <c r="X169" s="405"/>
      <c r="Y169" s="203"/>
      <c r="Z169" s="223"/>
      <c r="AA169" s="404"/>
      <c r="AB169" s="405"/>
      <c r="AC169" s="203"/>
      <c r="AD169" s="223"/>
      <c r="AE169" s="404"/>
      <c r="AF169" s="405"/>
      <c r="AG169" s="203"/>
      <c r="AH169" s="223"/>
      <c r="AI169" s="404"/>
      <c r="AJ169" s="405"/>
      <c r="AK169" s="401"/>
      <c r="AL169" s="401"/>
      <c r="AM169" s="401"/>
    </row>
    <row r="170">
      <c r="A170" s="320"/>
      <c r="B170" s="321"/>
      <c r="C170" s="322"/>
      <c r="D170" s="401"/>
      <c r="E170" s="320"/>
      <c r="F170" s="321"/>
      <c r="G170" s="322"/>
      <c r="H170" s="401"/>
      <c r="I170" s="320"/>
      <c r="J170" s="321"/>
      <c r="K170" s="322"/>
      <c r="L170" s="401"/>
      <c r="M170" s="320"/>
      <c r="N170" s="321"/>
      <c r="O170" s="322"/>
      <c r="P170" s="401"/>
      <c r="Q170" s="203"/>
      <c r="R170" s="223"/>
      <c r="S170" s="404"/>
      <c r="T170" s="405"/>
      <c r="U170" s="203"/>
      <c r="V170" s="223"/>
      <c r="W170" s="404"/>
      <c r="X170" s="405"/>
      <c r="Y170" s="203"/>
      <c r="Z170" s="223"/>
      <c r="AA170" s="404"/>
      <c r="AB170" s="405"/>
      <c r="AC170" s="203"/>
      <c r="AD170" s="223"/>
      <c r="AE170" s="404"/>
      <c r="AF170" s="405"/>
      <c r="AG170" s="203"/>
      <c r="AH170" s="223"/>
      <c r="AI170" s="404"/>
      <c r="AJ170" s="405"/>
      <c r="AK170" s="401"/>
      <c r="AL170" s="401"/>
      <c r="AM170" s="401"/>
    </row>
    <row r="171">
      <c r="A171" s="320"/>
      <c r="B171" s="321"/>
      <c r="C171" s="322"/>
      <c r="D171" s="401"/>
      <c r="E171" s="320"/>
      <c r="F171" s="321"/>
      <c r="G171" s="322"/>
      <c r="H171" s="401"/>
      <c r="I171" s="320"/>
      <c r="J171" s="321"/>
      <c r="K171" s="322"/>
      <c r="L171" s="401"/>
      <c r="M171" s="320"/>
      <c r="N171" s="321"/>
      <c r="O171" s="322"/>
      <c r="P171" s="401"/>
      <c r="Q171" s="203"/>
      <c r="R171" s="223"/>
      <c r="S171" s="404"/>
      <c r="T171" s="405"/>
      <c r="U171" s="203"/>
      <c r="V171" s="223"/>
      <c r="W171" s="404"/>
      <c r="X171" s="405"/>
      <c r="Y171" s="203"/>
      <c r="Z171" s="223"/>
      <c r="AA171" s="404"/>
      <c r="AB171" s="405"/>
      <c r="AC171" s="203"/>
      <c r="AD171" s="223"/>
      <c r="AE171" s="404"/>
      <c r="AF171" s="405"/>
      <c r="AG171" s="203"/>
      <c r="AH171" s="223"/>
      <c r="AI171" s="404"/>
      <c r="AJ171" s="405"/>
      <c r="AK171" s="401"/>
      <c r="AL171" s="401"/>
      <c r="AM171" s="401"/>
    </row>
    <row r="172">
      <c r="A172" s="320"/>
      <c r="B172" s="321"/>
      <c r="C172" s="322"/>
      <c r="D172" s="401"/>
      <c r="E172" s="320"/>
      <c r="F172" s="321"/>
      <c r="G172" s="322"/>
      <c r="H172" s="401"/>
      <c r="I172" s="320"/>
      <c r="J172" s="321"/>
      <c r="K172" s="322"/>
      <c r="L172" s="401"/>
      <c r="M172" s="320"/>
      <c r="N172" s="321"/>
      <c r="O172" s="322"/>
      <c r="P172" s="401"/>
      <c r="Q172" s="203"/>
      <c r="R172" s="223"/>
      <c r="S172" s="404"/>
      <c r="T172" s="405"/>
      <c r="U172" s="203"/>
      <c r="V172" s="223"/>
      <c r="W172" s="404"/>
      <c r="X172" s="405"/>
      <c r="Y172" s="203"/>
      <c r="Z172" s="223"/>
      <c r="AA172" s="404"/>
      <c r="AB172" s="405"/>
      <c r="AC172" s="203"/>
      <c r="AD172" s="223"/>
      <c r="AE172" s="404"/>
      <c r="AF172" s="405"/>
      <c r="AG172" s="203"/>
      <c r="AH172" s="223"/>
      <c r="AI172" s="404"/>
      <c r="AJ172" s="405"/>
      <c r="AK172" s="401"/>
      <c r="AL172" s="401"/>
      <c r="AM172" s="401"/>
    </row>
    <row r="173">
      <c r="A173" s="320"/>
      <c r="B173" s="321"/>
      <c r="C173" s="322"/>
      <c r="D173" s="401"/>
      <c r="E173" s="320"/>
      <c r="F173" s="321"/>
      <c r="G173" s="322"/>
      <c r="H173" s="401"/>
      <c r="I173" s="320"/>
      <c r="J173" s="321"/>
      <c r="K173" s="322"/>
      <c r="L173" s="401"/>
      <c r="M173" s="320"/>
      <c r="N173" s="321"/>
      <c r="O173" s="322"/>
      <c r="P173" s="401"/>
      <c r="Q173" s="203"/>
      <c r="R173" s="223"/>
      <c r="S173" s="404"/>
      <c r="T173" s="405"/>
      <c r="U173" s="203"/>
      <c r="V173" s="223"/>
      <c r="W173" s="404"/>
      <c r="X173" s="405"/>
      <c r="Y173" s="203"/>
      <c r="Z173" s="223"/>
      <c r="AA173" s="404"/>
      <c r="AB173" s="405"/>
      <c r="AC173" s="203"/>
      <c r="AD173" s="223"/>
      <c r="AE173" s="404"/>
      <c r="AF173" s="405"/>
      <c r="AG173" s="203"/>
      <c r="AH173" s="223"/>
      <c r="AI173" s="404"/>
      <c r="AJ173" s="405"/>
      <c r="AK173" s="401"/>
      <c r="AL173" s="401"/>
      <c r="AM173" s="401"/>
    </row>
    <row r="174">
      <c r="A174" s="320"/>
      <c r="B174" s="321"/>
      <c r="C174" s="322"/>
      <c r="D174" s="401"/>
      <c r="E174" s="320"/>
      <c r="F174" s="321"/>
      <c r="G174" s="322"/>
      <c r="H174" s="401"/>
      <c r="I174" s="320"/>
      <c r="J174" s="321"/>
      <c r="K174" s="322"/>
      <c r="L174" s="401"/>
      <c r="M174" s="320"/>
      <c r="N174" s="321"/>
      <c r="O174" s="322"/>
      <c r="P174" s="401"/>
      <c r="Q174" s="203"/>
      <c r="R174" s="223"/>
      <c r="S174" s="404"/>
      <c r="T174" s="405"/>
      <c r="U174" s="203"/>
      <c r="V174" s="223"/>
      <c r="W174" s="404"/>
      <c r="X174" s="405"/>
      <c r="Y174" s="203"/>
      <c r="Z174" s="223"/>
      <c r="AA174" s="404"/>
      <c r="AB174" s="405"/>
      <c r="AC174" s="203"/>
      <c r="AD174" s="223"/>
      <c r="AE174" s="404"/>
      <c r="AF174" s="405"/>
      <c r="AG174" s="203"/>
      <c r="AH174" s="223"/>
      <c r="AI174" s="404"/>
      <c r="AJ174" s="405"/>
      <c r="AK174" s="401"/>
      <c r="AL174" s="401"/>
      <c r="AM174" s="401"/>
    </row>
    <row r="175">
      <c r="A175" s="320"/>
      <c r="B175" s="321"/>
      <c r="C175" s="322"/>
      <c r="D175" s="401"/>
      <c r="E175" s="320"/>
      <c r="F175" s="321"/>
      <c r="G175" s="322"/>
      <c r="H175" s="401"/>
      <c r="I175" s="320"/>
      <c r="J175" s="321"/>
      <c r="K175" s="322"/>
      <c r="L175" s="401"/>
      <c r="M175" s="320"/>
      <c r="N175" s="321"/>
      <c r="O175" s="322"/>
      <c r="P175" s="401"/>
      <c r="Q175" s="203"/>
      <c r="R175" s="223"/>
      <c r="S175" s="404"/>
      <c r="T175" s="405"/>
      <c r="U175" s="203"/>
      <c r="V175" s="223"/>
      <c r="W175" s="404"/>
      <c r="X175" s="405"/>
      <c r="Y175" s="203"/>
      <c r="Z175" s="223"/>
      <c r="AA175" s="404"/>
      <c r="AB175" s="405"/>
      <c r="AC175" s="203"/>
      <c r="AD175" s="223"/>
      <c r="AE175" s="404"/>
      <c r="AF175" s="405"/>
      <c r="AG175" s="203"/>
      <c r="AH175" s="223"/>
      <c r="AI175" s="404"/>
      <c r="AJ175" s="405"/>
      <c r="AK175" s="401"/>
      <c r="AL175" s="401"/>
      <c r="AM175" s="401"/>
    </row>
    <row r="176">
      <c r="A176" s="320"/>
      <c r="B176" s="321"/>
      <c r="C176" s="322"/>
      <c r="D176" s="401"/>
      <c r="E176" s="320"/>
      <c r="F176" s="321"/>
      <c r="G176" s="322"/>
      <c r="H176" s="401"/>
      <c r="I176" s="320"/>
      <c r="J176" s="321"/>
      <c r="K176" s="322"/>
      <c r="L176" s="401"/>
      <c r="M176" s="320"/>
      <c r="N176" s="321"/>
      <c r="O176" s="322"/>
      <c r="P176" s="401"/>
      <c r="Q176" s="203"/>
      <c r="R176" s="223"/>
      <c r="S176" s="404"/>
      <c r="T176" s="405"/>
      <c r="U176" s="203"/>
      <c r="V176" s="223"/>
      <c r="W176" s="404"/>
      <c r="X176" s="405"/>
      <c r="Y176" s="203"/>
      <c r="Z176" s="223"/>
      <c r="AA176" s="404"/>
      <c r="AB176" s="405"/>
      <c r="AC176" s="203"/>
      <c r="AD176" s="223"/>
      <c r="AE176" s="404"/>
      <c r="AF176" s="405"/>
      <c r="AG176" s="203"/>
      <c r="AH176" s="223"/>
      <c r="AI176" s="404"/>
      <c r="AJ176" s="405"/>
      <c r="AK176" s="401"/>
      <c r="AL176" s="401"/>
      <c r="AM176" s="401"/>
    </row>
    <row r="177">
      <c r="A177" s="320"/>
      <c r="B177" s="321"/>
      <c r="C177" s="322"/>
      <c r="D177" s="401"/>
      <c r="E177" s="320"/>
      <c r="F177" s="321"/>
      <c r="G177" s="322"/>
      <c r="H177" s="401"/>
      <c r="I177" s="320"/>
      <c r="J177" s="321"/>
      <c r="K177" s="322"/>
      <c r="L177" s="401"/>
      <c r="M177" s="320"/>
      <c r="N177" s="321"/>
      <c r="O177" s="322"/>
      <c r="P177" s="401"/>
      <c r="Q177" s="203"/>
      <c r="R177" s="223"/>
      <c r="S177" s="404"/>
      <c r="T177" s="405"/>
      <c r="U177" s="203"/>
      <c r="V177" s="223"/>
      <c r="W177" s="404"/>
      <c r="X177" s="405"/>
      <c r="Y177" s="203"/>
      <c r="Z177" s="223"/>
      <c r="AA177" s="404"/>
      <c r="AB177" s="405"/>
      <c r="AC177" s="203"/>
      <c r="AD177" s="223"/>
      <c r="AE177" s="404"/>
      <c r="AF177" s="405"/>
      <c r="AG177" s="203"/>
      <c r="AH177" s="223"/>
      <c r="AI177" s="404"/>
      <c r="AJ177" s="405"/>
      <c r="AK177" s="401"/>
      <c r="AL177" s="401"/>
      <c r="AM177" s="401"/>
    </row>
    <row r="178">
      <c r="A178" s="320"/>
      <c r="B178" s="321"/>
      <c r="C178" s="322"/>
      <c r="D178" s="401"/>
      <c r="E178" s="320"/>
      <c r="F178" s="321"/>
      <c r="G178" s="322"/>
      <c r="H178" s="401"/>
      <c r="I178" s="320"/>
      <c r="J178" s="321"/>
      <c r="K178" s="322"/>
      <c r="L178" s="401"/>
      <c r="M178" s="320"/>
      <c r="N178" s="321"/>
      <c r="O178" s="322"/>
      <c r="P178" s="401"/>
      <c r="Q178" s="203"/>
      <c r="R178" s="223"/>
      <c r="S178" s="404"/>
      <c r="T178" s="405"/>
      <c r="U178" s="203"/>
      <c r="V178" s="223"/>
      <c r="W178" s="404"/>
      <c r="X178" s="405"/>
      <c r="Y178" s="203"/>
      <c r="Z178" s="223"/>
      <c r="AA178" s="404"/>
      <c r="AB178" s="405"/>
      <c r="AC178" s="203"/>
      <c r="AD178" s="223"/>
      <c r="AE178" s="404"/>
      <c r="AF178" s="405"/>
      <c r="AG178" s="203"/>
      <c r="AH178" s="223"/>
      <c r="AI178" s="404"/>
      <c r="AJ178" s="405"/>
      <c r="AK178" s="401"/>
      <c r="AL178" s="401"/>
      <c r="AM178" s="401"/>
    </row>
    <row r="179">
      <c r="A179" s="320"/>
      <c r="B179" s="321"/>
      <c r="C179" s="322"/>
      <c r="D179" s="401"/>
      <c r="E179" s="320"/>
      <c r="F179" s="321"/>
      <c r="G179" s="322"/>
      <c r="H179" s="401"/>
      <c r="I179" s="320"/>
      <c r="J179" s="321"/>
      <c r="K179" s="322"/>
      <c r="L179" s="401"/>
      <c r="M179" s="320"/>
      <c r="N179" s="321"/>
      <c r="O179" s="322"/>
      <c r="P179" s="401"/>
      <c r="Q179" s="203"/>
      <c r="R179" s="223"/>
      <c r="S179" s="404"/>
      <c r="T179" s="405"/>
      <c r="U179" s="203"/>
      <c r="V179" s="223"/>
      <c r="W179" s="404"/>
      <c r="X179" s="405"/>
      <c r="Y179" s="203"/>
      <c r="Z179" s="223"/>
      <c r="AA179" s="404"/>
      <c r="AB179" s="405"/>
      <c r="AC179" s="203"/>
      <c r="AD179" s="223"/>
      <c r="AE179" s="404"/>
      <c r="AF179" s="405"/>
      <c r="AG179" s="203"/>
      <c r="AH179" s="223"/>
      <c r="AI179" s="404"/>
      <c r="AJ179" s="405"/>
      <c r="AK179" s="401"/>
      <c r="AL179" s="401"/>
      <c r="AM179" s="401"/>
    </row>
    <row r="180">
      <c r="A180" s="320"/>
      <c r="B180" s="321"/>
      <c r="C180" s="322"/>
      <c r="D180" s="401"/>
      <c r="E180" s="320"/>
      <c r="F180" s="321"/>
      <c r="G180" s="322"/>
      <c r="H180" s="401"/>
      <c r="I180" s="320"/>
      <c r="J180" s="321"/>
      <c r="K180" s="322"/>
      <c r="L180" s="401"/>
      <c r="M180" s="320"/>
      <c r="N180" s="321"/>
      <c r="O180" s="322"/>
      <c r="P180" s="401"/>
      <c r="Q180" s="203"/>
      <c r="R180" s="223"/>
      <c r="S180" s="404"/>
      <c r="T180" s="405"/>
      <c r="U180" s="203"/>
      <c r="V180" s="223"/>
      <c r="W180" s="404"/>
      <c r="X180" s="405"/>
      <c r="Y180" s="203"/>
      <c r="Z180" s="223"/>
      <c r="AA180" s="404"/>
      <c r="AB180" s="405"/>
      <c r="AC180" s="203"/>
      <c r="AD180" s="223"/>
      <c r="AE180" s="404"/>
      <c r="AF180" s="405"/>
      <c r="AG180" s="203"/>
      <c r="AH180" s="223"/>
      <c r="AI180" s="404"/>
      <c r="AJ180" s="405"/>
      <c r="AK180" s="401"/>
      <c r="AL180" s="401"/>
      <c r="AM180" s="401"/>
    </row>
    <row r="181">
      <c r="A181" s="320"/>
      <c r="B181" s="321"/>
      <c r="C181" s="322"/>
      <c r="D181" s="401"/>
      <c r="E181" s="320"/>
      <c r="F181" s="321"/>
      <c r="G181" s="322"/>
      <c r="H181" s="401"/>
      <c r="I181" s="320"/>
      <c r="J181" s="321"/>
      <c r="K181" s="322"/>
      <c r="L181" s="401"/>
      <c r="M181" s="320"/>
      <c r="N181" s="321"/>
      <c r="O181" s="322"/>
      <c r="P181" s="401"/>
      <c r="Q181" s="203"/>
      <c r="R181" s="223"/>
      <c r="S181" s="404"/>
      <c r="T181" s="405"/>
      <c r="U181" s="203"/>
      <c r="V181" s="223"/>
      <c r="W181" s="404"/>
      <c r="X181" s="405"/>
      <c r="Y181" s="203"/>
      <c r="Z181" s="223"/>
      <c r="AA181" s="404"/>
      <c r="AB181" s="405"/>
      <c r="AC181" s="203"/>
      <c r="AD181" s="223"/>
      <c r="AE181" s="404"/>
      <c r="AF181" s="405"/>
      <c r="AG181" s="203"/>
      <c r="AH181" s="223"/>
      <c r="AI181" s="404"/>
      <c r="AJ181" s="405"/>
      <c r="AK181" s="401"/>
      <c r="AL181" s="401"/>
      <c r="AM181" s="401"/>
    </row>
    <row r="182">
      <c r="A182" s="320"/>
      <c r="B182" s="321"/>
      <c r="C182" s="322"/>
      <c r="D182" s="401"/>
      <c r="E182" s="320"/>
      <c r="F182" s="321"/>
      <c r="G182" s="322"/>
      <c r="H182" s="401"/>
      <c r="I182" s="320"/>
      <c r="J182" s="321"/>
      <c r="K182" s="322"/>
      <c r="L182" s="401"/>
      <c r="M182" s="320"/>
      <c r="N182" s="321"/>
      <c r="O182" s="322"/>
      <c r="P182" s="401"/>
      <c r="Q182" s="203"/>
      <c r="R182" s="223"/>
      <c r="S182" s="404"/>
      <c r="T182" s="405"/>
      <c r="U182" s="203"/>
      <c r="V182" s="223"/>
      <c r="W182" s="404"/>
      <c r="X182" s="405"/>
      <c r="Y182" s="203"/>
      <c r="Z182" s="223"/>
      <c r="AA182" s="404"/>
      <c r="AB182" s="405"/>
      <c r="AC182" s="203"/>
      <c r="AD182" s="223"/>
      <c r="AE182" s="404"/>
      <c r="AF182" s="405"/>
      <c r="AG182" s="203"/>
      <c r="AH182" s="223"/>
      <c r="AI182" s="404"/>
      <c r="AJ182" s="405"/>
      <c r="AK182" s="401"/>
      <c r="AL182" s="401"/>
      <c r="AM182" s="401"/>
    </row>
    <row r="183">
      <c r="A183" s="320"/>
      <c r="B183" s="321"/>
      <c r="C183" s="322"/>
      <c r="D183" s="401"/>
      <c r="E183" s="320"/>
      <c r="F183" s="321"/>
      <c r="G183" s="322"/>
      <c r="H183" s="401"/>
      <c r="I183" s="320"/>
      <c r="J183" s="321"/>
      <c r="K183" s="322"/>
      <c r="L183" s="401"/>
      <c r="M183" s="320"/>
      <c r="N183" s="321"/>
      <c r="O183" s="322"/>
      <c r="P183" s="401"/>
      <c r="Q183" s="203"/>
      <c r="R183" s="223"/>
      <c r="S183" s="404"/>
      <c r="T183" s="405"/>
      <c r="U183" s="203"/>
      <c r="V183" s="223"/>
      <c r="W183" s="404"/>
      <c r="X183" s="405"/>
      <c r="Y183" s="203"/>
      <c r="Z183" s="223"/>
      <c r="AA183" s="404"/>
      <c r="AB183" s="405"/>
      <c r="AC183" s="203"/>
      <c r="AD183" s="223"/>
      <c r="AE183" s="404"/>
      <c r="AF183" s="405"/>
      <c r="AG183" s="203"/>
      <c r="AH183" s="223"/>
      <c r="AI183" s="404"/>
      <c r="AJ183" s="405"/>
      <c r="AK183" s="401"/>
      <c r="AL183" s="401"/>
      <c r="AM183" s="401"/>
    </row>
    <row r="184">
      <c r="A184" s="320"/>
      <c r="B184" s="321"/>
      <c r="C184" s="322"/>
      <c r="D184" s="401"/>
      <c r="E184" s="320"/>
      <c r="F184" s="321"/>
      <c r="G184" s="322"/>
      <c r="H184" s="401"/>
      <c r="I184" s="320"/>
      <c r="J184" s="321"/>
      <c r="K184" s="322"/>
      <c r="L184" s="401"/>
      <c r="M184" s="320"/>
      <c r="N184" s="321"/>
      <c r="O184" s="322"/>
      <c r="P184" s="401"/>
      <c r="Q184" s="203"/>
      <c r="R184" s="223"/>
      <c r="S184" s="404"/>
      <c r="T184" s="405"/>
      <c r="U184" s="203"/>
      <c r="V184" s="223"/>
      <c r="W184" s="404"/>
      <c r="X184" s="405"/>
      <c r="Y184" s="203"/>
      <c r="Z184" s="223"/>
      <c r="AA184" s="404"/>
      <c r="AB184" s="405"/>
      <c r="AC184" s="203"/>
      <c r="AD184" s="223"/>
      <c r="AE184" s="404"/>
      <c r="AF184" s="405"/>
      <c r="AG184" s="203"/>
      <c r="AH184" s="223"/>
      <c r="AI184" s="404"/>
      <c r="AJ184" s="405"/>
      <c r="AK184" s="401"/>
      <c r="AL184" s="401"/>
      <c r="AM184" s="401"/>
    </row>
    <row r="185">
      <c r="A185" s="320"/>
      <c r="B185" s="321"/>
      <c r="C185" s="322"/>
      <c r="D185" s="401"/>
      <c r="E185" s="320"/>
      <c r="F185" s="321"/>
      <c r="G185" s="322"/>
      <c r="H185" s="401"/>
      <c r="I185" s="320"/>
      <c r="J185" s="321"/>
      <c r="K185" s="322"/>
      <c r="L185" s="401"/>
      <c r="M185" s="320"/>
      <c r="N185" s="321"/>
      <c r="O185" s="322"/>
      <c r="P185" s="401"/>
      <c r="Q185" s="203"/>
      <c r="R185" s="223"/>
      <c r="S185" s="404"/>
      <c r="T185" s="405"/>
      <c r="U185" s="203"/>
      <c r="V185" s="223"/>
      <c r="W185" s="404"/>
      <c r="X185" s="405"/>
      <c r="Y185" s="203"/>
      <c r="Z185" s="223"/>
      <c r="AA185" s="404"/>
      <c r="AB185" s="405"/>
      <c r="AC185" s="203"/>
      <c r="AD185" s="223"/>
      <c r="AE185" s="404"/>
      <c r="AF185" s="405"/>
      <c r="AG185" s="203"/>
      <c r="AH185" s="223"/>
      <c r="AI185" s="404"/>
      <c r="AJ185" s="405"/>
      <c r="AK185" s="401"/>
      <c r="AL185" s="401"/>
      <c r="AM185" s="401"/>
    </row>
    <row r="186">
      <c r="A186" s="320"/>
      <c r="B186" s="321"/>
      <c r="C186" s="322"/>
      <c r="D186" s="401"/>
      <c r="E186" s="320"/>
      <c r="F186" s="321"/>
      <c r="G186" s="322"/>
      <c r="H186" s="401"/>
      <c r="I186" s="320"/>
      <c r="J186" s="321"/>
      <c r="K186" s="322"/>
      <c r="L186" s="401"/>
      <c r="M186" s="320"/>
      <c r="N186" s="321"/>
      <c r="O186" s="322"/>
      <c r="P186" s="401"/>
      <c r="Q186" s="203"/>
      <c r="R186" s="223"/>
      <c r="S186" s="404"/>
      <c r="T186" s="405"/>
      <c r="U186" s="203"/>
      <c r="V186" s="223"/>
      <c r="W186" s="404"/>
      <c r="X186" s="405"/>
      <c r="Y186" s="203"/>
      <c r="Z186" s="223"/>
      <c r="AA186" s="404"/>
      <c r="AB186" s="405"/>
      <c r="AC186" s="203"/>
      <c r="AD186" s="223"/>
      <c r="AE186" s="404"/>
      <c r="AF186" s="405"/>
      <c r="AG186" s="203"/>
      <c r="AH186" s="223"/>
      <c r="AI186" s="404"/>
      <c r="AJ186" s="405"/>
      <c r="AK186" s="401"/>
      <c r="AL186" s="401"/>
      <c r="AM186" s="401"/>
    </row>
    <row r="187">
      <c r="A187" s="320"/>
      <c r="B187" s="321"/>
      <c r="C187" s="322"/>
      <c r="D187" s="401"/>
      <c r="E187" s="320"/>
      <c r="F187" s="321"/>
      <c r="G187" s="322"/>
      <c r="H187" s="401"/>
      <c r="I187" s="320"/>
      <c r="J187" s="321"/>
      <c r="K187" s="322"/>
      <c r="L187" s="401"/>
      <c r="M187" s="320"/>
      <c r="N187" s="321"/>
      <c r="O187" s="322"/>
      <c r="P187" s="401"/>
      <c r="Q187" s="203"/>
      <c r="R187" s="223"/>
      <c r="S187" s="404"/>
      <c r="T187" s="405"/>
      <c r="U187" s="203"/>
      <c r="V187" s="223"/>
      <c r="W187" s="404"/>
      <c r="X187" s="405"/>
      <c r="Y187" s="203"/>
      <c r="Z187" s="223"/>
      <c r="AA187" s="404"/>
      <c r="AB187" s="405"/>
      <c r="AC187" s="203"/>
      <c r="AD187" s="223"/>
      <c r="AE187" s="404"/>
      <c r="AF187" s="405"/>
      <c r="AG187" s="203"/>
      <c r="AH187" s="223"/>
      <c r="AI187" s="404"/>
      <c r="AJ187" s="405"/>
      <c r="AK187" s="401"/>
      <c r="AL187" s="401"/>
      <c r="AM187" s="401"/>
    </row>
    <row r="188">
      <c r="A188" s="320"/>
      <c r="B188" s="321"/>
      <c r="C188" s="322"/>
      <c r="D188" s="401"/>
      <c r="E188" s="320"/>
      <c r="F188" s="321"/>
      <c r="G188" s="322"/>
      <c r="H188" s="401"/>
      <c r="I188" s="320"/>
      <c r="J188" s="321"/>
      <c r="K188" s="322"/>
      <c r="L188" s="401"/>
      <c r="M188" s="320"/>
      <c r="N188" s="321"/>
      <c r="O188" s="322"/>
      <c r="P188" s="401"/>
      <c r="Q188" s="203"/>
      <c r="R188" s="223"/>
      <c r="S188" s="404"/>
      <c r="T188" s="405"/>
      <c r="U188" s="203"/>
      <c r="V188" s="223"/>
      <c r="W188" s="404"/>
      <c r="X188" s="405"/>
      <c r="Y188" s="203"/>
      <c r="Z188" s="223"/>
      <c r="AA188" s="404"/>
      <c r="AB188" s="405"/>
      <c r="AC188" s="203"/>
      <c r="AD188" s="223"/>
      <c r="AE188" s="404"/>
      <c r="AF188" s="405"/>
      <c r="AG188" s="203"/>
      <c r="AH188" s="223"/>
      <c r="AI188" s="404"/>
      <c r="AJ188" s="405"/>
      <c r="AK188" s="401"/>
      <c r="AL188" s="401"/>
      <c r="AM188" s="401"/>
    </row>
    <row r="189">
      <c r="A189" s="320"/>
      <c r="B189" s="321"/>
      <c r="C189" s="322"/>
      <c r="D189" s="401"/>
      <c r="E189" s="320"/>
      <c r="F189" s="321"/>
      <c r="G189" s="322"/>
      <c r="H189" s="401"/>
      <c r="I189" s="320"/>
      <c r="J189" s="321"/>
      <c r="K189" s="322"/>
      <c r="L189" s="401"/>
      <c r="M189" s="320"/>
      <c r="N189" s="321"/>
      <c r="O189" s="322"/>
      <c r="P189" s="401"/>
      <c r="Q189" s="203"/>
      <c r="R189" s="223"/>
      <c r="S189" s="404"/>
      <c r="T189" s="405"/>
      <c r="U189" s="203"/>
      <c r="V189" s="223"/>
      <c r="W189" s="404"/>
      <c r="X189" s="405"/>
      <c r="Y189" s="203"/>
      <c r="Z189" s="223"/>
      <c r="AA189" s="404"/>
      <c r="AB189" s="405"/>
      <c r="AC189" s="203"/>
      <c r="AD189" s="223"/>
      <c r="AE189" s="404"/>
      <c r="AF189" s="405"/>
      <c r="AG189" s="203"/>
      <c r="AH189" s="223"/>
      <c r="AI189" s="404"/>
      <c r="AJ189" s="405"/>
      <c r="AK189" s="401"/>
      <c r="AL189" s="401"/>
      <c r="AM189" s="401"/>
    </row>
    <row r="190">
      <c r="A190" s="320"/>
      <c r="B190" s="321"/>
      <c r="C190" s="322"/>
      <c r="D190" s="401"/>
      <c r="E190" s="320"/>
      <c r="F190" s="321"/>
      <c r="G190" s="322"/>
      <c r="H190" s="401"/>
      <c r="I190" s="320"/>
      <c r="J190" s="321"/>
      <c r="K190" s="322"/>
      <c r="L190" s="401"/>
      <c r="M190" s="320"/>
      <c r="N190" s="321"/>
      <c r="O190" s="322"/>
      <c r="P190" s="401"/>
      <c r="Q190" s="203"/>
      <c r="R190" s="223"/>
      <c r="S190" s="404"/>
      <c r="T190" s="405"/>
      <c r="U190" s="203"/>
      <c r="V190" s="223"/>
      <c r="W190" s="404"/>
      <c r="X190" s="405"/>
      <c r="Y190" s="203"/>
      <c r="Z190" s="223"/>
      <c r="AA190" s="404"/>
      <c r="AB190" s="405"/>
      <c r="AC190" s="203"/>
      <c r="AD190" s="223"/>
      <c r="AE190" s="404"/>
      <c r="AF190" s="405"/>
      <c r="AG190" s="203"/>
      <c r="AH190" s="223"/>
      <c r="AI190" s="404"/>
      <c r="AJ190" s="405"/>
      <c r="AK190" s="401"/>
      <c r="AL190" s="401"/>
      <c r="AM190" s="401"/>
    </row>
    <row r="191">
      <c r="A191" s="320"/>
      <c r="B191" s="321"/>
      <c r="C191" s="322"/>
      <c r="D191" s="401"/>
      <c r="E191" s="320"/>
      <c r="F191" s="321"/>
      <c r="G191" s="322"/>
      <c r="H191" s="401"/>
      <c r="I191" s="320"/>
      <c r="J191" s="321"/>
      <c r="K191" s="322"/>
      <c r="L191" s="401"/>
      <c r="M191" s="320"/>
      <c r="N191" s="321"/>
      <c r="O191" s="322"/>
      <c r="P191" s="401"/>
      <c r="Q191" s="203"/>
      <c r="R191" s="223"/>
      <c r="S191" s="404"/>
      <c r="T191" s="405"/>
      <c r="U191" s="203"/>
      <c r="V191" s="223"/>
      <c r="W191" s="404"/>
      <c r="X191" s="405"/>
      <c r="Y191" s="203"/>
      <c r="Z191" s="223"/>
      <c r="AA191" s="404"/>
      <c r="AB191" s="405"/>
      <c r="AC191" s="203"/>
      <c r="AD191" s="223"/>
      <c r="AE191" s="404"/>
      <c r="AF191" s="405"/>
      <c r="AG191" s="203"/>
      <c r="AH191" s="223"/>
      <c r="AI191" s="404"/>
      <c r="AJ191" s="405"/>
      <c r="AK191" s="401"/>
      <c r="AL191" s="401"/>
      <c r="AM191" s="401"/>
    </row>
    <row r="192">
      <c r="A192" s="320"/>
      <c r="B192" s="321"/>
      <c r="C192" s="322"/>
      <c r="D192" s="401"/>
      <c r="E192" s="320"/>
      <c r="F192" s="321"/>
      <c r="G192" s="322"/>
      <c r="H192" s="401"/>
      <c r="I192" s="320"/>
      <c r="J192" s="321"/>
      <c r="K192" s="322"/>
      <c r="L192" s="401"/>
      <c r="M192" s="320"/>
      <c r="N192" s="321"/>
      <c r="O192" s="322"/>
      <c r="P192" s="401"/>
      <c r="Q192" s="203"/>
      <c r="R192" s="223"/>
      <c r="S192" s="404"/>
      <c r="T192" s="405"/>
      <c r="U192" s="203"/>
      <c r="V192" s="223"/>
      <c r="W192" s="404"/>
      <c r="X192" s="405"/>
      <c r="Y192" s="203"/>
      <c r="Z192" s="223"/>
      <c r="AA192" s="404"/>
      <c r="AB192" s="405"/>
      <c r="AC192" s="203"/>
      <c r="AD192" s="223"/>
      <c r="AE192" s="404"/>
      <c r="AF192" s="405"/>
      <c r="AG192" s="203"/>
      <c r="AH192" s="223"/>
      <c r="AI192" s="404"/>
      <c r="AJ192" s="405"/>
      <c r="AK192" s="401"/>
      <c r="AL192" s="401"/>
      <c r="AM192" s="401"/>
    </row>
    <row r="193">
      <c r="A193" s="320"/>
      <c r="B193" s="321"/>
      <c r="C193" s="322"/>
      <c r="D193" s="401"/>
      <c r="E193" s="320"/>
      <c r="F193" s="321"/>
      <c r="G193" s="322"/>
      <c r="H193" s="401"/>
      <c r="I193" s="320"/>
      <c r="J193" s="321"/>
      <c r="K193" s="322"/>
      <c r="L193" s="401"/>
      <c r="M193" s="320"/>
      <c r="N193" s="321"/>
      <c r="O193" s="322"/>
      <c r="P193" s="401"/>
      <c r="Q193" s="203"/>
      <c r="R193" s="223"/>
      <c r="S193" s="404"/>
      <c r="T193" s="405"/>
      <c r="U193" s="203"/>
      <c r="V193" s="223"/>
      <c r="W193" s="404"/>
      <c r="X193" s="405"/>
      <c r="Y193" s="203"/>
      <c r="Z193" s="223"/>
      <c r="AA193" s="404"/>
      <c r="AB193" s="405"/>
      <c r="AC193" s="203"/>
      <c r="AD193" s="223"/>
      <c r="AE193" s="404"/>
      <c r="AF193" s="405"/>
      <c r="AG193" s="203"/>
      <c r="AH193" s="223"/>
      <c r="AI193" s="404"/>
      <c r="AJ193" s="405"/>
      <c r="AK193" s="401"/>
      <c r="AL193" s="401"/>
      <c r="AM193" s="401"/>
    </row>
    <row r="194">
      <c r="A194" s="320"/>
      <c r="B194" s="321"/>
      <c r="C194" s="322"/>
      <c r="D194" s="401"/>
      <c r="E194" s="320"/>
      <c r="F194" s="321"/>
      <c r="G194" s="322"/>
      <c r="H194" s="401"/>
      <c r="I194" s="320"/>
      <c r="J194" s="321"/>
      <c r="K194" s="322"/>
      <c r="L194" s="401"/>
      <c r="M194" s="320"/>
      <c r="N194" s="321"/>
      <c r="O194" s="322"/>
      <c r="P194" s="401"/>
      <c r="Q194" s="203"/>
      <c r="R194" s="223"/>
      <c r="S194" s="404"/>
      <c r="T194" s="405"/>
      <c r="U194" s="203"/>
      <c r="V194" s="223"/>
      <c r="W194" s="404"/>
      <c r="X194" s="405"/>
      <c r="Y194" s="203"/>
      <c r="Z194" s="223"/>
      <c r="AA194" s="404"/>
      <c r="AB194" s="405"/>
      <c r="AC194" s="203"/>
      <c r="AD194" s="223"/>
      <c r="AE194" s="404"/>
      <c r="AF194" s="405"/>
      <c r="AG194" s="203"/>
      <c r="AH194" s="223"/>
      <c r="AI194" s="404"/>
      <c r="AJ194" s="405"/>
      <c r="AK194" s="401"/>
      <c r="AL194" s="401"/>
      <c r="AM194" s="401"/>
    </row>
    <row r="195">
      <c r="A195" s="320"/>
      <c r="B195" s="321"/>
      <c r="C195" s="322"/>
      <c r="D195" s="401"/>
      <c r="E195" s="320"/>
      <c r="F195" s="321"/>
      <c r="G195" s="322"/>
      <c r="H195" s="401"/>
      <c r="I195" s="320"/>
      <c r="J195" s="321"/>
      <c r="K195" s="322"/>
      <c r="L195" s="401"/>
      <c r="M195" s="320"/>
      <c r="N195" s="321"/>
      <c r="O195" s="322"/>
      <c r="P195" s="401"/>
      <c r="Q195" s="203"/>
      <c r="R195" s="223"/>
      <c r="S195" s="404"/>
      <c r="T195" s="405"/>
      <c r="U195" s="203"/>
      <c r="V195" s="223"/>
      <c r="W195" s="404"/>
      <c r="X195" s="405"/>
      <c r="Y195" s="203"/>
      <c r="Z195" s="223"/>
      <c r="AA195" s="404"/>
      <c r="AB195" s="405"/>
      <c r="AC195" s="203"/>
      <c r="AD195" s="223"/>
      <c r="AE195" s="404"/>
      <c r="AF195" s="405"/>
      <c r="AG195" s="203"/>
      <c r="AH195" s="223"/>
      <c r="AI195" s="404"/>
      <c r="AJ195" s="405"/>
      <c r="AK195" s="401"/>
      <c r="AL195" s="401"/>
      <c r="AM195" s="401"/>
    </row>
    <row r="196">
      <c r="A196" s="320"/>
      <c r="B196" s="321"/>
      <c r="C196" s="322"/>
      <c r="D196" s="401"/>
      <c r="E196" s="320"/>
      <c r="F196" s="321"/>
      <c r="G196" s="322"/>
      <c r="H196" s="401"/>
      <c r="I196" s="320"/>
      <c r="J196" s="321"/>
      <c r="K196" s="322"/>
      <c r="L196" s="401"/>
      <c r="M196" s="320"/>
      <c r="N196" s="321"/>
      <c r="O196" s="322"/>
      <c r="P196" s="401"/>
      <c r="Q196" s="203"/>
      <c r="R196" s="223"/>
      <c r="S196" s="404"/>
      <c r="T196" s="405"/>
      <c r="U196" s="203"/>
      <c r="V196" s="223"/>
      <c r="W196" s="404"/>
      <c r="X196" s="405"/>
      <c r="Y196" s="203"/>
      <c r="Z196" s="223"/>
      <c r="AA196" s="404"/>
      <c r="AB196" s="405"/>
      <c r="AC196" s="203"/>
      <c r="AD196" s="223"/>
      <c r="AE196" s="404"/>
      <c r="AF196" s="405"/>
      <c r="AG196" s="203"/>
      <c r="AH196" s="223"/>
      <c r="AI196" s="404"/>
      <c r="AJ196" s="405"/>
      <c r="AK196" s="401"/>
      <c r="AL196" s="401"/>
      <c r="AM196" s="401"/>
    </row>
    <row r="197">
      <c r="A197" s="320"/>
      <c r="B197" s="321"/>
      <c r="C197" s="322"/>
      <c r="D197" s="401"/>
      <c r="E197" s="320"/>
      <c r="F197" s="321"/>
      <c r="G197" s="322"/>
      <c r="H197" s="401"/>
      <c r="I197" s="320"/>
      <c r="J197" s="321"/>
      <c r="K197" s="322"/>
      <c r="L197" s="401"/>
      <c r="M197" s="320"/>
      <c r="N197" s="321"/>
      <c r="O197" s="322"/>
      <c r="P197" s="401"/>
      <c r="Q197" s="203"/>
      <c r="R197" s="223"/>
      <c r="S197" s="404"/>
      <c r="T197" s="405"/>
      <c r="U197" s="203"/>
      <c r="V197" s="223"/>
      <c r="W197" s="404"/>
      <c r="X197" s="405"/>
      <c r="Y197" s="203"/>
      <c r="Z197" s="223"/>
      <c r="AA197" s="404"/>
      <c r="AB197" s="405"/>
      <c r="AC197" s="203"/>
      <c r="AD197" s="223"/>
      <c r="AE197" s="404"/>
      <c r="AF197" s="405"/>
      <c r="AG197" s="203"/>
      <c r="AH197" s="223"/>
      <c r="AI197" s="404"/>
      <c r="AJ197" s="405"/>
      <c r="AK197" s="401"/>
      <c r="AL197" s="401"/>
      <c r="AM197" s="401"/>
    </row>
    <row r="198">
      <c r="A198" s="320"/>
      <c r="B198" s="321"/>
      <c r="C198" s="322"/>
      <c r="D198" s="401"/>
      <c r="E198" s="320"/>
      <c r="F198" s="321"/>
      <c r="G198" s="322"/>
      <c r="H198" s="401"/>
      <c r="I198" s="320"/>
      <c r="J198" s="321"/>
      <c r="K198" s="322"/>
      <c r="L198" s="401"/>
      <c r="M198" s="320"/>
      <c r="N198" s="321"/>
      <c r="O198" s="322"/>
      <c r="P198" s="401"/>
      <c r="Q198" s="203"/>
      <c r="R198" s="223"/>
      <c r="S198" s="404"/>
      <c r="T198" s="405"/>
      <c r="U198" s="203"/>
      <c r="V198" s="223"/>
      <c r="W198" s="404"/>
      <c r="X198" s="405"/>
      <c r="Y198" s="203"/>
      <c r="Z198" s="223"/>
      <c r="AA198" s="404"/>
      <c r="AB198" s="405"/>
      <c r="AC198" s="203"/>
      <c r="AD198" s="223"/>
      <c r="AE198" s="404"/>
      <c r="AF198" s="405"/>
      <c r="AG198" s="203"/>
      <c r="AH198" s="223"/>
      <c r="AI198" s="404"/>
      <c r="AJ198" s="405"/>
      <c r="AK198" s="401"/>
      <c r="AL198" s="401"/>
      <c r="AM198" s="401"/>
    </row>
    <row r="199">
      <c r="A199" s="320"/>
      <c r="B199" s="321"/>
      <c r="C199" s="322"/>
      <c r="D199" s="401"/>
      <c r="E199" s="320"/>
      <c r="F199" s="321"/>
      <c r="G199" s="322"/>
      <c r="H199" s="401"/>
      <c r="I199" s="320"/>
      <c r="J199" s="321"/>
      <c r="K199" s="322"/>
      <c r="L199" s="401"/>
      <c r="M199" s="320"/>
      <c r="N199" s="321"/>
      <c r="O199" s="322"/>
      <c r="P199" s="401"/>
      <c r="Q199" s="203"/>
      <c r="R199" s="223"/>
      <c r="S199" s="404"/>
      <c r="T199" s="405"/>
      <c r="U199" s="203"/>
      <c r="V199" s="223"/>
      <c r="W199" s="404"/>
      <c r="X199" s="405"/>
      <c r="Y199" s="203"/>
      <c r="Z199" s="223"/>
      <c r="AA199" s="404"/>
      <c r="AB199" s="405"/>
      <c r="AC199" s="203"/>
      <c r="AD199" s="223"/>
      <c r="AE199" s="404"/>
      <c r="AF199" s="405"/>
      <c r="AG199" s="203"/>
      <c r="AH199" s="223"/>
      <c r="AI199" s="404"/>
      <c r="AJ199" s="405"/>
      <c r="AK199" s="401"/>
      <c r="AL199" s="401"/>
      <c r="AM199" s="401"/>
    </row>
    <row r="200">
      <c r="A200" s="320"/>
      <c r="B200" s="321"/>
      <c r="C200" s="322"/>
      <c r="D200" s="401"/>
      <c r="E200" s="320"/>
      <c r="F200" s="321"/>
      <c r="G200" s="322"/>
      <c r="H200" s="401"/>
      <c r="I200" s="320"/>
      <c r="J200" s="321"/>
      <c r="K200" s="322"/>
      <c r="L200" s="401"/>
      <c r="M200" s="320"/>
      <c r="N200" s="321"/>
      <c r="O200" s="322"/>
      <c r="P200" s="401"/>
      <c r="Q200" s="203"/>
      <c r="R200" s="223"/>
      <c r="S200" s="404"/>
      <c r="T200" s="405"/>
      <c r="U200" s="203"/>
      <c r="V200" s="223"/>
      <c r="W200" s="404"/>
      <c r="X200" s="405"/>
      <c r="Y200" s="203"/>
      <c r="Z200" s="223"/>
      <c r="AA200" s="404"/>
      <c r="AB200" s="405"/>
      <c r="AC200" s="203"/>
      <c r="AD200" s="223"/>
      <c r="AE200" s="404"/>
      <c r="AF200" s="405"/>
      <c r="AG200" s="203"/>
      <c r="AH200" s="223"/>
      <c r="AI200" s="404"/>
      <c r="AJ200" s="405"/>
      <c r="AK200" s="401"/>
      <c r="AL200" s="401"/>
      <c r="AM200" s="401"/>
    </row>
    <row r="201">
      <c r="A201" s="320"/>
      <c r="B201" s="321"/>
      <c r="C201" s="322"/>
      <c r="D201" s="401"/>
      <c r="E201" s="320"/>
      <c r="F201" s="321"/>
      <c r="G201" s="322"/>
      <c r="H201" s="401"/>
      <c r="I201" s="320"/>
      <c r="J201" s="321"/>
      <c r="K201" s="322"/>
      <c r="L201" s="401"/>
      <c r="M201" s="320"/>
      <c r="N201" s="321"/>
      <c r="O201" s="322"/>
      <c r="P201" s="401"/>
      <c r="Q201" s="203"/>
      <c r="R201" s="223"/>
      <c r="S201" s="404"/>
      <c r="T201" s="405"/>
      <c r="U201" s="203"/>
      <c r="V201" s="223"/>
      <c r="W201" s="404"/>
      <c r="X201" s="405"/>
      <c r="Y201" s="203"/>
      <c r="Z201" s="223"/>
      <c r="AA201" s="404"/>
      <c r="AB201" s="405"/>
      <c r="AC201" s="203"/>
      <c r="AD201" s="223"/>
      <c r="AE201" s="404"/>
      <c r="AF201" s="405"/>
      <c r="AG201" s="203"/>
      <c r="AH201" s="223"/>
      <c r="AI201" s="404"/>
      <c r="AJ201" s="405"/>
      <c r="AK201" s="401"/>
      <c r="AL201" s="401"/>
      <c r="AM201" s="401"/>
    </row>
    <row r="202">
      <c r="A202" s="320"/>
      <c r="B202" s="321"/>
      <c r="C202" s="322"/>
      <c r="D202" s="401"/>
      <c r="E202" s="320"/>
      <c r="F202" s="321"/>
      <c r="G202" s="322"/>
      <c r="H202" s="401"/>
      <c r="I202" s="320"/>
      <c r="J202" s="321"/>
      <c r="K202" s="322"/>
      <c r="L202" s="401"/>
      <c r="M202" s="320"/>
      <c r="N202" s="321"/>
      <c r="O202" s="322"/>
      <c r="P202" s="401"/>
      <c r="Q202" s="203"/>
      <c r="R202" s="223"/>
      <c r="S202" s="404"/>
      <c r="T202" s="405"/>
      <c r="U202" s="203"/>
      <c r="V202" s="223"/>
      <c r="W202" s="404"/>
      <c r="X202" s="405"/>
      <c r="Y202" s="203"/>
      <c r="Z202" s="223"/>
      <c r="AA202" s="404"/>
      <c r="AB202" s="405"/>
      <c r="AC202" s="203"/>
      <c r="AD202" s="223"/>
      <c r="AE202" s="404"/>
      <c r="AF202" s="405"/>
      <c r="AG202" s="203"/>
      <c r="AH202" s="223"/>
      <c r="AI202" s="404"/>
      <c r="AJ202" s="405"/>
      <c r="AK202" s="401"/>
      <c r="AL202" s="401"/>
      <c r="AM202" s="401"/>
    </row>
    <row r="203">
      <c r="A203" s="320"/>
      <c r="B203" s="321"/>
      <c r="C203" s="322"/>
      <c r="D203" s="401"/>
      <c r="E203" s="320"/>
      <c r="F203" s="321"/>
      <c r="G203" s="322"/>
      <c r="H203" s="401"/>
      <c r="I203" s="320"/>
      <c r="J203" s="321"/>
      <c r="K203" s="322"/>
      <c r="L203" s="401"/>
      <c r="M203" s="320"/>
      <c r="N203" s="321"/>
      <c r="O203" s="322"/>
      <c r="P203" s="401"/>
      <c r="Q203" s="203"/>
      <c r="R203" s="223"/>
      <c r="S203" s="404"/>
      <c r="T203" s="405"/>
      <c r="U203" s="203"/>
      <c r="V203" s="223"/>
      <c r="W203" s="404"/>
      <c r="X203" s="405"/>
      <c r="Y203" s="203"/>
      <c r="Z203" s="223"/>
      <c r="AA203" s="404"/>
      <c r="AB203" s="405"/>
      <c r="AC203" s="203"/>
      <c r="AD203" s="223"/>
      <c r="AE203" s="404"/>
      <c r="AF203" s="405"/>
      <c r="AG203" s="203"/>
      <c r="AH203" s="223"/>
      <c r="AI203" s="404"/>
      <c r="AJ203" s="405"/>
      <c r="AK203" s="401"/>
      <c r="AL203" s="401"/>
      <c r="AM203" s="401"/>
    </row>
    <row r="204">
      <c r="A204" s="320"/>
      <c r="B204" s="321"/>
      <c r="C204" s="322"/>
      <c r="D204" s="401"/>
      <c r="E204" s="320"/>
      <c r="F204" s="321"/>
      <c r="G204" s="322"/>
      <c r="H204" s="401"/>
      <c r="I204" s="320"/>
      <c r="J204" s="321"/>
      <c r="K204" s="322"/>
      <c r="L204" s="401"/>
      <c r="M204" s="320"/>
      <c r="N204" s="321"/>
      <c r="O204" s="322"/>
      <c r="P204" s="401"/>
      <c r="Q204" s="203"/>
      <c r="R204" s="223"/>
      <c r="S204" s="404"/>
      <c r="T204" s="405"/>
      <c r="U204" s="203"/>
      <c r="V204" s="223"/>
      <c r="W204" s="404"/>
      <c r="X204" s="405"/>
      <c r="Y204" s="203"/>
      <c r="Z204" s="223"/>
      <c r="AA204" s="404"/>
      <c r="AB204" s="405"/>
      <c r="AC204" s="203"/>
      <c r="AD204" s="223"/>
      <c r="AE204" s="404"/>
      <c r="AF204" s="405"/>
      <c r="AG204" s="203"/>
      <c r="AH204" s="223"/>
      <c r="AI204" s="404"/>
      <c r="AJ204" s="405"/>
      <c r="AK204" s="401"/>
      <c r="AL204" s="401"/>
      <c r="AM204" s="401"/>
    </row>
    <row r="205">
      <c r="A205" s="320"/>
      <c r="B205" s="321"/>
      <c r="C205" s="322"/>
      <c r="D205" s="401"/>
      <c r="E205" s="320"/>
      <c r="F205" s="321"/>
      <c r="G205" s="322"/>
      <c r="H205" s="401"/>
      <c r="I205" s="320"/>
      <c r="J205" s="321"/>
      <c r="K205" s="322"/>
      <c r="L205" s="401"/>
      <c r="M205" s="320"/>
      <c r="N205" s="321"/>
      <c r="O205" s="322"/>
      <c r="P205" s="401"/>
      <c r="Q205" s="203"/>
      <c r="R205" s="223"/>
      <c r="S205" s="404"/>
      <c r="T205" s="405"/>
      <c r="U205" s="203"/>
      <c r="V205" s="223"/>
      <c r="W205" s="404"/>
      <c r="X205" s="405"/>
      <c r="Y205" s="203"/>
      <c r="Z205" s="223"/>
      <c r="AA205" s="404"/>
      <c r="AB205" s="405"/>
      <c r="AC205" s="203"/>
      <c r="AD205" s="223"/>
      <c r="AE205" s="404"/>
      <c r="AF205" s="405"/>
      <c r="AG205" s="203"/>
      <c r="AH205" s="223"/>
      <c r="AI205" s="404"/>
      <c r="AJ205" s="405"/>
      <c r="AK205" s="401"/>
      <c r="AL205" s="401"/>
      <c r="AM205" s="401"/>
    </row>
    <row r="206">
      <c r="A206" s="320"/>
      <c r="B206" s="321"/>
      <c r="C206" s="322"/>
      <c r="D206" s="401"/>
      <c r="E206" s="320"/>
      <c r="F206" s="321"/>
      <c r="G206" s="322"/>
      <c r="H206" s="401"/>
      <c r="I206" s="320"/>
      <c r="J206" s="321"/>
      <c r="K206" s="322"/>
      <c r="L206" s="401"/>
      <c r="M206" s="320"/>
      <c r="N206" s="321"/>
      <c r="O206" s="322"/>
      <c r="P206" s="401"/>
      <c r="Q206" s="203"/>
      <c r="R206" s="223"/>
      <c r="S206" s="404"/>
      <c r="T206" s="405"/>
      <c r="U206" s="203"/>
      <c r="V206" s="223"/>
      <c r="W206" s="404"/>
      <c r="X206" s="405"/>
      <c r="Y206" s="203"/>
      <c r="Z206" s="223"/>
      <c r="AA206" s="404"/>
      <c r="AB206" s="405"/>
      <c r="AC206" s="203"/>
      <c r="AD206" s="223"/>
      <c r="AE206" s="404"/>
      <c r="AF206" s="405"/>
      <c r="AG206" s="203"/>
      <c r="AH206" s="223"/>
      <c r="AI206" s="404"/>
      <c r="AJ206" s="405"/>
      <c r="AK206" s="401"/>
      <c r="AL206" s="401"/>
      <c r="AM206" s="401"/>
    </row>
    <row r="207">
      <c r="A207" s="320"/>
      <c r="B207" s="321"/>
      <c r="C207" s="322"/>
      <c r="D207" s="401"/>
      <c r="E207" s="320"/>
      <c r="F207" s="321"/>
      <c r="G207" s="322"/>
      <c r="H207" s="401"/>
      <c r="I207" s="320"/>
      <c r="J207" s="321"/>
      <c r="K207" s="322"/>
      <c r="L207" s="401"/>
      <c r="M207" s="320"/>
      <c r="N207" s="321"/>
      <c r="O207" s="322"/>
      <c r="P207" s="401"/>
      <c r="Q207" s="203"/>
      <c r="R207" s="223"/>
      <c r="S207" s="404"/>
      <c r="T207" s="405"/>
      <c r="U207" s="203"/>
      <c r="V207" s="223"/>
      <c r="W207" s="404"/>
      <c r="X207" s="405"/>
      <c r="Y207" s="203"/>
      <c r="Z207" s="223"/>
      <c r="AA207" s="404"/>
      <c r="AB207" s="405"/>
      <c r="AC207" s="203"/>
      <c r="AD207" s="223"/>
      <c r="AE207" s="404"/>
      <c r="AF207" s="405"/>
      <c r="AG207" s="203"/>
      <c r="AH207" s="223"/>
      <c r="AI207" s="404"/>
      <c r="AJ207" s="405"/>
      <c r="AK207" s="401"/>
      <c r="AL207" s="401"/>
      <c r="AM207" s="401"/>
    </row>
    <row r="208">
      <c r="A208" s="320"/>
      <c r="B208" s="321"/>
      <c r="C208" s="322"/>
      <c r="D208" s="401"/>
      <c r="E208" s="320"/>
      <c r="F208" s="321"/>
      <c r="G208" s="322"/>
      <c r="H208" s="401"/>
      <c r="I208" s="320"/>
      <c r="J208" s="321"/>
      <c r="K208" s="322"/>
      <c r="L208" s="401"/>
      <c r="M208" s="320"/>
      <c r="N208" s="321"/>
      <c r="O208" s="322"/>
      <c r="P208" s="401"/>
      <c r="Q208" s="203"/>
      <c r="R208" s="223"/>
      <c r="S208" s="404"/>
      <c r="T208" s="405"/>
      <c r="U208" s="203"/>
      <c r="V208" s="223"/>
      <c r="W208" s="404"/>
      <c r="X208" s="405"/>
      <c r="Y208" s="203"/>
      <c r="Z208" s="223"/>
      <c r="AA208" s="404"/>
      <c r="AB208" s="405"/>
      <c r="AC208" s="203"/>
      <c r="AD208" s="223"/>
      <c r="AE208" s="404"/>
      <c r="AF208" s="405"/>
      <c r="AG208" s="203"/>
      <c r="AH208" s="223"/>
      <c r="AI208" s="404"/>
      <c r="AJ208" s="405"/>
      <c r="AK208" s="401"/>
      <c r="AL208" s="401"/>
      <c r="AM208" s="401"/>
    </row>
    <row r="209">
      <c r="A209" s="320"/>
      <c r="B209" s="321"/>
      <c r="C209" s="322"/>
      <c r="D209" s="401"/>
      <c r="E209" s="320"/>
      <c r="F209" s="321"/>
      <c r="G209" s="322"/>
      <c r="H209" s="401"/>
      <c r="I209" s="320"/>
      <c r="J209" s="321"/>
      <c r="K209" s="322"/>
      <c r="L209" s="401"/>
      <c r="M209" s="320"/>
      <c r="N209" s="321"/>
      <c r="O209" s="322"/>
      <c r="P209" s="401"/>
      <c r="Q209" s="203"/>
      <c r="R209" s="223"/>
      <c r="S209" s="404"/>
      <c r="T209" s="405"/>
      <c r="U209" s="203"/>
      <c r="V209" s="223"/>
      <c r="W209" s="404"/>
      <c r="X209" s="405"/>
      <c r="Y209" s="203"/>
      <c r="Z209" s="223"/>
      <c r="AA209" s="404"/>
      <c r="AB209" s="405"/>
      <c r="AC209" s="203"/>
      <c r="AD209" s="223"/>
      <c r="AE209" s="404"/>
      <c r="AF209" s="405"/>
      <c r="AG209" s="203"/>
      <c r="AH209" s="223"/>
      <c r="AI209" s="404"/>
      <c r="AJ209" s="405"/>
      <c r="AK209" s="401"/>
      <c r="AL209" s="401"/>
      <c r="AM209" s="401"/>
    </row>
    <row r="210">
      <c r="A210" s="320"/>
      <c r="B210" s="321"/>
      <c r="C210" s="322"/>
      <c r="D210" s="401"/>
      <c r="E210" s="320"/>
      <c r="F210" s="321"/>
      <c r="G210" s="322"/>
      <c r="H210" s="401"/>
      <c r="I210" s="320"/>
      <c r="J210" s="321"/>
      <c r="K210" s="322"/>
      <c r="L210" s="401"/>
      <c r="M210" s="320"/>
      <c r="N210" s="321"/>
      <c r="O210" s="322"/>
      <c r="P210" s="401"/>
      <c r="Q210" s="203"/>
      <c r="R210" s="223"/>
      <c r="S210" s="404"/>
      <c r="T210" s="405"/>
      <c r="U210" s="203"/>
      <c r="V210" s="223"/>
      <c r="W210" s="404"/>
      <c r="X210" s="405"/>
      <c r="Y210" s="203"/>
      <c r="Z210" s="223"/>
      <c r="AA210" s="404"/>
      <c r="AB210" s="405"/>
      <c r="AC210" s="203"/>
      <c r="AD210" s="223"/>
      <c r="AE210" s="404"/>
      <c r="AF210" s="405"/>
      <c r="AG210" s="203"/>
      <c r="AH210" s="223"/>
      <c r="AI210" s="404"/>
      <c r="AJ210" s="405"/>
      <c r="AK210" s="401"/>
      <c r="AL210" s="401"/>
      <c r="AM210" s="401"/>
    </row>
    <row r="211">
      <c r="A211" s="320"/>
      <c r="B211" s="321"/>
      <c r="C211" s="322"/>
      <c r="D211" s="401"/>
      <c r="E211" s="320"/>
      <c r="F211" s="321"/>
      <c r="G211" s="322"/>
      <c r="H211" s="401"/>
      <c r="I211" s="320"/>
      <c r="J211" s="321"/>
      <c r="K211" s="322"/>
      <c r="L211" s="401"/>
      <c r="M211" s="320"/>
      <c r="N211" s="321"/>
      <c r="O211" s="322"/>
      <c r="P211" s="401"/>
      <c r="Q211" s="203"/>
      <c r="R211" s="223"/>
      <c r="S211" s="404"/>
      <c r="T211" s="405"/>
      <c r="U211" s="203"/>
      <c r="V211" s="223"/>
      <c r="W211" s="404"/>
      <c r="X211" s="405"/>
      <c r="Y211" s="203"/>
      <c r="Z211" s="223"/>
      <c r="AA211" s="404"/>
      <c r="AB211" s="405"/>
      <c r="AC211" s="203"/>
      <c r="AD211" s="223"/>
      <c r="AE211" s="404"/>
      <c r="AF211" s="405"/>
      <c r="AG211" s="203"/>
      <c r="AH211" s="223"/>
      <c r="AI211" s="404"/>
      <c r="AJ211" s="405"/>
      <c r="AK211" s="401"/>
      <c r="AL211" s="401"/>
      <c r="AM211" s="401"/>
    </row>
    <row r="212">
      <c r="A212" s="320"/>
      <c r="B212" s="321"/>
      <c r="C212" s="322"/>
      <c r="D212" s="401"/>
      <c r="E212" s="320"/>
      <c r="F212" s="321"/>
      <c r="G212" s="322"/>
      <c r="H212" s="401"/>
      <c r="I212" s="320"/>
      <c r="J212" s="321"/>
      <c r="K212" s="322"/>
      <c r="L212" s="401"/>
      <c r="M212" s="320"/>
      <c r="N212" s="321"/>
      <c r="O212" s="322"/>
      <c r="P212" s="401"/>
      <c r="Q212" s="203"/>
      <c r="R212" s="223"/>
      <c r="S212" s="404"/>
      <c r="T212" s="405"/>
      <c r="U212" s="203"/>
      <c r="V212" s="223"/>
      <c r="W212" s="404"/>
      <c r="X212" s="405"/>
      <c r="Y212" s="203"/>
      <c r="Z212" s="223"/>
      <c r="AA212" s="404"/>
      <c r="AB212" s="405"/>
      <c r="AC212" s="203"/>
      <c r="AD212" s="223"/>
      <c r="AE212" s="404"/>
      <c r="AF212" s="405"/>
      <c r="AG212" s="203"/>
      <c r="AH212" s="223"/>
      <c r="AI212" s="404"/>
      <c r="AJ212" s="405"/>
      <c r="AK212" s="401"/>
      <c r="AL212" s="401"/>
      <c r="AM212" s="401"/>
    </row>
    <row r="213">
      <c r="A213" s="320"/>
      <c r="B213" s="321"/>
      <c r="C213" s="322"/>
      <c r="D213" s="401"/>
      <c r="E213" s="320"/>
      <c r="F213" s="321"/>
      <c r="G213" s="322"/>
      <c r="H213" s="401"/>
      <c r="I213" s="320"/>
      <c r="J213" s="321"/>
      <c r="K213" s="322"/>
      <c r="L213" s="401"/>
      <c r="M213" s="320"/>
      <c r="N213" s="321"/>
      <c r="O213" s="322"/>
      <c r="P213" s="401"/>
      <c r="Q213" s="203"/>
      <c r="R213" s="223"/>
      <c r="S213" s="404"/>
      <c r="T213" s="405"/>
      <c r="U213" s="203"/>
      <c r="V213" s="223"/>
      <c r="W213" s="404"/>
      <c r="X213" s="405"/>
      <c r="Y213" s="203"/>
      <c r="Z213" s="223"/>
      <c r="AA213" s="404"/>
      <c r="AB213" s="405"/>
      <c r="AC213" s="203"/>
      <c r="AD213" s="223"/>
      <c r="AE213" s="404"/>
      <c r="AF213" s="405"/>
      <c r="AG213" s="203"/>
      <c r="AH213" s="223"/>
      <c r="AI213" s="404"/>
      <c r="AJ213" s="405"/>
      <c r="AK213" s="401"/>
      <c r="AL213" s="401"/>
      <c r="AM213" s="401"/>
    </row>
    <row r="214">
      <c r="A214" s="320"/>
      <c r="B214" s="321"/>
      <c r="C214" s="322"/>
      <c r="D214" s="401"/>
      <c r="E214" s="320"/>
      <c r="F214" s="321"/>
      <c r="G214" s="322"/>
      <c r="H214" s="401"/>
      <c r="I214" s="320"/>
      <c r="J214" s="321"/>
      <c r="K214" s="322"/>
      <c r="L214" s="401"/>
      <c r="M214" s="320"/>
      <c r="N214" s="321"/>
      <c r="O214" s="322"/>
      <c r="P214" s="401"/>
      <c r="Q214" s="203"/>
      <c r="R214" s="223"/>
      <c r="S214" s="404"/>
      <c r="T214" s="405"/>
      <c r="U214" s="203"/>
      <c r="V214" s="223"/>
      <c r="W214" s="404"/>
      <c r="X214" s="405"/>
      <c r="Y214" s="203"/>
      <c r="Z214" s="223"/>
      <c r="AA214" s="404"/>
      <c r="AB214" s="405"/>
      <c r="AC214" s="203"/>
      <c r="AD214" s="223"/>
      <c r="AE214" s="404"/>
      <c r="AF214" s="405"/>
      <c r="AG214" s="203"/>
      <c r="AH214" s="223"/>
      <c r="AI214" s="404"/>
      <c r="AJ214" s="405"/>
      <c r="AK214" s="401"/>
      <c r="AL214" s="401"/>
      <c r="AM214" s="401"/>
    </row>
    <row r="215">
      <c r="A215" s="320"/>
      <c r="B215" s="321"/>
      <c r="C215" s="322"/>
      <c r="D215" s="401"/>
      <c r="E215" s="320"/>
      <c r="F215" s="321"/>
      <c r="G215" s="322"/>
      <c r="H215" s="401"/>
      <c r="I215" s="320"/>
      <c r="J215" s="321"/>
      <c r="K215" s="322"/>
      <c r="L215" s="401"/>
      <c r="M215" s="320"/>
      <c r="N215" s="321"/>
      <c r="O215" s="322"/>
      <c r="P215" s="401"/>
      <c r="Q215" s="203"/>
      <c r="R215" s="223"/>
      <c r="S215" s="404"/>
      <c r="T215" s="405"/>
      <c r="U215" s="203"/>
      <c r="V215" s="223"/>
      <c r="W215" s="404"/>
      <c r="X215" s="405"/>
      <c r="Y215" s="203"/>
      <c r="Z215" s="223"/>
      <c r="AA215" s="404"/>
      <c r="AB215" s="405"/>
      <c r="AC215" s="203"/>
      <c r="AD215" s="223"/>
      <c r="AE215" s="404"/>
      <c r="AF215" s="405"/>
      <c r="AG215" s="203"/>
      <c r="AH215" s="223"/>
      <c r="AI215" s="404"/>
      <c r="AJ215" s="405"/>
      <c r="AK215" s="401"/>
      <c r="AL215" s="401"/>
      <c r="AM215" s="401"/>
    </row>
    <row r="216">
      <c r="A216" s="320"/>
      <c r="B216" s="321"/>
      <c r="C216" s="322"/>
      <c r="D216" s="401"/>
      <c r="E216" s="320"/>
      <c r="F216" s="321"/>
      <c r="G216" s="322"/>
      <c r="H216" s="401"/>
      <c r="I216" s="320"/>
      <c r="J216" s="321"/>
      <c r="K216" s="322"/>
      <c r="L216" s="401"/>
      <c r="M216" s="320"/>
      <c r="N216" s="321"/>
      <c r="O216" s="322"/>
      <c r="P216" s="401"/>
      <c r="Q216" s="203"/>
      <c r="R216" s="223"/>
      <c r="S216" s="404"/>
      <c r="T216" s="405"/>
      <c r="U216" s="203"/>
      <c r="V216" s="223"/>
      <c r="W216" s="404"/>
      <c r="X216" s="405"/>
      <c r="Y216" s="203"/>
      <c r="Z216" s="223"/>
      <c r="AA216" s="404"/>
      <c r="AB216" s="405"/>
      <c r="AC216" s="203"/>
      <c r="AD216" s="223"/>
      <c r="AE216" s="404"/>
      <c r="AF216" s="405"/>
      <c r="AG216" s="203"/>
      <c r="AH216" s="223"/>
      <c r="AI216" s="404"/>
      <c r="AJ216" s="405"/>
      <c r="AK216" s="401"/>
      <c r="AL216" s="401"/>
      <c r="AM216" s="401"/>
    </row>
    <row r="217">
      <c r="A217" s="320"/>
      <c r="B217" s="321"/>
      <c r="C217" s="322"/>
      <c r="D217" s="401"/>
      <c r="E217" s="320"/>
      <c r="F217" s="321"/>
      <c r="G217" s="322"/>
      <c r="H217" s="401"/>
      <c r="I217" s="320"/>
      <c r="J217" s="321"/>
      <c r="K217" s="322"/>
      <c r="L217" s="401"/>
      <c r="M217" s="320"/>
      <c r="N217" s="321"/>
      <c r="O217" s="322"/>
      <c r="P217" s="401"/>
      <c r="Q217" s="203"/>
      <c r="R217" s="223"/>
      <c r="S217" s="404"/>
      <c r="T217" s="405"/>
      <c r="U217" s="203"/>
      <c r="V217" s="223"/>
      <c r="W217" s="404"/>
      <c r="X217" s="405"/>
      <c r="Y217" s="203"/>
      <c r="Z217" s="223"/>
      <c r="AA217" s="404"/>
      <c r="AB217" s="405"/>
      <c r="AC217" s="203"/>
      <c r="AD217" s="223"/>
      <c r="AE217" s="404"/>
      <c r="AF217" s="405"/>
      <c r="AG217" s="203"/>
      <c r="AH217" s="223"/>
      <c r="AI217" s="404"/>
      <c r="AJ217" s="405"/>
      <c r="AK217" s="401"/>
      <c r="AL217" s="401"/>
      <c r="AM217" s="401"/>
    </row>
    <row r="218">
      <c r="A218" s="320"/>
      <c r="B218" s="321"/>
      <c r="C218" s="322"/>
      <c r="D218" s="401"/>
      <c r="E218" s="320"/>
      <c r="F218" s="321"/>
      <c r="G218" s="322"/>
      <c r="H218" s="401"/>
      <c r="I218" s="320"/>
      <c r="J218" s="321"/>
      <c r="K218" s="322"/>
      <c r="L218" s="401"/>
      <c r="M218" s="320"/>
      <c r="N218" s="321"/>
      <c r="O218" s="322"/>
      <c r="P218" s="401"/>
      <c r="Q218" s="203"/>
      <c r="R218" s="223"/>
      <c r="S218" s="404"/>
      <c r="T218" s="405"/>
      <c r="U218" s="203"/>
      <c r="V218" s="223"/>
      <c r="W218" s="404"/>
      <c r="X218" s="405"/>
      <c r="Y218" s="203"/>
      <c r="Z218" s="223"/>
      <c r="AA218" s="404"/>
      <c r="AB218" s="405"/>
      <c r="AC218" s="203"/>
      <c r="AD218" s="223"/>
      <c r="AE218" s="404"/>
      <c r="AF218" s="405"/>
      <c r="AG218" s="203"/>
      <c r="AH218" s="223"/>
      <c r="AI218" s="404"/>
      <c r="AJ218" s="405"/>
      <c r="AK218" s="401"/>
      <c r="AL218" s="401"/>
      <c r="AM218" s="401"/>
    </row>
    <row r="219">
      <c r="A219" s="320"/>
      <c r="B219" s="321"/>
      <c r="C219" s="322"/>
      <c r="D219" s="401"/>
      <c r="E219" s="320"/>
      <c r="F219" s="321"/>
      <c r="G219" s="322"/>
      <c r="H219" s="401"/>
      <c r="I219" s="320"/>
      <c r="J219" s="321"/>
      <c r="K219" s="322"/>
      <c r="L219" s="401"/>
      <c r="M219" s="320"/>
      <c r="N219" s="321"/>
      <c r="O219" s="322"/>
      <c r="P219" s="401"/>
      <c r="Q219" s="203"/>
      <c r="R219" s="223"/>
      <c r="S219" s="404"/>
      <c r="T219" s="405"/>
      <c r="U219" s="203"/>
      <c r="V219" s="223"/>
      <c r="W219" s="404"/>
      <c r="X219" s="405"/>
      <c r="Y219" s="203"/>
      <c r="Z219" s="223"/>
      <c r="AA219" s="404"/>
      <c r="AB219" s="405"/>
      <c r="AC219" s="203"/>
      <c r="AD219" s="223"/>
      <c r="AE219" s="404"/>
      <c r="AF219" s="405"/>
      <c r="AG219" s="203"/>
      <c r="AH219" s="223"/>
      <c r="AI219" s="404"/>
      <c r="AJ219" s="405"/>
      <c r="AK219" s="401"/>
      <c r="AL219" s="401"/>
      <c r="AM219" s="401"/>
    </row>
    <row r="220">
      <c r="A220" s="320"/>
      <c r="B220" s="321"/>
      <c r="C220" s="322"/>
      <c r="D220" s="401"/>
      <c r="E220" s="320"/>
      <c r="F220" s="321"/>
      <c r="G220" s="322"/>
      <c r="H220" s="401"/>
      <c r="I220" s="320"/>
      <c r="J220" s="321"/>
      <c r="K220" s="322"/>
      <c r="L220" s="401"/>
      <c r="M220" s="320"/>
      <c r="N220" s="321"/>
      <c r="O220" s="322"/>
      <c r="P220" s="401"/>
      <c r="Q220" s="203"/>
      <c r="R220" s="223"/>
      <c r="S220" s="404"/>
      <c r="T220" s="405"/>
      <c r="U220" s="203"/>
      <c r="V220" s="223"/>
      <c r="W220" s="404"/>
      <c r="X220" s="405"/>
      <c r="Y220" s="203"/>
      <c r="Z220" s="223"/>
      <c r="AA220" s="404"/>
      <c r="AB220" s="405"/>
      <c r="AC220" s="203"/>
      <c r="AD220" s="223"/>
      <c r="AE220" s="404"/>
      <c r="AF220" s="405"/>
      <c r="AG220" s="203"/>
      <c r="AH220" s="223"/>
      <c r="AI220" s="404"/>
      <c r="AJ220" s="405"/>
      <c r="AK220" s="401"/>
      <c r="AL220" s="401"/>
      <c r="AM220" s="401"/>
    </row>
    <row r="221">
      <c r="A221" s="320"/>
      <c r="B221" s="321"/>
      <c r="C221" s="322"/>
      <c r="D221" s="401"/>
      <c r="E221" s="320"/>
      <c r="F221" s="321"/>
      <c r="G221" s="322"/>
      <c r="H221" s="401"/>
      <c r="I221" s="320"/>
      <c r="J221" s="321"/>
      <c r="K221" s="322"/>
      <c r="L221" s="401"/>
      <c r="M221" s="320"/>
      <c r="N221" s="321"/>
      <c r="O221" s="322"/>
      <c r="P221" s="401"/>
      <c r="Q221" s="203"/>
      <c r="R221" s="223"/>
      <c r="S221" s="404"/>
      <c r="T221" s="405"/>
      <c r="U221" s="203"/>
      <c r="V221" s="223"/>
      <c r="W221" s="404"/>
      <c r="X221" s="405"/>
      <c r="Y221" s="203"/>
      <c r="Z221" s="223"/>
      <c r="AA221" s="404"/>
      <c r="AB221" s="405"/>
      <c r="AC221" s="203"/>
      <c r="AD221" s="223"/>
      <c r="AE221" s="404"/>
      <c r="AF221" s="405"/>
      <c r="AG221" s="203"/>
      <c r="AH221" s="223"/>
      <c r="AI221" s="404"/>
      <c r="AJ221" s="405"/>
      <c r="AK221" s="401"/>
      <c r="AL221" s="401"/>
      <c r="AM221" s="401"/>
    </row>
    <row r="222">
      <c r="A222" s="320"/>
      <c r="B222" s="321"/>
      <c r="C222" s="322"/>
      <c r="D222" s="401"/>
      <c r="E222" s="320"/>
      <c r="F222" s="321"/>
      <c r="G222" s="322"/>
      <c r="H222" s="401"/>
      <c r="I222" s="320"/>
      <c r="J222" s="321"/>
      <c r="K222" s="322"/>
      <c r="L222" s="401"/>
      <c r="M222" s="320"/>
      <c r="N222" s="321"/>
      <c r="O222" s="322"/>
      <c r="P222" s="401"/>
      <c r="Q222" s="203"/>
      <c r="R222" s="223"/>
      <c r="S222" s="404"/>
      <c r="T222" s="405"/>
      <c r="U222" s="203"/>
      <c r="V222" s="223"/>
      <c r="W222" s="404"/>
      <c r="X222" s="405"/>
      <c r="Y222" s="203"/>
      <c r="Z222" s="223"/>
      <c r="AA222" s="404"/>
      <c r="AB222" s="405"/>
      <c r="AC222" s="203"/>
      <c r="AD222" s="223"/>
      <c r="AE222" s="404"/>
      <c r="AF222" s="405"/>
      <c r="AG222" s="203"/>
      <c r="AH222" s="223"/>
      <c r="AI222" s="404"/>
      <c r="AJ222" s="405"/>
      <c r="AK222" s="401"/>
      <c r="AL222" s="401"/>
      <c r="AM222" s="401"/>
    </row>
    <row r="223">
      <c r="A223" s="320"/>
      <c r="B223" s="321"/>
      <c r="C223" s="322"/>
      <c r="D223" s="401"/>
      <c r="E223" s="320"/>
      <c r="F223" s="321"/>
      <c r="G223" s="322"/>
      <c r="H223" s="401"/>
      <c r="I223" s="320"/>
      <c r="J223" s="321"/>
      <c r="K223" s="322"/>
      <c r="L223" s="401"/>
      <c r="M223" s="320"/>
      <c r="N223" s="321"/>
      <c r="O223" s="322"/>
      <c r="P223" s="401"/>
      <c r="Q223" s="203"/>
      <c r="R223" s="223"/>
      <c r="S223" s="404"/>
      <c r="T223" s="405"/>
      <c r="U223" s="203"/>
      <c r="V223" s="223"/>
      <c r="W223" s="404"/>
      <c r="X223" s="405"/>
      <c r="Y223" s="203"/>
      <c r="Z223" s="223"/>
      <c r="AA223" s="404"/>
      <c r="AB223" s="405"/>
      <c r="AC223" s="203"/>
      <c r="AD223" s="223"/>
      <c r="AE223" s="404"/>
      <c r="AF223" s="405"/>
      <c r="AG223" s="203"/>
      <c r="AH223" s="223"/>
      <c r="AI223" s="404"/>
      <c r="AJ223" s="405"/>
      <c r="AK223" s="401"/>
      <c r="AL223" s="401"/>
      <c r="AM223" s="401"/>
    </row>
    <row r="224">
      <c r="A224" s="320"/>
      <c r="B224" s="321"/>
      <c r="C224" s="322"/>
      <c r="D224" s="401"/>
      <c r="E224" s="320"/>
      <c r="F224" s="321"/>
      <c r="G224" s="322"/>
      <c r="H224" s="401"/>
      <c r="I224" s="320"/>
      <c r="J224" s="321"/>
      <c r="K224" s="322"/>
      <c r="L224" s="401"/>
      <c r="M224" s="320"/>
      <c r="N224" s="321"/>
      <c r="O224" s="322"/>
      <c r="P224" s="401"/>
      <c r="Q224" s="203"/>
      <c r="R224" s="223"/>
      <c r="S224" s="404"/>
      <c r="T224" s="405"/>
      <c r="U224" s="203"/>
      <c r="V224" s="223"/>
      <c r="W224" s="404"/>
      <c r="X224" s="405"/>
      <c r="Y224" s="203"/>
      <c r="Z224" s="223"/>
      <c r="AA224" s="404"/>
      <c r="AB224" s="405"/>
      <c r="AC224" s="203"/>
      <c r="AD224" s="223"/>
      <c r="AE224" s="404"/>
      <c r="AF224" s="405"/>
      <c r="AG224" s="203"/>
      <c r="AH224" s="223"/>
      <c r="AI224" s="404"/>
      <c r="AJ224" s="405"/>
      <c r="AK224" s="401"/>
      <c r="AL224" s="401"/>
      <c r="AM224" s="401"/>
    </row>
    <row r="225">
      <c r="A225" s="320"/>
      <c r="B225" s="321"/>
      <c r="C225" s="322"/>
      <c r="D225" s="401"/>
      <c r="E225" s="320"/>
      <c r="F225" s="321"/>
      <c r="G225" s="322"/>
      <c r="H225" s="401"/>
      <c r="I225" s="320"/>
      <c r="J225" s="321"/>
      <c r="K225" s="322"/>
      <c r="L225" s="401"/>
      <c r="M225" s="320"/>
      <c r="N225" s="321"/>
      <c r="O225" s="322"/>
      <c r="P225" s="401"/>
      <c r="Q225" s="203"/>
      <c r="R225" s="223"/>
      <c r="S225" s="404"/>
      <c r="T225" s="405"/>
      <c r="U225" s="203"/>
      <c r="V225" s="223"/>
      <c r="W225" s="404"/>
      <c r="X225" s="405"/>
      <c r="Y225" s="203"/>
      <c r="Z225" s="223"/>
      <c r="AA225" s="404"/>
      <c r="AB225" s="405"/>
      <c r="AC225" s="203"/>
      <c r="AD225" s="223"/>
      <c r="AE225" s="404"/>
      <c r="AF225" s="405"/>
      <c r="AG225" s="203"/>
      <c r="AH225" s="223"/>
      <c r="AI225" s="404"/>
      <c r="AJ225" s="405"/>
      <c r="AK225" s="401"/>
      <c r="AL225" s="401"/>
      <c r="AM225" s="401"/>
    </row>
    <row r="226">
      <c r="A226" s="320"/>
      <c r="B226" s="321"/>
      <c r="C226" s="322"/>
      <c r="D226" s="401"/>
      <c r="E226" s="320"/>
      <c r="F226" s="321"/>
      <c r="G226" s="322"/>
      <c r="H226" s="401"/>
      <c r="I226" s="320"/>
      <c r="J226" s="321"/>
      <c r="K226" s="322"/>
      <c r="L226" s="401"/>
      <c r="M226" s="320"/>
      <c r="N226" s="321"/>
      <c r="O226" s="322"/>
      <c r="P226" s="401"/>
      <c r="Q226" s="203"/>
      <c r="R226" s="223"/>
      <c r="S226" s="404"/>
      <c r="T226" s="405"/>
      <c r="U226" s="203"/>
      <c r="V226" s="223"/>
      <c r="W226" s="404"/>
      <c r="X226" s="405"/>
      <c r="Y226" s="203"/>
      <c r="Z226" s="223"/>
      <c r="AA226" s="404"/>
      <c r="AB226" s="405"/>
      <c r="AC226" s="203"/>
      <c r="AD226" s="223"/>
      <c r="AE226" s="404"/>
      <c r="AF226" s="405"/>
      <c r="AG226" s="203"/>
      <c r="AH226" s="223"/>
      <c r="AI226" s="404"/>
      <c r="AJ226" s="405"/>
      <c r="AK226" s="401"/>
      <c r="AL226" s="401"/>
      <c r="AM226" s="401"/>
    </row>
    <row r="227">
      <c r="A227" s="320"/>
      <c r="B227" s="321"/>
      <c r="C227" s="322"/>
      <c r="D227" s="401"/>
      <c r="E227" s="320"/>
      <c r="F227" s="321"/>
      <c r="G227" s="322"/>
      <c r="H227" s="401"/>
      <c r="I227" s="320"/>
      <c r="J227" s="321"/>
      <c r="K227" s="322"/>
      <c r="L227" s="401"/>
      <c r="M227" s="320"/>
      <c r="N227" s="321"/>
      <c r="O227" s="322"/>
      <c r="P227" s="401"/>
      <c r="Q227" s="203"/>
      <c r="R227" s="223"/>
      <c r="S227" s="404"/>
      <c r="T227" s="405"/>
      <c r="U227" s="203"/>
      <c r="V227" s="223"/>
      <c r="W227" s="404"/>
      <c r="X227" s="405"/>
      <c r="Y227" s="203"/>
      <c r="Z227" s="223"/>
      <c r="AA227" s="404"/>
      <c r="AB227" s="405"/>
      <c r="AC227" s="203"/>
      <c r="AD227" s="223"/>
      <c r="AE227" s="404"/>
      <c r="AF227" s="405"/>
      <c r="AG227" s="203"/>
      <c r="AH227" s="223"/>
      <c r="AI227" s="404"/>
      <c r="AJ227" s="405"/>
      <c r="AK227" s="401"/>
      <c r="AL227" s="401"/>
      <c r="AM227" s="401"/>
    </row>
    <row r="228">
      <c r="A228" s="320"/>
      <c r="B228" s="321"/>
      <c r="C228" s="322"/>
      <c r="D228" s="401"/>
      <c r="E228" s="320"/>
      <c r="F228" s="321"/>
      <c r="G228" s="322"/>
      <c r="H228" s="401"/>
      <c r="I228" s="320"/>
      <c r="J228" s="321"/>
      <c r="K228" s="322"/>
      <c r="L228" s="401"/>
      <c r="M228" s="320"/>
      <c r="N228" s="321"/>
      <c r="O228" s="322"/>
      <c r="P228" s="401"/>
      <c r="Q228" s="203"/>
      <c r="R228" s="223"/>
      <c r="S228" s="404"/>
      <c r="T228" s="405"/>
      <c r="U228" s="203"/>
      <c r="V228" s="223"/>
      <c r="W228" s="404"/>
      <c r="X228" s="405"/>
      <c r="Y228" s="203"/>
      <c r="Z228" s="223"/>
      <c r="AA228" s="404"/>
      <c r="AB228" s="405"/>
      <c r="AC228" s="203"/>
      <c r="AD228" s="223"/>
      <c r="AE228" s="404"/>
      <c r="AF228" s="405"/>
      <c r="AG228" s="203"/>
      <c r="AH228" s="223"/>
      <c r="AI228" s="404"/>
      <c r="AJ228" s="405"/>
      <c r="AK228" s="401"/>
      <c r="AL228" s="401"/>
      <c r="AM228" s="401"/>
    </row>
    <row r="229">
      <c r="A229" s="320"/>
      <c r="B229" s="321"/>
      <c r="C229" s="322"/>
      <c r="D229" s="401"/>
      <c r="E229" s="320"/>
      <c r="F229" s="321"/>
      <c r="G229" s="322"/>
      <c r="H229" s="401"/>
      <c r="I229" s="320"/>
      <c r="J229" s="321"/>
      <c r="K229" s="322"/>
      <c r="L229" s="401"/>
      <c r="M229" s="320"/>
      <c r="N229" s="321"/>
      <c r="O229" s="322"/>
      <c r="P229" s="401"/>
      <c r="Q229" s="203"/>
      <c r="R229" s="223"/>
      <c r="S229" s="404"/>
      <c r="T229" s="405"/>
      <c r="U229" s="203"/>
      <c r="V229" s="223"/>
      <c r="W229" s="404"/>
      <c r="X229" s="405"/>
      <c r="Y229" s="203"/>
      <c r="Z229" s="223"/>
      <c r="AA229" s="404"/>
      <c r="AB229" s="405"/>
      <c r="AC229" s="203"/>
      <c r="AD229" s="223"/>
      <c r="AE229" s="404"/>
      <c r="AF229" s="405"/>
      <c r="AG229" s="203"/>
      <c r="AH229" s="223"/>
      <c r="AI229" s="404"/>
      <c r="AJ229" s="405"/>
      <c r="AK229" s="401"/>
      <c r="AL229" s="401"/>
      <c r="AM229" s="401"/>
    </row>
    <row r="230">
      <c r="A230" s="320"/>
      <c r="B230" s="321"/>
      <c r="C230" s="322"/>
      <c r="D230" s="401"/>
      <c r="E230" s="320"/>
      <c r="F230" s="321"/>
      <c r="G230" s="322"/>
      <c r="H230" s="401"/>
      <c r="I230" s="320"/>
      <c r="J230" s="321"/>
      <c r="K230" s="322"/>
      <c r="L230" s="401"/>
      <c r="M230" s="320"/>
      <c r="N230" s="321"/>
      <c r="O230" s="322"/>
      <c r="P230" s="401"/>
      <c r="Q230" s="203"/>
      <c r="R230" s="223"/>
      <c r="S230" s="404"/>
      <c r="T230" s="405"/>
      <c r="U230" s="203"/>
      <c r="V230" s="223"/>
      <c r="W230" s="404"/>
      <c r="X230" s="405"/>
      <c r="Y230" s="203"/>
      <c r="Z230" s="223"/>
      <c r="AA230" s="404"/>
      <c r="AB230" s="405"/>
      <c r="AC230" s="203"/>
      <c r="AD230" s="223"/>
      <c r="AE230" s="404"/>
      <c r="AF230" s="405"/>
      <c r="AG230" s="203"/>
      <c r="AH230" s="223"/>
      <c r="AI230" s="404"/>
      <c r="AJ230" s="405"/>
      <c r="AK230" s="401"/>
      <c r="AL230" s="401"/>
      <c r="AM230" s="401"/>
    </row>
    <row r="231">
      <c r="A231" s="320"/>
      <c r="B231" s="321"/>
      <c r="C231" s="322"/>
      <c r="D231" s="401"/>
      <c r="E231" s="320"/>
      <c r="F231" s="321"/>
      <c r="G231" s="322"/>
      <c r="H231" s="401"/>
      <c r="I231" s="320"/>
      <c r="J231" s="321"/>
      <c r="K231" s="322"/>
      <c r="L231" s="401"/>
      <c r="M231" s="320"/>
      <c r="N231" s="321"/>
      <c r="O231" s="322"/>
      <c r="P231" s="401"/>
      <c r="Q231" s="203"/>
      <c r="R231" s="223"/>
      <c r="S231" s="404"/>
      <c r="T231" s="405"/>
      <c r="U231" s="203"/>
      <c r="V231" s="223"/>
      <c r="W231" s="404"/>
      <c r="X231" s="405"/>
      <c r="Y231" s="203"/>
      <c r="Z231" s="223"/>
      <c r="AA231" s="404"/>
      <c r="AB231" s="405"/>
      <c r="AC231" s="203"/>
      <c r="AD231" s="223"/>
      <c r="AE231" s="404"/>
      <c r="AF231" s="405"/>
      <c r="AG231" s="203"/>
      <c r="AH231" s="223"/>
      <c r="AI231" s="404"/>
      <c r="AJ231" s="405"/>
      <c r="AK231" s="401"/>
      <c r="AL231" s="401"/>
      <c r="AM231" s="401"/>
    </row>
    <row r="232">
      <c r="A232" s="320"/>
      <c r="B232" s="321"/>
      <c r="C232" s="322"/>
      <c r="D232" s="401"/>
      <c r="E232" s="320"/>
      <c r="F232" s="321"/>
      <c r="G232" s="322"/>
      <c r="H232" s="401"/>
      <c r="I232" s="320"/>
      <c r="J232" s="321"/>
      <c r="K232" s="322"/>
      <c r="L232" s="401"/>
      <c r="M232" s="320"/>
      <c r="N232" s="321"/>
      <c r="O232" s="322"/>
      <c r="P232" s="401"/>
      <c r="Q232" s="203"/>
      <c r="R232" s="223"/>
      <c r="S232" s="404"/>
      <c r="T232" s="405"/>
      <c r="U232" s="203"/>
      <c r="V232" s="223"/>
      <c r="W232" s="404"/>
      <c r="X232" s="405"/>
      <c r="Y232" s="203"/>
      <c r="Z232" s="223"/>
      <c r="AA232" s="404"/>
      <c r="AB232" s="405"/>
      <c r="AC232" s="203"/>
      <c r="AD232" s="223"/>
      <c r="AE232" s="404"/>
      <c r="AF232" s="405"/>
      <c r="AG232" s="203"/>
      <c r="AH232" s="223"/>
      <c r="AI232" s="404"/>
      <c r="AJ232" s="405"/>
      <c r="AK232" s="401"/>
      <c r="AL232" s="401"/>
      <c r="AM232" s="401"/>
    </row>
    <row r="233">
      <c r="A233" s="320"/>
      <c r="B233" s="321"/>
      <c r="C233" s="322"/>
      <c r="D233" s="401"/>
      <c r="E233" s="320"/>
      <c r="F233" s="321"/>
      <c r="G233" s="322"/>
      <c r="H233" s="401"/>
      <c r="I233" s="320"/>
      <c r="J233" s="321"/>
      <c r="K233" s="322"/>
      <c r="L233" s="401"/>
      <c r="M233" s="320"/>
      <c r="N233" s="321"/>
      <c r="O233" s="322"/>
      <c r="P233" s="401"/>
      <c r="Q233" s="203"/>
      <c r="R233" s="223"/>
      <c r="S233" s="404"/>
      <c r="T233" s="405"/>
      <c r="U233" s="203"/>
      <c r="V233" s="223"/>
      <c r="W233" s="404"/>
      <c r="X233" s="405"/>
      <c r="Y233" s="203"/>
      <c r="Z233" s="223"/>
      <c r="AA233" s="404"/>
      <c r="AB233" s="405"/>
      <c r="AC233" s="203"/>
      <c r="AD233" s="223"/>
      <c r="AE233" s="404"/>
      <c r="AF233" s="405"/>
      <c r="AG233" s="203"/>
      <c r="AH233" s="223"/>
      <c r="AI233" s="404"/>
      <c r="AJ233" s="405"/>
      <c r="AK233" s="401"/>
      <c r="AL233" s="401"/>
      <c r="AM233" s="401"/>
    </row>
    <row r="234">
      <c r="A234" s="320"/>
      <c r="B234" s="321"/>
      <c r="C234" s="322"/>
      <c r="D234" s="401"/>
      <c r="E234" s="320"/>
      <c r="F234" s="321"/>
      <c r="G234" s="322"/>
      <c r="H234" s="401"/>
      <c r="I234" s="320"/>
      <c r="J234" s="321"/>
      <c r="K234" s="322"/>
      <c r="L234" s="401"/>
      <c r="M234" s="320"/>
      <c r="N234" s="321"/>
      <c r="O234" s="322"/>
      <c r="P234" s="401"/>
      <c r="Q234" s="203"/>
      <c r="R234" s="223"/>
      <c r="S234" s="404"/>
      <c r="T234" s="405"/>
      <c r="U234" s="203"/>
      <c r="V234" s="223"/>
      <c r="W234" s="404"/>
      <c r="X234" s="405"/>
      <c r="Y234" s="203"/>
      <c r="Z234" s="223"/>
      <c r="AA234" s="404"/>
      <c r="AB234" s="405"/>
      <c r="AC234" s="203"/>
      <c r="AD234" s="223"/>
      <c r="AE234" s="404"/>
      <c r="AF234" s="405"/>
      <c r="AG234" s="203"/>
      <c r="AH234" s="223"/>
      <c r="AI234" s="404"/>
      <c r="AJ234" s="405"/>
      <c r="AK234" s="401"/>
      <c r="AL234" s="401"/>
      <c r="AM234" s="401"/>
    </row>
    <row r="235">
      <c r="A235" s="320"/>
      <c r="B235" s="321"/>
      <c r="C235" s="322"/>
      <c r="D235" s="401"/>
      <c r="E235" s="320"/>
      <c r="F235" s="321"/>
      <c r="G235" s="322"/>
      <c r="H235" s="401"/>
      <c r="I235" s="320"/>
      <c r="J235" s="321"/>
      <c r="K235" s="322"/>
      <c r="L235" s="401"/>
      <c r="M235" s="320"/>
      <c r="N235" s="321"/>
      <c r="O235" s="322"/>
      <c r="P235" s="401"/>
      <c r="Q235" s="203"/>
      <c r="R235" s="223"/>
      <c r="S235" s="404"/>
      <c r="T235" s="405"/>
      <c r="U235" s="203"/>
      <c r="V235" s="223"/>
      <c r="W235" s="404"/>
      <c r="X235" s="405"/>
      <c r="Y235" s="203"/>
      <c r="Z235" s="223"/>
      <c r="AA235" s="404"/>
      <c r="AB235" s="405"/>
      <c r="AC235" s="203"/>
      <c r="AD235" s="223"/>
      <c r="AE235" s="404"/>
      <c r="AF235" s="405"/>
      <c r="AG235" s="203"/>
      <c r="AH235" s="223"/>
      <c r="AI235" s="404"/>
      <c r="AJ235" s="405"/>
      <c r="AK235" s="401"/>
      <c r="AL235" s="401"/>
      <c r="AM235" s="401"/>
    </row>
    <row r="236">
      <c r="A236" s="320"/>
      <c r="B236" s="321"/>
      <c r="C236" s="322"/>
      <c r="D236" s="401"/>
      <c r="E236" s="320"/>
      <c r="F236" s="321"/>
      <c r="G236" s="322"/>
      <c r="H236" s="401"/>
      <c r="I236" s="320"/>
      <c r="J236" s="321"/>
      <c r="K236" s="322"/>
      <c r="L236" s="401"/>
      <c r="M236" s="320"/>
      <c r="N236" s="321"/>
      <c r="O236" s="322"/>
      <c r="P236" s="401"/>
      <c r="Q236" s="203"/>
      <c r="R236" s="223"/>
      <c r="S236" s="404"/>
      <c r="T236" s="405"/>
      <c r="U236" s="203"/>
      <c r="V236" s="223"/>
      <c r="W236" s="404"/>
      <c r="X236" s="405"/>
      <c r="Y236" s="203"/>
      <c r="Z236" s="223"/>
      <c r="AA236" s="404"/>
      <c r="AB236" s="405"/>
      <c r="AC236" s="203"/>
      <c r="AD236" s="223"/>
      <c r="AE236" s="404"/>
      <c r="AF236" s="405"/>
      <c r="AG236" s="203"/>
      <c r="AH236" s="223"/>
      <c r="AI236" s="404"/>
      <c r="AJ236" s="405"/>
      <c r="AK236" s="401"/>
      <c r="AL236" s="401"/>
      <c r="AM236" s="401"/>
    </row>
    <row r="237">
      <c r="A237" s="320"/>
      <c r="B237" s="321"/>
      <c r="C237" s="322"/>
      <c r="D237" s="401"/>
      <c r="E237" s="320"/>
      <c r="F237" s="321"/>
      <c r="G237" s="322"/>
      <c r="H237" s="401"/>
      <c r="I237" s="320"/>
      <c r="J237" s="321"/>
      <c r="K237" s="322"/>
      <c r="L237" s="401"/>
      <c r="M237" s="320"/>
      <c r="N237" s="321"/>
      <c r="O237" s="322"/>
      <c r="P237" s="401"/>
      <c r="Q237" s="203"/>
      <c r="R237" s="223"/>
      <c r="S237" s="404"/>
      <c r="T237" s="405"/>
      <c r="U237" s="203"/>
      <c r="V237" s="223"/>
      <c r="W237" s="404"/>
      <c r="X237" s="405"/>
      <c r="Y237" s="203"/>
      <c r="Z237" s="223"/>
      <c r="AA237" s="404"/>
      <c r="AB237" s="405"/>
      <c r="AC237" s="203"/>
      <c r="AD237" s="223"/>
      <c r="AE237" s="404"/>
      <c r="AF237" s="405"/>
      <c r="AG237" s="203"/>
      <c r="AH237" s="223"/>
      <c r="AI237" s="404"/>
      <c r="AJ237" s="405"/>
      <c r="AK237" s="401"/>
      <c r="AL237" s="401"/>
      <c r="AM237" s="401"/>
    </row>
    <row r="238">
      <c r="A238" s="320"/>
      <c r="B238" s="321"/>
      <c r="C238" s="322"/>
      <c r="D238" s="401"/>
      <c r="E238" s="320"/>
      <c r="F238" s="321"/>
      <c r="G238" s="322"/>
      <c r="H238" s="401"/>
      <c r="I238" s="320"/>
      <c r="J238" s="321"/>
      <c r="K238" s="322"/>
      <c r="L238" s="401"/>
      <c r="M238" s="320"/>
      <c r="N238" s="321"/>
      <c r="O238" s="322"/>
      <c r="P238" s="401"/>
      <c r="Q238" s="203"/>
      <c r="R238" s="223"/>
      <c r="S238" s="404"/>
      <c r="T238" s="405"/>
      <c r="U238" s="203"/>
      <c r="V238" s="223"/>
      <c r="W238" s="404"/>
      <c r="X238" s="405"/>
      <c r="Y238" s="203"/>
      <c r="Z238" s="223"/>
      <c r="AA238" s="404"/>
      <c r="AB238" s="405"/>
      <c r="AC238" s="203"/>
      <c r="AD238" s="223"/>
      <c r="AE238" s="404"/>
      <c r="AF238" s="405"/>
      <c r="AG238" s="203"/>
      <c r="AH238" s="223"/>
      <c r="AI238" s="404"/>
      <c r="AJ238" s="405"/>
      <c r="AK238" s="401"/>
      <c r="AL238" s="401"/>
      <c r="AM238" s="401"/>
    </row>
    <row r="239">
      <c r="A239" s="320"/>
      <c r="B239" s="321"/>
      <c r="C239" s="322"/>
      <c r="D239" s="401"/>
      <c r="E239" s="320"/>
      <c r="F239" s="321"/>
      <c r="G239" s="322"/>
      <c r="H239" s="401"/>
      <c r="I239" s="320"/>
      <c r="J239" s="321"/>
      <c r="K239" s="322"/>
      <c r="L239" s="401"/>
      <c r="M239" s="320"/>
      <c r="N239" s="321"/>
      <c r="O239" s="322"/>
      <c r="P239" s="401"/>
      <c r="Q239" s="203"/>
      <c r="R239" s="223"/>
      <c r="S239" s="404"/>
      <c r="T239" s="405"/>
      <c r="U239" s="203"/>
      <c r="V239" s="223"/>
      <c r="W239" s="404"/>
      <c r="X239" s="405"/>
      <c r="Y239" s="203"/>
      <c r="Z239" s="223"/>
      <c r="AA239" s="404"/>
      <c r="AB239" s="405"/>
      <c r="AC239" s="203"/>
      <c r="AD239" s="223"/>
      <c r="AE239" s="404"/>
      <c r="AF239" s="405"/>
      <c r="AG239" s="203"/>
      <c r="AH239" s="223"/>
      <c r="AI239" s="404"/>
      <c r="AJ239" s="405"/>
      <c r="AK239" s="401"/>
      <c r="AL239" s="401"/>
      <c r="AM239" s="401"/>
    </row>
    <row r="240">
      <c r="A240" s="320"/>
      <c r="B240" s="321"/>
      <c r="C240" s="322"/>
      <c r="D240" s="401"/>
      <c r="E240" s="320"/>
      <c r="F240" s="321"/>
      <c r="G240" s="322"/>
      <c r="H240" s="401"/>
      <c r="I240" s="320"/>
      <c r="J240" s="321"/>
      <c r="K240" s="322"/>
      <c r="L240" s="401"/>
      <c r="M240" s="320"/>
      <c r="N240" s="321"/>
      <c r="O240" s="322"/>
      <c r="P240" s="401"/>
      <c r="Q240" s="203"/>
      <c r="R240" s="223"/>
      <c r="S240" s="404"/>
      <c r="T240" s="405"/>
      <c r="U240" s="203"/>
      <c r="V240" s="223"/>
      <c r="W240" s="404"/>
      <c r="X240" s="405"/>
      <c r="Y240" s="203"/>
      <c r="Z240" s="223"/>
      <c r="AA240" s="404"/>
      <c r="AB240" s="405"/>
      <c r="AC240" s="203"/>
      <c r="AD240" s="223"/>
      <c r="AE240" s="404"/>
      <c r="AF240" s="405"/>
      <c r="AG240" s="203"/>
      <c r="AH240" s="223"/>
      <c r="AI240" s="404"/>
      <c r="AJ240" s="405"/>
      <c r="AK240" s="401"/>
      <c r="AL240" s="401"/>
      <c r="AM240" s="401"/>
    </row>
    <row r="241">
      <c r="A241" s="320"/>
      <c r="B241" s="321"/>
      <c r="C241" s="322"/>
      <c r="D241" s="401"/>
      <c r="E241" s="320"/>
      <c r="F241" s="321"/>
      <c r="G241" s="322"/>
      <c r="H241" s="401"/>
      <c r="I241" s="320"/>
      <c r="J241" s="321"/>
      <c r="K241" s="322"/>
      <c r="L241" s="401"/>
      <c r="M241" s="320"/>
      <c r="N241" s="321"/>
      <c r="O241" s="322"/>
      <c r="P241" s="401"/>
      <c r="Q241" s="203"/>
      <c r="R241" s="223"/>
      <c r="S241" s="404"/>
      <c r="T241" s="405"/>
      <c r="U241" s="203"/>
      <c r="V241" s="223"/>
      <c r="W241" s="404"/>
      <c r="X241" s="405"/>
      <c r="Y241" s="203"/>
      <c r="Z241" s="223"/>
      <c r="AA241" s="404"/>
      <c r="AB241" s="405"/>
      <c r="AC241" s="203"/>
      <c r="AD241" s="223"/>
      <c r="AE241" s="404"/>
      <c r="AF241" s="405"/>
      <c r="AG241" s="203"/>
      <c r="AH241" s="223"/>
      <c r="AI241" s="404"/>
      <c r="AJ241" s="405"/>
      <c r="AK241" s="401"/>
      <c r="AL241" s="401"/>
      <c r="AM241" s="401"/>
    </row>
    <row r="242">
      <c r="A242" s="320"/>
      <c r="B242" s="321"/>
      <c r="C242" s="322"/>
      <c r="D242" s="401"/>
      <c r="E242" s="320"/>
      <c r="F242" s="321"/>
      <c r="G242" s="322"/>
      <c r="H242" s="401"/>
      <c r="I242" s="320"/>
      <c r="J242" s="321"/>
      <c r="K242" s="322"/>
      <c r="L242" s="401"/>
      <c r="M242" s="320"/>
      <c r="N242" s="321"/>
      <c r="O242" s="322"/>
      <c r="P242" s="401"/>
      <c r="Q242" s="203"/>
      <c r="R242" s="223"/>
      <c r="S242" s="404"/>
      <c r="T242" s="405"/>
      <c r="U242" s="203"/>
      <c r="V242" s="223"/>
      <c r="W242" s="404"/>
      <c r="X242" s="405"/>
      <c r="Y242" s="203"/>
      <c r="Z242" s="223"/>
      <c r="AA242" s="404"/>
      <c r="AB242" s="405"/>
      <c r="AC242" s="203"/>
      <c r="AD242" s="223"/>
      <c r="AE242" s="404"/>
      <c r="AF242" s="405"/>
      <c r="AG242" s="203"/>
      <c r="AH242" s="223"/>
      <c r="AI242" s="404"/>
      <c r="AJ242" s="405"/>
      <c r="AK242" s="401"/>
      <c r="AL242" s="401"/>
      <c r="AM242" s="401"/>
    </row>
    <row r="243">
      <c r="A243" s="320"/>
      <c r="B243" s="321"/>
      <c r="C243" s="322"/>
      <c r="D243" s="401"/>
      <c r="E243" s="320"/>
      <c r="F243" s="321"/>
      <c r="G243" s="322"/>
      <c r="H243" s="401"/>
      <c r="I243" s="320"/>
      <c r="J243" s="321"/>
      <c r="K243" s="322"/>
      <c r="L243" s="401"/>
      <c r="M243" s="320"/>
      <c r="N243" s="321"/>
      <c r="O243" s="322"/>
      <c r="P243" s="401"/>
      <c r="Q243" s="203"/>
      <c r="R243" s="223"/>
      <c r="S243" s="404"/>
      <c r="T243" s="405"/>
      <c r="U243" s="203"/>
      <c r="V243" s="223"/>
      <c r="W243" s="404"/>
      <c r="X243" s="405"/>
      <c r="Y243" s="203"/>
      <c r="Z243" s="223"/>
      <c r="AA243" s="404"/>
      <c r="AB243" s="405"/>
      <c r="AC243" s="203"/>
      <c r="AD243" s="223"/>
      <c r="AE243" s="404"/>
      <c r="AF243" s="405"/>
      <c r="AG243" s="203"/>
      <c r="AH243" s="223"/>
      <c r="AI243" s="404"/>
      <c r="AJ243" s="405"/>
      <c r="AK243" s="401"/>
      <c r="AL243" s="401"/>
      <c r="AM243" s="401"/>
    </row>
    <row r="244">
      <c r="A244" s="320"/>
      <c r="B244" s="321"/>
      <c r="C244" s="322"/>
      <c r="D244" s="401"/>
      <c r="E244" s="320"/>
      <c r="F244" s="321"/>
      <c r="G244" s="322"/>
      <c r="H244" s="401"/>
      <c r="I244" s="320"/>
      <c r="J244" s="321"/>
      <c r="K244" s="322"/>
      <c r="L244" s="401"/>
      <c r="M244" s="320"/>
      <c r="N244" s="321"/>
      <c r="O244" s="322"/>
      <c r="P244" s="401"/>
      <c r="Q244" s="203"/>
      <c r="R244" s="223"/>
      <c r="S244" s="404"/>
      <c r="T244" s="405"/>
      <c r="U244" s="203"/>
      <c r="V244" s="223"/>
      <c r="W244" s="404"/>
      <c r="X244" s="405"/>
      <c r="Y244" s="203"/>
      <c r="Z244" s="223"/>
      <c r="AA244" s="404"/>
      <c r="AB244" s="405"/>
      <c r="AC244" s="203"/>
      <c r="AD244" s="223"/>
      <c r="AE244" s="404"/>
      <c r="AF244" s="405"/>
      <c r="AG244" s="203"/>
      <c r="AH244" s="223"/>
      <c r="AI244" s="404"/>
      <c r="AJ244" s="405"/>
      <c r="AK244" s="401"/>
      <c r="AL244" s="401"/>
      <c r="AM244" s="401"/>
    </row>
    <row r="245">
      <c r="A245" s="320"/>
      <c r="B245" s="321"/>
      <c r="C245" s="322"/>
      <c r="D245" s="401"/>
      <c r="E245" s="320"/>
      <c r="F245" s="321"/>
      <c r="G245" s="322"/>
      <c r="H245" s="401"/>
      <c r="I245" s="320"/>
      <c r="J245" s="321"/>
      <c r="K245" s="322"/>
      <c r="L245" s="401"/>
      <c r="M245" s="320"/>
      <c r="N245" s="321"/>
      <c r="O245" s="322"/>
      <c r="P245" s="401"/>
      <c r="Q245" s="203"/>
      <c r="R245" s="223"/>
      <c r="S245" s="404"/>
      <c r="T245" s="405"/>
      <c r="U245" s="203"/>
      <c r="V245" s="223"/>
      <c r="W245" s="404"/>
      <c r="X245" s="405"/>
      <c r="Y245" s="203"/>
      <c r="Z245" s="223"/>
      <c r="AA245" s="404"/>
      <c r="AB245" s="405"/>
      <c r="AC245" s="203"/>
      <c r="AD245" s="223"/>
      <c r="AE245" s="404"/>
      <c r="AF245" s="405"/>
      <c r="AG245" s="203"/>
      <c r="AH245" s="223"/>
      <c r="AI245" s="404"/>
      <c r="AJ245" s="405"/>
      <c r="AK245" s="401"/>
      <c r="AL245" s="401"/>
      <c r="AM245" s="401"/>
    </row>
    <row r="246">
      <c r="A246" s="320"/>
      <c r="B246" s="321"/>
      <c r="C246" s="322"/>
      <c r="D246" s="401"/>
      <c r="E246" s="320"/>
      <c r="F246" s="321"/>
      <c r="G246" s="322"/>
      <c r="H246" s="401"/>
      <c r="I246" s="320"/>
      <c r="J246" s="321"/>
      <c r="K246" s="322"/>
      <c r="L246" s="401"/>
      <c r="M246" s="320"/>
      <c r="N246" s="321"/>
      <c r="O246" s="322"/>
      <c r="P246" s="401"/>
      <c r="Q246" s="203"/>
      <c r="R246" s="223"/>
      <c r="S246" s="404"/>
      <c r="T246" s="405"/>
      <c r="U246" s="203"/>
      <c r="V246" s="223"/>
      <c r="W246" s="404"/>
      <c r="X246" s="405"/>
      <c r="Y246" s="203"/>
      <c r="Z246" s="223"/>
      <c r="AA246" s="404"/>
      <c r="AB246" s="405"/>
      <c r="AC246" s="203"/>
      <c r="AD246" s="223"/>
      <c r="AE246" s="404"/>
      <c r="AF246" s="405"/>
      <c r="AG246" s="203"/>
      <c r="AH246" s="223"/>
      <c r="AI246" s="404"/>
      <c r="AJ246" s="405"/>
      <c r="AK246" s="401"/>
      <c r="AL246" s="401"/>
      <c r="AM246" s="401"/>
    </row>
    <row r="247">
      <c r="A247" s="320"/>
      <c r="B247" s="321"/>
      <c r="C247" s="322"/>
      <c r="D247" s="401"/>
      <c r="E247" s="320"/>
      <c r="F247" s="321"/>
      <c r="G247" s="322"/>
      <c r="H247" s="401"/>
      <c r="I247" s="320"/>
      <c r="J247" s="321"/>
      <c r="K247" s="322"/>
      <c r="L247" s="401"/>
      <c r="M247" s="320"/>
      <c r="N247" s="321"/>
      <c r="O247" s="322"/>
      <c r="P247" s="401"/>
      <c r="Q247" s="203"/>
      <c r="R247" s="223"/>
      <c r="S247" s="404"/>
      <c r="T247" s="405"/>
      <c r="U247" s="203"/>
      <c r="V247" s="223"/>
      <c r="W247" s="404"/>
      <c r="X247" s="405"/>
      <c r="Y247" s="203"/>
      <c r="Z247" s="223"/>
      <c r="AA247" s="404"/>
      <c r="AB247" s="405"/>
      <c r="AC247" s="203"/>
      <c r="AD247" s="223"/>
      <c r="AE247" s="404"/>
      <c r="AF247" s="405"/>
      <c r="AG247" s="203"/>
      <c r="AH247" s="223"/>
      <c r="AI247" s="404"/>
      <c r="AJ247" s="405"/>
      <c r="AK247" s="401"/>
      <c r="AL247" s="401"/>
      <c r="AM247" s="401"/>
    </row>
    <row r="248">
      <c r="A248" s="320"/>
      <c r="B248" s="321"/>
      <c r="C248" s="322"/>
      <c r="D248" s="401"/>
      <c r="E248" s="320"/>
      <c r="F248" s="321"/>
      <c r="G248" s="322"/>
      <c r="H248" s="401"/>
      <c r="I248" s="320"/>
      <c r="J248" s="321"/>
      <c r="K248" s="322"/>
      <c r="L248" s="401"/>
      <c r="M248" s="320"/>
      <c r="N248" s="321"/>
      <c r="O248" s="322"/>
      <c r="P248" s="401"/>
      <c r="Q248" s="203"/>
      <c r="R248" s="223"/>
      <c r="S248" s="404"/>
      <c r="T248" s="405"/>
      <c r="U248" s="203"/>
      <c r="V248" s="223"/>
      <c r="W248" s="404"/>
      <c r="X248" s="405"/>
      <c r="Y248" s="203"/>
      <c r="Z248" s="223"/>
      <c r="AA248" s="404"/>
      <c r="AB248" s="405"/>
      <c r="AC248" s="203"/>
      <c r="AD248" s="223"/>
      <c r="AE248" s="404"/>
      <c r="AF248" s="405"/>
      <c r="AG248" s="203"/>
      <c r="AH248" s="223"/>
      <c r="AI248" s="404"/>
      <c r="AJ248" s="405"/>
      <c r="AK248" s="401"/>
      <c r="AL248" s="401"/>
      <c r="AM248" s="401"/>
    </row>
    <row r="249">
      <c r="A249" s="320"/>
      <c r="B249" s="321"/>
      <c r="C249" s="322"/>
      <c r="D249" s="401"/>
      <c r="E249" s="320"/>
      <c r="F249" s="321"/>
      <c r="G249" s="322"/>
      <c r="H249" s="401"/>
      <c r="I249" s="320"/>
      <c r="J249" s="321"/>
      <c r="K249" s="322"/>
      <c r="L249" s="401"/>
      <c r="M249" s="320"/>
      <c r="N249" s="321"/>
      <c r="O249" s="322"/>
      <c r="P249" s="401"/>
      <c r="Q249" s="203"/>
      <c r="R249" s="223"/>
      <c r="S249" s="404"/>
      <c r="T249" s="405"/>
      <c r="U249" s="203"/>
      <c r="V249" s="223"/>
      <c r="W249" s="404"/>
      <c r="X249" s="405"/>
      <c r="Y249" s="203"/>
      <c r="Z249" s="223"/>
      <c r="AA249" s="404"/>
      <c r="AB249" s="405"/>
      <c r="AC249" s="203"/>
      <c r="AD249" s="223"/>
      <c r="AE249" s="404"/>
      <c r="AF249" s="405"/>
      <c r="AG249" s="203"/>
      <c r="AH249" s="223"/>
      <c r="AI249" s="404"/>
      <c r="AJ249" s="405"/>
      <c r="AK249" s="401"/>
      <c r="AL249" s="401"/>
      <c r="AM249" s="401"/>
    </row>
    <row r="250">
      <c r="A250" s="320"/>
      <c r="B250" s="321"/>
      <c r="C250" s="322"/>
      <c r="D250" s="401"/>
      <c r="E250" s="320"/>
      <c r="F250" s="321"/>
      <c r="G250" s="322"/>
      <c r="H250" s="401"/>
      <c r="I250" s="320"/>
      <c r="J250" s="321"/>
      <c r="K250" s="322"/>
      <c r="L250" s="401"/>
      <c r="M250" s="320"/>
      <c r="N250" s="321"/>
      <c r="O250" s="322"/>
      <c r="P250" s="401"/>
      <c r="Q250" s="203"/>
      <c r="R250" s="223"/>
      <c r="S250" s="404"/>
      <c r="T250" s="405"/>
      <c r="U250" s="203"/>
      <c r="V250" s="223"/>
      <c r="W250" s="404"/>
      <c r="X250" s="405"/>
      <c r="Y250" s="203"/>
      <c r="Z250" s="223"/>
      <c r="AA250" s="404"/>
      <c r="AB250" s="405"/>
      <c r="AC250" s="203"/>
      <c r="AD250" s="223"/>
      <c r="AE250" s="404"/>
      <c r="AF250" s="405"/>
      <c r="AG250" s="203"/>
      <c r="AH250" s="223"/>
      <c r="AI250" s="404"/>
      <c r="AJ250" s="405"/>
      <c r="AK250" s="401"/>
      <c r="AL250" s="401"/>
      <c r="AM250" s="401"/>
    </row>
    <row r="251">
      <c r="A251" s="320"/>
      <c r="B251" s="321"/>
      <c r="C251" s="322"/>
      <c r="D251" s="401"/>
      <c r="E251" s="320"/>
      <c r="F251" s="321"/>
      <c r="G251" s="322"/>
      <c r="H251" s="401"/>
      <c r="I251" s="320"/>
      <c r="J251" s="321"/>
      <c r="K251" s="322"/>
      <c r="L251" s="401"/>
      <c r="M251" s="320"/>
      <c r="N251" s="321"/>
      <c r="O251" s="322"/>
      <c r="P251" s="401"/>
      <c r="Q251" s="203"/>
      <c r="R251" s="223"/>
      <c r="S251" s="404"/>
      <c r="T251" s="405"/>
      <c r="U251" s="203"/>
      <c r="V251" s="223"/>
      <c r="W251" s="404"/>
      <c r="X251" s="405"/>
      <c r="Y251" s="203"/>
      <c r="Z251" s="223"/>
      <c r="AA251" s="404"/>
      <c r="AB251" s="405"/>
      <c r="AC251" s="203"/>
      <c r="AD251" s="223"/>
      <c r="AE251" s="404"/>
      <c r="AF251" s="405"/>
      <c r="AG251" s="203"/>
      <c r="AH251" s="223"/>
      <c r="AI251" s="404"/>
      <c r="AJ251" s="405"/>
      <c r="AK251" s="401"/>
      <c r="AL251" s="401"/>
      <c r="AM251" s="401"/>
    </row>
    <row r="252">
      <c r="A252" s="320"/>
      <c r="B252" s="321"/>
      <c r="C252" s="322"/>
      <c r="D252" s="401"/>
      <c r="E252" s="320"/>
      <c r="F252" s="321"/>
      <c r="G252" s="322"/>
      <c r="H252" s="401"/>
      <c r="I252" s="320"/>
      <c r="J252" s="321"/>
      <c r="K252" s="322"/>
      <c r="L252" s="401"/>
      <c r="M252" s="320"/>
      <c r="N252" s="321"/>
      <c r="O252" s="322"/>
      <c r="P252" s="401"/>
      <c r="Q252" s="203"/>
      <c r="R252" s="223"/>
      <c r="S252" s="404"/>
      <c r="T252" s="405"/>
      <c r="U252" s="203"/>
      <c r="V252" s="223"/>
      <c r="W252" s="404"/>
      <c r="X252" s="405"/>
      <c r="Y252" s="203"/>
      <c r="Z252" s="223"/>
      <c r="AA252" s="404"/>
      <c r="AB252" s="405"/>
      <c r="AC252" s="203"/>
      <c r="AD252" s="223"/>
      <c r="AE252" s="404"/>
      <c r="AF252" s="405"/>
      <c r="AG252" s="203"/>
      <c r="AH252" s="223"/>
      <c r="AI252" s="404"/>
      <c r="AJ252" s="405"/>
      <c r="AK252" s="401"/>
      <c r="AL252" s="401"/>
      <c r="AM252" s="401"/>
    </row>
    <row r="253">
      <c r="A253" s="320"/>
      <c r="B253" s="321"/>
      <c r="C253" s="322"/>
      <c r="D253" s="401"/>
      <c r="E253" s="320"/>
      <c r="F253" s="321"/>
      <c r="G253" s="322"/>
      <c r="H253" s="401"/>
      <c r="I253" s="320"/>
      <c r="J253" s="321"/>
      <c r="K253" s="322"/>
      <c r="L253" s="401"/>
      <c r="M253" s="320"/>
      <c r="N253" s="321"/>
      <c r="O253" s="322"/>
      <c r="P253" s="401"/>
      <c r="Q253" s="203"/>
      <c r="R253" s="223"/>
      <c r="S253" s="404"/>
      <c r="T253" s="405"/>
      <c r="U253" s="203"/>
      <c r="V253" s="223"/>
      <c r="W253" s="404"/>
      <c r="X253" s="405"/>
      <c r="Y253" s="203"/>
      <c r="Z253" s="223"/>
      <c r="AA253" s="404"/>
      <c r="AB253" s="405"/>
      <c r="AC253" s="203"/>
      <c r="AD253" s="223"/>
      <c r="AE253" s="404"/>
      <c r="AF253" s="405"/>
      <c r="AG253" s="203"/>
      <c r="AH253" s="223"/>
      <c r="AI253" s="404"/>
      <c r="AJ253" s="405"/>
      <c r="AK253" s="401"/>
      <c r="AL253" s="401"/>
      <c r="AM253" s="401"/>
    </row>
    <row r="254">
      <c r="A254" s="320"/>
      <c r="B254" s="321"/>
      <c r="C254" s="322"/>
      <c r="D254" s="401"/>
      <c r="E254" s="320"/>
      <c r="F254" s="321"/>
      <c r="G254" s="322"/>
      <c r="H254" s="401"/>
      <c r="I254" s="320"/>
      <c r="J254" s="321"/>
      <c r="K254" s="322"/>
      <c r="L254" s="401"/>
      <c r="M254" s="320"/>
      <c r="N254" s="321"/>
      <c r="O254" s="322"/>
      <c r="P254" s="401"/>
      <c r="Q254" s="203"/>
      <c r="R254" s="223"/>
      <c r="S254" s="404"/>
      <c r="T254" s="405"/>
      <c r="U254" s="203"/>
      <c r="V254" s="223"/>
      <c r="W254" s="404"/>
      <c r="X254" s="405"/>
      <c r="Y254" s="203"/>
      <c r="Z254" s="223"/>
      <c r="AA254" s="404"/>
      <c r="AB254" s="405"/>
      <c r="AC254" s="203"/>
      <c r="AD254" s="223"/>
      <c r="AE254" s="404"/>
      <c r="AF254" s="405"/>
      <c r="AG254" s="203"/>
      <c r="AH254" s="223"/>
      <c r="AI254" s="404"/>
      <c r="AJ254" s="405"/>
      <c r="AK254" s="401"/>
      <c r="AL254" s="401"/>
      <c r="AM254" s="401"/>
    </row>
    <row r="255">
      <c r="A255" s="320"/>
      <c r="B255" s="321"/>
      <c r="C255" s="322"/>
      <c r="D255" s="401"/>
      <c r="E255" s="320"/>
      <c r="F255" s="321"/>
      <c r="G255" s="322"/>
      <c r="H255" s="401"/>
      <c r="I255" s="320"/>
      <c r="J255" s="321"/>
      <c r="K255" s="322"/>
      <c r="L255" s="401"/>
      <c r="M255" s="320"/>
      <c r="N255" s="321"/>
      <c r="O255" s="322"/>
      <c r="P255" s="401"/>
      <c r="Q255" s="203"/>
      <c r="R255" s="223"/>
      <c r="S255" s="404"/>
      <c r="T255" s="405"/>
      <c r="U255" s="203"/>
      <c r="V255" s="223"/>
      <c r="W255" s="404"/>
      <c r="X255" s="405"/>
      <c r="Y255" s="203"/>
      <c r="Z255" s="223"/>
      <c r="AA255" s="404"/>
      <c r="AB255" s="405"/>
      <c r="AC255" s="203"/>
      <c r="AD255" s="223"/>
      <c r="AE255" s="404"/>
      <c r="AF255" s="405"/>
      <c r="AG255" s="203"/>
      <c r="AH255" s="223"/>
      <c r="AI255" s="404"/>
      <c r="AJ255" s="405"/>
      <c r="AK255" s="401"/>
      <c r="AL255" s="401"/>
      <c r="AM255" s="401"/>
    </row>
    <row r="256">
      <c r="A256" s="320"/>
      <c r="B256" s="321"/>
      <c r="C256" s="322"/>
      <c r="D256" s="401"/>
      <c r="E256" s="320"/>
      <c r="F256" s="321"/>
      <c r="G256" s="322"/>
      <c r="H256" s="401"/>
      <c r="I256" s="320"/>
      <c r="J256" s="321"/>
      <c r="K256" s="322"/>
      <c r="L256" s="401"/>
      <c r="M256" s="320"/>
      <c r="N256" s="321"/>
      <c r="O256" s="322"/>
      <c r="P256" s="401"/>
      <c r="Q256" s="203"/>
      <c r="R256" s="223"/>
      <c r="S256" s="404"/>
      <c r="T256" s="405"/>
      <c r="U256" s="203"/>
      <c r="V256" s="223"/>
      <c r="W256" s="404"/>
      <c r="X256" s="405"/>
      <c r="Y256" s="203"/>
      <c r="Z256" s="223"/>
      <c r="AA256" s="404"/>
      <c r="AB256" s="405"/>
      <c r="AC256" s="203"/>
      <c r="AD256" s="223"/>
      <c r="AE256" s="404"/>
      <c r="AF256" s="405"/>
      <c r="AG256" s="203"/>
      <c r="AH256" s="223"/>
      <c r="AI256" s="404"/>
      <c r="AJ256" s="405"/>
      <c r="AK256" s="401"/>
      <c r="AL256" s="401"/>
      <c r="AM256" s="401"/>
    </row>
    <row r="257">
      <c r="A257" s="320"/>
      <c r="B257" s="321"/>
      <c r="C257" s="322"/>
      <c r="D257" s="401"/>
      <c r="E257" s="320"/>
      <c r="F257" s="321"/>
      <c r="G257" s="322"/>
      <c r="H257" s="401"/>
      <c r="I257" s="320"/>
      <c r="J257" s="321"/>
      <c r="K257" s="322"/>
      <c r="L257" s="401"/>
      <c r="M257" s="320"/>
      <c r="N257" s="321"/>
      <c r="O257" s="322"/>
      <c r="P257" s="401"/>
      <c r="Q257" s="203"/>
      <c r="R257" s="223"/>
      <c r="S257" s="404"/>
      <c r="T257" s="405"/>
      <c r="U257" s="203"/>
      <c r="V257" s="223"/>
      <c r="W257" s="404"/>
      <c r="X257" s="405"/>
      <c r="Y257" s="203"/>
      <c r="Z257" s="223"/>
      <c r="AA257" s="404"/>
      <c r="AB257" s="405"/>
      <c r="AC257" s="203"/>
      <c r="AD257" s="223"/>
      <c r="AE257" s="404"/>
      <c r="AF257" s="405"/>
      <c r="AG257" s="203"/>
      <c r="AH257" s="223"/>
      <c r="AI257" s="404"/>
      <c r="AJ257" s="405"/>
      <c r="AK257" s="401"/>
      <c r="AL257" s="401"/>
      <c r="AM257" s="401"/>
    </row>
    <row r="258">
      <c r="A258" s="320"/>
      <c r="B258" s="321"/>
      <c r="C258" s="322"/>
      <c r="D258" s="401"/>
      <c r="E258" s="320"/>
      <c r="F258" s="321"/>
      <c r="G258" s="322"/>
      <c r="H258" s="401"/>
      <c r="I258" s="320"/>
      <c r="J258" s="321"/>
      <c r="K258" s="322"/>
      <c r="L258" s="401"/>
      <c r="M258" s="320"/>
      <c r="N258" s="321"/>
      <c r="O258" s="322"/>
      <c r="P258" s="401"/>
      <c r="Q258" s="203"/>
      <c r="R258" s="223"/>
      <c r="S258" s="404"/>
      <c r="T258" s="405"/>
      <c r="U258" s="203"/>
      <c r="V258" s="223"/>
      <c r="W258" s="404"/>
      <c r="X258" s="405"/>
      <c r="Y258" s="203"/>
      <c r="Z258" s="223"/>
      <c r="AA258" s="404"/>
      <c r="AB258" s="405"/>
      <c r="AC258" s="203"/>
      <c r="AD258" s="223"/>
      <c r="AE258" s="404"/>
      <c r="AF258" s="405"/>
      <c r="AG258" s="203"/>
      <c r="AH258" s="223"/>
      <c r="AI258" s="404"/>
      <c r="AJ258" s="405"/>
      <c r="AK258" s="401"/>
      <c r="AL258" s="401"/>
      <c r="AM258" s="401"/>
    </row>
    <row r="259">
      <c r="A259" s="320"/>
      <c r="B259" s="321"/>
      <c r="C259" s="322"/>
      <c r="D259" s="401"/>
      <c r="E259" s="320"/>
      <c r="F259" s="321"/>
      <c r="G259" s="322"/>
      <c r="H259" s="401"/>
      <c r="I259" s="320"/>
      <c r="J259" s="321"/>
      <c r="K259" s="322"/>
      <c r="L259" s="401"/>
      <c r="M259" s="320"/>
      <c r="N259" s="321"/>
      <c r="O259" s="322"/>
      <c r="P259" s="401"/>
      <c r="Q259" s="203"/>
      <c r="R259" s="223"/>
      <c r="S259" s="404"/>
      <c r="T259" s="405"/>
      <c r="U259" s="203"/>
      <c r="V259" s="223"/>
      <c r="W259" s="404"/>
      <c r="X259" s="405"/>
      <c r="Y259" s="203"/>
      <c r="Z259" s="223"/>
      <c r="AA259" s="404"/>
      <c r="AB259" s="405"/>
      <c r="AC259" s="203"/>
      <c r="AD259" s="223"/>
      <c r="AE259" s="404"/>
      <c r="AF259" s="405"/>
      <c r="AG259" s="203"/>
      <c r="AH259" s="223"/>
      <c r="AI259" s="404"/>
      <c r="AJ259" s="405"/>
      <c r="AK259" s="401"/>
      <c r="AL259" s="401"/>
      <c r="AM259" s="401"/>
    </row>
    <row r="260">
      <c r="A260" s="320"/>
      <c r="B260" s="321"/>
      <c r="C260" s="322"/>
      <c r="D260" s="401"/>
      <c r="E260" s="320"/>
      <c r="F260" s="321"/>
      <c r="G260" s="322"/>
      <c r="H260" s="401"/>
      <c r="I260" s="320"/>
      <c r="J260" s="321"/>
      <c r="K260" s="322"/>
      <c r="L260" s="401"/>
      <c r="M260" s="320"/>
      <c r="N260" s="321"/>
      <c r="O260" s="322"/>
      <c r="P260" s="401"/>
      <c r="Q260" s="203"/>
      <c r="R260" s="223"/>
      <c r="S260" s="404"/>
      <c r="T260" s="405"/>
      <c r="U260" s="203"/>
      <c r="V260" s="223"/>
      <c r="W260" s="404"/>
      <c r="X260" s="405"/>
      <c r="Y260" s="203"/>
      <c r="Z260" s="223"/>
      <c r="AA260" s="404"/>
      <c r="AB260" s="405"/>
      <c r="AC260" s="203"/>
      <c r="AD260" s="223"/>
      <c r="AE260" s="404"/>
      <c r="AF260" s="405"/>
      <c r="AG260" s="203"/>
      <c r="AH260" s="223"/>
      <c r="AI260" s="404"/>
      <c r="AJ260" s="405"/>
      <c r="AK260" s="401"/>
      <c r="AL260" s="401"/>
      <c r="AM260" s="401"/>
    </row>
    <row r="261">
      <c r="A261" s="320"/>
      <c r="B261" s="321"/>
      <c r="C261" s="322"/>
      <c r="D261" s="401"/>
      <c r="E261" s="320"/>
      <c r="F261" s="321"/>
      <c r="G261" s="322"/>
      <c r="H261" s="401"/>
      <c r="I261" s="320"/>
      <c r="J261" s="321"/>
      <c r="K261" s="322"/>
      <c r="L261" s="401"/>
      <c r="M261" s="320"/>
      <c r="N261" s="321"/>
      <c r="O261" s="322"/>
      <c r="P261" s="401"/>
      <c r="Q261" s="203"/>
      <c r="R261" s="223"/>
      <c r="S261" s="404"/>
      <c r="T261" s="405"/>
      <c r="U261" s="203"/>
      <c r="V261" s="223"/>
      <c r="W261" s="404"/>
      <c r="X261" s="405"/>
      <c r="Y261" s="203"/>
      <c r="Z261" s="223"/>
      <c r="AA261" s="404"/>
      <c r="AB261" s="405"/>
      <c r="AC261" s="203"/>
      <c r="AD261" s="223"/>
      <c r="AE261" s="404"/>
      <c r="AF261" s="405"/>
      <c r="AG261" s="203"/>
      <c r="AH261" s="223"/>
      <c r="AI261" s="404"/>
      <c r="AJ261" s="405"/>
      <c r="AK261" s="401"/>
      <c r="AL261" s="401"/>
      <c r="AM261" s="401"/>
    </row>
    <row r="262">
      <c r="A262" s="320"/>
      <c r="B262" s="321"/>
      <c r="C262" s="322"/>
      <c r="D262" s="401"/>
      <c r="E262" s="320"/>
      <c r="F262" s="321"/>
      <c r="G262" s="322"/>
      <c r="H262" s="401"/>
      <c r="I262" s="320"/>
      <c r="J262" s="321"/>
      <c r="K262" s="322"/>
      <c r="L262" s="401"/>
      <c r="M262" s="320"/>
      <c r="N262" s="321"/>
      <c r="O262" s="322"/>
      <c r="P262" s="401"/>
      <c r="Q262" s="203"/>
      <c r="R262" s="223"/>
      <c r="S262" s="404"/>
      <c r="T262" s="405"/>
      <c r="U262" s="203"/>
      <c r="V262" s="223"/>
      <c r="W262" s="404"/>
      <c r="X262" s="405"/>
      <c r="Y262" s="203"/>
      <c r="Z262" s="223"/>
      <c r="AA262" s="404"/>
      <c r="AB262" s="405"/>
      <c r="AC262" s="203"/>
      <c r="AD262" s="223"/>
      <c r="AE262" s="404"/>
      <c r="AF262" s="405"/>
      <c r="AG262" s="203"/>
      <c r="AH262" s="223"/>
      <c r="AI262" s="404"/>
      <c r="AJ262" s="405"/>
      <c r="AK262" s="401"/>
      <c r="AL262" s="401"/>
      <c r="AM262" s="401"/>
    </row>
    <row r="263">
      <c r="A263" s="320"/>
      <c r="B263" s="321"/>
      <c r="C263" s="322"/>
      <c r="D263" s="401"/>
      <c r="E263" s="320"/>
      <c r="F263" s="321"/>
      <c r="G263" s="322"/>
      <c r="H263" s="401"/>
      <c r="I263" s="320"/>
      <c r="J263" s="321"/>
      <c r="K263" s="322"/>
      <c r="L263" s="401"/>
      <c r="M263" s="320"/>
      <c r="N263" s="321"/>
      <c r="O263" s="322"/>
      <c r="P263" s="401"/>
      <c r="Q263" s="203"/>
      <c r="R263" s="223"/>
      <c r="S263" s="404"/>
      <c r="T263" s="405"/>
      <c r="U263" s="203"/>
      <c r="V263" s="223"/>
      <c r="W263" s="404"/>
      <c r="X263" s="405"/>
      <c r="Y263" s="203"/>
      <c r="Z263" s="223"/>
      <c r="AA263" s="404"/>
      <c r="AB263" s="405"/>
      <c r="AC263" s="203"/>
      <c r="AD263" s="223"/>
      <c r="AE263" s="404"/>
      <c r="AF263" s="405"/>
      <c r="AG263" s="203"/>
      <c r="AH263" s="223"/>
      <c r="AI263" s="404"/>
      <c r="AJ263" s="405"/>
      <c r="AK263" s="401"/>
      <c r="AL263" s="401"/>
      <c r="AM263" s="401"/>
    </row>
    <row r="264">
      <c r="A264" s="320"/>
      <c r="B264" s="321"/>
      <c r="C264" s="322"/>
      <c r="D264" s="401"/>
      <c r="E264" s="320"/>
      <c r="F264" s="321"/>
      <c r="G264" s="322"/>
      <c r="H264" s="401"/>
      <c r="I264" s="320"/>
      <c r="J264" s="321"/>
      <c r="K264" s="322"/>
      <c r="L264" s="401"/>
      <c r="M264" s="320"/>
      <c r="N264" s="321"/>
      <c r="O264" s="322"/>
      <c r="P264" s="401"/>
      <c r="Q264" s="203"/>
      <c r="R264" s="223"/>
      <c r="S264" s="404"/>
      <c r="T264" s="405"/>
      <c r="U264" s="203"/>
      <c r="V264" s="223"/>
      <c r="W264" s="404"/>
      <c r="X264" s="405"/>
      <c r="Y264" s="203"/>
      <c r="Z264" s="223"/>
      <c r="AA264" s="404"/>
      <c r="AB264" s="405"/>
      <c r="AC264" s="203"/>
      <c r="AD264" s="223"/>
      <c r="AE264" s="404"/>
      <c r="AF264" s="405"/>
      <c r="AG264" s="203"/>
      <c r="AH264" s="223"/>
      <c r="AI264" s="404"/>
      <c r="AJ264" s="405"/>
      <c r="AK264" s="401"/>
      <c r="AL264" s="401"/>
      <c r="AM264" s="401"/>
    </row>
    <row r="265">
      <c r="A265" s="320"/>
      <c r="B265" s="321"/>
      <c r="C265" s="322"/>
      <c r="D265" s="401"/>
      <c r="E265" s="320"/>
      <c r="F265" s="321"/>
      <c r="G265" s="322"/>
      <c r="H265" s="401"/>
      <c r="I265" s="320"/>
      <c r="J265" s="321"/>
      <c r="K265" s="322"/>
      <c r="L265" s="401"/>
      <c r="M265" s="320"/>
      <c r="N265" s="321"/>
      <c r="O265" s="322"/>
      <c r="P265" s="401"/>
      <c r="Q265" s="203"/>
      <c r="R265" s="223"/>
      <c r="S265" s="404"/>
      <c r="T265" s="405"/>
      <c r="U265" s="203"/>
      <c r="V265" s="223"/>
      <c r="W265" s="404"/>
      <c r="X265" s="405"/>
      <c r="Y265" s="203"/>
      <c r="Z265" s="223"/>
      <c r="AA265" s="404"/>
      <c r="AB265" s="405"/>
      <c r="AC265" s="203"/>
      <c r="AD265" s="223"/>
      <c r="AE265" s="404"/>
      <c r="AF265" s="405"/>
      <c r="AG265" s="203"/>
      <c r="AH265" s="223"/>
      <c r="AI265" s="404"/>
      <c r="AJ265" s="405"/>
      <c r="AK265" s="401"/>
      <c r="AL265" s="401"/>
      <c r="AM265" s="401"/>
    </row>
    <row r="266">
      <c r="A266" s="320"/>
      <c r="B266" s="321"/>
      <c r="C266" s="322"/>
      <c r="D266" s="401"/>
      <c r="E266" s="320"/>
      <c r="F266" s="321"/>
      <c r="G266" s="322"/>
      <c r="H266" s="401"/>
      <c r="I266" s="320"/>
      <c r="J266" s="321"/>
      <c r="K266" s="322"/>
      <c r="L266" s="401"/>
      <c r="M266" s="320"/>
      <c r="N266" s="321"/>
      <c r="O266" s="322"/>
      <c r="P266" s="401"/>
      <c r="Q266" s="203"/>
      <c r="R266" s="223"/>
      <c r="S266" s="404"/>
      <c r="T266" s="405"/>
      <c r="U266" s="203"/>
      <c r="V266" s="223"/>
      <c r="W266" s="404"/>
      <c r="X266" s="405"/>
      <c r="Y266" s="203"/>
      <c r="Z266" s="223"/>
      <c r="AA266" s="404"/>
      <c r="AB266" s="405"/>
      <c r="AC266" s="203"/>
      <c r="AD266" s="223"/>
      <c r="AE266" s="404"/>
      <c r="AF266" s="405"/>
      <c r="AG266" s="203"/>
      <c r="AH266" s="223"/>
      <c r="AI266" s="404"/>
      <c r="AJ266" s="405"/>
      <c r="AK266" s="401"/>
      <c r="AL266" s="401"/>
      <c r="AM266" s="401"/>
    </row>
    <row r="267">
      <c r="A267" s="320"/>
      <c r="B267" s="321"/>
      <c r="C267" s="322"/>
      <c r="D267" s="401"/>
      <c r="E267" s="320"/>
      <c r="F267" s="321"/>
      <c r="G267" s="322"/>
      <c r="H267" s="401"/>
      <c r="I267" s="320"/>
      <c r="J267" s="321"/>
      <c r="K267" s="322"/>
      <c r="L267" s="401"/>
      <c r="M267" s="320"/>
      <c r="N267" s="321"/>
      <c r="O267" s="322"/>
      <c r="P267" s="401"/>
      <c r="Q267" s="203"/>
      <c r="R267" s="223"/>
      <c r="S267" s="404"/>
      <c r="T267" s="405"/>
      <c r="U267" s="203"/>
      <c r="V267" s="223"/>
      <c r="W267" s="404"/>
      <c r="X267" s="405"/>
      <c r="Y267" s="203"/>
      <c r="Z267" s="223"/>
      <c r="AA267" s="404"/>
      <c r="AB267" s="405"/>
      <c r="AC267" s="203"/>
      <c r="AD267" s="223"/>
      <c r="AE267" s="404"/>
      <c r="AF267" s="405"/>
      <c r="AG267" s="203"/>
      <c r="AH267" s="223"/>
      <c r="AI267" s="404"/>
      <c r="AJ267" s="405"/>
      <c r="AK267" s="401"/>
      <c r="AL267" s="401"/>
      <c r="AM267" s="401"/>
    </row>
    <row r="268">
      <c r="A268" s="320"/>
      <c r="B268" s="321"/>
      <c r="C268" s="322"/>
      <c r="D268" s="401"/>
      <c r="E268" s="320"/>
      <c r="F268" s="321"/>
      <c r="G268" s="322"/>
      <c r="H268" s="401"/>
      <c r="I268" s="320"/>
      <c r="J268" s="321"/>
      <c r="K268" s="322"/>
      <c r="L268" s="401"/>
      <c r="M268" s="320"/>
      <c r="N268" s="321"/>
      <c r="O268" s="322"/>
      <c r="P268" s="401"/>
      <c r="Q268" s="203"/>
      <c r="R268" s="223"/>
      <c r="S268" s="404"/>
      <c r="T268" s="405"/>
      <c r="U268" s="203"/>
      <c r="V268" s="223"/>
      <c r="W268" s="404"/>
      <c r="X268" s="405"/>
      <c r="Y268" s="203"/>
      <c r="Z268" s="223"/>
      <c r="AA268" s="404"/>
      <c r="AB268" s="405"/>
      <c r="AC268" s="203"/>
      <c r="AD268" s="223"/>
      <c r="AE268" s="404"/>
      <c r="AF268" s="405"/>
      <c r="AG268" s="203"/>
      <c r="AH268" s="223"/>
      <c r="AI268" s="404"/>
      <c r="AJ268" s="405"/>
      <c r="AK268" s="401"/>
      <c r="AL268" s="401"/>
      <c r="AM268" s="401"/>
    </row>
    <row r="269">
      <c r="A269" s="320"/>
      <c r="B269" s="321"/>
      <c r="C269" s="322"/>
      <c r="D269" s="401"/>
      <c r="E269" s="320"/>
      <c r="F269" s="321"/>
      <c r="G269" s="322"/>
      <c r="H269" s="401"/>
      <c r="I269" s="320"/>
      <c r="J269" s="321"/>
      <c r="K269" s="322"/>
      <c r="L269" s="401"/>
      <c r="M269" s="320"/>
      <c r="N269" s="321"/>
      <c r="O269" s="322"/>
      <c r="P269" s="401"/>
      <c r="Q269" s="203"/>
      <c r="R269" s="223"/>
      <c r="S269" s="404"/>
      <c r="T269" s="405"/>
      <c r="U269" s="203"/>
      <c r="V269" s="223"/>
      <c r="W269" s="404"/>
      <c r="X269" s="405"/>
      <c r="Y269" s="203"/>
      <c r="Z269" s="223"/>
      <c r="AA269" s="404"/>
      <c r="AB269" s="405"/>
      <c r="AC269" s="203"/>
      <c r="AD269" s="223"/>
      <c r="AE269" s="404"/>
      <c r="AF269" s="405"/>
      <c r="AG269" s="203"/>
      <c r="AH269" s="223"/>
      <c r="AI269" s="404"/>
      <c r="AJ269" s="405"/>
      <c r="AK269" s="401"/>
      <c r="AL269" s="401"/>
      <c r="AM269" s="401"/>
    </row>
    <row r="270">
      <c r="A270" s="320"/>
      <c r="B270" s="321"/>
      <c r="C270" s="322"/>
      <c r="D270" s="401"/>
      <c r="E270" s="320"/>
      <c r="F270" s="321"/>
      <c r="G270" s="322"/>
      <c r="H270" s="401"/>
      <c r="I270" s="320"/>
      <c r="J270" s="321"/>
      <c r="K270" s="322"/>
      <c r="L270" s="401"/>
      <c r="M270" s="320"/>
      <c r="N270" s="321"/>
      <c r="O270" s="322"/>
      <c r="P270" s="401"/>
      <c r="Q270" s="203"/>
      <c r="R270" s="223"/>
      <c r="S270" s="404"/>
      <c r="T270" s="405"/>
      <c r="U270" s="203"/>
      <c r="V270" s="223"/>
      <c r="W270" s="404"/>
      <c r="X270" s="405"/>
      <c r="Y270" s="203"/>
      <c r="Z270" s="223"/>
      <c r="AA270" s="404"/>
      <c r="AB270" s="405"/>
      <c r="AC270" s="203"/>
      <c r="AD270" s="223"/>
      <c r="AE270" s="404"/>
      <c r="AF270" s="405"/>
      <c r="AG270" s="203"/>
      <c r="AH270" s="223"/>
      <c r="AI270" s="404"/>
      <c r="AJ270" s="405"/>
      <c r="AK270" s="401"/>
      <c r="AL270" s="401"/>
      <c r="AM270" s="401"/>
    </row>
    <row r="271">
      <c r="A271" s="320"/>
      <c r="B271" s="321"/>
      <c r="C271" s="322"/>
      <c r="D271" s="401"/>
      <c r="E271" s="320"/>
      <c r="F271" s="321"/>
      <c r="G271" s="322"/>
      <c r="H271" s="401"/>
      <c r="I271" s="320"/>
      <c r="J271" s="321"/>
      <c r="K271" s="322"/>
      <c r="L271" s="401"/>
      <c r="M271" s="320"/>
      <c r="N271" s="321"/>
      <c r="O271" s="322"/>
      <c r="P271" s="401"/>
      <c r="Q271" s="203"/>
      <c r="R271" s="223"/>
      <c r="S271" s="404"/>
      <c r="T271" s="405"/>
      <c r="U271" s="203"/>
      <c r="V271" s="223"/>
      <c r="W271" s="404"/>
      <c r="X271" s="405"/>
      <c r="Y271" s="203"/>
      <c r="Z271" s="223"/>
      <c r="AA271" s="404"/>
      <c r="AB271" s="405"/>
      <c r="AC271" s="203"/>
      <c r="AD271" s="223"/>
      <c r="AE271" s="404"/>
      <c r="AF271" s="405"/>
      <c r="AG271" s="203"/>
      <c r="AH271" s="223"/>
      <c r="AI271" s="404"/>
      <c r="AJ271" s="405"/>
      <c r="AK271" s="401"/>
      <c r="AL271" s="401"/>
      <c r="AM271" s="401"/>
    </row>
    <row r="272">
      <c r="A272" s="320"/>
      <c r="B272" s="321"/>
      <c r="C272" s="322"/>
      <c r="D272" s="401"/>
      <c r="E272" s="320"/>
      <c r="F272" s="321"/>
      <c r="G272" s="322"/>
      <c r="H272" s="401"/>
      <c r="I272" s="320"/>
      <c r="J272" s="321"/>
      <c r="K272" s="322"/>
      <c r="L272" s="401"/>
      <c r="M272" s="320"/>
      <c r="N272" s="321"/>
      <c r="O272" s="322"/>
      <c r="P272" s="401"/>
      <c r="Q272" s="203"/>
      <c r="R272" s="223"/>
      <c r="S272" s="404"/>
      <c r="T272" s="405"/>
      <c r="U272" s="203"/>
      <c r="V272" s="223"/>
      <c r="W272" s="404"/>
      <c r="X272" s="405"/>
      <c r="Y272" s="203"/>
      <c r="Z272" s="223"/>
      <c r="AA272" s="404"/>
      <c r="AB272" s="405"/>
      <c r="AC272" s="203"/>
      <c r="AD272" s="223"/>
      <c r="AE272" s="404"/>
      <c r="AF272" s="405"/>
      <c r="AG272" s="203"/>
      <c r="AH272" s="223"/>
      <c r="AI272" s="404"/>
      <c r="AJ272" s="405"/>
      <c r="AK272" s="401"/>
      <c r="AL272" s="401"/>
      <c r="AM272" s="401"/>
    </row>
    <row r="273">
      <c r="A273" s="320"/>
      <c r="B273" s="321"/>
      <c r="C273" s="322"/>
      <c r="D273" s="401"/>
      <c r="E273" s="320"/>
      <c r="F273" s="321"/>
      <c r="G273" s="322"/>
      <c r="H273" s="401"/>
      <c r="I273" s="320"/>
      <c r="J273" s="321"/>
      <c r="K273" s="322"/>
      <c r="L273" s="401"/>
      <c r="M273" s="320"/>
      <c r="N273" s="321"/>
      <c r="O273" s="322"/>
      <c r="P273" s="401"/>
      <c r="Q273" s="203"/>
      <c r="R273" s="223"/>
      <c r="S273" s="404"/>
      <c r="T273" s="405"/>
      <c r="U273" s="203"/>
      <c r="V273" s="223"/>
      <c r="W273" s="404"/>
      <c r="X273" s="405"/>
      <c r="Y273" s="203"/>
      <c r="Z273" s="223"/>
      <c r="AA273" s="404"/>
      <c r="AB273" s="405"/>
      <c r="AC273" s="203"/>
      <c r="AD273" s="223"/>
      <c r="AE273" s="404"/>
      <c r="AF273" s="405"/>
      <c r="AG273" s="203"/>
      <c r="AH273" s="223"/>
      <c r="AI273" s="404"/>
      <c r="AJ273" s="405"/>
      <c r="AK273" s="401"/>
      <c r="AL273" s="401"/>
      <c r="AM273" s="401"/>
    </row>
    <row r="274">
      <c r="A274" s="320"/>
      <c r="B274" s="321"/>
      <c r="C274" s="322"/>
      <c r="D274" s="401"/>
      <c r="E274" s="320"/>
      <c r="F274" s="321"/>
      <c r="G274" s="322"/>
      <c r="H274" s="401"/>
      <c r="I274" s="320"/>
      <c r="J274" s="321"/>
      <c r="K274" s="322"/>
      <c r="L274" s="401"/>
      <c r="M274" s="320"/>
      <c r="N274" s="321"/>
      <c r="O274" s="322"/>
      <c r="P274" s="401"/>
      <c r="Q274" s="203"/>
      <c r="R274" s="223"/>
      <c r="S274" s="404"/>
      <c r="T274" s="405"/>
      <c r="U274" s="203"/>
      <c r="V274" s="223"/>
      <c r="W274" s="404"/>
      <c r="X274" s="405"/>
      <c r="Y274" s="203"/>
      <c r="Z274" s="223"/>
      <c r="AA274" s="404"/>
      <c r="AB274" s="405"/>
      <c r="AC274" s="203"/>
      <c r="AD274" s="223"/>
      <c r="AE274" s="404"/>
      <c r="AF274" s="405"/>
      <c r="AG274" s="203"/>
      <c r="AH274" s="223"/>
      <c r="AI274" s="404"/>
      <c r="AJ274" s="405"/>
      <c r="AK274" s="401"/>
      <c r="AL274" s="401"/>
      <c r="AM274" s="401"/>
    </row>
    <row r="275">
      <c r="A275" s="320"/>
      <c r="B275" s="321"/>
      <c r="C275" s="322"/>
      <c r="D275" s="401"/>
      <c r="E275" s="320"/>
      <c r="F275" s="321"/>
      <c r="G275" s="322"/>
      <c r="H275" s="401"/>
      <c r="I275" s="320"/>
      <c r="J275" s="321"/>
      <c r="K275" s="322"/>
      <c r="L275" s="401"/>
      <c r="M275" s="320"/>
      <c r="N275" s="321"/>
      <c r="O275" s="322"/>
      <c r="P275" s="401"/>
      <c r="Q275" s="203"/>
      <c r="R275" s="223"/>
      <c r="S275" s="404"/>
      <c r="T275" s="405"/>
      <c r="U275" s="203"/>
      <c r="V275" s="223"/>
      <c r="W275" s="404"/>
      <c r="X275" s="405"/>
      <c r="Y275" s="203"/>
      <c r="Z275" s="223"/>
      <c r="AA275" s="404"/>
      <c r="AB275" s="405"/>
      <c r="AC275" s="203"/>
      <c r="AD275" s="223"/>
      <c r="AE275" s="404"/>
      <c r="AF275" s="405"/>
      <c r="AG275" s="203"/>
      <c r="AH275" s="223"/>
      <c r="AI275" s="404"/>
      <c r="AJ275" s="405"/>
      <c r="AK275" s="401"/>
      <c r="AL275" s="401"/>
      <c r="AM275" s="401"/>
    </row>
    <row r="276">
      <c r="A276" s="320"/>
      <c r="B276" s="321"/>
      <c r="C276" s="322"/>
      <c r="D276" s="401"/>
      <c r="E276" s="320"/>
      <c r="F276" s="321"/>
      <c r="G276" s="322"/>
      <c r="H276" s="401"/>
      <c r="I276" s="320"/>
      <c r="J276" s="321"/>
      <c r="K276" s="322"/>
      <c r="L276" s="401"/>
      <c r="M276" s="320"/>
      <c r="N276" s="321"/>
      <c r="O276" s="322"/>
      <c r="P276" s="401"/>
      <c r="Q276" s="203"/>
      <c r="R276" s="223"/>
      <c r="S276" s="404"/>
      <c r="T276" s="405"/>
      <c r="U276" s="203"/>
      <c r="V276" s="223"/>
      <c r="W276" s="404"/>
      <c r="X276" s="405"/>
      <c r="Y276" s="203"/>
      <c r="Z276" s="223"/>
      <c r="AA276" s="404"/>
      <c r="AB276" s="405"/>
      <c r="AC276" s="203"/>
      <c r="AD276" s="223"/>
      <c r="AE276" s="404"/>
      <c r="AF276" s="405"/>
      <c r="AG276" s="203"/>
      <c r="AH276" s="223"/>
      <c r="AI276" s="404"/>
      <c r="AJ276" s="405"/>
      <c r="AK276" s="401"/>
      <c r="AL276" s="401"/>
      <c r="AM276" s="401"/>
    </row>
    <row r="277">
      <c r="A277" s="320"/>
      <c r="B277" s="321"/>
      <c r="C277" s="322"/>
      <c r="D277" s="401"/>
      <c r="E277" s="320"/>
      <c r="F277" s="321"/>
      <c r="G277" s="322"/>
      <c r="H277" s="401"/>
      <c r="I277" s="320"/>
      <c r="J277" s="321"/>
      <c r="K277" s="322"/>
      <c r="L277" s="401"/>
      <c r="M277" s="320"/>
      <c r="N277" s="321"/>
      <c r="O277" s="322"/>
      <c r="P277" s="401"/>
      <c r="Q277" s="203"/>
      <c r="R277" s="223"/>
      <c r="S277" s="404"/>
      <c r="T277" s="405"/>
      <c r="U277" s="203"/>
      <c r="V277" s="223"/>
      <c r="W277" s="404"/>
      <c r="X277" s="405"/>
      <c r="Y277" s="203"/>
      <c r="Z277" s="223"/>
      <c r="AA277" s="404"/>
      <c r="AB277" s="405"/>
      <c r="AC277" s="203"/>
      <c r="AD277" s="223"/>
      <c r="AE277" s="404"/>
      <c r="AF277" s="405"/>
      <c r="AG277" s="203"/>
      <c r="AH277" s="223"/>
      <c r="AI277" s="404"/>
      <c r="AJ277" s="405"/>
      <c r="AK277" s="401"/>
      <c r="AL277" s="401"/>
      <c r="AM277" s="401"/>
    </row>
    <row r="278">
      <c r="A278" s="320"/>
      <c r="B278" s="321"/>
      <c r="C278" s="322"/>
      <c r="D278" s="401"/>
      <c r="E278" s="320"/>
      <c r="F278" s="321"/>
      <c r="G278" s="322"/>
      <c r="H278" s="401"/>
      <c r="I278" s="320"/>
      <c r="J278" s="321"/>
      <c r="K278" s="322"/>
      <c r="L278" s="401"/>
      <c r="M278" s="320"/>
      <c r="N278" s="321"/>
      <c r="O278" s="322"/>
      <c r="P278" s="401"/>
      <c r="Q278" s="203"/>
      <c r="R278" s="223"/>
      <c r="S278" s="404"/>
      <c r="T278" s="405"/>
      <c r="U278" s="203"/>
      <c r="V278" s="223"/>
      <c r="W278" s="404"/>
      <c r="X278" s="405"/>
      <c r="Y278" s="203"/>
      <c r="Z278" s="223"/>
      <c r="AA278" s="404"/>
      <c r="AB278" s="405"/>
      <c r="AC278" s="203"/>
      <c r="AD278" s="223"/>
      <c r="AE278" s="404"/>
      <c r="AF278" s="405"/>
      <c r="AG278" s="203"/>
      <c r="AH278" s="223"/>
      <c r="AI278" s="404"/>
      <c r="AJ278" s="405"/>
      <c r="AK278" s="401"/>
      <c r="AL278" s="401"/>
      <c r="AM278" s="401"/>
    </row>
    <row r="279">
      <c r="A279" s="320"/>
      <c r="B279" s="321"/>
      <c r="C279" s="322"/>
      <c r="D279" s="401"/>
      <c r="E279" s="320"/>
      <c r="F279" s="321"/>
      <c r="G279" s="322"/>
      <c r="H279" s="401"/>
      <c r="I279" s="320"/>
      <c r="J279" s="321"/>
      <c r="K279" s="322"/>
      <c r="L279" s="401"/>
      <c r="M279" s="320"/>
      <c r="N279" s="321"/>
      <c r="O279" s="322"/>
      <c r="P279" s="401"/>
      <c r="Q279" s="203"/>
      <c r="R279" s="223"/>
      <c r="S279" s="404"/>
      <c r="T279" s="405"/>
      <c r="U279" s="203"/>
      <c r="V279" s="223"/>
      <c r="W279" s="404"/>
      <c r="X279" s="405"/>
      <c r="Y279" s="203"/>
      <c r="Z279" s="223"/>
      <c r="AA279" s="404"/>
      <c r="AB279" s="405"/>
      <c r="AC279" s="203"/>
      <c r="AD279" s="223"/>
      <c r="AE279" s="404"/>
      <c r="AF279" s="405"/>
      <c r="AG279" s="203"/>
      <c r="AH279" s="223"/>
      <c r="AI279" s="404"/>
      <c r="AJ279" s="405"/>
      <c r="AK279" s="401"/>
      <c r="AL279" s="401"/>
      <c r="AM279" s="401"/>
    </row>
    <row r="280">
      <c r="A280" s="320"/>
      <c r="B280" s="321"/>
      <c r="C280" s="322"/>
      <c r="D280" s="401"/>
      <c r="E280" s="320"/>
      <c r="F280" s="321"/>
      <c r="G280" s="322"/>
      <c r="H280" s="401"/>
      <c r="I280" s="320"/>
      <c r="J280" s="321"/>
      <c r="K280" s="322"/>
      <c r="L280" s="401"/>
      <c r="M280" s="320"/>
      <c r="N280" s="321"/>
      <c r="O280" s="322"/>
      <c r="P280" s="401"/>
      <c r="Q280" s="203"/>
      <c r="R280" s="223"/>
      <c r="S280" s="404"/>
      <c r="T280" s="405"/>
      <c r="U280" s="203"/>
      <c r="V280" s="223"/>
      <c r="W280" s="404"/>
      <c r="X280" s="405"/>
      <c r="Y280" s="203"/>
      <c r="Z280" s="223"/>
      <c r="AA280" s="404"/>
      <c r="AB280" s="405"/>
      <c r="AC280" s="203"/>
      <c r="AD280" s="223"/>
      <c r="AE280" s="404"/>
      <c r="AF280" s="405"/>
      <c r="AG280" s="203"/>
      <c r="AH280" s="223"/>
      <c r="AI280" s="404"/>
      <c r="AJ280" s="405"/>
      <c r="AK280" s="401"/>
      <c r="AL280" s="401"/>
      <c r="AM280" s="401"/>
    </row>
    <row r="281">
      <c r="A281" s="320"/>
      <c r="B281" s="321"/>
      <c r="C281" s="322"/>
      <c r="D281" s="401"/>
      <c r="E281" s="320"/>
      <c r="F281" s="321"/>
      <c r="G281" s="322"/>
      <c r="H281" s="401"/>
      <c r="I281" s="320"/>
      <c r="J281" s="321"/>
      <c r="K281" s="322"/>
      <c r="L281" s="401"/>
      <c r="M281" s="320"/>
      <c r="N281" s="321"/>
      <c r="O281" s="322"/>
      <c r="P281" s="401"/>
      <c r="Q281" s="203"/>
      <c r="R281" s="223"/>
      <c r="S281" s="404"/>
      <c r="T281" s="405"/>
      <c r="U281" s="203"/>
      <c r="V281" s="223"/>
      <c r="W281" s="404"/>
      <c r="X281" s="405"/>
      <c r="Y281" s="203"/>
      <c r="Z281" s="223"/>
      <c r="AA281" s="404"/>
      <c r="AB281" s="405"/>
      <c r="AC281" s="203"/>
      <c r="AD281" s="223"/>
      <c r="AE281" s="404"/>
      <c r="AF281" s="405"/>
      <c r="AG281" s="203"/>
      <c r="AH281" s="223"/>
      <c r="AI281" s="404"/>
      <c r="AJ281" s="405"/>
      <c r="AK281" s="401"/>
      <c r="AL281" s="401"/>
      <c r="AM281" s="401"/>
    </row>
    <row r="282">
      <c r="A282" s="320"/>
      <c r="B282" s="321"/>
      <c r="C282" s="322"/>
      <c r="D282" s="401"/>
      <c r="E282" s="320"/>
      <c r="F282" s="321"/>
      <c r="G282" s="322"/>
      <c r="H282" s="401"/>
      <c r="I282" s="320"/>
      <c r="J282" s="321"/>
      <c r="K282" s="322"/>
      <c r="L282" s="401"/>
      <c r="M282" s="320"/>
      <c r="N282" s="321"/>
      <c r="O282" s="322"/>
      <c r="P282" s="401"/>
      <c r="Q282" s="203"/>
      <c r="R282" s="223"/>
      <c r="S282" s="404"/>
      <c r="T282" s="405"/>
      <c r="U282" s="203"/>
      <c r="V282" s="223"/>
      <c r="W282" s="404"/>
      <c r="X282" s="405"/>
      <c r="Y282" s="203"/>
      <c r="Z282" s="223"/>
      <c r="AA282" s="404"/>
      <c r="AB282" s="405"/>
      <c r="AC282" s="203"/>
      <c r="AD282" s="223"/>
      <c r="AE282" s="404"/>
      <c r="AF282" s="405"/>
      <c r="AG282" s="203"/>
      <c r="AH282" s="223"/>
      <c r="AI282" s="404"/>
      <c r="AJ282" s="405"/>
      <c r="AK282" s="401"/>
      <c r="AL282" s="401"/>
      <c r="AM282" s="401"/>
    </row>
    <row r="283">
      <c r="A283" s="320"/>
      <c r="B283" s="321"/>
      <c r="C283" s="322"/>
      <c r="D283" s="401"/>
      <c r="E283" s="320"/>
      <c r="F283" s="321"/>
      <c r="G283" s="322"/>
      <c r="H283" s="401"/>
      <c r="I283" s="320"/>
      <c r="J283" s="321"/>
      <c r="K283" s="322"/>
      <c r="L283" s="401"/>
      <c r="M283" s="320"/>
      <c r="N283" s="321"/>
      <c r="O283" s="322"/>
      <c r="P283" s="401"/>
      <c r="Q283" s="203"/>
      <c r="R283" s="223"/>
      <c r="S283" s="404"/>
      <c r="T283" s="405"/>
      <c r="U283" s="203"/>
      <c r="V283" s="223"/>
      <c r="W283" s="404"/>
      <c r="X283" s="405"/>
      <c r="Y283" s="203"/>
      <c r="Z283" s="223"/>
      <c r="AA283" s="404"/>
      <c r="AB283" s="405"/>
      <c r="AC283" s="203"/>
      <c r="AD283" s="223"/>
      <c r="AE283" s="404"/>
      <c r="AF283" s="405"/>
      <c r="AG283" s="205"/>
      <c r="AH283" s="223"/>
      <c r="AI283" s="404"/>
      <c r="AJ283" s="405"/>
      <c r="AK283" s="401"/>
      <c r="AL283" s="401"/>
      <c r="AM283" s="401"/>
    </row>
    <row r="284">
      <c r="A284" s="320"/>
      <c r="B284" s="321"/>
      <c r="C284" s="322"/>
      <c r="D284" s="401"/>
      <c r="E284" s="320"/>
      <c r="F284" s="321"/>
      <c r="G284" s="322"/>
      <c r="H284" s="401"/>
      <c r="I284" s="320"/>
      <c r="J284" s="321"/>
      <c r="K284" s="322"/>
      <c r="L284" s="401"/>
      <c r="M284" s="320"/>
      <c r="N284" s="321"/>
      <c r="O284" s="322"/>
      <c r="P284" s="401"/>
      <c r="Q284" s="203"/>
      <c r="R284" s="223"/>
      <c r="S284" s="404"/>
      <c r="T284" s="405"/>
      <c r="U284" s="203"/>
      <c r="V284" s="223"/>
      <c r="W284" s="404"/>
      <c r="X284" s="405"/>
      <c r="Y284" s="203"/>
      <c r="Z284" s="223"/>
      <c r="AA284" s="404"/>
      <c r="AB284" s="405"/>
      <c r="AC284" s="203"/>
      <c r="AD284" s="223"/>
      <c r="AE284" s="404"/>
      <c r="AF284" s="405"/>
      <c r="AG284" s="205"/>
      <c r="AH284" s="223"/>
      <c r="AI284" s="404"/>
      <c r="AJ284" s="405"/>
      <c r="AK284" s="401"/>
      <c r="AL284" s="401"/>
      <c r="AM284" s="401"/>
    </row>
    <row r="285">
      <c r="A285" s="320"/>
      <c r="B285" s="321"/>
      <c r="C285" s="322"/>
      <c r="D285" s="401"/>
      <c r="E285" s="320"/>
      <c r="F285" s="321"/>
      <c r="G285" s="322"/>
      <c r="H285" s="401"/>
      <c r="I285" s="320"/>
      <c r="J285" s="321"/>
      <c r="K285" s="322"/>
      <c r="L285" s="401"/>
      <c r="M285" s="320"/>
      <c r="N285" s="321"/>
      <c r="O285" s="322"/>
      <c r="P285" s="401"/>
      <c r="Q285" s="203"/>
      <c r="R285" s="223"/>
      <c r="S285" s="404"/>
      <c r="T285" s="405"/>
      <c r="U285" s="203"/>
      <c r="V285" s="223"/>
      <c r="W285" s="404"/>
      <c r="X285" s="405"/>
      <c r="Y285" s="203"/>
      <c r="Z285" s="223"/>
      <c r="AA285" s="404"/>
      <c r="AB285" s="405"/>
      <c r="AC285" s="203"/>
      <c r="AD285" s="223"/>
      <c r="AE285" s="404"/>
      <c r="AF285" s="405"/>
      <c r="AG285" s="205"/>
      <c r="AH285" s="223"/>
      <c r="AI285" s="404"/>
      <c r="AJ285" s="405"/>
      <c r="AK285" s="401"/>
      <c r="AL285" s="401"/>
      <c r="AM285" s="401"/>
    </row>
    <row r="286">
      <c r="A286" s="320"/>
      <c r="B286" s="321"/>
      <c r="C286" s="322"/>
      <c r="D286" s="401"/>
      <c r="E286" s="320"/>
      <c r="F286" s="321"/>
      <c r="G286" s="322"/>
      <c r="H286" s="401"/>
      <c r="I286" s="320"/>
      <c r="J286" s="321"/>
      <c r="K286" s="322"/>
      <c r="L286" s="401"/>
      <c r="M286" s="320"/>
      <c r="N286" s="321"/>
      <c r="O286" s="322"/>
      <c r="P286" s="401"/>
      <c r="Q286" s="203"/>
      <c r="R286" s="223"/>
      <c r="S286" s="404"/>
      <c r="T286" s="405"/>
      <c r="U286" s="203"/>
      <c r="V286" s="223"/>
      <c r="W286" s="404"/>
      <c r="X286" s="405"/>
      <c r="Y286" s="203"/>
      <c r="Z286" s="223"/>
      <c r="AA286" s="404"/>
      <c r="AB286" s="405"/>
      <c r="AC286" s="203"/>
      <c r="AD286" s="223"/>
      <c r="AE286" s="404"/>
      <c r="AF286" s="405"/>
      <c r="AG286" s="205"/>
      <c r="AH286" s="223"/>
      <c r="AI286" s="404"/>
      <c r="AJ286" s="405"/>
      <c r="AK286" s="401"/>
      <c r="AL286" s="401"/>
      <c r="AM286" s="401"/>
    </row>
    <row r="287">
      <c r="A287" s="320"/>
      <c r="B287" s="321"/>
      <c r="C287" s="322"/>
      <c r="D287" s="401"/>
      <c r="E287" s="320"/>
      <c r="F287" s="321"/>
      <c r="G287" s="322"/>
      <c r="H287" s="401"/>
      <c r="I287" s="320"/>
      <c r="J287" s="321"/>
      <c r="K287" s="322"/>
      <c r="L287" s="401"/>
      <c r="M287" s="320"/>
      <c r="N287" s="321"/>
      <c r="O287" s="322"/>
      <c r="P287" s="401"/>
      <c r="Q287" s="203"/>
      <c r="R287" s="223"/>
      <c r="S287" s="404"/>
      <c r="T287" s="405"/>
      <c r="U287" s="203"/>
      <c r="V287" s="223"/>
      <c r="W287" s="404"/>
      <c r="X287" s="405"/>
      <c r="Y287" s="203"/>
      <c r="Z287" s="223"/>
      <c r="AA287" s="404"/>
      <c r="AB287" s="405"/>
      <c r="AC287" s="203"/>
      <c r="AD287" s="223"/>
      <c r="AE287" s="404"/>
      <c r="AF287" s="405"/>
      <c r="AG287" s="205"/>
      <c r="AH287" s="223"/>
      <c r="AI287" s="404"/>
      <c r="AJ287" s="405"/>
      <c r="AK287" s="401"/>
      <c r="AL287" s="401"/>
      <c r="AM287" s="401"/>
    </row>
    <row r="288">
      <c r="A288" s="320"/>
      <c r="B288" s="321"/>
      <c r="C288" s="322"/>
      <c r="D288" s="401"/>
      <c r="E288" s="320"/>
      <c r="F288" s="321"/>
      <c r="G288" s="322"/>
      <c r="H288" s="401"/>
      <c r="I288" s="320"/>
      <c r="J288" s="321"/>
      <c r="K288" s="322"/>
      <c r="L288" s="401"/>
      <c r="M288" s="320"/>
      <c r="N288" s="321"/>
      <c r="O288" s="322"/>
      <c r="P288" s="401"/>
      <c r="Q288" s="203"/>
      <c r="R288" s="223"/>
      <c r="S288" s="404"/>
      <c r="T288" s="405"/>
      <c r="U288" s="203"/>
      <c r="V288" s="223"/>
      <c r="W288" s="404"/>
      <c r="X288" s="405"/>
      <c r="Y288" s="203"/>
      <c r="Z288" s="223"/>
      <c r="AA288" s="404"/>
      <c r="AB288" s="405"/>
      <c r="AC288" s="203"/>
      <c r="AD288" s="223"/>
      <c r="AE288" s="404"/>
      <c r="AF288" s="405"/>
      <c r="AG288" s="205"/>
      <c r="AH288" s="223"/>
      <c r="AI288" s="404"/>
      <c r="AJ288" s="405"/>
      <c r="AK288" s="401"/>
      <c r="AL288" s="401"/>
      <c r="AM288" s="401"/>
    </row>
    <row r="289">
      <c r="A289" s="320"/>
      <c r="B289" s="321"/>
      <c r="C289" s="322"/>
      <c r="D289" s="401"/>
      <c r="E289" s="320"/>
      <c r="F289" s="321"/>
      <c r="G289" s="322"/>
      <c r="H289" s="401"/>
      <c r="I289" s="320"/>
      <c r="J289" s="321"/>
      <c r="K289" s="322"/>
      <c r="L289" s="401"/>
      <c r="M289" s="320"/>
      <c r="N289" s="321"/>
      <c r="O289" s="322"/>
      <c r="P289" s="401"/>
      <c r="Q289" s="203"/>
      <c r="R289" s="223"/>
      <c r="S289" s="404"/>
      <c r="T289" s="405"/>
      <c r="U289" s="203"/>
      <c r="V289" s="223"/>
      <c r="W289" s="404"/>
      <c r="X289" s="405"/>
      <c r="Y289" s="203"/>
      <c r="Z289" s="223"/>
      <c r="AA289" s="404"/>
      <c r="AB289" s="405"/>
      <c r="AC289" s="203"/>
      <c r="AD289" s="223"/>
      <c r="AE289" s="404"/>
      <c r="AF289" s="405"/>
      <c r="AG289" s="205"/>
      <c r="AH289" s="223"/>
      <c r="AI289" s="404"/>
      <c r="AJ289" s="405"/>
      <c r="AK289" s="401"/>
      <c r="AL289" s="401"/>
      <c r="AM289" s="401"/>
    </row>
    <row r="290">
      <c r="A290" s="320"/>
      <c r="B290" s="321"/>
      <c r="C290" s="322"/>
      <c r="D290" s="401"/>
      <c r="E290" s="320"/>
      <c r="F290" s="321"/>
      <c r="G290" s="322"/>
      <c r="H290" s="401"/>
      <c r="I290" s="320"/>
      <c r="J290" s="321"/>
      <c r="K290" s="322"/>
      <c r="L290" s="401"/>
      <c r="M290" s="320"/>
      <c r="N290" s="321"/>
      <c r="O290" s="322"/>
      <c r="P290" s="401"/>
      <c r="Q290" s="203"/>
      <c r="R290" s="223"/>
      <c r="S290" s="404"/>
      <c r="T290" s="405"/>
      <c r="U290" s="203"/>
      <c r="V290" s="223"/>
      <c r="W290" s="404"/>
      <c r="X290" s="405"/>
      <c r="Y290" s="203"/>
      <c r="Z290" s="223"/>
      <c r="AA290" s="404"/>
      <c r="AB290" s="405"/>
      <c r="AC290" s="203"/>
      <c r="AD290" s="223"/>
      <c r="AE290" s="404"/>
      <c r="AF290" s="405"/>
      <c r="AG290" s="205"/>
      <c r="AH290" s="223"/>
      <c r="AI290" s="404"/>
      <c r="AJ290" s="405"/>
      <c r="AK290" s="401"/>
      <c r="AL290" s="401"/>
      <c r="AM290" s="401"/>
    </row>
    <row r="291">
      <c r="A291" s="320"/>
      <c r="B291" s="321"/>
      <c r="C291" s="322"/>
      <c r="D291" s="401"/>
      <c r="E291" s="320"/>
      <c r="F291" s="321"/>
      <c r="G291" s="322"/>
      <c r="H291" s="401"/>
      <c r="I291" s="320"/>
      <c r="J291" s="321"/>
      <c r="K291" s="322"/>
      <c r="L291" s="401"/>
      <c r="M291" s="320"/>
      <c r="N291" s="321"/>
      <c r="O291" s="322"/>
      <c r="P291" s="401"/>
      <c r="Q291" s="203"/>
      <c r="R291" s="223"/>
      <c r="S291" s="404"/>
      <c r="T291" s="405"/>
      <c r="U291" s="203"/>
      <c r="V291" s="223"/>
      <c r="W291" s="404"/>
      <c r="X291" s="405"/>
      <c r="Y291" s="203"/>
      <c r="Z291" s="223"/>
      <c r="AA291" s="404"/>
      <c r="AB291" s="405"/>
      <c r="AC291" s="203"/>
      <c r="AD291" s="223"/>
      <c r="AE291" s="404"/>
      <c r="AF291" s="405"/>
      <c r="AG291" s="205"/>
      <c r="AH291" s="223"/>
      <c r="AI291" s="404"/>
      <c r="AJ291" s="405"/>
      <c r="AK291" s="401"/>
      <c r="AL291" s="401"/>
      <c r="AM291" s="401"/>
    </row>
    <row r="292">
      <c r="A292" s="320"/>
      <c r="B292" s="321"/>
      <c r="C292" s="322"/>
      <c r="D292" s="401"/>
      <c r="E292" s="320"/>
      <c r="F292" s="321"/>
      <c r="G292" s="322"/>
      <c r="H292" s="401"/>
      <c r="I292" s="320"/>
      <c r="J292" s="321"/>
      <c r="K292" s="322"/>
      <c r="L292" s="401"/>
      <c r="M292" s="320"/>
      <c r="N292" s="321"/>
      <c r="O292" s="322"/>
      <c r="P292" s="401"/>
      <c r="Q292" s="203"/>
      <c r="R292" s="223"/>
      <c r="S292" s="404"/>
      <c r="T292" s="405"/>
      <c r="U292" s="203"/>
      <c r="V292" s="223"/>
      <c r="W292" s="404"/>
      <c r="X292" s="405"/>
      <c r="Y292" s="203"/>
      <c r="Z292" s="223"/>
      <c r="AA292" s="404"/>
      <c r="AB292" s="405"/>
      <c r="AC292" s="203"/>
      <c r="AD292" s="223"/>
      <c r="AE292" s="404"/>
      <c r="AF292" s="405"/>
      <c r="AG292" s="205"/>
      <c r="AH292" s="223"/>
      <c r="AI292" s="404"/>
      <c r="AJ292" s="405"/>
      <c r="AK292" s="401"/>
      <c r="AL292" s="401"/>
      <c r="AM292" s="401"/>
    </row>
    <row r="293">
      <c r="A293" s="320"/>
      <c r="B293" s="321"/>
      <c r="C293" s="322"/>
      <c r="D293" s="401"/>
      <c r="E293" s="320"/>
      <c r="F293" s="321"/>
      <c r="G293" s="322"/>
      <c r="H293" s="401"/>
      <c r="I293" s="320"/>
      <c r="J293" s="321"/>
      <c r="K293" s="322"/>
      <c r="L293" s="401"/>
      <c r="M293" s="320"/>
      <c r="N293" s="321"/>
      <c r="O293" s="322"/>
      <c r="P293" s="401"/>
      <c r="Q293" s="203"/>
      <c r="R293" s="223"/>
      <c r="S293" s="404"/>
      <c r="T293" s="405"/>
      <c r="U293" s="203"/>
      <c r="V293" s="223"/>
      <c r="W293" s="404"/>
      <c r="X293" s="405"/>
      <c r="Y293" s="203"/>
      <c r="Z293" s="223"/>
      <c r="AA293" s="404"/>
      <c r="AB293" s="405"/>
      <c r="AC293" s="203"/>
      <c r="AD293" s="223"/>
      <c r="AE293" s="404"/>
      <c r="AF293" s="405"/>
      <c r="AG293" s="205"/>
      <c r="AH293" s="223"/>
      <c r="AI293" s="404"/>
      <c r="AJ293" s="405"/>
      <c r="AK293" s="401"/>
      <c r="AL293" s="401"/>
      <c r="AM293" s="401"/>
    </row>
    <row r="294">
      <c r="A294" s="320"/>
      <c r="B294" s="321"/>
      <c r="C294" s="322"/>
      <c r="D294" s="401"/>
      <c r="E294" s="320"/>
      <c r="F294" s="321"/>
      <c r="G294" s="322"/>
      <c r="H294" s="401"/>
      <c r="I294" s="320"/>
      <c r="J294" s="321"/>
      <c r="K294" s="322"/>
      <c r="L294" s="401"/>
      <c r="M294" s="320"/>
      <c r="N294" s="321"/>
      <c r="O294" s="322"/>
      <c r="P294" s="401"/>
      <c r="Q294" s="203"/>
      <c r="R294" s="223"/>
      <c r="S294" s="404"/>
      <c r="T294" s="405"/>
      <c r="U294" s="203"/>
      <c r="V294" s="223"/>
      <c r="W294" s="404"/>
      <c r="X294" s="405"/>
      <c r="Y294" s="203"/>
      <c r="Z294" s="223"/>
      <c r="AA294" s="404"/>
      <c r="AB294" s="405"/>
      <c r="AC294" s="203"/>
      <c r="AD294" s="223"/>
      <c r="AE294" s="404"/>
      <c r="AF294" s="405"/>
      <c r="AG294" s="205"/>
      <c r="AH294" s="205"/>
      <c r="AI294" s="205"/>
      <c r="AJ294" s="205"/>
      <c r="AK294" s="401"/>
      <c r="AL294" s="401"/>
      <c r="AM294" s="401"/>
    </row>
    <row r="295">
      <c r="A295" s="320"/>
      <c r="B295" s="321"/>
      <c r="C295" s="322"/>
      <c r="D295" s="401"/>
      <c r="E295" s="320"/>
      <c r="F295" s="321"/>
      <c r="G295" s="322"/>
      <c r="H295" s="401"/>
      <c r="I295" s="320"/>
      <c r="J295" s="321"/>
      <c r="K295" s="322"/>
      <c r="L295" s="401"/>
      <c r="M295" s="320"/>
      <c r="N295" s="321"/>
      <c r="O295" s="322"/>
      <c r="P295" s="401"/>
      <c r="Q295" s="203"/>
      <c r="R295" s="223"/>
      <c r="S295" s="404"/>
      <c r="T295" s="405"/>
      <c r="U295" s="203"/>
      <c r="V295" s="223"/>
      <c r="W295" s="404"/>
      <c r="X295" s="405"/>
      <c r="Y295" s="203"/>
      <c r="Z295" s="223"/>
      <c r="AA295" s="404"/>
      <c r="AB295" s="405"/>
      <c r="AC295" s="203"/>
      <c r="AD295" s="223"/>
      <c r="AE295" s="404"/>
      <c r="AF295" s="405"/>
      <c r="AG295" s="205"/>
      <c r="AH295" s="205"/>
      <c r="AI295" s="205"/>
      <c r="AJ295" s="205"/>
      <c r="AK295" s="401"/>
      <c r="AL295" s="401"/>
      <c r="AM295" s="401"/>
    </row>
    <row r="296">
      <c r="A296" s="320"/>
      <c r="B296" s="321"/>
      <c r="C296" s="322"/>
      <c r="D296" s="401"/>
      <c r="E296" s="320"/>
      <c r="F296" s="321"/>
      <c r="G296" s="322"/>
      <c r="H296" s="401"/>
      <c r="I296" s="320"/>
      <c r="J296" s="321"/>
      <c r="K296" s="322"/>
      <c r="L296" s="401"/>
      <c r="M296" s="320"/>
      <c r="N296" s="321"/>
      <c r="O296" s="322"/>
      <c r="P296" s="401"/>
      <c r="Q296" s="203"/>
      <c r="R296" s="223"/>
      <c r="S296" s="404"/>
      <c r="T296" s="405"/>
      <c r="U296" s="203"/>
      <c r="V296" s="223"/>
      <c r="W296" s="404"/>
      <c r="X296" s="405"/>
      <c r="Y296" s="203"/>
      <c r="Z296" s="223"/>
      <c r="AA296" s="404"/>
      <c r="AB296" s="405"/>
      <c r="AC296" s="203"/>
      <c r="AD296" s="223"/>
      <c r="AE296" s="404"/>
      <c r="AF296" s="405"/>
      <c r="AG296" s="205"/>
      <c r="AH296" s="205"/>
      <c r="AI296" s="205"/>
      <c r="AJ296" s="205"/>
      <c r="AK296" s="401"/>
      <c r="AL296" s="401"/>
      <c r="AM296" s="401"/>
    </row>
    <row r="297">
      <c r="A297" s="320"/>
      <c r="B297" s="321"/>
      <c r="C297" s="322"/>
      <c r="D297" s="401"/>
      <c r="E297" s="320"/>
      <c r="F297" s="321"/>
      <c r="G297" s="322"/>
      <c r="H297" s="401"/>
      <c r="I297" s="320"/>
      <c r="J297" s="321"/>
      <c r="K297" s="322"/>
      <c r="L297" s="401"/>
      <c r="M297" s="320"/>
      <c r="N297" s="321"/>
      <c r="O297" s="322"/>
      <c r="P297" s="401"/>
      <c r="Q297" s="203"/>
      <c r="R297" s="223"/>
      <c r="S297" s="404"/>
      <c r="T297" s="405"/>
      <c r="U297" s="203"/>
      <c r="V297" s="223"/>
      <c r="W297" s="404"/>
      <c r="X297" s="405"/>
      <c r="Y297" s="203"/>
      <c r="Z297" s="223"/>
      <c r="AA297" s="404"/>
      <c r="AB297" s="405"/>
      <c r="AC297" s="203"/>
      <c r="AD297" s="223"/>
      <c r="AE297" s="404"/>
      <c r="AF297" s="405"/>
      <c r="AG297" s="205"/>
      <c r="AH297" s="205"/>
      <c r="AI297" s="205"/>
      <c r="AJ297" s="205"/>
      <c r="AK297" s="401"/>
      <c r="AL297" s="401"/>
      <c r="AM297" s="401"/>
    </row>
    <row r="298">
      <c r="A298" s="320"/>
      <c r="B298" s="321"/>
      <c r="C298" s="322"/>
      <c r="D298" s="401"/>
      <c r="E298" s="320"/>
      <c r="F298" s="321"/>
      <c r="G298" s="322"/>
      <c r="H298" s="401"/>
      <c r="I298" s="320"/>
      <c r="J298" s="321"/>
      <c r="K298" s="322"/>
      <c r="L298" s="401"/>
      <c r="M298" s="320"/>
      <c r="N298" s="321"/>
      <c r="O298" s="322"/>
      <c r="P298" s="401"/>
      <c r="Q298" s="203"/>
      <c r="R298" s="223"/>
      <c r="S298" s="404"/>
      <c r="T298" s="405"/>
      <c r="U298" s="203"/>
      <c r="V298" s="223"/>
      <c r="W298" s="404"/>
      <c r="X298" s="405"/>
      <c r="Y298" s="203"/>
      <c r="Z298" s="223"/>
      <c r="AA298" s="404"/>
      <c r="AB298" s="405"/>
      <c r="AC298" s="203"/>
      <c r="AD298" s="223"/>
      <c r="AE298" s="404"/>
      <c r="AF298" s="405"/>
      <c r="AG298" s="205"/>
      <c r="AH298" s="205"/>
      <c r="AI298" s="205"/>
      <c r="AJ298" s="205"/>
      <c r="AK298" s="401"/>
      <c r="AL298" s="401"/>
      <c r="AM298" s="401"/>
    </row>
    <row r="299">
      <c r="A299" s="320"/>
      <c r="B299" s="321"/>
      <c r="C299" s="322"/>
      <c r="D299" s="401"/>
      <c r="E299" s="320"/>
      <c r="F299" s="321"/>
      <c r="G299" s="322"/>
      <c r="H299" s="401"/>
      <c r="I299" s="320"/>
      <c r="J299" s="321"/>
      <c r="K299" s="322"/>
      <c r="L299" s="401"/>
      <c r="M299" s="320"/>
      <c r="N299" s="321"/>
      <c r="O299" s="322"/>
      <c r="P299" s="401"/>
      <c r="Q299" s="203"/>
      <c r="R299" s="223"/>
      <c r="S299" s="404"/>
      <c r="T299" s="405"/>
      <c r="U299" s="203"/>
      <c r="V299" s="223"/>
      <c r="W299" s="404"/>
      <c r="X299" s="405"/>
      <c r="Y299" s="203"/>
      <c r="Z299" s="223"/>
      <c r="AA299" s="404"/>
      <c r="AB299" s="405"/>
      <c r="AC299" s="203"/>
      <c r="AD299" s="223"/>
      <c r="AE299" s="404"/>
      <c r="AF299" s="405"/>
      <c r="AG299" s="205"/>
      <c r="AH299" s="205"/>
      <c r="AI299" s="205"/>
      <c r="AJ299" s="205"/>
      <c r="AK299" s="401"/>
      <c r="AL299" s="401"/>
      <c r="AM299" s="401"/>
    </row>
    <row r="300">
      <c r="A300" s="320"/>
      <c r="B300" s="321"/>
      <c r="C300" s="322"/>
      <c r="D300" s="401"/>
      <c r="E300" s="320"/>
      <c r="F300" s="321"/>
      <c r="G300" s="322"/>
      <c r="H300" s="401"/>
      <c r="I300" s="320"/>
      <c r="J300" s="321"/>
      <c r="K300" s="322"/>
      <c r="L300" s="401"/>
      <c r="M300" s="320"/>
      <c r="N300" s="321"/>
      <c r="O300" s="322"/>
      <c r="P300" s="401"/>
      <c r="Q300" s="203"/>
      <c r="R300" s="223"/>
      <c r="S300" s="404"/>
      <c r="T300" s="405"/>
      <c r="U300" s="203"/>
      <c r="V300" s="223"/>
      <c r="W300" s="404"/>
      <c r="X300" s="405"/>
      <c r="Y300" s="203"/>
      <c r="Z300" s="223"/>
      <c r="AA300" s="404"/>
      <c r="AB300" s="405"/>
      <c r="AC300" s="203"/>
      <c r="AD300" s="223"/>
      <c r="AE300" s="404"/>
      <c r="AF300" s="405"/>
      <c r="AG300" s="205"/>
      <c r="AH300" s="205"/>
      <c r="AI300" s="205"/>
      <c r="AJ300" s="205"/>
      <c r="AK300" s="401"/>
      <c r="AL300" s="401"/>
      <c r="AM300" s="401"/>
    </row>
    <row r="301">
      <c r="A301" s="320"/>
      <c r="B301" s="321"/>
      <c r="C301" s="322"/>
      <c r="D301" s="401"/>
      <c r="E301" s="320"/>
      <c r="F301" s="321"/>
      <c r="G301" s="322"/>
      <c r="H301" s="401"/>
      <c r="I301" s="320"/>
      <c r="J301" s="321"/>
      <c r="K301" s="322"/>
      <c r="L301" s="401"/>
      <c r="M301" s="320"/>
      <c r="N301" s="321"/>
      <c r="O301" s="322"/>
      <c r="P301" s="401"/>
      <c r="Q301" s="203"/>
      <c r="R301" s="223"/>
      <c r="S301" s="404"/>
      <c r="T301" s="405"/>
      <c r="U301" s="203"/>
      <c r="V301" s="223"/>
      <c r="W301" s="404"/>
      <c r="X301" s="405"/>
      <c r="Y301" s="203"/>
      <c r="Z301" s="223"/>
      <c r="AA301" s="404"/>
      <c r="AB301" s="405"/>
      <c r="AC301" s="203"/>
      <c r="AD301" s="223"/>
      <c r="AE301" s="404"/>
      <c r="AF301" s="405"/>
      <c r="AG301" s="205"/>
      <c r="AH301" s="205"/>
      <c r="AI301" s="205"/>
      <c r="AJ301" s="205"/>
      <c r="AK301" s="401"/>
      <c r="AL301" s="401"/>
      <c r="AM301" s="401"/>
    </row>
    <row r="302">
      <c r="A302" s="320"/>
      <c r="B302" s="321"/>
      <c r="C302" s="322"/>
      <c r="D302" s="401"/>
      <c r="E302" s="320"/>
      <c r="F302" s="321"/>
      <c r="G302" s="322"/>
      <c r="H302" s="401"/>
      <c r="I302" s="320"/>
      <c r="J302" s="321"/>
      <c r="K302" s="322"/>
      <c r="L302" s="401"/>
      <c r="M302" s="320"/>
      <c r="N302" s="321"/>
      <c r="O302" s="322"/>
      <c r="P302" s="401"/>
      <c r="Q302" s="203"/>
      <c r="R302" s="223"/>
      <c r="S302" s="404"/>
      <c r="T302" s="405"/>
      <c r="U302" s="203"/>
      <c r="V302" s="223"/>
      <c r="W302" s="404"/>
      <c r="X302" s="405"/>
      <c r="Y302" s="203"/>
      <c r="Z302" s="223"/>
      <c r="AA302" s="404"/>
      <c r="AB302" s="405"/>
      <c r="AC302" s="203"/>
      <c r="AD302" s="223"/>
      <c r="AE302" s="404"/>
      <c r="AF302" s="405"/>
      <c r="AG302" s="205"/>
      <c r="AH302" s="205"/>
      <c r="AI302" s="205"/>
      <c r="AJ302" s="205"/>
      <c r="AK302" s="401"/>
      <c r="AL302" s="401"/>
      <c r="AM302" s="401"/>
    </row>
    <row r="303">
      <c r="A303" s="320"/>
      <c r="B303" s="321"/>
      <c r="C303" s="322"/>
      <c r="D303" s="401"/>
      <c r="E303" s="320"/>
      <c r="F303" s="321"/>
      <c r="G303" s="322"/>
      <c r="H303" s="401"/>
      <c r="I303" s="320"/>
      <c r="J303" s="321"/>
      <c r="K303" s="322"/>
      <c r="L303" s="401"/>
      <c r="M303" s="320"/>
      <c r="N303" s="321"/>
      <c r="O303" s="322"/>
      <c r="P303" s="401"/>
      <c r="Q303" s="203"/>
      <c r="R303" s="223"/>
      <c r="S303" s="404"/>
      <c r="T303" s="405"/>
      <c r="U303" s="203"/>
      <c r="V303" s="223"/>
      <c r="W303" s="404"/>
      <c r="X303" s="405"/>
      <c r="Y303" s="203"/>
      <c r="Z303" s="223"/>
      <c r="AA303" s="404"/>
      <c r="AB303" s="405"/>
      <c r="AC303" s="203"/>
      <c r="AD303" s="223"/>
      <c r="AE303" s="404"/>
      <c r="AF303" s="405"/>
      <c r="AG303" s="205"/>
      <c r="AH303" s="205"/>
      <c r="AI303" s="205"/>
      <c r="AJ303" s="205"/>
      <c r="AK303" s="401"/>
      <c r="AL303" s="401"/>
      <c r="AM303" s="401"/>
    </row>
    <row r="304">
      <c r="A304" s="320"/>
      <c r="B304" s="321"/>
      <c r="C304" s="322"/>
      <c r="D304" s="401"/>
      <c r="E304" s="320"/>
      <c r="F304" s="321"/>
      <c r="G304" s="322"/>
      <c r="H304" s="401"/>
      <c r="I304" s="320"/>
      <c r="J304" s="321"/>
      <c r="K304" s="322"/>
      <c r="L304" s="401"/>
      <c r="M304" s="320"/>
      <c r="N304" s="321"/>
      <c r="O304" s="322"/>
      <c r="P304" s="401"/>
      <c r="Q304" s="203"/>
      <c r="R304" s="223"/>
      <c r="S304" s="404"/>
      <c r="T304" s="405"/>
      <c r="U304" s="203"/>
      <c r="V304" s="223"/>
      <c r="W304" s="404"/>
      <c r="X304" s="405"/>
      <c r="Y304" s="203"/>
      <c r="Z304" s="223"/>
      <c r="AA304" s="404"/>
      <c r="AB304" s="405"/>
      <c r="AC304" s="203"/>
      <c r="AD304" s="223"/>
      <c r="AE304" s="404"/>
      <c r="AF304" s="405"/>
      <c r="AG304" s="205"/>
      <c r="AH304" s="205"/>
      <c r="AI304" s="205"/>
      <c r="AJ304" s="205"/>
      <c r="AK304" s="401"/>
      <c r="AL304" s="401"/>
      <c r="AM304" s="401"/>
    </row>
    <row r="305">
      <c r="A305" s="320"/>
      <c r="B305" s="321"/>
      <c r="C305" s="322"/>
      <c r="D305" s="401"/>
      <c r="E305" s="320"/>
      <c r="F305" s="321"/>
      <c r="G305" s="322"/>
      <c r="H305" s="401"/>
      <c r="I305" s="320"/>
      <c r="J305" s="321"/>
      <c r="K305" s="322"/>
      <c r="L305" s="401"/>
      <c r="M305" s="320"/>
      <c r="N305" s="321"/>
      <c r="O305" s="322"/>
      <c r="P305" s="401"/>
      <c r="Q305" s="203"/>
      <c r="R305" s="223"/>
      <c r="S305" s="404"/>
      <c r="T305" s="405"/>
      <c r="U305" s="203"/>
      <c r="V305" s="223"/>
      <c r="W305" s="404"/>
      <c r="X305" s="405"/>
      <c r="Y305" s="203"/>
      <c r="Z305" s="223"/>
      <c r="AA305" s="404"/>
      <c r="AB305" s="405"/>
      <c r="AC305" s="203"/>
      <c r="AD305" s="223"/>
      <c r="AE305" s="404"/>
      <c r="AF305" s="405"/>
      <c r="AG305" s="205"/>
      <c r="AH305" s="205"/>
      <c r="AI305" s="205"/>
      <c r="AJ305" s="205"/>
      <c r="AK305" s="401"/>
      <c r="AL305" s="401"/>
      <c r="AM305" s="401"/>
    </row>
    <row r="306">
      <c r="A306" s="320"/>
      <c r="B306" s="321"/>
      <c r="C306" s="322"/>
      <c r="D306" s="401"/>
      <c r="E306" s="320"/>
      <c r="F306" s="321"/>
      <c r="G306" s="322"/>
      <c r="H306" s="401"/>
      <c r="I306" s="320"/>
      <c r="J306" s="321"/>
      <c r="K306" s="322"/>
      <c r="L306" s="401"/>
      <c r="M306" s="320"/>
      <c r="N306" s="321"/>
      <c r="O306" s="322"/>
      <c r="P306" s="401"/>
      <c r="Q306" s="203"/>
      <c r="R306" s="223"/>
      <c r="S306" s="404"/>
      <c r="T306" s="405"/>
      <c r="U306" s="203"/>
      <c r="V306" s="223"/>
      <c r="W306" s="404"/>
      <c r="X306" s="405"/>
      <c r="Y306" s="203"/>
      <c r="Z306" s="223"/>
      <c r="AA306" s="404"/>
      <c r="AB306" s="405"/>
      <c r="AC306" s="203"/>
      <c r="AD306" s="223"/>
      <c r="AE306" s="404"/>
      <c r="AF306" s="405"/>
      <c r="AG306" s="205"/>
      <c r="AH306" s="205"/>
      <c r="AI306" s="205"/>
      <c r="AJ306" s="205"/>
      <c r="AK306" s="401"/>
      <c r="AL306" s="401"/>
      <c r="AM306" s="401"/>
    </row>
    <row r="307">
      <c r="A307" s="320"/>
      <c r="B307" s="321"/>
      <c r="C307" s="322"/>
      <c r="D307" s="401"/>
      <c r="E307" s="320"/>
      <c r="F307" s="321"/>
      <c r="G307" s="322"/>
      <c r="H307" s="401"/>
      <c r="I307" s="320"/>
      <c r="J307" s="321"/>
      <c r="K307" s="322"/>
      <c r="L307" s="401"/>
      <c r="M307" s="320"/>
      <c r="N307" s="321"/>
      <c r="O307" s="322"/>
      <c r="P307" s="401"/>
      <c r="Q307" s="203"/>
      <c r="R307" s="223"/>
      <c r="S307" s="404"/>
      <c r="T307" s="405"/>
      <c r="U307" s="203"/>
      <c r="V307" s="223"/>
      <c r="W307" s="404"/>
      <c r="X307" s="405"/>
      <c r="Y307" s="203"/>
      <c r="Z307" s="223"/>
      <c r="AA307" s="404"/>
      <c r="AB307" s="405"/>
      <c r="AC307" s="203"/>
      <c r="AD307" s="223"/>
      <c r="AE307" s="404"/>
      <c r="AF307" s="405"/>
      <c r="AG307" s="205"/>
      <c r="AH307" s="205"/>
      <c r="AI307" s="205"/>
      <c r="AJ307" s="205"/>
      <c r="AK307" s="401"/>
      <c r="AL307" s="401"/>
      <c r="AM307" s="401"/>
    </row>
    <row r="308">
      <c r="A308" s="320"/>
      <c r="B308" s="321"/>
      <c r="C308" s="322"/>
      <c r="D308" s="401"/>
      <c r="E308" s="320"/>
      <c r="F308" s="321"/>
      <c r="G308" s="322"/>
      <c r="H308" s="401"/>
      <c r="I308" s="320"/>
      <c r="J308" s="321"/>
      <c r="K308" s="322"/>
      <c r="L308" s="401"/>
      <c r="M308" s="320"/>
      <c r="N308" s="321"/>
      <c r="O308" s="322"/>
      <c r="P308" s="401"/>
      <c r="Q308" s="203"/>
      <c r="R308" s="223"/>
      <c r="S308" s="404"/>
      <c r="T308" s="405"/>
      <c r="U308" s="203"/>
      <c r="V308" s="223"/>
      <c r="W308" s="404"/>
      <c r="X308" s="405"/>
      <c r="Y308" s="203"/>
      <c r="Z308" s="223"/>
      <c r="AA308" s="404"/>
      <c r="AB308" s="405"/>
      <c r="AC308" s="203"/>
      <c r="AD308" s="223"/>
      <c r="AE308" s="404"/>
      <c r="AF308" s="405"/>
      <c r="AG308" s="205"/>
      <c r="AH308" s="205"/>
      <c r="AI308" s="205"/>
      <c r="AJ308" s="205"/>
      <c r="AK308" s="401"/>
      <c r="AL308" s="401"/>
      <c r="AM308" s="401"/>
    </row>
    <row r="309">
      <c r="A309" s="320"/>
      <c r="B309" s="321"/>
      <c r="C309" s="322"/>
      <c r="D309" s="401"/>
      <c r="E309" s="320"/>
      <c r="F309" s="321"/>
      <c r="G309" s="322"/>
      <c r="H309" s="401"/>
      <c r="I309" s="320"/>
      <c r="J309" s="321"/>
      <c r="K309" s="322"/>
      <c r="L309" s="401"/>
      <c r="M309" s="320"/>
      <c r="N309" s="321"/>
      <c r="O309" s="322"/>
      <c r="P309" s="401"/>
      <c r="Q309" s="203"/>
      <c r="R309" s="223"/>
      <c r="S309" s="404"/>
      <c r="T309" s="405"/>
      <c r="U309" s="203"/>
      <c r="V309" s="223"/>
      <c r="W309" s="404"/>
      <c r="X309" s="405"/>
      <c r="Y309" s="203"/>
      <c r="Z309" s="223"/>
      <c r="AA309" s="404"/>
      <c r="AB309" s="405"/>
      <c r="AC309" s="203"/>
      <c r="AD309" s="223"/>
      <c r="AE309" s="404"/>
      <c r="AF309" s="405"/>
      <c r="AG309" s="205"/>
      <c r="AH309" s="205"/>
      <c r="AI309" s="205"/>
      <c r="AJ309" s="205"/>
      <c r="AK309" s="401"/>
      <c r="AL309" s="401"/>
      <c r="AM309" s="401"/>
    </row>
    <row r="310">
      <c r="A310" s="320"/>
      <c r="B310" s="321"/>
      <c r="C310" s="322"/>
      <c r="D310" s="401"/>
      <c r="E310" s="320"/>
      <c r="F310" s="321"/>
      <c r="G310" s="322"/>
      <c r="H310" s="401"/>
      <c r="I310" s="320"/>
      <c r="J310" s="321"/>
      <c r="K310" s="322"/>
      <c r="L310" s="401"/>
      <c r="M310" s="320"/>
      <c r="N310" s="321"/>
      <c r="O310" s="322"/>
      <c r="P310" s="401"/>
      <c r="Q310" s="203"/>
      <c r="R310" s="223"/>
      <c r="S310" s="404"/>
      <c r="T310" s="405"/>
      <c r="U310" s="203"/>
      <c r="V310" s="223"/>
      <c r="W310" s="404"/>
      <c r="X310" s="405"/>
      <c r="Y310" s="203"/>
      <c r="Z310" s="223"/>
      <c r="AA310" s="404"/>
      <c r="AB310" s="405"/>
      <c r="AC310" s="203"/>
      <c r="AD310" s="223"/>
      <c r="AE310" s="404"/>
      <c r="AF310" s="405"/>
      <c r="AG310" s="205"/>
      <c r="AH310" s="205"/>
      <c r="AI310" s="205"/>
      <c r="AJ310" s="205"/>
      <c r="AK310" s="401"/>
      <c r="AL310" s="401"/>
      <c r="AM310" s="401"/>
    </row>
    <row r="311">
      <c r="A311" s="320"/>
      <c r="B311" s="321"/>
      <c r="C311" s="322"/>
      <c r="D311" s="401"/>
      <c r="E311" s="320"/>
      <c r="F311" s="321"/>
      <c r="G311" s="322"/>
      <c r="H311" s="401"/>
      <c r="I311" s="320"/>
      <c r="J311" s="321"/>
      <c r="K311" s="322"/>
      <c r="L311" s="401"/>
      <c r="M311" s="320"/>
      <c r="N311" s="321"/>
      <c r="O311" s="322"/>
      <c r="P311" s="401"/>
      <c r="Q311" s="203"/>
      <c r="R311" s="223"/>
      <c r="S311" s="404"/>
      <c r="T311" s="405"/>
      <c r="U311" s="203"/>
      <c r="V311" s="223"/>
      <c r="W311" s="404"/>
      <c r="X311" s="405"/>
      <c r="Y311" s="203"/>
      <c r="Z311" s="223"/>
      <c r="AA311" s="404"/>
      <c r="AB311" s="405"/>
      <c r="AC311" s="203"/>
      <c r="AD311" s="223"/>
      <c r="AE311" s="404"/>
      <c r="AF311" s="405"/>
      <c r="AG311" s="205"/>
      <c r="AH311" s="205"/>
      <c r="AI311" s="205"/>
      <c r="AJ311" s="205"/>
      <c r="AK311" s="401"/>
      <c r="AL311" s="401"/>
      <c r="AM311" s="401"/>
    </row>
    <row r="312">
      <c r="A312" s="320"/>
      <c r="B312" s="321"/>
      <c r="C312" s="322"/>
      <c r="D312" s="401"/>
      <c r="E312" s="320"/>
      <c r="F312" s="321"/>
      <c r="G312" s="322"/>
      <c r="H312" s="401"/>
      <c r="I312" s="320"/>
      <c r="J312" s="321"/>
      <c r="K312" s="322"/>
      <c r="L312" s="401"/>
      <c r="M312" s="320"/>
      <c r="N312" s="321"/>
      <c r="O312" s="322"/>
      <c r="P312" s="401"/>
      <c r="Q312" s="203"/>
      <c r="R312" s="223"/>
      <c r="S312" s="404"/>
      <c r="T312" s="405"/>
      <c r="U312" s="203"/>
      <c r="V312" s="223"/>
      <c r="W312" s="404"/>
      <c r="X312" s="405"/>
      <c r="Y312" s="203"/>
      <c r="Z312" s="223"/>
      <c r="AA312" s="404"/>
      <c r="AB312" s="405"/>
      <c r="AC312" s="203"/>
      <c r="AD312" s="223"/>
      <c r="AE312" s="404"/>
      <c r="AF312" s="405"/>
      <c r="AG312" s="205"/>
      <c r="AH312" s="205"/>
      <c r="AI312" s="205"/>
      <c r="AJ312" s="205"/>
      <c r="AK312" s="401"/>
      <c r="AL312" s="401"/>
      <c r="AM312" s="401"/>
    </row>
    <row r="313">
      <c r="A313" s="320"/>
      <c r="B313" s="321"/>
      <c r="C313" s="322"/>
      <c r="D313" s="401"/>
      <c r="E313" s="320"/>
      <c r="F313" s="321"/>
      <c r="G313" s="322"/>
      <c r="H313" s="401"/>
      <c r="I313" s="320"/>
      <c r="J313" s="321"/>
      <c r="K313" s="322"/>
      <c r="L313" s="401"/>
      <c r="M313" s="320"/>
      <c r="N313" s="321"/>
      <c r="O313" s="322"/>
      <c r="P313" s="401"/>
      <c r="Q313" s="203"/>
      <c r="R313" s="223"/>
      <c r="S313" s="404"/>
      <c r="T313" s="405"/>
      <c r="U313" s="203"/>
      <c r="V313" s="223"/>
      <c r="W313" s="404"/>
      <c r="X313" s="405"/>
      <c r="Y313" s="203"/>
      <c r="Z313" s="223"/>
      <c r="AA313" s="404"/>
      <c r="AB313" s="405"/>
      <c r="AC313" s="203"/>
      <c r="AD313" s="223"/>
      <c r="AE313" s="404"/>
      <c r="AF313" s="405"/>
      <c r="AG313" s="205"/>
      <c r="AH313" s="205"/>
      <c r="AI313" s="205"/>
      <c r="AJ313" s="205"/>
      <c r="AK313" s="401"/>
      <c r="AL313" s="401"/>
      <c r="AM313" s="401"/>
    </row>
    <row r="314">
      <c r="A314" s="320"/>
      <c r="B314" s="321"/>
      <c r="C314" s="322"/>
      <c r="D314" s="401"/>
      <c r="E314" s="320"/>
      <c r="F314" s="321"/>
      <c r="G314" s="322"/>
      <c r="H314" s="401"/>
      <c r="I314" s="320"/>
      <c r="J314" s="321"/>
      <c r="K314" s="322"/>
      <c r="L314" s="401"/>
      <c r="M314" s="320"/>
      <c r="N314" s="321"/>
      <c r="O314" s="322"/>
      <c r="P314" s="401"/>
      <c r="Q314" s="203"/>
      <c r="R314" s="223"/>
      <c r="S314" s="404"/>
      <c r="T314" s="405"/>
      <c r="U314" s="203"/>
      <c r="V314" s="223"/>
      <c r="W314" s="404"/>
      <c r="X314" s="405"/>
      <c r="Y314" s="203"/>
      <c r="Z314" s="223"/>
      <c r="AA314" s="404"/>
      <c r="AB314" s="405"/>
      <c r="AC314" s="203"/>
      <c r="AD314" s="223"/>
      <c r="AE314" s="404"/>
      <c r="AF314" s="405"/>
      <c r="AG314" s="205"/>
      <c r="AH314" s="205"/>
      <c r="AI314" s="205"/>
      <c r="AJ314" s="205"/>
      <c r="AK314" s="401"/>
      <c r="AL314" s="401"/>
      <c r="AM314" s="401"/>
    </row>
    <row r="315">
      <c r="A315" s="320"/>
      <c r="B315" s="321"/>
      <c r="C315" s="322"/>
      <c r="D315" s="401"/>
      <c r="E315" s="320"/>
      <c r="F315" s="321"/>
      <c r="G315" s="322"/>
      <c r="H315" s="401"/>
      <c r="I315" s="320"/>
      <c r="J315" s="321"/>
      <c r="K315" s="322"/>
      <c r="L315" s="401"/>
      <c r="M315" s="320"/>
      <c r="N315" s="321"/>
      <c r="O315" s="322"/>
      <c r="P315" s="401"/>
      <c r="Q315" s="203"/>
      <c r="R315" s="223"/>
      <c r="S315" s="404"/>
      <c r="T315" s="405"/>
      <c r="U315" s="203"/>
      <c r="V315" s="223"/>
      <c r="W315" s="404"/>
      <c r="X315" s="405"/>
      <c r="Y315" s="203"/>
      <c r="Z315" s="223"/>
      <c r="AA315" s="404"/>
      <c r="AB315" s="405"/>
      <c r="AC315" s="203"/>
      <c r="AD315" s="223"/>
      <c r="AE315" s="404"/>
      <c r="AF315" s="405"/>
      <c r="AG315" s="205"/>
      <c r="AH315" s="205"/>
      <c r="AI315" s="205"/>
      <c r="AJ315" s="205"/>
      <c r="AK315" s="401"/>
      <c r="AL315" s="401"/>
      <c r="AM315" s="401"/>
    </row>
    <row r="316">
      <c r="A316" s="320"/>
      <c r="B316" s="321"/>
      <c r="C316" s="322"/>
      <c r="D316" s="401"/>
      <c r="E316" s="320"/>
      <c r="F316" s="321"/>
      <c r="G316" s="322"/>
      <c r="H316" s="401"/>
      <c r="I316" s="320"/>
      <c r="J316" s="321"/>
      <c r="K316" s="322"/>
      <c r="L316" s="401"/>
      <c r="M316" s="320"/>
      <c r="N316" s="321"/>
      <c r="O316" s="322"/>
      <c r="P316" s="401"/>
      <c r="Q316" s="203"/>
      <c r="R316" s="223"/>
      <c r="S316" s="404"/>
      <c r="T316" s="405"/>
      <c r="U316" s="203"/>
      <c r="V316" s="223"/>
      <c r="W316" s="404"/>
      <c r="X316" s="405"/>
      <c r="Y316" s="203"/>
      <c r="Z316" s="223"/>
      <c r="AA316" s="404"/>
      <c r="AB316" s="405"/>
      <c r="AC316" s="203"/>
      <c r="AD316" s="223"/>
      <c r="AE316" s="404"/>
      <c r="AF316" s="405"/>
      <c r="AG316" s="205"/>
      <c r="AH316" s="205"/>
      <c r="AI316" s="205"/>
      <c r="AJ316" s="205"/>
      <c r="AK316" s="401"/>
      <c r="AL316" s="401"/>
      <c r="AM316" s="401"/>
    </row>
    <row r="317">
      <c r="A317" s="320"/>
      <c r="B317" s="321"/>
      <c r="C317" s="322"/>
      <c r="D317" s="401"/>
      <c r="E317" s="320"/>
      <c r="F317" s="321"/>
      <c r="G317" s="322"/>
      <c r="H317" s="401"/>
      <c r="I317" s="320"/>
      <c r="J317" s="321"/>
      <c r="K317" s="322"/>
      <c r="L317" s="401"/>
      <c r="M317" s="320"/>
      <c r="N317" s="321"/>
      <c r="O317" s="322"/>
      <c r="P317" s="401"/>
      <c r="Q317" s="203"/>
      <c r="R317" s="223"/>
      <c r="S317" s="404"/>
      <c r="T317" s="405"/>
      <c r="U317" s="203"/>
      <c r="V317" s="223"/>
      <c r="W317" s="404"/>
      <c r="X317" s="405"/>
      <c r="Y317" s="203"/>
      <c r="Z317" s="223"/>
      <c r="AA317" s="404"/>
      <c r="AB317" s="405"/>
      <c r="AC317" s="203"/>
      <c r="AD317" s="223"/>
      <c r="AE317" s="404"/>
      <c r="AF317" s="405"/>
      <c r="AG317" s="205"/>
      <c r="AH317" s="205"/>
      <c r="AI317" s="205"/>
      <c r="AJ317" s="205"/>
      <c r="AK317" s="401"/>
      <c r="AL317" s="401"/>
      <c r="AM317" s="401"/>
    </row>
    <row r="318">
      <c r="A318" s="320"/>
      <c r="B318" s="321"/>
      <c r="C318" s="322"/>
      <c r="D318" s="401"/>
      <c r="E318" s="320"/>
      <c r="F318" s="321"/>
      <c r="G318" s="322"/>
      <c r="H318" s="401"/>
      <c r="I318" s="320"/>
      <c r="J318" s="321"/>
      <c r="K318" s="322"/>
      <c r="L318" s="401"/>
      <c r="M318" s="320"/>
      <c r="N318" s="321"/>
      <c r="O318" s="322"/>
      <c r="P318" s="401"/>
      <c r="Q318" s="203"/>
      <c r="R318" s="223"/>
      <c r="S318" s="404"/>
      <c r="T318" s="405"/>
      <c r="U318" s="203"/>
      <c r="V318" s="223"/>
      <c r="W318" s="404"/>
      <c r="X318" s="405"/>
      <c r="Y318" s="203"/>
      <c r="Z318" s="223"/>
      <c r="AA318" s="404"/>
      <c r="AB318" s="405"/>
      <c r="AC318" s="203"/>
      <c r="AD318" s="223"/>
      <c r="AE318" s="404"/>
      <c r="AF318" s="405"/>
      <c r="AG318" s="205"/>
      <c r="AH318" s="205"/>
      <c r="AI318" s="205"/>
      <c r="AJ318" s="205"/>
      <c r="AK318" s="401"/>
      <c r="AL318" s="401"/>
      <c r="AM318" s="401"/>
    </row>
    <row r="319">
      <c r="A319" s="320"/>
      <c r="B319" s="321"/>
      <c r="C319" s="322"/>
      <c r="D319" s="401"/>
      <c r="E319" s="320"/>
      <c r="F319" s="321"/>
      <c r="G319" s="322"/>
      <c r="H319" s="401"/>
      <c r="I319" s="320"/>
      <c r="J319" s="321"/>
      <c r="K319" s="322"/>
      <c r="L319" s="401"/>
      <c r="M319" s="320"/>
      <c r="N319" s="321"/>
      <c r="O319" s="322"/>
      <c r="P319" s="401"/>
      <c r="Q319" s="203"/>
      <c r="R319" s="223"/>
      <c r="S319" s="404"/>
      <c r="T319" s="405"/>
      <c r="U319" s="203"/>
      <c r="V319" s="223"/>
      <c r="W319" s="404"/>
      <c r="X319" s="405"/>
      <c r="Y319" s="203"/>
      <c r="Z319" s="223"/>
      <c r="AA319" s="404"/>
      <c r="AB319" s="405"/>
      <c r="AC319" s="203"/>
      <c r="AD319" s="223"/>
      <c r="AE319" s="404"/>
      <c r="AF319" s="405"/>
      <c r="AG319" s="205"/>
      <c r="AH319" s="205"/>
      <c r="AI319" s="205"/>
      <c r="AJ319" s="205"/>
      <c r="AK319" s="401"/>
      <c r="AL319" s="401"/>
      <c r="AM319" s="401"/>
    </row>
    <row r="320">
      <c r="A320" s="320"/>
      <c r="B320" s="321"/>
      <c r="C320" s="322"/>
      <c r="D320" s="401"/>
      <c r="E320" s="320"/>
      <c r="F320" s="321"/>
      <c r="G320" s="322"/>
      <c r="H320" s="401"/>
      <c r="I320" s="320"/>
      <c r="J320" s="321"/>
      <c r="K320" s="322"/>
      <c r="L320" s="401"/>
      <c r="M320" s="320"/>
      <c r="N320" s="321"/>
      <c r="O320" s="322"/>
      <c r="P320" s="401"/>
      <c r="Q320" s="203"/>
      <c r="R320" s="223"/>
      <c r="S320" s="404"/>
      <c r="T320" s="405"/>
      <c r="U320" s="203"/>
      <c r="V320" s="223"/>
      <c r="W320" s="404"/>
      <c r="X320" s="405"/>
      <c r="Y320" s="203"/>
      <c r="Z320" s="223"/>
      <c r="AA320" s="404"/>
      <c r="AB320" s="405"/>
      <c r="AC320" s="203"/>
      <c r="AD320" s="223"/>
      <c r="AE320" s="404"/>
      <c r="AF320" s="405"/>
      <c r="AG320" s="205"/>
      <c r="AH320" s="205"/>
      <c r="AI320" s="205"/>
      <c r="AJ320" s="205"/>
      <c r="AK320" s="401"/>
      <c r="AL320" s="401"/>
      <c r="AM320" s="401"/>
    </row>
    <row r="321">
      <c r="A321" s="320"/>
      <c r="B321" s="321"/>
      <c r="C321" s="322"/>
      <c r="D321" s="401"/>
      <c r="E321" s="320"/>
      <c r="F321" s="321"/>
      <c r="G321" s="322"/>
      <c r="H321" s="401"/>
      <c r="I321" s="320"/>
      <c r="J321" s="321"/>
      <c r="K321" s="322"/>
      <c r="L321" s="401"/>
      <c r="M321" s="320"/>
      <c r="N321" s="321"/>
      <c r="O321" s="322"/>
      <c r="P321" s="401"/>
      <c r="Q321" s="203"/>
      <c r="R321" s="223"/>
      <c r="S321" s="404"/>
      <c r="T321" s="405"/>
      <c r="U321" s="203"/>
      <c r="V321" s="223"/>
      <c r="W321" s="404"/>
      <c r="X321" s="405"/>
      <c r="Y321" s="203"/>
      <c r="Z321" s="223"/>
      <c r="AA321" s="404"/>
      <c r="AB321" s="405"/>
      <c r="AC321" s="203"/>
      <c r="AD321" s="223"/>
      <c r="AE321" s="404"/>
      <c r="AF321" s="405"/>
      <c r="AG321" s="205"/>
      <c r="AH321" s="205"/>
      <c r="AI321" s="205"/>
      <c r="AJ321" s="205"/>
      <c r="AK321" s="401"/>
      <c r="AL321" s="401"/>
      <c r="AM321" s="401"/>
    </row>
    <row r="322">
      <c r="A322" s="320"/>
      <c r="B322" s="321"/>
      <c r="C322" s="322"/>
      <c r="D322" s="401"/>
      <c r="E322" s="320"/>
      <c r="F322" s="321"/>
      <c r="G322" s="322"/>
      <c r="H322" s="401"/>
      <c r="I322" s="320"/>
      <c r="J322" s="321"/>
      <c r="K322" s="322"/>
      <c r="L322" s="401"/>
      <c r="M322" s="320"/>
      <c r="N322" s="321"/>
      <c r="O322" s="322"/>
      <c r="P322" s="401"/>
      <c r="Q322" s="203"/>
      <c r="R322" s="223"/>
      <c r="S322" s="404"/>
      <c r="T322" s="405"/>
      <c r="U322" s="203"/>
      <c r="V322" s="223"/>
      <c r="W322" s="404"/>
      <c r="X322" s="405"/>
      <c r="Y322" s="203"/>
      <c r="Z322" s="223"/>
      <c r="AA322" s="404"/>
      <c r="AB322" s="405"/>
      <c r="AC322" s="203"/>
      <c r="AD322" s="223"/>
      <c r="AE322" s="404"/>
      <c r="AF322" s="405"/>
      <c r="AG322" s="205"/>
      <c r="AH322" s="205"/>
      <c r="AI322" s="205"/>
      <c r="AJ322" s="205"/>
      <c r="AK322" s="401"/>
      <c r="AL322" s="401"/>
      <c r="AM322" s="401"/>
    </row>
    <row r="323">
      <c r="A323" s="320"/>
      <c r="B323" s="321"/>
      <c r="C323" s="322"/>
      <c r="D323" s="401"/>
      <c r="E323" s="320"/>
      <c r="F323" s="321"/>
      <c r="G323" s="322"/>
      <c r="H323" s="401"/>
      <c r="I323" s="320"/>
      <c r="J323" s="321"/>
      <c r="K323" s="322"/>
      <c r="L323" s="401"/>
      <c r="M323" s="320"/>
      <c r="N323" s="321"/>
      <c r="O323" s="322"/>
      <c r="P323" s="401"/>
      <c r="Q323" s="203"/>
      <c r="R323" s="223"/>
      <c r="S323" s="404"/>
      <c r="T323" s="405"/>
      <c r="U323" s="203"/>
      <c r="V323" s="223"/>
      <c r="W323" s="404"/>
      <c r="X323" s="405"/>
      <c r="Y323" s="203"/>
      <c r="Z323" s="223"/>
      <c r="AA323" s="404"/>
      <c r="AB323" s="405"/>
      <c r="AC323" s="203"/>
      <c r="AD323" s="223"/>
      <c r="AE323" s="404"/>
      <c r="AF323" s="405"/>
      <c r="AG323" s="205"/>
      <c r="AH323" s="205"/>
      <c r="AI323" s="205"/>
      <c r="AJ323" s="205"/>
      <c r="AK323" s="401"/>
      <c r="AL323" s="401"/>
      <c r="AM323" s="401"/>
    </row>
    <row r="324">
      <c r="A324" s="320"/>
      <c r="B324" s="321"/>
      <c r="C324" s="322"/>
      <c r="D324" s="401"/>
      <c r="E324" s="320"/>
      <c r="F324" s="321"/>
      <c r="G324" s="322"/>
      <c r="H324" s="401"/>
      <c r="I324" s="320"/>
      <c r="J324" s="321"/>
      <c r="K324" s="322"/>
      <c r="L324" s="401"/>
      <c r="M324" s="320"/>
      <c r="N324" s="321"/>
      <c r="O324" s="322"/>
      <c r="P324" s="401"/>
      <c r="Q324" s="203"/>
      <c r="R324" s="223"/>
      <c r="S324" s="404"/>
      <c r="T324" s="405"/>
      <c r="U324" s="203"/>
      <c r="V324" s="223"/>
      <c r="W324" s="404"/>
      <c r="X324" s="405"/>
      <c r="Y324" s="203"/>
      <c r="Z324" s="223"/>
      <c r="AA324" s="404"/>
      <c r="AB324" s="405"/>
      <c r="AC324" s="203"/>
      <c r="AD324" s="223"/>
      <c r="AE324" s="404"/>
      <c r="AF324" s="405"/>
      <c r="AG324" s="205"/>
      <c r="AH324" s="205"/>
      <c r="AI324" s="205"/>
      <c r="AJ324" s="205"/>
      <c r="AK324" s="401"/>
      <c r="AL324" s="401"/>
      <c r="AM324" s="401"/>
    </row>
    <row r="325">
      <c r="A325" s="320"/>
      <c r="B325" s="321"/>
      <c r="C325" s="322"/>
      <c r="D325" s="401"/>
      <c r="E325" s="320"/>
      <c r="F325" s="321"/>
      <c r="G325" s="322"/>
      <c r="H325" s="401"/>
      <c r="I325" s="320"/>
      <c r="J325" s="321"/>
      <c r="K325" s="322"/>
      <c r="L325" s="401"/>
      <c r="M325" s="320"/>
      <c r="N325" s="321"/>
      <c r="O325" s="322"/>
      <c r="P325" s="401"/>
      <c r="Q325" s="203"/>
      <c r="R325" s="223"/>
      <c r="S325" s="404"/>
      <c r="T325" s="405"/>
      <c r="U325" s="203"/>
      <c r="V325" s="223"/>
      <c r="W325" s="404"/>
      <c r="X325" s="405"/>
      <c r="Y325" s="203"/>
      <c r="Z325" s="223"/>
      <c r="AA325" s="404"/>
      <c r="AB325" s="405"/>
      <c r="AC325" s="203"/>
      <c r="AD325" s="223"/>
      <c r="AE325" s="404"/>
      <c r="AF325" s="405"/>
      <c r="AG325" s="205"/>
      <c r="AH325" s="205"/>
      <c r="AI325" s="205"/>
      <c r="AJ325" s="205"/>
      <c r="AK325" s="401"/>
      <c r="AL325" s="401"/>
      <c r="AM325" s="401"/>
    </row>
    <row r="326">
      <c r="A326" s="320"/>
      <c r="B326" s="321"/>
      <c r="C326" s="322"/>
      <c r="D326" s="401"/>
      <c r="E326" s="320"/>
      <c r="F326" s="321"/>
      <c r="G326" s="322"/>
      <c r="H326" s="401"/>
      <c r="I326" s="320"/>
      <c r="J326" s="321"/>
      <c r="K326" s="322"/>
      <c r="L326" s="401"/>
      <c r="M326" s="320"/>
      <c r="N326" s="321"/>
      <c r="O326" s="322"/>
      <c r="P326" s="401"/>
      <c r="Q326" s="203"/>
      <c r="R326" s="223"/>
      <c r="S326" s="404"/>
      <c r="T326" s="405"/>
      <c r="U326" s="203"/>
      <c r="V326" s="223"/>
      <c r="W326" s="404"/>
      <c r="X326" s="405"/>
      <c r="Y326" s="203"/>
      <c r="Z326" s="223"/>
      <c r="AA326" s="404"/>
      <c r="AB326" s="405"/>
      <c r="AC326" s="203"/>
      <c r="AD326" s="223"/>
      <c r="AE326" s="404"/>
      <c r="AF326" s="405"/>
      <c r="AG326" s="205"/>
      <c r="AH326" s="205"/>
      <c r="AI326" s="205"/>
      <c r="AJ326" s="205"/>
      <c r="AK326" s="401"/>
      <c r="AL326" s="401"/>
      <c r="AM326" s="401"/>
    </row>
    <row r="327">
      <c r="A327" s="320"/>
      <c r="B327" s="321"/>
      <c r="C327" s="322"/>
      <c r="D327" s="401"/>
      <c r="E327" s="320"/>
      <c r="F327" s="321"/>
      <c r="G327" s="322"/>
      <c r="H327" s="401"/>
      <c r="I327" s="320"/>
      <c r="J327" s="321"/>
      <c r="K327" s="322"/>
      <c r="L327" s="401"/>
      <c r="M327" s="320"/>
      <c r="N327" s="321"/>
      <c r="O327" s="322"/>
      <c r="P327" s="401"/>
      <c r="Q327" s="203"/>
      <c r="R327" s="223"/>
      <c r="S327" s="404"/>
      <c r="T327" s="405"/>
      <c r="U327" s="203"/>
      <c r="V327" s="223"/>
      <c r="W327" s="404"/>
      <c r="X327" s="405"/>
      <c r="Y327" s="203"/>
      <c r="Z327" s="223"/>
      <c r="AA327" s="404"/>
      <c r="AB327" s="405"/>
      <c r="AC327" s="203"/>
      <c r="AD327" s="223"/>
      <c r="AE327" s="404"/>
      <c r="AF327" s="405"/>
      <c r="AG327" s="205"/>
      <c r="AH327" s="205"/>
      <c r="AI327" s="205"/>
      <c r="AJ327" s="205"/>
      <c r="AK327" s="401"/>
      <c r="AL327" s="401"/>
      <c r="AM327" s="401"/>
    </row>
    <row r="328">
      <c r="A328" s="320"/>
      <c r="B328" s="321"/>
      <c r="C328" s="322"/>
      <c r="D328" s="401"/>
      <c r="E328" s="320"/>
      <c r="F328" s="321"/>
      <c r="G328" s="322"/>
      <c r="H328" s="401"/>
      <c r="I328" s="320"/>
      <c r="J328" s="321"/>
      <c r="K328" s="322"/>
      <c r="L328" s="401"/>
      <c r="M328" s="320"/>
      <c r="N328" s="321"/>
      <c r="O328" s="322"/>
      <c r="P328" s="401"/>
      <c r="Q328" s="203"/>
      <c r="R328" s="223"/>
      <c r="S328" s="404"/>
      <c r="T328" s="405"/>
      <c r="U328" s="203"/>
      <c r="V328" s="223"/>
      <c r="W328" s="404"/>
      <c r="X328" s="405"/>
      <c r="Y328" s="203"/>
      <c r="Z328" s="223"/>
      <c r="AA328" s="404"/>
      <c r="AB328" s="405"/>
      <c r="AC328" s="203"/>
      <c r="AD328" s="223"/>
      <c r="AE328" s="404"/>
      <c r="AF328" s="405"/>
      <c r="AG328" s="205"/>
      <c r="AH328" s="205"/>
      <c r="AI328" s="205"/>
      <c r="AJ328" s="205"/>
      <c r="AK328" s="401"/>
      <c r="AL328" s="401"/>
      <c r="AM328" s="401"/>
    </row>
    <row r="329">
      <c r="A329" s="320"/>
      <c r="B329" s="321"/>
      <c r="C329" s="322"/>
      <c r="D329" s="401"/>
      <c r="E329" s="320"/>
      <c r="F329" s="321"/>
      <c r="G329" s="322"/>
      <c r="H329" s="401"/>
      <c r="I329" s="320"/>
      <c r="J329" s="321"/>
      <c r="K329" s="322"/>
      <c r="L329" s="401"/>
      <c r="M329" s="320"/>
      <c r="N329" s="321"/>
      <c r="O329" s="322"/>
      <c r="P329" s="401"/>
      <c r="Q329" s="203"/>
      <c r="R329" s="223"/>
      <c r="S329" s="404"/>
      <c r="T329" s="405"/>
      <c r="U329" s="203"/>
      <c r="V329" s="223"/>
      <c r="W329" s="404"/>
      <c r="X329" s="405"/>
      <c r="Y329" s="203"/>
      <c r="Z329" s="223"/>
      <c r="AA329" s="404"/>
      <c r="AB329" s="405"/>
      <c r="AC329" s="203"/>
      <c r="AD329" s="223"/>
      <c r="AE329" s="404"/>
      <c r="AF329" s="405"/>
      <c r="AG329" s="205"/>
      <c r="AH329" s="205"/>
      <c r="AI329" s="205"/>
      <c r="AJ329" s="205"/>
      <c r="AK329" s="401"/>
      <c r="AL329" s="401"/>
      <c r="AM329" s="401"/>
    </row>
    <row r="330">
      <c r="A330" s="320"/>
      <c r="B330" s="321"/>
      <c r="C330" s="322"/>
      <c r="D330" s="401"/>
      <c r="E330" s="320"/>
      <c r="F330" s="321"/>
      <c r="G330" s="322"/>
      <c r="H330" s="401"/>
      <c r="I330" s="320"/>
      <c r="J330" s="321"/>
      <c r="K330" s="322"/>
      <c r="L330" s="401"/>
      <c r="M330" s="320"/>
      <c r="N330" s="321"/>
      <c r="O330" s="322"/>
      <c r="P330" s="401"/>
      <c r="Q330" s="203"/>
      <c r="R330" s="223"/>
      <c r="S330" s="404"/>
      <c r="T330" s="405"/>
      <c r="U330" s="203"/>
      <c r="V330" s="223"/>
      <c r="W330" s="404"/>
      <c r="X330" s="405"/>
      <c r="Y330" s="203"/>
      <c r="Z330" s="223"/>
      <c r="AA330" s="404"/>
      <c r="AB330" s="405"/>
      <c r="AC330" s="203"/>
      <c r="AD330" s="223"/>
      <c r="AE330" s="404"/>
      <c r="AF330" s="405"/>
      <c r="AG330" s="205"/>
      <c r="AH330" s="205"/>
      <c r="AI330" s="205"/>
      <c r="AJ330" s="205"/>
      <c r="AK330" s="401"/>
      <c r="AL330" s="401"/>
      <c r="AM330" s="401"/>
    </row>
    <row r="331">
      <c r="A331" s="320"/>
      <c r="B331" s="321"/>
      <c r="C331" s="322"/>
      <c r="D331" s="401"/>
      <c r="E331" s="320"/>
      <c r="F331" s="321"/>
      <c r="G331" s="322"/>
      <c r="H331" s="401"/>
      <c r="I331" s="320"/>
      <c r="J331" s="321"/>
      <c r="K331" s="322"/>
      <c r="L331" s="401"/>
      <c r="M331" s="320"/>
      <c r="N331" s="321"/>
      <c r="O331" s="322"/>
      <c r="P331" s="401"/>
      <c r="Q331" s="203"/>
      <c r="R331" s="223"/>
      <c r="S331" s="404"/>
      <c r="T331" s="405"/>
      <c r="U331" s="203"/>
      <c r="V331" s="223"/>
      <c r="W331" s="404"/>
      <c r="X331" s="405"/>
      <c r="Y331" s="203"/>
      <c r="Z331" s="223"/>
      <c r="AA331" s="404"/>
      <c r="AB331" s="405"/>
      <c r="AC331" s="203"/>
      <c r="AD331" s="223"/>
      <c r="AE331" s="404"/>
      <c r="AF331" s="405"/>
      <c r="AG331" s="205"/>
      <c r="AH331" s="205"/>
      <c r="AI331" s="205"/>
      <c r="AJ331" s="205"/>
      <c r="AK331" s="401"/>
      <c r="AL331" s="401"/>
      <c r="AM331" s="401"/>
    </row>
    <row r="332">
      <c r="A332" s="320"/>
      <c r="B332" s="321"/>
      <c r="C332" s="322"/>
      <c r="D332" s="401"/>
      <c r="E332" s="320"/>
      <c r="F332" s="321"/>
      <c r="G332" s="322"/>
      <c r="H332" s="401"/>
      <c r="I332" s="320"/>
      <c r="J332" s="321"/>
      <c r="K332" s="322"/>
      <c r="L332" s="401"/>
      <c r="M332" s="320"/>
      <c r="N332" s="321"/>
      <c r="O332" s="322"/>
      <c r="P332" s="401"/>
      <c r="Q332" s="203"/>
      <c r="R332" s="223"/>
      <c r="S332" s="404"/>
      <c r="T332" s="405"/>
      <c r="U332" s="203"/>
      <c r="V332" s="223"/>
      <c r="W332" s="404"/>
      <c r="X332" s="405"/>
      <c r="Y332" s="203"/>
      <c r="Z332" s="223"/>
      <c r="AA332" s="404"/>
      <c r="AB332" s="405"/>
      <c r="AC332" s="203"/>
      <c r="AD332" s="223"/>
      <c r="AE332" s="404"/>
      <c r="AF332" s="405"/>
      <c r="AG332" s="205"/>
      <c r="AH332" s="205"/>
      <c r="AI332" s="205"/>
      <c r="AJ332" s="205"/>
      <c r="AK332" s="401"/>
      <c r="AL332" s="401"/>
      <c r="AM332" s="401"/>
    </row>
    <row r="333">
      <c r="A333" s="320"/>
      <c r="B333" s="321"/>
      <c r="C333" s="322"/>
      <c r="D333" s="401"/>
      <c r="E333" s="320"/>
      <c r="F333" s="321"/>
      <c r="G333" s="322"/>
      <c r="H333" s="401"/>
      <c r="I333" s="320"/>
      <c r="J333" s="321"/>
      <c r="K333" s="322"/>
      <c r="L333" s="401"/>
      <c r="M333" s="320"/>
      <c r="N333" s="321"/>
      <c r="O333" s="322"/>
      <c r="P333" s="401"/>
      <c r="Q333" s="203"/>
      <c r="R333" s="223"/>
      <c r="S333" s="404"/>
      <c r="T333" s="405"/>
      <c r="U333" s="203"/>
      <c r="V333" s="223"/>
      <c r="W333" s="404"/>
      <c r="X333" s="405"/>
      <c r="Y333" s="203"/>
      <c r="Z333" s="223"/>
      <c r="AA333" s="404"/>
      <c r="AB333" s="405"/>
      <c r="AC333" s="203"/>
      <c r="AD333" s="223"/>
      <c r="AE333" s="404"/>
      <c r="AF333" s="405"/>
      <c r="AG333" s="205"/>
      <c r="AH333" s="205"/>
      <c r="AI333" s="205"/>
      <c r="AJ333" s="205"/>
      <c r="AK333" s="401"/>
      <c r="AL333" s="401"/>
      <c r="AM333" s="401"/>
    </row>
    <row r="334">
      <c r="A334" s="320"/>
      <c r="B334" s="321"/>
      <c r="C334" s="322"/>
      <c r="D334" s="401"/>
      <c r="E334" s="320"/>
      <c r="F334" s="321"/>
      <c r="G334" s="322"/>
      <c r="H334" s="401"/>
      <c r="I334" s="320"/>
      <c r="J334" s="321"/>
      <c r="K334" s="322"/>
      <c r="L334" s="401"/>
      <c r="M334" s="320"/>
      <c r="N334" s="321"/>
      <c r="O334" s="322"/>
      <c r="P334" s="401"/>
      <c r="Q334" s="203"/>
      <c r="R334" s="223"/>
      <c r="S334" s="404"/>
      <c r="T334" s="405"/>
      <c r="U334" s="203"/>
      <c r="V334" s="223"/>
      <c r="W334" s="404"/>
      <c r="X334" s="405"/>
      <c r="Y334" s="203"/>
      <c r="Z334" s="223"/>
      <c r="AA334" s="404"/>
      <c r="AB334" s="405"/>
      <c r="AC334" s="203"/>
      <c r="AD334" s="223"/>
      <c r="AE334" s="404"/>
      <c r="AF334" s="405"/>
      <c r="AG334" s="205"/>
      <c r="AH334" s="205"/>
      <c r="AI334" s="205"/>
      <c r="AJ334" s="205"/>
      <c r="AK334" s="401"/>
      <c r="AL334" s="401"/>
      <c r="AM334" s="401"/>
    </row>
    <row r="335">
      <c r="A335" s="320"/>
      <c r="B335" s="321"/>
      <c r="C335" s="322"/>
      <c r="D335" s="401"/>
      <c r="E335" s="320"/>
      <c r="F335" s="321"/>
      <c r="G335" s="322"/>
      <c r="H335" s="401"/>
      <c r="I335" s="320"/>
      <c r="J335" s="321"/>
      <c r="K335" s="322"/>
      <c r="L335" s="401"/>
      <c r="M335" s="320"/>
      <c r="N335" s="321"/>
      <c r="O335" s="322"/>
      <c r="P335" s="401"/>
      <c r="Q335" s="203"/>
      <c r="R335" s="223"/>
      <c r="S335" s="404"/>
      <c r="T335" s="405"/>
      <c r="U335" s="203"/>
      <c r="V335" s="223"/>
      <c r="W335" s="404"/>
      <c r="X335" s="405"/>
      <c r="Y335" s="203"/>
      <c r="Z335" s="223"/>
      <c r="AA335" s="404"/>
      <c r="AB335" s="405"/>
      <c r="AC335" s="203"/>
      <c r="AD335" s="223"/>
      <c r="AE335" s="404"/>
      <c r="AF335" s="405"/>
      <c r="AG335" s="205"/>
      <c r="AH335" s="205"/>
      <c r="AI335" s="205"/>
      <c r="AJ335" s="205"/>
      <c r="AK335" s="401"/>
      <c r="AL335" s="401"/>
      <c r="AM335" s="401"/>
    </row>
    <row r="336">
      <c r="A336" s="320"/>
      <c r="B336" s="321"/>
      <c r="C336" s="322"/>
      <c r="D336" s="401"/>
      <c r="E336" s="320"/>
      <c r="F336" s="321"/>
      <c r="G336" s="322"/>
      <c r="H336" s="401"/>
      <c r="I336" s="320"/>
      <c r="J336" s="321"/>
      <c r="K336" s="322"/>
      <c r="L336" s="401"/>
      <c r="M336" s="320"/>
      <c r="N336" s="321"/>
      <c r="O336" s="322"/>
      <c r="P336" s="401"/>
      <c r="Q336" s="203"/>
      <c r="R336" s="223"/>
      <c r="S336" s="404"/>
      <c r="T336" s="405"/>
      <c r="U336" s="203"/>
      <c r="V336" s="223"/>
      <c r="W336" s="404"/>
      <c r="X336" s="405"/>
      <c r="Y336" s="203"/>
      <c r="Z336" s="223"/>
      <c r="AA336" s="404"/>
      <c r="AB336" s="405"/>
      <c r="AC336" s="203"/>
      <c r="AD336" s="223"/>
      <c r="AE336" s="404"/>
      <c r="AF336" s="405"/>
      <c r="AG336" s="205"/>
      <c r="AH336" s="205"/>
      <c r="AI336" s="205"/>
      <c r="AJ336" s="205"/>
      <c r="AK336" s="401"/>
      <c r="AL336" s="401"/>
      <c r="AM336" s="401"/>
    </row>
    <row r="337">
      <c r="A337" s="320"/>
      <c r="B337" s="321"/>
      <c r="C337" s="322"/>
      <c r="D337" s="401"/>
      <c r="E337" s="320"/>
      <c r="F337" s="321"/>
      <c r="G337" s="322"/>
      <c r="H337" s="401"/>
      <c r="I337" s="320"/>
      <c r="J337" s="321"/>
      <c r="K337" s="322"/>
      <c r="L337" s="401"/>
      <c r="M337" s="320"/>
      <c r="N337" s="321"/>
      <c r="O337" s="322"/>
      <c r="P337" s="401"/>
      <c r="Q337" s="203"/>
      <c r="R337" s="223"/>
      <c r="S337" s="404"/>
      <c r="T337" s="405"/>
      <c r="U337" s="203"/>
      <c r="V337" s="223"/>
      <c r="W337" s="404"/>
      <c r="X337" s="405"/>
      <c r="Y337" s="203"/>
      <c r="Z337" s="223"/>
      <c r="AA337" s="404"/>
      <c r="AB337" s="405"/>
      <c r="AC337" s="203"/>
      <c r="AD337" s="223"/>
      <c r="AE337" s="404"/>
      <c r="AF337" s="405"/>
      <c r="AG337" s="205"/>
      <c r="AH337" s="205"/>
      <c r="AI337" s="205"/>
      <c r="AJ337" s="205"/>
      <c r="AK337" s="401"/>
      <c r="AL337" s="401"/>
      <c r="AM337" s="401"/>
    </row>
    <row r="338">
      <c r="A338" s="320"/>
      <c r="B338" s="321"/>
      <c r="C338" s="322"/>
      <c r="D338" s="401"/>
      <c r="E338" s="320"/>
      <c r="F338" s="321"/>
      <c r="G338" s="322"/>
      <c r="H338" s="401"/>
      <c r="I338" s="320"/>
      <c r="J338" s="321"/>
      <c r="K338" s="322"/>
      <c r="L338" s="401"/>
      <c r="M338" s="320"/>
      <c r="N338" s="321"/>
      <c r="O338" s="322"/>
      <c r="P338" s="401"/>
      <c r="Q338" s="203"/>
      <c r="R338" s="223"/>
      <c r="S338" s="404"/>
      <c r="T338" s="405"/>
      <c r="U338" s="203"/>
      <c r="V338" s="223"/>
      <c r="W338" s="404"/>
      <c r="X338" s="405"/>
      <c r="Y338" s="203"/>
      <c r="Z338" s="223"/>
      <c r="AA338" s="404"/>
      <c r="AB338" s="405"/>
      <c r="AC338" s="203"/>
      <c r="AD338" s="223"/>
      <c r="AE338" s="404"/>
      <c r="AF338" s="405"/>
      <c r="AG338" s="205"/>
      <c r="AH338" s="205"/>
      <c r="AI338" s="205"/>
      <c r="AJ338" s="205"/>
      <c r="AK338" s="401"/>
      <c r="AL338" s="401"/>
      <c r="AM338" s="401"/>
    </row>
    <row r="339">
      <c r="A339" s="320"/>
      <c r="B339" s="321"/>
      <c r="C339" s="322"/>
      <c r="D339" s="401"/>
      <c r="E339" s="320"/>
      <c r="F339" s="321"/>
      <c r="G339" s="322"/>
      <c r="H339" s="401"/>
      <c r="I339" s="320"/>
      <c r="J339" s="321"/>
      <c r="K339" s="322"/>
      <c r="L339" s="401"/>
      <c r="M339" s="320"/>
      <c r="N339" s="321"/>
      <c r="O339" s="322"/>
      <c r="P339" s="401"/>
      <c r="Q339" s="203"/>
      <c r="R339" s="223"/>
      <c r="S339" s="404"/>
      <c r="T339" s="405"/>
      <c r="U339" s="203"/>
      <c r="V339" s="223"/>
      <c r="W339" s="404"/>
      <c r="X339" s="405"/>
      <c r="Y339" s="203"/>
      <c r="Z339" s="223"/>
      <c r="AA339" s="404"/>
      <c r="AB339" s="405"/>
      <c r="AC339" s="203"/>
      <c r="AD339" s="223"/>
      <c r="AE339" s="404"/>
      <c r="AF339" s="405"/>
      <c r="AG339" s="205"/>
      <c r="AH339" s="205"/>
      <c r="AI339" s="205"/>
      <c r="AJ339" s="205"/>
      <c r="AK339" s="401"/>
      <c r="AL339" s="401"/>
      <c r="AM339" s="401"/>
    </row>
    <row r="340">
      <c r="A340" s="320"/>
      <c r="B340" s="321"/>
      <c r="C340" s="322"/>
      <c r="D340" s="401"/>
      <c r="E340" s="320"/>
      <c r="F340" s="321"/>
      <c r="G340" s="322"/>
      <c r="H340" s="401"/>
      <c r="I340" s="320"/>
      <c r="J340" s="321"/>
      <c r="K340" s="322"/>
      <c r="L340" s="401"/>
      <c r="M340" s="320"/>
      <c r="N340" s="321"/>
      <c r="O340" s="322"/>
      <c r="P340" s="401"/>
      <c r="Q340" s="203"/>
      <c r="R340" s="223"/>
      <c r="S340" s="404"/>
      <c r="T340" s="405"/>
      <c r="U340" s="203"/>
      <c r="V340" s="223"/>
      <c r="W340" s="404"/>
      <c r="X340" s="405"/>
      <c r="Y340" s="203"/>
      <c r="Z340" s="223"/>
      <c r="AA340" s="404"/>
      <c r="AB340" s="405"/>
      <c r="AC340" s="203"/>
      <c r="AD340" s="223"/>
      <c r="AE340" s="404"/>
      <c r="AF340" s="405"/>
      <c r="AG340" s="205"/>
      <c r="AH340" s="205"/>
      <c r="AI340" s="205"/>
      <c r="AJ340" s="205"/>
      <c r="AK340" s="401"/>
      <c r="AL340" s="401"/>
      <c r="AM340" s="401"/>
    </row>
    <row r="341">
      <c r="A341" s="320"/>
      <c r="B341" s="321"/>
      <c r="C341" s="322"/>
      <c r="D341" s="401"/>
      <c r="E341" s="320"/>
      <c r="F341" s="321"/>
      <c r="G341" s="322"/>
      <c r="H341" s="401"/>
      <c r="I341" s="320"/>
      <c r="J341" s="321"/>
      <c r="K341" s="322"/>
      <c r="L341" s="401"/>
      <c r="M341" s="320"/>
      <c r="N341" s="321"/>
      <c r="O341" s="322"/>
      <c r="P341" s="401"/>
      <c r="Q341" s="203"/>
      <c r="R341" s="223"/>
      <c r="S341" s="404"/>
      <c r="T341" s="405"/>
      <c r="U341" s="203"/>
      <c r="V341" s="223"/>
      <c r="W341" s="404"/>
      <c r="X341" s="405"/>
      <c r="Y341" s="203"/>
      <c r="Z341" s="223"/>
      <c r="AA341" s="404"/>
      <c r="AB341" s="405"/>
      <c r="AC341" s="203"/>
      <c r="AD341" s="223"/>
      <c r="AE341" s="404"/>
      <c r="AF341" s="405"/>
      <c r="AG341" s="205"/>
      <c r="AH341" s="205"/>
      <c r="AI341" s="205"/>
      <c r="AJ341" s="205"/>
      <c r="AK341" s="401"/>
      <c r="AL341" s="401"/>
      <c r="AM341" s="401"/>
    </row>
    <row r="342">
      <c r="A342" s="320"/>
      <c r="B342" s="321"/>
      <c r="C342" s="322"/>
      <c r="D342" s="401"/>
      <c r="E342" s="320"/>
      <c r="F342" s="321"/>
      <c r="G342" s="322"/>
      <c r="H342" s="401"/>
      <c r="I342" s="320"/>
      <c r="J342" s="321"/>
      <c r="K342" s="322"/>
      <c r="L342" s="401"/>
      <c r="M342" s="320"/>
      <c r="N342" s="321"/>
      <c r="O342" s="322"/>
      <c r="P342" s="401"/>
      <c r="Q342" s="203"/>
      <c r="R342" s="223"/>
      <c r="S342" s="404"/>
      <c r="T342" s="405"/>
      <c r="U342" s="203"/>
      <c r="V342" s="223"/>
      <c r="W342" s="404"/>
      <c r="X342" s="405"/>
      <c r="Y342" s="203"/>
      <c r="Z342" s="223"/>
      <c r="AA342" s="404"/>
      <c r="AB342" s="405"/>
      <c r="AC342" s="203"/>
      <c r="AD342" s="223"/>
      <c r="AE342" s="404"/>
      <c r="AF342" s="405"/>
      <c r="AG342" s="205"/>
      <c r="AH342" s="205"/>
      <c r="AI342" s="205"/>
      <c r="AJ342" s="205"/>
      <c r="AK342" s="401"/>
      <c r="AL342" s="401"/>
      <c r="AM342" s="401"/>
    </row>
    <row r="343">
      <c r="A343" s="320"/>
      <c r="B343" s="321"/>
      <c r="C343" s="322"/>
      <c r="D343" s="401"/>
      <c r="E343" s="320"/>
      <c r="F343" s="321"/>
      <c r="G343" s="322"/>
      <c r="H343" s="401"/>
      <c r="I343" s="320"/>
      <c r="J343" s="321"/>
      <c r="K343" s="322"/>
      <c r="L343" s="401"/>
      <c r="M343" s="320"/>
      <c r="N343" s="321"/>
      <c r="O343" s="322"/>
      <c r="P343" s="401"/>
      <c r="Q343" s="203"/>
      <c r="R343" s="223"/>
      <c r="S343" s="404"/>
      <c r="T343" s="405"/>
      <c r="U343" s="203"/>
      <c r="V343" s="223"/>
      <c r="W343" s="404"/>
      <c r="X343" s="405"/>
      <c r="Y343" s="203"/>
      <c r="Z343" s="223"/>
      <c r="AA343" s="404"/>
      <c r="AB343" s="405"/>
      <c r="AC343" s="203"/>
      <c r="AD343" s="223"/>
      <c r="AE343" s="404"/>
      <c r="AF343" s="405"/>
      <c r="AG343" s="205"/>
      <c r="AH343" s="205"/>
      <c r="AI343" s="205"/>
      <c r="AJ343" s="205"/>
      <c r="AK343" s="401"/>
      <c r="AL343" s="401"/>
      <c r="AM343" s="401"/>
    </row>
    <row r="344">
      <c r="A344" s="320"/>
      <c r="B344" s="321"/>
      <c r="C344" s="322"/>
      <c r="D344" s="401"/>
      <c r="E344" s="320"/>
      <c r="F344" s="321"/>
      <c r="G344" s="322"/>
      <c r="H344" s="401"/>
      <c r="I344" s="320"/>
      <c r="J344" s="321"/>
      <c r="K344" s="322"/>
      <c r="L344" s="401"/>
      <c r="M344" s="320"/>
      <c r="N344" s="321"/>
      <c r="O344" s="322"/>
      <c r="P344" s="401"/>
      <c r="Q344" s="203"/>
      <c r="R344" s="223"/>
      <c r="S344" s="404"/>
      <c r="T344" s="405"/>
      <c r="U344" s="203"/>
      <c r="V344" s="223"/>
      <c r="W344" s="404"/>
      <c r="X344" s="405"/>
      <c r="Y344" s="203"/>
      <c r="Z344" s="223"/>
      <c r="AA344" s="404"/>
      <c r="AB344" s="405"/>
      <c r="AC344" s="203"/>
      <c r="AD344" s="223"/>
      <c r="AE344" s="404"/>
      <c r="AF344" s="405"/>
      <c r="AG344" s="205"/>
      <c r="AH344" s="205"/>
      <c r="AI344" s="205"/>
      <c r="AJ344" s="205"/>
      <c r="AK344" s="401"/>
      <c r="AL344" s="401"/>
      <c r="AM344" s="401"/>
    </row>
    <row r="345">
      <c r="A345" s="320"/>
      <c r="B345" s="321"/>
      <c r="C345" s="322"/>
      <c r="D345" s="401"/>
      <c r="E345" s="320"/>
      <c r="F345" s="321"/>
      <c r="G345" s="322"/>
      <c r="H345" s="401"/>
      <c r="I345" s="320"/>
      <c r="J345" s="321"/>
      <c r="K345" s="322"/>
      <c r="L345" s="401"/>
      <c r="M345" s="320"/>
      <c r="N345" s="321"/>
      <c r="O345" s="322"/>
      <c r="P345" s="401"/>
      <c r="Q345" s="203"/>
      <c r="R345" s="223"/>
      <c r="S345" s="404"/>
      <c r="T345" s="405"/>
      <c r="U345" s="203"/>
      <c r="V345" s="223"/>
      <c r="W345" s="404"/>
      <c r="X345" s="405"/>
      <c r="Y345" s="203"/>
      <c r="Z345" s="223"/>
      <c r="AA345" s="404"/>
      <c r="AB345" s="405"/>
      <c r="AC345" s="203"/>
      <c r="AD345" s="223"/>
      <c r="AE345" s="404"/>
      <c r="AF345" s="405"/>
      <c r="AG345" s="205"/>
      <c r="AH345" s="205"/>
      <c r="AI345" s="205"/>
      <c r="AJ345" s="205"/>
      <c r="AK345" s="401"/>
      <c r="AL345" s="401"/>
      <c r="AM345" s="401"/>
    </row>
    <row r="346">
      <c r="A346" s="320"/>
      <c r="B346" s="321"/>
      <c r="C346" s="322"/>
      <c r="D346" s="401"/>
      <c r="E346" s="320"/>
      <c r="F346" s="321"/>
      <c r="G346" s="322"/>
      <c r="H346" s="401"/>
      <c r="I346" s="320"/>
      <c r="J346" s="321"/>
      <c r="K346" s="322"/>
      <c r="L346" s="401"/>
      <c r="M346" s="320"/>
      <c r="N346" s="321"/>
      <c r="O346" s="322"/>
      <c r="P346" s="401"/>
      <c r="Q346" s="203"/>
      <c r="R346" s="223"/>
      <c r="S346" s="404"/>
      <c r="T346" s="405"/>
      <c r="U346" s="203"/>
      <c r="V346" s="223"/>
      <c r="W346" s="404"/>
      <c r="X346" s="405"/>
      <c r="Y346" s="203"/>
      <c r="Z346" s="223"/>
      <c r="AA346" s="404"/>
      <c r="AB346" s="405"/>
      <c r="AC346" s="203"/>
      <c r="AD346" s="223"/>
      <c r="AE346" s="404"/>
      <c r="AF346" s="405"/>
      <c r="AG346" s="205"/>
      <c r="AH346" s="205"/>
      <c r="AI346" s="205"/>
      <c r="AJ346" s="205"/>
      <c r="AK346" s="401"/>
      <c r="AL346" s="401"/>
      <c r="AM346" s="401"/>
    </row>
    <row r="347">
      <c r="A347" s="320"/>
      <c r="B347" s="321"/>
      <c r="C347" s="322"/>
      <c r="D347" s="401"/>
      <c r="E347" s="320"/>
      <c r="F347" s="321"/>
      <c r="G347" s="322"/>
      <c r="H347" s="401"/>
      <c r="I347" s="320"/>
      <c r="J347" s="321"/>
      <c r="K347" s="322"/>
      <c r="L347" s="401"/>
      <c r="M347" s="320"/>
      <c r="N347" s="321"/>
      <c r="O347" s="322"/>
      <c r="P347" s="401"/>
      <c r="Q347" s="203"/>
      <c r="R347" s="223"/>
      <c r="S347" s="404"/>
      <c r="T347" s="405"/>
      <c r="U347" s="203"/>
      <c r="V347" s="223"/>
      <c r="W347" s="404"/>
      <c r="X347" s="405"/>
      <c r="Y347" s="203"/>
      <c r="Z347" s="223"/>
      <c r="AA347" s="404"/>
      <c r="AB347" s="405"/>
      <c r="AC347" s="203"/>
      <c r="AD347" s="223"/>
      <c r="AE347" s="404"/>
      <c r="AF347" s="405"/>
      <c r="AG347" s="205"/>
      <c r="AH347" s="205"/>
      <c r="AI347" s="205"/>
      <c r="AJ347" s="205"/>
      <c r="AK347" s="401"/>
      <c r="AL347" s="401"/>
      <c r="AM347" s="401"/>
    </row>
    <row r="348">
      <c r="A348" s="320"/>
      <c r="B348" s="321"/>
      <c r="C348" s="322"/>
      <c r="D348" s="401"/>
      <c r="E348" s="320"/>
      <c r="F348" s="321"/>
      <c r="G348" s="322"/>
      <c r="H348" s="401"/>
      <c r="I348" s="320"/>
      <c r="J348" s="321"/>
      <c r="K348" s="322"/>
      <c r="L348" s="401"/>
      <c r="M348" s="320"/>
      <c r="N348" s="321"/>
      <c r="O348" s="322"/>
      <c r="P348" s="401"/>
      <c r="Q348" s="203"/>
      <c r="R348" s="223"/>
      <c r="S348" s="404"/>
      <c r="T348" s="405"/>
      <c r="U348" s="203"/>
      <c r="V348" s="223"/>
      <c r="W348" s="404"/>
      <c r="X348" s="405"/>
      <c r="Y348" s="203"/>
      <c r="Z348" s="223"/>
      <c r="AA348" s="404"/>
      <c r="AB348" s="405"/>
      <c r="AC348" s="203"/>
      <c r="AD348" s="223"/>
      <c r="AE348" s="404"/>
      <c r="AF348" s="405"/>
      <c r="AG348" s="205"/>
      <c r="AH348" s="205"/>
      <c r="AI348" s="205"/>
      <c r="AJ348" s="205"/>
      <c r="AK348" s="401"/>
      <c r="AL348" s="401"/>
      <c r="AM348" s="401"/>
    </row>
    <row r="349">
      <c r="A349" s="320"/>
      <c r="B349" s="321"/>
      <c r="C349" s="322"/>
      <c r="D349" s="401"/>
      <c r="E349" s="320"/>
      <c r="F349" s="321"/>
      <c r="G349" s="322"/>
      <c r="H349" s="401"/>
      <c r="I349" s="320"/>
      <c r="J349" s="321"/>
      <c r="K349" s="322"/>
      <c r="L349" s="401"/>
      <c r="M349" s="320"/>
      <c r="N349" s="321"/>
      <c r="O349" s="322"/>
      <c r="P349" s="401"/>
      <c r="Q349" s="203"/>
      <c r="R349" s="223"/>
      <c r="S349" s="404"/>
      <c r="T349" s="405"/>
      <c r="U349" s="203"/>
      <c r="V349" s="223"/>
      <c r="W349" s="404"/>
      <c r="X349" s="405"/>
      <c r="Y349" s="203"/>
      <c r="Z349" s="223"/>
      <c r="AA349" s="404"/>
      <c r="AB349" s="405"/>
      <c r="AC349" s="203"/>
      <c r="AD349" s="223"/>
      <c r="AE349" s="404"/>
      <c r="AF349" s="405"/>
      <c r="AG349" s="205"/>
      <c r="AH349" s="205"/>
      <c r="AI349" s="205"/>
      <c r="AJ349" s="205"/>
      <c r="AK349" s="401"/>
      <c r="AL349" s="401"/>
      <c r="AM349" s="401"/>
    </row>
    <row r="350">
      <c r="A350" s="320"/>
      <c r="B350" s="321"/>
      <c r="C350" s="322"/>
      <c r="D350" s="401"/>
      <c r="E350" s="320"/>
      <c r="F350" s="321"/>
      <c r="G350" s="322"/>
      <c r="H350" s="401"/>
      <c r="I350" s="320"/>
      <c r="J350" s="321"/>
      <c r="K350" s="322"/>
      <c r="L350" s="401"/>
      <c r="M350" s="320"/>
      <c r="N350" s="321"/>
      <c r="O350" s="322"/>
      <c r="P350" s="401"/>
      <c r="Q350" s="203"/>
      <c r="R350" s="223"/>
      <c r="S350" s="404"/>
      <c r="T350" s="405"/>
      <c r="U350" s="203"/>
      <c r="V350" s="223"/>
      <c r="W350" s="404"/>
      <c r="X350" s="405"/>
      <c r="Y350" s="203"/>
      <c r="Z350" s="223"/>
      <c r="AA350" s="404"/>
      <c r="AB350" s="405"/>
      <c r="AC350" s="203"/>
      <c r="AD350" s="223"/>
      <c r="AE350" s="404"/>
      <c r="AF350" s="405"/>
      <c r="AG350" s="205"/>
      <c r="AH350" s="205"/>
      <c r="AI350" s="205"/>
      <c r="AJ350" s="205"/>
      <c r="AK350" s="401"/>
      <c r="AL350" s="401"/>
      <c r="AM350" s="401"/>
    </row>
    <row r="351">
      <c r="A351" s="320"/>
      <c r="B351" s="321"/>
      <c r="C351" s="322"/>
      <c r="D351" s="401"/>
      <c r="E351" s="320"/>
      <c r="F351" s="321"/>
      <c r="G351" s="322"/>
      <c r="H351" s="401"/>
      <c r="I351" s="320"/>
      <c r="J351" s="321"/>
      <c r="K351" s="322"/>
      <c r="L351" s="401"/>
      <c r="M351" s="320"/>
      <c r="N351" s="321"/>
      <c r="O351" s="322"/>
      <c r="P351" s="401"/>
      <c r="Q351" s="203"/>
      <c r="R351" s="223"/>
      <c r="S351" s="404"/>
      <c r="T351" s="405"/>
      <c r="U351" s="203"/>
      <c r="V351" s="223"/>
      <c r="W351" s="404"/>
      <c r="X351" s="405"/>
      <c r="Y351" s="203"/>
      <c r="Z351" s="223"/>
      <c r="AA351" s="404"/>
      <c r="AB351" s="405"/>
      <c r="AC351" s="203"/>
      <c r="AD351" s="223"/>
      <c r="AE351" s="404"/>
      <c r="AF351" s="405"/>
      <c r="AG351" s="205"/>
      <c r="AH351" s="205"/>
      <c r="AI351" s="205"/>
      <c r="AJ351" s="205"/>
      <c r="AK351" s="401"/>
      <c r="AL351" s="401"/>
      <c r="AM351" s="401"/>
    </row>
    <row r="352">
      <c r="A352" s="320"/>
      <c r="B352" s="321"/>
      <c r="C352" s="322"/>
      <c r="D352" s="401"/>
      <c r="E352" s="320"/>
      <c r="F352" s="321"/>
      <c r="G352" s="322"/>
      <c r="H352" s="401"/>
      <c r="I352" s="320"/>
      <c r="J352" s="321"/>
      <c r="K352" s="322"/>
      <c r="L352" s="401"/>
      <c r="M352" s="320"/>
      <c r="N352" s="321"/>
      <c r="O352" s="322"/>
      <c r="P352" s="401"/>
      <c r="Q352" s="203"/>
      <c r="R352" s="223"/>
      <c r="S352" s="404"/>
      <c r="T352" s="405"/>
      <c r="U352" s="203"/>
      <c r="V352" s="223"/>
      <c r="W352" s="404"/>
      <c r="X352" s="405"/>
      <c r="Y352" s="203"/>
      <c r="Z352" s="223"/>
      <c r="AA352" s="404"/>
      <c r="AB352" s="405"/>
      <c r="AC352" s="203"/>
      <c r="AD352" s="223"/>
      <c r="AE352" s="404"/>
      <c r="AF352" s="405"/>
      <c r="AG352" s="205"/>
      <c r="AH352" s="205"/>
      <c r="AI352" s="205"/>
      <c r="AJ352" s="205"/>
      <c r="AK352" s="401"/>
      <c r="AL352" s="401"/>
      <c r="AM352" s="401"/>
    </row>
    <row r="353">
      <c r="A353" s="320"/>
      <c r="B353" s="321"/>
      <c r="C353" s="322"/>
      <c r="D353" s="401"/>
      <c r="E353" s="320"/>
      <c r="F353" s="321"/>
      <c r="G353" s="322"/>
      <c r="H353" s="401"/>
      <c r="I353" s="320"/>
      <c r="J353" s="321"/>
      <c r="K353" s="322"/>
      <c r="L353" s="401"/>
      <c r="M353" s="320"/>
      <c r="N353" s="321"/>
      <c r="O353" s="322"/>
      <c r="P353" s="401"/>
      <c r="Q353" s="203"/>
      <c r="R353" s="223"/>
      <c r="S353" s="404"/>
      <c r="T353" s="405"/>
      <c r="U353" s="203"/>
      <c r="V353" s="223"/>
      <c r="W353" s="404"/>
      <c r="X353" s="405"/>
      <c r="Y353" s="203"/>
      <c r="Z353" s="223"/>
      <c r="AA353" s="404"/>
      <c r="AB353" s="405"/>
      <c r="AC353" s="203"/>
      <c r="AD353" s="223"/>
      <c r="AE353" s="404"/>
      <c r="AF353" s="405"/>
      <c r="AG353" s="205"/>
      <c r="AH353" s="205"/>
      <c r="AI353" s="205"/>
      <c r="AJ353" s="205"/>
      <c r="AK353" s="401"/>
      <c r="AL353" s="401"/>
      <c r="AM353" s="401"/>
    </row>
    <row r="354">
      <c r="A354" s="320"/>
      <c r="B354" s="321"/>
      <c r="C354" s="322"/>
      <c r="D354" s="401"/>
      <c r="E354" s="320"/>
      <c r="F354" s="321"/>
      <c r="G354" s="322"/>
      <c r="H354" s="401"/>
      <c r="I354" s="320"/>
      <c r="J354" s="321"/>
      <c r="K354" s="322"/>
      <c r="L354" s="401"/>
      <c r="M354" s="320"/>
      <c r="N354" s="321"/>
      <c r="O354" s="322"/>
      <c r="P354" s="401"/>
      <c r="Q354" s="203"/>
      <c r="R354" s="223"/>
      <c r="S354" s="404"/>
      <c r="T354" s="405"/>
      <c r="U354" s="203"/>
      <c r="V354" s="223"/>
      <c r="W354" s="404"/>
      <c r="X354" s="405"/>
      <c r="Y354" s="203"/>
      <c r="Z354" s="223"/>
      <c r="AA354" s="404"/>
      <c r="AB354" s="405"/>
      <c r="AC354" s="203"/>
      <c r="AD354" s="223"/>
      <c r="AE354" s="404"/>
      <c r="AF354" s="405"/>
      <c r="AG354" s="205"/>
      <c r="AH354" s="205"/>
      <c r="AI354" s="205"/>
      <c r="AJ354" s="205"/>
      <c r="AK354" s="401"/>
      <c r="AL354" s="401"/>
      <c r="AM354" s="401"/>
    </row>
    <row r="355">
      <c r="A355" s="320"/>
      <c r="B355" s="321"/>
      <c r="C355" s="322"/>
      <c r="D355" s="401"/>
      <c r="E355" s="320"/>
      <c r="F355" s="321"/>
      <c r="G355" s="322"/>
      <c r="H355" s="401"/>
      <c r="I355" s="320"/>
      <c r="J355" s="321"/>
      <c r="K355" s="322"/>
      <c r="L355" s="401"/>
      <c r="M355" s="320"/>
      <c r="N355" s="321"/>
      <c r="O355" s="322"/>
      <c r="P355" s="401"/>
      <c r="Q355" s="203"/>
      <c r="R355" s="223"/>
      <c r="S355" s="404"/>
      <c r="T355" s="405"/>
      <c r="U355" s="203"/>
      <c r="V355" s="223"/>
      <c r="W355" s="404"/>
      <c r="X355" s="405"/>
      <c r="Y355" s="203"/>
      <c r="Z355" s="223"/>
      <c r="AA355" s="404"/>
      <c r="AB355" s="405"/>
      <c r="AC355" s="203"/>
      <c r="AD355" s="223"/>
      <c r="AE355" s="404"/>
      <c r="AF355" s="405"/>
      <c r="AG355" s="205"/>
      <c r="AH355" s="205"/>
      <c r="AI355" s="205"/>
      <c r="AJ355" s="205"/>
      <c r="AK355" s="401"/>
      <c r="AL355" s="401"/>
      <c r="AM355" s="401"/>
    </row>
    <row r="356">
      <c r="A356" s="320"/>
      <c r="B356" s="321"/>
      <c r="C356" s="322"/>
      <c r="D356" s="401"/>
      <c r="E356" s="320"/>
      <c r="F356" s="321"/>
      <c r="G356" s="322"/>
      <c r="H356" s="401"/>
      <c r="I356" s="320"/>
      <c r="J356" s="321"/>
      <c r="K356" s="322"/>
      <c r="L356" s="401"/>
      <c r="M356" s="320"/>
      <c r="N356" s="321"/>
      <c r="O356" s="322"/>
      <c r="P356" s="401"/>
      <c r="Q356" s="203"/>
      <c r="R356" s="223"/>
      <c r="S356" s="404"/>
      <c r="T356" s="405"/>
      <c r="U356" s="203"/>
      <c r="V356" s="223"/>
      <c r="W356" s="404"/>
      <c r="X356" s="405"/>
      <c r="Y356" s="203"/>
      <c r="Z356" s="223"/>
      <c r="AA356" s="404"/>
      <c r="AB356" s="405"/>
      <c r="AC356" s="203"/>
      <c r="AD356" s="223"/>
      <c r="AE356" s="404"/>
      <c r="AF356" s="405"/>
      <c r="AG356" s="205"/>
      <c r="AH356" s="205"/>
      <c r="AI356" s="205"/>
      <c r="AJ356" s="205"/>
      <c r="AK356" s="401"/>
      <c r="AL356" s="401"/>
      <c r="AM356" s="401"/>
    </row>
    <row r="357">
      <c r="A357" s="320"/>
      <c r="B357" s="321"/>
      <c r="C357" s="322"/>
      <c r="D357" s="401"/>
      <c r="E357" s="320"/>
      <c r="F357" s="321"/>
      <c r="G357" s="322"/>
      <c r="H357" s="401"/>
      <c r="I357" s="320"/>
      <c r="J357" s="321"/>
      <c r="K357" s="322"/>
      <c r="L357" s="401"/>
      <c r="M357" s="320"/>
      <c r="N357" s="321"/>
      <c r="O357" s="322"/>
      <c r="P357" s="401"/>
      <c r="Q357" s="203"/>
      <c r="R357" s="223"/>
      <c r="S357" s="404"/>
      <c r="T357" s="405"/>
      <c r="U357" s="203"/>
      <c r="V357" s="223"/>
      <c r="W357" s="404"/>
      <c r="X357" s="405"/>
      <c r="Y357" s="203"/>
      <c r="Z357" s="223"/>
      <c r="AA357" s="404"/>
      <c r="AB357" s="405"/>
      <c r="AC357" s="203"/>
      <c r="AD357" s="223"/>
      <c r="AE357" s="404"/>
      <c r="AF357" s="405"/>
      <c r="AG357" s="205"/>
      <c r="AH357" s="205"/>
      <c r="AI357" s="205"/>
      <c r="AJ357" s="205"/>
      <c r="AK357" s="401"/>
      <c r="AL357" s="401"/>
      <c r="AM357" s="401"/>
    </row>
    <row r="358">
      <c r="A358" s="320"/>
      <c r="B358" s="321"/>
      <c r="C358" s="322"/>
      <c r="D358" s="401"/>
      <c r="E358" s="320"/>
      <c r="F358" s="321"/>
      <c r="G358" s="322"/>
      <c r="H358" s="401"/>
      <c r="I358" s="320"/>
      <c r="J358" s="321"/>
      <c r="K358" s="322"/>
      <c r="L358" s="401"/>
      <c r="M358" s="320"/>
      <c r="N358" s="321"/>
      <c r="O358" s="322"/>
      <c r="P358" s="401"/>
      <c r="Q358" s="203"/>
      <c r="R358" s="223"/>
      <c r="S358" s="404"/>
      <c r="T358" s="405"/>
      <c r="U358" s="203"/>
      <c r="V358" s="223"/>
      <c r="W358" s="404"/>
      <c r="X358" s="405"/>
      <c r="Y358" s="203"/>
      <c r="Z358" s="223"/>
      <c r="AA358" s="404"/>
      <c r="AB358" s="405"/>
      <c r="AC358" s="203"/>
      <c r="AD358" s="223"/>
      <c r="AE358" s="404"/>
      <c r="AF358" s="405"/>
      <c r="AG358" s="205"/>
      <c r="AH358" s="205"/>
      <c r="AI358" s="205"/>
      <c r="AJ358" s="205"/>
      <c r="AK358" s="401"/>
      <c r="AL358" s="401"/>
      <c r="AM358" s="401"/>
    </row>
    <row r="359">
      <c r="A359" s="320"/>
      <c r="B359" s="321"/>
      <c r="C359" s="322"/>
      <c r="D359" s="401"/>
      <c r="E359" s="320"/>
      <c r="F359" s="321"/>
      <c r="G359" s="322"/>
      <c r="H359" s="401"/>
      <c r="I359" s="320"/>
      <c r="J359" s="321"/>
      <c r="K359" s="322"/>
      <c r="L359" s="401"/>
      <c r="M359" s="320"/>
      <c r="N359" s="321"/>
      <c r="O359" s="322"/>
      <c r="P359" s="401"/>
      <c r="Q359" s="203"/>
      <c r="R359" s="223"/>
      <c r="S359" s="404"/>
      <c r="T359" s="405"/>
      <c r="U359" s="203"/>
      <c r="V359" s="223"/>
      <c r="W359" s="404"/>
      <c r="X359" s="405"/>
      <c r="Y359" s="203"/>
      <c r="Z359" s="223"/>
      <c r="AA359" s="404"/>
      <c r="AB359" s="405"/>
      <c r="AC359" s="203"/>
      <c r="AD359" s="223"/>
      <c r="AE359" s="404"/>
      <c r="AF359" s="405"/>
      <c r="AG359" s="205"/>
      <c r="AH359" s="205"/>
      <c r="AI359" s="205"/>
      <c r="AJ359" s="205"/>
      <c r="AK359" s="401"/>
      <c r="AL359" s="401"/>
      <c r="AM359" s="401"/>
    </row>
    <row r="360">
      <c r="A360" s="320"/>
      <c r="B360" s="321"/>
      <c r="C360" s="322"/>
      <c r="D360" s="401"/>
      <c r="E360" s="320"/>
      <c r="F360" s="321"/>
      <c r="G360" s="322"/>
      <c r="H360" s="401"/>
      <c r="I360" s="320"/>
      <c r="J360" s="321"/>
      <c r="K360" s="322"/>
      <c r="L360" s="401"/>
      <c r="M360" s="320"/>
      <c r="N360" s="321"/>
      <c r="O360" s="322"/>
      <c r="P360" s="401"/>
      <c r="Q360" s="203"/>
      <c r="R360" s="223"/>
      <c r="S360" s="404"/>
      <c r="T360" s="405"/>
      <c r="U360" s="203"/>
      <c r="V360" s="223"/>
      <c r="W360" s="404"/>
      <c r="X360" s="405"/>
      <c r="Y360" s="203"/>
      <c r="Z360" s="223"/>
      <c r="AA360" s="404"/>
      <c r="AB360" s="405"/>
      <c r="AC360" s="203"/>
      <c r="AD360" s="223"/>
      <c r="AE360" s="404"/>
      <c r="AF360" s="405"/>
      <c r="AG360" s="205"/>
      <c r="AH360" s="205"/>
      <c r="AI360" s="205"/>
      <c r="AJ360" s="205"/>
      <c r="AK360" s="401"/>
      <c r="AL360" s="401"/>
      <c r="AM360" s="401"/>
    </row>
    <row r="361">
      <c r="A361" s="320"/>
      <c r="B361" s="321"/>
      <c r="C361" s="322"/>
      <c r="D361" s="401"/>
      <c r="E361" s="320"/>
      <c r="F361" s="321"/>
      <c r="G361" s="322"/>
      <c r="H361" s="401"/>
      <c r="I361" s="320"/>
      <c r="J361" s="321"/>
      <c r="K361" s="322"/>
      <c r="L361" s="401"/>
      <c r="M361" s="320"/>
      <c r="N361" s="321"/>
      <c r="O361" s="322"/>
      <c r="P361" s="401"/>
      <c r="Q361" s="203"/>
      <c r="R361" s="223"/>
      <c r="S361" s="404"/>
      <c r="T361" s="405"/>
      <c r="U361" s="203"/>
      <c r="V361" s="223"/>
      <c r="W361" s="404"/>
      <c r="X361" s="405"/>
      <c r="Y361" s="203"/>
      <c r="Z361" s="223"/>
      <c r="AA361" s="404"/>
      <c r="AB361" s="405"/>
      <c r="AC361" s="203"/>
      <c r="AD361" s="223"/>
      <c r="AE361" s="404"/>
      <c r="AF361" s="405"/>
      <c r="AG361" s="205"/>
      <c r="AH361" s="205"/>
      <c r="AI361" s="205"/>
      <c r="AJ361" s="205"/>
      <c r="AK361" s="401"/>
      <c r="AL361" s="401"/>
      <c r="AM361" s="401"/>
    </row>
    <row r="362">
      <c r="A362" s="320"/>
      <c r="B362" s="321"/>
      <c r="C362" s="322"/>
      <c r="D362" s="401"/>
      <c r="E362" s="320"/>
      <c r="F362" s="321"/>
      <c r="G362" s="322"/>
      <c r="H362" s="401"/>
      <c r="I362" s="320"/>
      <c r="J362" s="321"/>
      <c r="K362" s="322"/>
      <c r="L362" s="401"/>
      <c r="M362" s="320"/>
      <c r="N362" s="321"/>
      <c r="O362" s="322"/>
      <c r="P362" s="401"/>
      <c r="Q362" s="203"/>
      <c r="R362" s="223"/>
      <c r="S362" s="404"/>
      <c r="T362" s="405"/>
      <c r="U362" s="203"/>
      <c r="V362" s="223"/>
      <c r="W362" s="404"/>
      <c r="X362" s="405"/>
      <c r="Y362" s="203"/>
      <c r="Z362" s="223"/>
      <c r="AA362" s="404"/>
      <c r="AB362" s="405"/>
      <c r="AC362" s="203"/>
      <c r="AD362" s="223"/>
      <c r="AE362" s="404"/>
      <c r="AF362" s="405"/>
      <c r="AG362" s="205"/>
      <c r="AH362" s="205"/>
      <c r="AI362" s="205"/>
      <c r="AJ362" s="205"/>
      <c r="AK362" s="401"/>
      <c r="AL362" s="401"/>
      <c r="AM362" s="401"/>
    </row>
    <row r="363">
      <c r="A363" s="320"/>
      <c r="B363" s="321"/>
      <c r="C363" s="322"/>
      <c r="D363" s="401"/>
      <c r="E363" s="320"/>
      <c r="F363" s="321"/>
      <c r="G363" s="322"/>
      <c r="H363" s="401"/>
      <c r="I363" s="320"/>
      <c r="J363" s="321"/>
      <c r="K363" s="322"/>
      <c r="L363" s="401"/>
      <c r="M363" s="320"/>
      <c r="N363" s="321"/>
      <c r="O363" s="322"/>
      <c r="P363" s="401"/>
      <c r="Q363" s="203"/>
      <c r="R363" s="223"/>
      <c r="S363" s="404"/>
      <c r="T363" s="405"/>
      <c r="U363" s="203"/>
      <c r="V363" s="223"/>
      <c r="W363" s="404"/>
      <c r="X363" s="405"/>
      <c r="Y363" s="203"/>
      <c r="Z363" s="223"/>
      <c r="AA363" s="404"/>
      <c r="AB363" s="405"/>
      <c r="AC363" s="203"/>
      <c r="AD363" s="223"/>
      <c r="AE363" s="404"/>
      <c r="AF363" s="405"/>
      <c r="AG363" s="205"/>
      <c r="AH363" s="205"/>
      <c r="AI363" s="205"/>
      <c r="AJ363" s="205"/>
      <c r="AK363" s="401"/>
      <c r="AL363" s="401"/>
      <c r="AM363" s="401"/>
    </row>
    <row r="364">
      <c r="A364" s="320"/>
      <c r="B364" s="321"/>
      <c r="C364" s="322"/>
      <c r="D364" s="401"/>
      <c r="E364" s="320"/>
      <c r="F364" s="321"/>
      <c r="G364" s="322"/>
      <c r="H364" s="401"/>
      <c r="I364" s="320"/>
      <c r="J364" s="321"/>
      <c r="K364" s="322"/>
      <c r="L364" s="401"/>
      <c r="M364" s="320"/>
      <c r="N364" s="321"/>
      <c r="O364" s="322"/>
      <c r="P364" s="401"/>
      <c r="Q364" s="203"/>
      <c r="R364" s="223"/>
      <c r="S364" s="404"/>
      <c r="T364" s="405"/>
      <c r="U364" s="203"/>
      <c r="V364" s="223"/>
      <c r="W364" s="404"/>
      <c r="X364" s="405"/>
      <c r="Y364" s="203"/>
      <c r="Z364" s="223"/>
      <c r="AA364" s="404"/>
      <c r="AB364" s="405"/>
      <c r="AC364" s="203"/>
      <c r="AD364" s="223"/>
      <c r="AE364" s="404"/>
      <c r="AF364" s="405"/>
      <c r="AG364" s="205"/>
      <c r="AH364" s="205"/>
      <c r="AI364" s="205"/>
      <c r="AJ364" s="205"/>
      <c r="AK364" s="401"/>
      <c r="AL364" s="401"/>
      <c r="AM364" s="401"/>
    </row>
    <row r="365">
      <c r="A365" s="320"/>
      <c r="B365" s="321"/>
      <c r="C365" s="322"/>
      <c r="D365" s="401"/>
      <c r="E365" s="320"/>
      <c r="F365" s="321"/>
      <c r="G365" s="322"/>
      <c r="H365" s="401"/>
      <c r="I365" s="320"/>
      <c r="J365" s="321"/>
      <c r="K365" s="322"/>
      <c r="L365" s="401"/>
      <c r="M365" s="320"/>
      <c r="N365" s="321"/>
      <c r="O365" s="322"/>
      <c r="P365" s="401"/>
      <c r="Q365" s="203"/>
      <c r="R365" s="223"/>
      <c r="S365" s="404"/>
      <c r="T365" s="405"/>
      <c r="U365" s="203"/>
      <c r="V365" s="223"/>
      <c r="W365" s="404"/>
      <c r="X365" s="405"/>
      <c r="Y365" s="203"/>
      <c r="Z365" s="223"/>
      <c r="AA365" s="404"/>
      <c r="AB365" s="405"/>
      <c r="AC365" s="203"/>
      <c r="AD365" s="223"/>
      <c r="AE365" s="404"/>
      <c r="AF365" s="405"/>
      <c r="AG365" s="205"/>
      <c r="AH365" s="205"/>
      <c r="AI365" s="205"/>
      <c r="AJ365" s="205"/>
      <c r="AK365" s="401"/>
      <c r="AL365" s="401"/>
      <c r="AM365" s="401"/>
    </row>
    <row r="366">
      <c r="A366" s="320"/>
      <c r="B366" s="321"/>
      <c r="C366" s="322"/>
      <c r="D366" s="401"/>
      <c r="E366" s="320"/>
      <c r="F366" s="321"/>
      <c r="G366" s="322"/>
      <c r="H366" s="401"/>
      <c r="I366" s="320"/>
      <c r="J366" s="321"/>
      <c r="K366" s="322"/>
      <c r="L366" s="401"/>
      <c r="M366" s="320"/>
      <c r="N366" s="321"/>
      <c r="O366" s="322"/>
      <c r="P366" s="401"/>
      <c r="Q366" s="203"/>
      <c r="R366" s="223"/>
      <c r="S366" s="404"/>
      <c r="T366" s="405"/>
      <c r="U366" s="203"/>
      <c r="V366" s="223"/>
      <c r="W366" s="404"/>
      <c r="X366" s="405"/>
      <c r="Y366" s="203"/>
      <c r="Z366" s="223"/>
      <c r="AA366" s="404"/>
      <c r="AB366" s="405"/>
      <c r="AC366" s="203"/>
      <c r="AD366" s="223"/>
      <c r="AE366" s="404"/>
      <c r="AF366" s="405"/>
      <c r="AG366" s="205"/>
      <c r="AH366" s="205"/>
      <c r="AI366" s="205"/>
      <c r="AJ366" s="205"/>
      <c r="AK366" s="401"/>
      <c r="AL366" s="401"/>
      <c r="AM366" s="401"/>
    </row>
    <row r="367">
      <c r="A367" s="320"/>
      <c r="B367" s="321"/>
      <c r="C367" s="322"/>
      <c r="D367" s="401"/>
      <c r="E367" s="320"/>
      <c r="F367" s="321"/>
      <c r="G367" s="322"/>
      <c r="H367" s="401"/>
      <c r="I367" s="320"/>
      <c r="J367" s="321"/>
      <c r="K367" s="322"/>
      <c r="L367" s="401"/>
      <c r="M367" s="320"/>
      <c r="N367" s="321"/>
      <c r="O367" s="322"/>
      <c r="P367" s="401"/>
      <c r="Q367" s="203"/>
      <c r="R367" s="223"/>
      <c r="S367" s="404"/>
      <c r="T367" s="405"/>
      <c r="U367" s="203"/>
      <c r="V367" s="223"/>
      <c r="W367" s="404"/>
      <c r="X367" s="405"/>
      <c r="Y367" s="203"/>
      <c r="Z367" s="223"/>
      <c r="AA367" s="404"/>
      <c r="AB367" s="405"/>
      <c r="AC367" s="203"/>
      <c r="AD367" s="223"/>
      <c r="AE367" s="404"/>
      <c r="AF367" s="405"/>
      <c r="AG367" s="205"/>
      <c r="AH367" s="205"/>
      <c r="AI367" s="205"/>
      <c r="AJ367" s="205"/>
      <c r="AK367" s="401"/>
      <c r="AL367" s="401"/>
      <c r="AM367" s="401"/>
    </row>
    <row r="368">
      <c r="A368" s="320"/>
      <c r="B368" s="321"/>
      <c r="C368" s="322"/>
      <c r="D368" s="401"/>
      <c r="E368" s="320"/>
      <c r="F368" s="321"/>
      <c r="G368" s="322"/>
      <c r="H368" s="401"/>
      <c r="I368" s="320"/>
      <c r="J368" s="321"/>
      <c r="K368" s="322"/>
      <c r="L368" s="401"/>
      <c r="M368" s="320"/>
      <c r="N368" s="321"/>
      <c r="O368" s="322"/>
      <c r="P368" s="401"/>
      <c r="Q368" s="203"/>
      <c r="R368" s="223"/>
      <c r="S368" s="404"/>
      <c r="T368" s="405"/>
      <c r="U368" s="203"/>
      <c r="V368" s="223"/>
      <c r="W368" s="404"/>
      <c r="X368" s="405"/>
      <c r="Y368" s="203"/>
      <c r="Z368" s="223"/>
      <c r="AA368" s="404"/>
      <c r="AB368" s="405"/>
      <c r="AC368" s="203"/>
      <c r="AD368" s="223"/>
      <c r="AE368" s="404"/>
      <c r="AF368" s="405"/>
      <c r="AG368" s="205"/>
      <c r="AH368" s="205"/>
      <c r="AI368" s="205"/>
      <c r="AJ368" s="205"/>
      <c r="AK368" s="401"/>
      <c r="AL368" s="401"/>
      <c r="AM368" s="401"/>
    </row>
    <row r="369">
      <c r="A369" s="320"/>
      <c r="B369" s="321"/>
      <c r="C369" s="322"/>
      <c r="D369" s="401"/>
      <c r="E369" s="320"/>
      <c r="F369" s="321"/>
      <c r="G369" s="322"/>
      <c r="H369" s="401"/>
      <c r="I369" s="320"/>
      <c r="J369" s="321"/>
      <c r="K369" s="322"/>
      <c r="L369" s="401"/>
      <c r="M369" s="320"/>
      <c r="N369" s="321"/>
      <c r="O369" s="322"/>
      <c r="P369" s="401"/>
      <c r="Q369" s="203"/>
      <c r="R369" s="223"/>
      <c r="S369" s="404"/>
      <c r="T369" s="405"/>
      <c r="U369" s="203"/>
      <c r="V369" s="223"/>
      <c r="W369" s="404"/>
      <c r="X369" s="405"/>
      <c r="Y369" s="203"/>
      <c r="Z369" s="223"/>
      <c r="AA369" s="404"/>
      <c r="AB369" s="405"/>
      <c r="AC369" s="203"/>
      <c r="AD369" s="223"/>
      <c r="AE369" s="404"/>
      <c r="AF369" s="405"/>
      <c r="AG369" s="205"/>
      <c r="AH369" s="205"/>
      <c r="AI369" s="205"/>
      <c r="AJ369" s="205"/>
      <c r="AK369" s="401"/>
      <c r="AL369" s="401"/>
      <c r="AM369" s="401"/>
    </row>
    <row r="370">
      <c r="A370" s="320"/>
      <c r="B370" s="321"/>
      <c r="C370" s="322"/>
      <c r="D370" s="401"/>
      <c r="E370" s="320"/>
      <c r="F370" s="321"/>
      <c r="G370" s="322"/>
      <c r="H370" s="401"/>
      <c r="I370" s="320"/>
      <c r="J370" s="321"/>
      <c r="K370" s="322"/>
      <c r="L370" s="401"/>
      <c r="M370" s="320"/>
      <c r="N370" s="321"/>
      <c r="O370" s="322"/>
      <c r="P370" s="401"/>
      <c r="Q370" s="203"/>
      <c r="R370" s="223"/>
      <c r="S370" s="404"/>
      <c r="T370" s="405"/>
      <c r="U370" s="203"/>
      <c r="V370" s="223"/>
      <c r="W370" s="404"/>
      <c r="X370" s="405"/>
      <c r="Y370" s="203"/>
      <c r="Z370" s="223"/>
      <c r="AA370" s="404"/>
      <c r="AB370" s="405"/>
      <c r="AC370" s="203"/>
      <c r="AD370" s="223"/>
      <c r="AE370" s="404"/>
      <c r="AF370" s="405"/>
      <c r="AG370" s="205"/>
      <c r="AH370" s="205"/>
      <c r="AI370" s="205"/>
      <c r="AJ370" s="205"/>
      <c r="AK370" s="401"/>
      <c r="AL370" s="401"/>
      <c r="AM370" s="401"/>
    </row>
    <row r="371">
      <c r="A371" s="320"/>
      <c r="B371" s="321"/>
      <c r="C371" s="322"/>
      <c r="D371" s="401"/>
      <c r="E371" s="320"/>
      <c r="F371" s="321"/>
      <c r="G371" s="322"/>
      <c r="H371" s="401"/>
      <c r="I371" s="320"/>
      <c r="J371" s="321"/>
      <c r="K371" s="322"/>
      <c r="L371" s="401"/>
      <c r="M371" s="320"/>
      <c r="N371" s="321"/>
      <c r="O371" s="322"/>
      <c r="P371" s="401"/>
      <c r="Q371" s="203"/>
      <c r="R371" s="223"/>
      <c r="S371" s="404"/>
      <c r="T371" s="405"/>
      <c r="U371" s="203"/>
      <c r="V371" s="223"/>
      <c r="W371" s="404"/>
      <c r="X371" s="405"/>
      <c r="Y371" s="203"/>
      <c r="Z371" s="223"/>
      <c r="AA371" s="404"/>
      <c r="AB371" s="405"/>
      <c r="AC371" s="203"/>
      <c r="AD371" s="223"/>
      <c r="AE371" s="404"/>
      <c r="AF371" s="405"/>
      <c r="AG371" s="205"/>
      <c r="AH371" s="205"/>
      <c r="AI371" s="205"/>
      <c r="AJ371" s="205"/>
      <c r="AK371" s="401"/>
      <c r="AL371" s="401"/>
      <c r="AM371" s="401"/>
    </row>
    <row r="372">
      <c r="A372" s="320"/>
      <c r="B372" s="321"/>
      <c r="C372" s="322"/>
      <c r="D372" s="401"/>
      <c r="E372" s="320"/>
      <c r="F372" s="321"/>
      <c r="G372" s="322"/>
      <c r="H372" s="401"/>
      <c r="I372" s="320"/>
      <c r="J372" s="321"/>
      <c r="K372" s="322"/>
      <c r="L372" s="401"/>
      <c r="M372" s="320"/>
      <c r="N372" s="321"/>
      <c r="O372" s="322"/>
      <c r="P372" s="401"/>
      <c r="Q372" s="203"/>
      <c r="R372" s="223"/>
      <c r="S372" s="404"/>
      <c r="T372" s="405"/>
      <c r="U372" s="203"/>
      <c r="V372" s="223"/>
      <c r="W372" s="404"/>
      <c r="X372" s="405"/>
      <c r="Y372" s="203"/>
      <c r="Z372" s="223"/>
      <c r="AA372" s="404"/>
      <c r="AB372" s="405"/>
      <c r="AC372" s="203"/>
      <c r="AD372" s="223"/>
      <c r="AE372" s="404"/>
      <c r="AF372" s="405"/>
      <c r="AG372" s="205"/>
      <c r="AH372" s="205"/>
      <c r="AI372" s="205"/>
      <c r="AJ372" s="205"/>
      <c r="AK372" s="401"/>
      <c r="AL372" s="401"/>
      <c r="AM372" s="401"/>
    </row>
    <row r="373">
      <c r="A373" s="320"/>
      <c r="B373" s="321"/>
      <c r="C373" s="322"/>
      <c r="D373" s="401"/>
      <c r="E373" s="320"/>
      <c r="F373" s="321"/>
      <c r="G373" s="322"/>
      <c r="H373" s="401"/>
      <c r="I373" s="320"/>
      <c r="J373" s="321"/>
      <c r="K373" s="322"/>
      <c r="L373" s="401"/>
      <c r="M373" s="320"/>
      <c r="N373" s="321"/>
      <c r="O373" s="322"/>
      <c r="P373" s="401"/>
      <c r="Q373" s="203"/>
      <c r="R373" s="223"/>
      <c r="S373" s="404"/>
      <c r="T373" s="405"/>
      <c r="U373" s="203"/>
      <c r="V373" s="223"/>
      <c r="W373" s="404"/>
      <c r="X373" s="405"/>
      <c r="Y373" s="203"/>
      <c r="Z373" s="223"/>
      <c r="AA373" s="404"/>
      <c r="AB373" s="405"/>
      <c r="AC373" s="203"/>
      <c r="AD373" s="223"/>
      <c r="AE373" s="404"/>
      <c r="AF373" s="405"/>
      <c r="AG373" s="205"/>
      <c r="AH373" s="205"/>
      <c r="AI373" s="205"/>
      <c r="AJ373" s="205"/>
      <c r="AK373" s="401"/>
      <c r="AL373" s="401"/>
      <c r="AM373" s="401"/>
    </row>
    <row r="374">
      <c r="A374" s="320"/>
      <c r="B374" s="321"/>
      <c r="C374" s="322"/>
      <c r="D374" s="401"/>
      <c r="E374" s="320"/>
      <c r="F374" s="321"/>
      <c r="G374" s="322"/>
      <c r="H374" s="401"/>
      <c r="I374" s="320"/>
      <c r="J374" s="321"/>
      <c r="K374" s="322"/>
      <c r="L374" s="401"/>
      <c r="M374" s="320"/>
      <c r="N374" s="321"/>
      <c r="O374" s="322"/>
      <c r="P374" s="401"/>
      <c r="Q374" s="203"/>
      <c r="R374" s="223"/>
      <c r="S374" s="404"/>
      <c r="T374" s="405"/>
      <c r="U374" s="203"/>
      <c r="V374" s="223"/>
      <c r="W374" s="404"/>
      <c r="X374" s="405"/>
      <c r="Y374" s="203"/>
      <c r="Z374" s="223"/>
      <c r="AA374" s="404"/>
      <c r="AB374" s="405"/>
      <c r="AC374" s="203"/>
      <c r="AD374" s="223"/>
      <c r="AE374" s="404"/>
      <c r="AF374" s="405"/>
      <c r="AG374" s="205"/>
      <c r="AH374" s="205"/>
      <c r="AI374" s="205"/>
      <c r="AJ374" s="205"/>
      <c r="AK374" s="401"/>
      <c r="AL374" s="401"/>
      <c r="AM374" s="401"/>
    </row>
    <row r="375">
      <c r="A375" s="320"/>
      <c r="B375" s="321"/>
      <c r="C375" s="322"/>
      <c r="D375" s="401"/>
      <c r="E375" s="320"/>
      <c r="F375" s="321"/>
      <c r="G375" s="322"/>
      <c r="H375" s="401"/>
      <c r="I375" s="320"/>
      <c r="J375" s="321"/>
      <c r="K375" s="322"/>
      <c r="L375" s="401"/>
      <c r="M375" s="320"/>
      <c r="N375" s="321"/>
      <c r="O375" s="322"/>
      <c r="P375" s="401"/>
      <c r="Q375" s="203"/>
      <c r="R375" s="223"/>
      <c r="S375" s="404"/>
      <c r="T375" s="405"/>
      <c r="U375" s="203"/>
      <c r="V375" s="223"/>
      <c r="W375" s="404"/>
      <c r="X375" s="405"/>
      <c r="Y375" s="203"/>
      <c r="Z375" s="223"/>
      <c r="AA375" s="404"/>
      <c r="AB375" s="405"/>
      <c r="AC375" s="203"/>
      <c r="AD375" s="223"/>
      <c r="AE375" s="404"/>
      <c r="AF375" s="405"/>
      <c r="AG375" s="205"/>
      <c r="AH375" s="205"/>
      <c r="AI375" s="205"/>
      <c r="AJ375" s="205"/>
      <c r="AK375" s="401"/>
      <c r="AL375" s="401"/>
      <c r="AM375" s="401"/>
    </row>
    <row r="376">
      <c r="A376" s="320"/>
      <c r="B376" s="321"/>
      <c r="C376" s="322"/>
      <c r="D376" s="401"/>
      <c r="E376" s="320"/>
      <c r="F376" s="321"/>
      <c r="G376" s="322"/>
      <c r="H376" s="401"/>
      <c r="I376" s="320"/>
      <c r="J376" s="321"/>
      <c r="K376" s="322"/>
      <c r="L376" s="401"/>
      <c r="M376" s="320"/>
      <c r="N376" s="321"/>
      <c r="O376" s="322"/>
      <c r="P376" s="401"/>
      <c r="Q376" s="203"/>
      <c r="R376" s="223"/>
      <c r="S376" s="404"/>
      <c r="T376" s="405"/>
      <c r="U376" s="203"/>
      <c r="V376" s="223"/>
      <c r="W376" s="404"/>
      <c r="X376" s="405"/>
      <c r="Y376" s="203"/>
      <c r="Z376" s="223"/>
      <c r="AA376" s="404"/>
      <c r="AB376" s="405"/>
      <c r="AC376" s="203"/>
      <c r="AD376" s="223"/>
      <c r="AE376" s="404"/>
      <c r="AF376" s="405"/>
      <c r="AG376" s="205"/>
      <c r="AH376" s="205"/>
      <c r="AI376" s="205"/>
      <c r="AJ376" s="205"/>
      <c r="AK376" s="401"/>
      <c r="AL376" s="401"/>
      <c r="AM376" s="401"/>
    </row>
    <row r="377">
      <c r="A377" s="320"/>
      <c r="B377" s="321"/>
      <c r="C377" s="322"/>
      <c r="D377" s="401"/>
      <c r="E377" s="320"/>
      <c r="F377" s="321"/>
      <c r="G377" s="322"/>
      <c r="H377" s="401"/>
      <c r="I377" s="320"/>
      <c r="J377" s="321"/>
      <c r="K377" s="322"/>
      <c r="L377" s="401"/>
      <c r="M377" s="320"/>
      <c r="N377" s="321"/>
      <c r="O377" s="322"/>
      <c r="P377" s="401"/>
      <c r="Q377" s="203"/>
      <c r="R377" s="223"/>
      <c r="S377" s="404"/>
      <c r="T377" s="405"/>
      <c r="U377" s="203"/>
      <c r="V377" s="223"/>
      <c r="W377" s="404"/>
      <c r="X377" s="405"/>
      <c r="Y377" s="203"/>
      <c r="Z377" s="223"/>
      <c r="AA377" s="404"/>
      <c r="AB377" s="405"/>
      <c r="AC377" s="203"/>
      <c r="AD377" s="223"/>
      <c r="AE377" s="404"/>
      <c r="AF377" s="405"/>
      <c r="AG377" s="205"/>
      <c r="AH377" s="205"/>
      <c r="AI377" s="205"/>
      <c r="AJ377" s="205"/>
      <c r="AK377" s="401"/>
      <c r="AL377" s="401"/>
      <c r="AM377" s="401"/>
    </row>
    <row r="378">
      <c r="A378" s="320"/>
      <c r="B378" s="321"/>
      <c r="C378" s="322"/>
      <c r="D378" s="401"/>
      <c r="E378" s="320"/>
      <c r="F378" s="321"/>
      <c r="G378" s="322"/>
      <c r="H378" s="401"/>
      <c r="I378" s="320"/>
      <c r="J378" s="321"/>
      <c r="K378" s="322"/>
      <c r="L378" s="401"/>
      <c r="M378" s="320"/>
      <c r="N378" s="321"/>
      <c r="O378" s="322"/>
      <c r="P378" s="401"/>
      <c r="Q378" s="203"/>
      <c r="R378" s="223"/>
      <c r="S378" s="404"/>
      <c r="T378" s="405"/>
      <c r="U378" s="203"/>
      <c r="V378" s="223"/>
      <c r="W378" s="404"/>
      <c r="X378" s="405"/>
      <c r="Y378" s="203"/>
      <c r="Z378" s="223"/>
      <c r="AA378" s="404"/>
      <c r="AB378" s="405"/>
      <c r="AC378" s="203"/>
      <c r="AD378" s="223"/>
      <c r="AE378" s="404"/>
      <c r="AF378" s="405"/>
      <c r="AG378" s="205"/>
      <c r="AH378" s="205"/>
      <c r="AI378" s="205"/>
      <c r="AJ378" s="205"/>
      <c r="AK378" s="401"/>
      <c r="AL378" s="401"/>
      <c r="AM378" s="401"/>
    </row>
    <row r="379">
      <c r="A379" s="320"/>
      <c r="B379" s="321"/>
      <c r="C379" s="322"/>
      <c r="D379" s="401"/>
      <c r="E379" s="320"/>
      <c r="F379" s="321"/>
      <c r="G379" s="322"/>
      <c r="H379" s="401"/>
      <c r="I379" s="320"/>
      <c r="J379" s="321"/>
      <c r="K379" s="322"/>
      <c r="L379" s="401"/>
      <c r="M379" s="320"/>
      <c r="N379" s="321"/>
      <c r="O379" s="322"/>
      <c r="P379" s="401"/>
      <c r="Q379" s="203"/>
      <c r="R379" s="223"/>
      <c r="S379" s="404"/>
      <c r="T379" s="405"/>
      <c r="U379" s="203"/>
      <c r="V379" s="223"/>
      <c r="W379" s="404"/>
      <c r="X379" s="405"/>
      <c r="Y379" s="203"/>
      <c r="Z379" s="223"/>
      <c r="AA379" s="404"/>
      <c r="AB379" s="405"/>
      <c r="AC379" s="203"/>
      <c r="AD379" s="223"/>
      <c r="AE379" s="404"/>
      <c r="AF379" s="405"/>
      <c r="AG379" s="205"/>
      <c r="AH379" s="205"/>
      <c r="AI379" s="205"/>
      <c r="AJ379" s="205"/>
      <c r="AK379" s="401"/>
      <c r="AL379" s="401"/>
      <c r="AM379" s="401"/>
    </row>
    <row r="380">
      <c r="A380" s="320"/>
      <c r="B380" s="321"/>
      <c r="C380" s="322"/>
      <c r="D380" s="401"/>
      <c r="E380" s="320"/>
      <c r="F380" s="321"/>
      <c r="G380" s="322"/>
      <c r="H380" s="401"/>
      <c r="I380" s="320"/>
      <c r="J380" s="321"/>
      <c r="K380" s="322"/>
      <c r="L380" s="401"/>
      <c r="M380" s="320"/>
      <c r="N380" s="321"/>
      <c r="O380" s="322"/>
      <c r="P380" s="401"/>
      <c r="Q380" s="203"/>
      <c r="R380" s="223"/>
      <c r="S380" s="404"/>
      <c r="T380" s="405"/>
      <c r="U380" s="203"/>
      <c r="V380" s="223"/>
      <c r="W380" s="404"/>
      <c r="X380" s="405"/>
      <c r="Y380" s="203"/>
      <c r="Z380" s="223"/>
      <c r="AA380" s="404"/>
      <c r="AB380" s="405"/>
      <c r="AC380" s="203"/>
      <c r="AD380" s="223"/>
      <c r="AE380" s="404"/>
      <c r="AF380" s="405"/>
      <c r="AG380" s="205"/>
      <c r="AH380" s="205"/>
      <c r="AI380" s="205"/>
      <c r="AJ380" s="205"/>
      <c r="AK380" s="401"/>
      <c r="AL380" s="401"/>
      <c r="AM380" s="401"/>
    </row>
    <row r="381">
      <c r="A381" s="320"/>
      <c r="B381" s="321"/>
      <c r="C381" s="322"/>
      <c r="D381" s="401"/>
      <c r="E381" s="320"/>
      <c r="F381" s="321"/>
      <c r="G381" s="322"/>
      <c r="H381" s="401"/>
      <c r="I381" s="320"/>
      <c r="J381" s="321"/>
      <c r="K381" s="322"/>
      <c r="L381" s="401"/>
      <c r="M381" s="320"/>
      <c r="N381" s="321"/>
      <c r="O381" s="322"/>
      <c r="P381" s="401"/>
      <c r="Q381" s="203"/>
      <c r="R381" s="223"/>
      <c r="S381" s="404"/>
      <c r="T381" s="405"/>
      <c r="U381" s="203"/>
      <c r="V381" s="223"/>
      <c r="W381" s="404"/>
      <c r="X381" s="405"/>
      <c r="Y381" s="203"/>
      <c r="Z381" s="223"/>
      <c r="AA381" s="404"/>
      <c r="AB381" s="405"/>
      <c r="AC381" s="203"/>
      <c r="AD381" s="223"/>
      <c r="AE381" s="404"/>
      <c r="AF381" s="405"/>
      <c r="AG381" s="205"/>
      <c r="AH381" s="205"/>
      <c r="AI381" s="205"/>
      <c r="AJ381" s="205"/>
      <c r="AK381" s="401"/>
      <c r="AL381" s="401"/>
      <c r="AM381" s="401"/>
    </row>
    <row r="382">
      <c r="A382" s="320"/>
      <c r="B382" s="321"/>
      <c r="C382" s="322"/>
      <c r="D382" s="401"/>
      <c r="E382" s="320"/>
      <c r="F382" s="321"/>
      <c r="G382" s="322"/>
      <c r="H382" s="401"/>
      <c r="I382" s="320"/>
      <c r="J382" s="321"/>
      <c r="K382" s="322"/>
      <c r="L382" s="401"/>
      <c r="M382" s="320"/>
      <c r="N382" s="321"/>
      <c r="O382" s="322"/>
      <c r="P382" s="401"/>
      <c r="Q382" s="203"/>
      <c r="R382" s="223"/>
      <c r="S382" s="404"/>
      <c r="T382" s="405"/>
      <c r="U382" s="203"/>
      <c r="V382" s="223"/>
      <c r="W382" s="404"/>
      <c r="X382" s="405"/>
      <c r="Y382" s="203"/>
      <c r="Z382" s="223"/>
      <c r="AA382" s="404"/>
      <c r="AB382" s="405"/>
      <c r="AC382" s="203"/>
      <c r="AD382" s="223"/>
      <c r="AE382" s="404"/>
      <c r="AF382" s="405"/>
      <c r="AG382" s="205"/>
      <c r="AH382" s="205"/>
      <c r="AI382" s="205"/>
      <c r="AJ382" s="205"/>
      <c r="AK382" s="401"/>
      <c r="AL382" s="401"/>
      <c r="AM382" s="401"/>
    </row>
    <row r="383">
      <c r="A383" s="320"/>
      <c r="B383" s="321"/>
      <c r="C383" s="322"/>
      <c r="D383" s="401"/>
      <c r="E383" s="320"/>
      <c r="F383" s="321"/>
      <c r="G383" s="322"/>
      <c r="H383" s="401"/>
      <c r="I383" s="320"/>
      <c r="J383" s="321"/>
      <c r="K383" s="322"/>
      <c r="L383" s="401"/>
      <c r="M383" s="320"/>
      <c r="N383" s="321"/>
      <c r="O383" s="322"/>
      <c r="P383" s="401"/>
      <c r="Q383" s="203"/>
      <c r="R383" s="223"/>
      <c r="S383" s="404"/>
      <c r="T383" s="405"/>
      <c r="U383" s="203"/>
      <c r="V383" s="223"/>
      <c r="W383" s="404"/>
      <c r="X383" s="405"/>
      <c r="Y383" s="203"/>
      <c r="Z383" s="223"/>
      <c r="AA383" s="404"/>
      <c r="AB383" s="405"/>
      <c r="AC383" s="203"/>
      <c r="AD383" s="223"/>
      <c r="AE383" s="404"/>
      <c r="AF383" s="405"/>
      <c r="AG383" s="205"/>
      <c r="AH383" s="205"/>
      <c r="AI383" s="205"/>
      <c r="AJ383" s="205"/>
      <c r="AK383" s="401"/>
      <c r="AL383" s="401"/>
      <c r="AM383" s="401"/>
    </row>
    <row r="384">
      <c r="A384" s="320"/>
      <c r="B384" s="321"/>
      <c r="C384" s="322"/>
      <c r="D384" s="401"/>
      <c r="E384" s="320"/>
      <c r="F384" s="321"/>
      <c r="G384" s="322"/>
      <c r="H384" s="401"/>
      <c r="I384" s="320"/>
      <c r="J384" s="321"/>
      <c r="K384" s="322"/>
      <c r="L384" s="401"/>
      <c r="M384" s="320"/>
      <c r="N384" s="321"/>
      <c r="O384" s="322"/>
      <c r="P384" s="401"/>
      <c r="Q384" s="203"/>
      <c r="R384" s="223"/>
      <c r="S384" s="404"/>
      <c r="T384" s="405"/>
      <c r="U384" s="203"/>
      <c r="V384" s="223"/>
      <c r="W384" s="404"/>
      <c r="X384" s="405"/>
      <c r="Y384" s="203"/>
      <c r="Z384" s="223"/>
      <c r="AA384" s="404"/>
      <c r="AB384" s="405"/>
      <c r="AC384" s="203"/>
      <c r="AD384" s="223"/>
      <c r="AE384" s="404"/>
      <c r="AF384" s="405"/>
      <c r="AG384" s="205"/>
      <c r="AH384" s="205"/>
      <c r="AI384" s="205"/>
      <c r="AJ384" s="205"/>
      <c r="AK384" s="401"/>
      <c r="AL384" s="401"/>
      <c r="AM384" s="401"/>
    </row>
    <row r="385">
      <c r="A385" s="320"/>
      <c r="B385" s="321"/>
      <c r="C385" s="322"/>
      <c r="D385" s="401"/>
      <c r="E385" s="320"/>
      <c r="F385" s="321"/>
      <c r="G385" s="322"/>
      <c r="H385" s="401"/>
      <c r="I385" s="320"/>
      <c r="J385" s="321"/>
      <c r="K385" s="322"/>
      <c r="L385" s="401"/>
      <c r="M385" s="320"/>
      <c r="N385" s="321"/>
      <c r="O385" s="322"/>
      <c r="P385" s="401"/>
      <c r="Q385" s="203"/>
      <c r="R385" s="223"/>
      <c r="S385" s="404"/>
      <c r="T385" s="405"/>
      <c r="U385" s="203"/>
      <c r="V385" s="223"/>
      <c r="W385" s="404"/>
      <c r="X385" s="405"/>
      <c r="Y385" s="203"/>
      <c r="Z385" s="223"/>
      <c r="AA385" s="404"/>
      <c r="AB385" s="405"/>
      <c r="AC385" s="203"/>
      <c r="AD385" s="223"/>
      <c r="AE385" s="404"/>
      <c r="AF385" s="405"/>
      <c r="AG385" s="205"/>
      <c r="AH385" s="205"/>
      <c r="AI385" s="205"/>
      <c r="AJ385" s="205"/>
      <c r="AK385" s="401"/>
      <c r="AL385" s="401"/>
      <c r="AM385" s="401"/>
    </row>
    <row r="386">
      <c r="A386" s="320"/>
      <c r="B386" s="321"/>
      <c r="C386" s="322"/>
      <c r="D386" s="401"/>
      <c r="E386" s="320"/>
      <c r="F386" s="321"/>
      <c r="G386" s="322"/>
      <c r="H386" s="401"/>
      <c r="I386" s="320"/>
      <c r="J386" s="321"/>
      <c r="K386" s="322"/>
      <c r="L386" s="401"/>
      <c r="M386" s="320"/>
      <c r="N386" s="321"/>
      <c r="O386" s="322"/>
      <c r="P386" s="401"/>
      <c r="Q386" s="203"/>
      <c r="R386" s="223"/>
      <c r="S386" s="404"/>
      <c r="T386" s="405"/>
      <c r="U386" s="203"/>
      <c r="V386" s="223"/>
      <c r="W386" s="404"/>
      <c r="X386" s="405"/>
      <c r="Y386" s="203"/>
      <c r="Z386" s="223"/>
      <c r="AA386" s="404"/>
      <c r="AB386" s="405"/>
      <c r="AC386" s="203"/>
      <c r="AD386" s="223"/>
      <c r="AE386" s="404"/>
      <c r="AF386" s="405"/>
      <c r="AG386" s="205"/>
      <c r="AH386" s="205"/>
      <c r="AI386" s="205"/>
      <c r="AJ386" s="205"/>
      <c r="AK386" s="401"/>
      <c r="AL386" s="401"/>
      <c r="AM386" s="401"/>
    </row>
    <row r="387">
      <c r="A387" s="320"/>
      <c r="B387" s="321"/>
      <c r="C387" s="322"/>
      <c r="D387" s="401"/>
      <c r="E387" s="320"/>
      <c r="F387" s="321"/>
      <c r="G387" s="322"/>
      <c r="H387" s="401"/>
      <c r="I387" s="320"/>
      <c r="J387" s="321"/>
      <c r="K387" s="322"/>
      <c r="L387" s="401"/>
      <c r="M387" s="320"/>
      <c r="N387" s="321"/>
      <c r="O387" s="322"/>
      <c r="P387" s="401"/>
      <c r="Q387" s="203"/>
      <c r="R387" s="223"/>
      <c r="S387" s="404"/>
      <c r="T387" s="405"/>
      <c r="U387" s="203"/>
      <c r="V387" s="223"/>
      <c r="W387" s="404"/>
      <c r="X387" s="405"/>
      <c r="Y387" s="203"/>
      <c r="Z387" s="223"/>
      <c r="AA387" s="404"/>
      <c r="AB387" s="405"/>
      <c r="AC387" s="203"/>
      <c r="AD387" s="223"/>
      <c r="AE387" s="404"/>
      <c r="AF387" s="405"/>
      <c r="AG387" s="205"/>
      <c r="AH387" s="205"/>
      <c r="AI387" s="205"/>
      <c r="AJ387" s="205"/>
      <c r="AK387" s="401"/>
      <c r="AL387" s="401"/>
      <c r="AM387" s="401"/>
    </row>
    <row r="388">
      <c r="A388" s="320"/>
      <c r="B388" s="321"/>
      <c r="C388" s="322"/>
      <c r="D388" s="401"/>
      <c r="E388" s="320"/>
      <c r="F388" s="321"/>
      <c r="G388" s="322"/>
      <c r="H388" s="401"/>
      <c r="I388" s="320"/>
      <c r="J388" s="321"/>
      <c r="K388" s="322"/>
      <c r="L388" s="401"/>
      <c r="M388" s="320"/>
      <c r="N388" s="321"/>
      <c r="O388" s="322"/>
      <c r="P388" s="401"/>
      <c r="Q388" s="203"/>
      <c r="R388" s="223"/>
      <c r="S388" s="404"/>
      <c r="T388" s="405"/>
      <c r="U388" s="203"/>
      <c r="V388" s="223"/>
      <c r="W388" s="404"/>
      <c r="X388" s="405"/>
      <c r="Y388" s="203"/>
      <c r="Z388" s="223"/>
      <c r="AA388" s="404"/>
      <c r="AB388" s="405"/>
      <c r="AC388" s="203"/>
      <c r="AD388" s="223"/>
      <c r="AE388" s="404"/>
      <c r="AF388" s="405"/>
      <c r="AG388" s="205"/>
      <c r="AH388" s="205"/>
      <c r="AI388" s="205"/>
      <c r="AJ388" s="205"/>
      <c r="AK388" s="401"/>
      <c r="AL388" s="401"/>
      <c r="AM388" s="401"/>
    </row>
    <row r="389">
      <c r="A389" s="320"/>
      <c r="B389" s="321"/>
      <c r="C389" s="322"/>
      <c r="D389" s="401"/>
      <c r="E389" s="320"/>
      <c r="F389" s="321"/>
      <c r="G389" s="322"/>
      <c r="H389" s="401"/>
      <c r="I389" s="320"/>
      <c r="J389" s="321"/>
      <c r="K389" s="322"/>
      <c r="L389" s="401"/>
      <c r="M389" s="320"/>
      <c r="N389" s="321"/>
      <c r="O389" s="322"/>
      <c r="P389" s="401"/>
      <c r="Q389" s="203"/>
      <c r="R389" s="223"/>
      <c r="S389" s="404"/>
      <c r="T389" s="405"/>
      <c r="U389" s="203"/>
      <c r="V389" s="223"/>
      <c r="W389" s="404"/>
      <c r="X389" s="405"/>
      <c r="Y389" s="203"/>
      <c r="Z389" s="223"/>
      <c r="AA389" s="404"/>
      <c r="AB389" s="405"/>
      <c r="AC389" s="203"/>
      <c r="AD389" s="223"/>
      <c r="AE389" s="404"/>
      <c r="AF389" s="405"/>
      <c r="AG389" s="205"/>
      <c r="AH389" s="205"/>
      <c r="AI389" s="205"/>
      <c r="AJ389" s="205"/>
      <c r="AK389" s="401"/>
      <c r="AL389" s="401"/>
      <c r="AM389" s="401"/>
    </row>
    <row r="390">
      <c r="A390" s="320"/>
      <c r="B390" s="321"/>
      <c r="C390" s="322"/>
      <c r="D390" s="401"/>
      <c r="E390" s="320"/>
      <c r="F390" s="321"/>
      <c r="G390" s="322"/>
      <c r="H390" s="401"/>
      <c r="I390" s="320"/>
      <c r="J390" s="321"/>
      <c r="K390" s="322"/>
      <c r="L390" s="401"/>
      <c r="M390" s="320"/>
      <c r="N390" s="321"/>
      <c r="O390" s="322"/>
      <c r="P390" s="401"/>
      <c r="Q390" s="203"/>
      <c r="R390" s="223"/>
      <c r="S390" s="404"/>
      <c r="T390" s="405"/>
      <c r="U390" s="203"/>
      <c r="V390" s="223"/>
      <c r="W390" s="404"/>
      <c r="X390" s="405"/>
      <c r="Y390" s="203"/>
      <c r="Z390" s="223"/>
      <c r="AA390" s="404"/>
      <c r="AB390" s="405"/>
      <c r="AC390" s="203"/>
      <c r="AD390" s="223"/>
      <c r="AE390" s="404"/>
      <c r="AF390" s="405"/>
      <c r="AG390" s="205"/>
      <c r="AH390" s="205"/>
      <c r="AI390" s="205"/>
      <c r="AJ390" s="205"/>
      <c r="AK390" s="401"/>
      <c r="AL390" s="401"/>
      <c r="AM390" s="401"/>
    </row>
    <row r="391">
      <c r="A391" s="320"/>
      <c r="B391" s="321"/>
      <c r="C391" s="322"/>
      <c r="D391" s="401"/>
      <c r="E391" s="320"/>
      <c r="F391" s="321"/>
      <c r="G391" s="322"/>
      <c r="H391" s="401"/>
      <c r="I391" s="320"/>
      <c r="J391" s="321"/>
      <c r="K391" s="322"/>
      <c r="L391" s="401"/>
      <c r="M391" s="320"/>
      <c r="N391" s="321"/>
      <c r="O391" s="322"/>
      <c r="P391" s="401"/>
      <c r="Q391" s="203"/>
      <c r="R391" s="223"/>
      <c r="S391" s="404"/>
      <c r="T391" s="405"/>
      <c r="U391" s="203"/>
      <c r="V391" s="223"/>
      <c r="W391" s="404"/>
      <c r="X391" s="405"/>
      <c r="Y391" s="203"/>
      <c r="Z391" s="223"/>
      <c r="AA391" s="404"/>
      <c r="AB391" s="405"/>
      <c r="AC391" s="203"/>
      <c r="AD391" s="223"/>
      <c r="AE391" s="404"/>
      <c r="AF391" s="405"/>
      <c r="AG391" s="205"/>
      <c r="AH391" s="205"/>
      <c r="AI391" s="205"/>
      <c r="AJ391" s="205"/>
      <c r="AK391" s="401"/>
      <c r="AL391" s="401"/>
      <c r="AM391" s="401"/>
    </row>
    <row r="392">
      <c r="A392" s="320"/>
      <c r="B392" s="321"/>
      <c r="C392" s="322"/>
      <c r="D392" s="401"/>
      <c r="E392" s="320"/>
      <c r="F392" s="321"/>
      <c r="G392" s="322"/>
      <c r="H392" s="401"/>
      <c r="I392" s="320"/>
      <c r="J392" s="321"/>
      <c r="K392" s="322"/>
      <c r="L392" s="401"/>
      <c r="M392" s="320"/>
      <c r="N392" s="321"/>
      <c r="O392" s="322"/>
      <c r="P392" s="401"/>
      <c r="Q392" s="203"/>
      <c r="R392" s="223"/>
      <c r="S392" s="404"/>
      <c r="T392" s="405"/>
      <c r="U392" s="203"/>
      <c r="V392" s="223"/>
      <c r="W392" s="404"/>
      <c r="X392" s="405"/>
      <c r="Y392" s="203"/>
      <c r="Z392" s="223"/>
      <c r="AA392" s="404"/>
      <c r="AB392" s="405"/>
      <c r="AC392" s="203"/>
      <c r="AD392" s="223"/>
      <c r="AE392" s="404"/>
      <c r="AF392" s="405"/>
      <c r="AG392" s="205"/>
      <c r="AH392" s="205"/>
      <c r="AI392" s="205"/>
      <c r="AJ392" s="205"/>
      <c r="AK392" s="401"/>
      <c r="AL392" s="401"/>
      <c r="AM392" s="401"/>
    </row>
    <row r="393">
      <c r="A393" s="320"/>
      <c r="B393" s="321"/>
      <c r="C393" s="322"/>
      <c r="D393" s="401"/>
      <c r="E393" s="320"/>
      <c r="F393" s="321"/>
      <c r="G393" s="322"/>
      <c r="H393" s="401"/>
      <c r="I393" s="320"/>
      <c r="J393" s="321"/>
      <c r="K393" s="322"/>
      <c r="L393" s="401"/>
      <c r="M393" s="320"/>
      <c r="N393" s="321"/>
      <c r="O393" s="322"/>
      <c r="P393" s="401"/>
      <c r="Q393" s="203"/>
      <c r="R393" s="223"/>
      <c r="S393" s="404"/>
      <c r="T393" s="405"/>
      <c r="U393" s="203"/>
      <c r="V393" s="223"/>
      <c r="W393" s="404"/>
      <c r="X393" s="405"/>
      <c r="Y393" s="203"/>
      <c r="Z393" s="223"/>
      <c r="AA393" s="404"/>
      <c r="AB393" s="405"/>
      <c r="AC393" s="203"/>
      <c r="AD393" s="223"/>
      <c r="AE393" s="404"/>
      <c r="AF393" s="405"/>
      <c r="AG393" s="205"/>
      <c r="AH393" s="205"/>
      <c r="AI393" s="205"/>
      <c r="AJ393" s="205"/>
      <c r="AK393" s="401"/>
      <c r="AL393" s="401"/>
      <c r="AM393" s="401"/>
    </row>
    <row r="394">
      <c r="A394" s="320"/>
      <c r="B394" s="321"/>
      <c r="C394" s="322"/>
      <c r="D394" s="401"/>
      <c r="E394" s="320"/>
      <c r="F394" s="321"/>
      <c r="G394" s="322"/>
      <c r="H394" s="401"/>
      <c r="I394" s="320"/>
      <c r="J394" s="321"/>
      <c r="K394" s="322"/>
      <c r="L394" s="401"/>
      <c r="M394" s="320"/>
      <c r="N394" s="321"/>
      <c r="O394" s="322"/>
      <c r="P394" s="401"/>
      <c r="Q394" s="203"/>
      <c r="R394" s="223"/>
      <c r="S394" s="404"/>
      <c r="T394" s="405"/>
      <c r="U394" s="203"/>
      <c r="V394" s="223"/>
      <c r="W394" s="404"/>
      <c r="X394" s="405"/>
      <c r="Y394" s="203"/>
      <c r="Z394" s="223"/>
      <c r="AA394" s="404"/>
      <c r="AB394" s="405"/>
      <c r="AC394" s="203"/>
      <c r="AD394" s="223"/>
      <c r="AE394" s="404"/>
      <c r="AF394" s="405"/>
      <c r="AG394" s="205"/>
      <c r="AH394" s="205"/>
      <c r="AI394" s="205"/>
      <c r="AJ394" s="205"/>
      <c r="AK394" s="401"/>
      <c r="AL394" s="401"/>
      <c r="AM394" s="401"/>
    </row>
    <row r="395">
      <c r="A395" s="320"/>
      <c r="B395" s="321"/>
      <c r="C395" s="322"/>
      <c r="D395" s="401"/>
      <c r="E395" s="320"/>
      <c r="F395" s="321"/>
      <c r="G395" s="322"/>
      <c r="H395" s="401"/>
      <c r="I395" s="320"/>
      <c r="J395" s="321"/>
      <c r="K395" s="322"/>
      <c r="L395" s="401"/>
      <c r="M395" s="320"/>
      <c r="N395" s="321"/>
      <c r="O395" s="322"/>
      <c r="P395" s="401"/>
      <c r="Q395" s="203"/>
      <c r="R395" s="223"/>
      <c r="S395" s="404"/>
      <c r="T395" s="405"/>
      <c r="U395" s="203"/>
      <c r="V395" s="223"/>
      <c r="W395" s="404"/>
      <c r="X395" s="405"/>
      <c r="Y395" s="203"/>
      <c r="Z395" s="223"/>
      <c r="AA395" s="404"/>
      <c r="AB395" s="405"/>
      <c r="AC395" s="203"/>
      <c r="AD395" s="223"/>
      <c r="AE395" s="404"/>
      <c r="AF395" s="405"/>
      <c r="AG395" s="205"/>
      <c r="AH395" s="205"/>
      <c r="AI395" s="205"/>
      <c r="AJ395" s="205"/>
      <c r="AK395" s="401"/>
      <c r="AL395" s="401"/>
      <c r="AM395" s="401"/>
    </row>
    <row r="396">
      <c r="A396" s="320"/>
      <c r="B396" s="321"/>
      <c r="C396" s="322"/>
      <c r="D396" s="401"/>
      <c r="E396" s="320"/>
      <c r="F396" s="321"/>
      <c r="G396" s="322"/>
      <c r="H396" s="401"/>
      <c r="I396" s="320"/>
      <c r="J396" s="321"/>
      <c r="K396" s="322"/>
      <c r="L396" s="401"/>
      <c r="M396" s="320"/>
      <c r="N396" s="321"/>
      <c r="O396" s="322"/>
      <c r="P396" s="401"/>
      <c r="Q396" s="203"/>
      <c r="R396" s="223"/>
      <c r="S396" s="404"/>
      <c r="T396" s="405"/>
      <c r="U396" s="203"/>
      <c r="V396" s="223"/>
      <c r="W396" s="404"/>
      <c r="X396" s="405"/>
      <c r="Y396" s="203"/>
      <c r="Z396" s="223"/>
      <c r="AA396" s="404"/>
      <c r="AB396" s="405"/>
      <c r="AC396" s="203"/>
      <c r="AD396" s="223"/>
      <c r="AE396" s="404"/>
      <c r="AF396" s="405"/>
      <c r="AG396" s="205"/>
      <c r="AH396" s="205"/>
      <c r="AI396" s="205"/>
      <c r="AJ396" s="205"/>
      <c r="AK396" s="401"/>
      <c r="AL396" s="401"/>
      <c r="AM396" s="401"/>
    </row>
    <row r="397">
      <c r="A397" s="320"/>
      <c r="B397" s="321"/>
      <c r="C397" s="322"/>
      <c r="D397" s="401"/>
      <c r="E397" s="320"/>
      <c r="F397" s="321"/>
      <c r="G397" s="322"/>
      <c r="H397" s="401"/>
      <c r="I397" s="320"/>
      <c r="J397" s="321"/>
      <c r="K397" s="322"/>
      <c r="L397" s="401"/>
      <c r="M397" s="320"/>
      <c r="N397" s="321"/>
      <c r="O397" s="322"/>
      <c r="P397" s="401"/>
      <c r="Q397" s="203"/>
      <c r="R397" s="223"/>
      <c r="S397" s="404"/>
      <c r="T397" s="405"/>
      <c r="U397" s="203"/>
      <c r="V397" s="223"/>
      <c r="W397" s="404"/>
      <c r="X397" s="405"/>
      <c r="Y397" s="203"/>
      <c r="Z397" s="223"/>
      <c r="AA397" s="404"/>
      <c r="AB397" s="405"/>
      <c r="AC397" s="203"/>
      <c r="AD397" s="223"/>
      <c r="AE397" s="404"/>
      <c r="AF397" s="405"/>
      <c r="AG397" s="205"/>
      <c r="AH397" s="205"/>
      <c r="AI397" s="205"/>
      <c r="AJ397" s="205"/>
      <c r="AK397" s="401"/>
      <c r="AL397" s="401"/>
      <c r="AM397" s="401"/>
    </row>
    <row r="398">
      <c r="A398" s="320"/>
      <c r="B398" s="321"/>
      <c r="C398" s="322"/>
      <c r="D398" s="401"/>
      <c r="E398" s="320"/>
      <c r="F398" s="321"/>
      <c r="G398" s="322"/>
      <c r="H398" s="401"/>
      <c r="I398" s="320"/>
      <c r="J398" s="321"/>
      <c r="K398" s="322"/>
      <c r="L398" s="401"/>
      <c r="M398" s="320"/>
      <c r="N398" s="321"/>
      <c r="O398" s="322"/>
      <c r="P398" s="401"/>
      <c r="Q398" s="203"/>
      <c r="R398" s="223"/>
      <c r="S398" s="404"/>
      <c r="T398" s="405"/>
      <c r="U398" s="203"/>
      <c r="V398" s="223"/>
      <c r="W398" s="404"/>
      <c r="X398" s="405"/>
      <c r="Y398" s="203"/>
      <c r="Z398" s="223"/>
      <c r="AA398" s="404"/>
      <c r="AB398" s="405"/>
      <c r="AC398" s="203"/>
      <c r="AD398" s="223"/>
      <c r="AE398" s="404"/>
      <c r="AF398" s="405"/>
      <c r="AG398" s="205"/>
      <c r="AH398" s="205"/>
      <c r="AI398" s="205"/>
      <c r="AJ398" s="205"/>
      <c r="AK398" s="401"/>
      <c r="AL398" s="401"/>
      <c r="AM398" s="401"/>
    </row>
    <row r="399">
      <c r="A399" s="320"/>
      <c r="B399" s="321"/>
      <c r="C399" s="322"/>
      <c r="D399" s="401"/>
      <c r="E399" s="320"/>
      <c r="F399" s="321"/>
      <c r="G399" s="322"/>
      <c r="H399" s="401"/>
      <c r="I399" s="320"/>
      <c r="J399" s="321"/>
      <c r="K399" s="322"/>
      <c r="L399" s="401"/>
      <c r="M399" s="320"/>
      <c r="N399" s="321"/>
      <c r="O399" s="322"/>
      <c r="P399" s="401"/>
      <c r="Q399" s="203"/>
      <c r="R399" s="223"/>
      <c r="S399" s="404"/>
      <c r="T399" s="405"/>
      <c r="U399" s="203"/>
      <c r="V399" s="223"/>
      <c r="W399" s="404"/>
      <c r="X399" s="405"/>
      <c r="Y399" s="203"/>
      <c r="Z399" s="223"/>
      <c r="AA399" s="404"/>
      <c r="AB399" s="405"/>
      <c r="AC399" s="203"/>
      <c r="AD399" s="223"/>
      <c r="AE399" s="404"/>
      <c r="AF399" s="405"/>
      <c r="AG399" s="205"/>
      <c r="AH399" s="205"/>
      <c r="AI399" s="205"/>
      <c r="AJ399" s="205"/>
      <c r="AK399" s="401"/>
      <c r="AL399" s="401"/>
      <c r="AM399" s="401"/>
    </row>
    <row r="400">
      <c r="A400" s="320"/>
      <c r="B400" s="321"/>
      <c r="C400" s="322"/>
      <c r="D400" s="401"/>
      <c r="E400" s="320"/>
      <c r="F400" s="321"/>
      <c r="G400" s="322"/>
      <c r="H400" s="401"/>
      <c r="I400" s="320"/>
      <c r="J400" s="321"/>
      <c r="K400" s="322"/>
      <c r="L400" s="401"/>
      <c r="M400" s="320"/>
      <c r="N400" s="321"/>
      <c r="O400" s="322"/>
      <c r="P400" s="401"/>
      <c r="Q400" s="203"/>
      <c r="R400" s="223"/>
      <c r="S400" s="404"/>
      <c r="T400" s="405"/>
      <c r="U400" s="203"/>
      <c r="V400" s="223"/>
      <c r="W400" s="404"/>
      <c r="X400" s="405"/>
      <c r="Y400" s="203"/>
      <c r="Z400" s="223"/>
      <c r="AA400" s="404"/>
      <c r="AB400" s="405"/>
      <c r="AC400" s="203"/>
      <c r="AD400" s="223"/>
      <c r="AE400" s="404"/>
      <c r="AF400" s="405"/>
      <c r="AG400" s="205"/>
      <c r="AH400" s="205"/>
      <c r="AI400" s="205"/>
      <c r="AJ400" s="205"/>
      <c r="AK400" s="401"/>
      <c r="AL400" s="401"/>
      <c r="AM400" s="401"/>
    </row>
    <row r="401">
      <c r="A401" s="320"/>
      <c r="B401" s="321"/>
      <c r="C401" s="322"/>
      <c r="D401" s="401"/>
      <c r="E401" s="320"/>
      <c r="F401" s="321"/>
      <c r="G401" s="322"/>
      <c r="H401" s="401"/>
      <c r="I401" s="320"/>
      <c r="J401" s="321"/>
      <c r="K401" s="322"/>
      <c r="L401" s="401"/>
      <c r="M401" s="320"/>
      <c r="N401" s="321"/>
      <c r="O401" s="322"/>
      <c r="P401" s="401"/>
      <c r="Q401" s="203"/>
      <c r="R401" s="223"/>
      <c r="S401" s="404"/>
      <c r="T401" s="405"/>
      <c r="U401" s="203"/>
      <c r="V401" s="223"/>
      <c r="W401" s="404"/>
      <c r="X401" s="405"/>
      <c r="Y401" s="203"/>
      <c r="Z401" s="223"/>
      <c r="AA401" s="404"/>
      <c r="AB401" s="405"/>
      <c r="AC401" s="203"/>
      <c r="AD401" s="223"/>
      <c r="AE401" s="404"/>
      <c r="AF401" s="405"/>
      <c r="AG401" s="205"/>
      <c r="AH401" s="205"/>
      <c r="AI401" s="205"/>
      <c r="AJ401" s="205"/>
      <c r="AK401" s="401"/>
      <c r="AL401" s="401"/>
      <c r="AM401" s="401"/>
    </row>
    <row r="402">
      <c r="A402" s="320"/>
      <c r="B402" s="321"/>
      <c r="C402" s="322"/>
      <c r="D402" s="401"/>
      <c r="E402" s="320"/>
      <c r="F402" s="321"/>
      <c r="G402" s="322"/>
      <c r="H402" s="401"/>
      <c r="I402" s="320"/>
      <c r="J402" s="321"/>
      <c r="K402" s="322"/>
      <c r="L402" s="401"/>
      <c r="M402" s="320"/>
      <c r="N402" s="321"/>
      <c r="O402" s="322"/>
      <c r="P402" s="401"/>
      <c r="Q402" s="203"/>
      <c r="R402" s="223"/>
      <c r="S402" s="404"/>
      <c r="T402" s="405"/>
      <c r="U402" s="203"/>
      <c r="V402" s="223"/>
      <c r="W402" s="404"/>
      <c r="X402" s="405"/>
      <c r="Y402" s="203"/>
      <c r="Z402" s="223"/>
      <c r="AA402" s="404"/>
      <c r="AB402" s="405"/>
      <c r="AC402" s="203"/>
      <c r="AD402" s="223"/>
      <c r="AE402" s="404"/>
      <c r="AF402" s="405"/>
      <c r="AG402" s="205"/>
      <c r="AH402" s="205"/>
      <c r="AI402" s="205"/>
      <c r="AJ402" s="205"/>
      <c r="AK402" s="401"/>
      <c r="AL402" s="401"/>
      <c r="AM402" s="401"/>
    </row>
    <row r="403">
      <c r="A403" s="320"/>
      <c r="B403" s="321"/>
      <c r="C403" s="322"/>
      <c r="D403" s="401"/>
      <c r="E403" s="320"/>
      <c r="F403" s="321"/>
      <c r="G403" s="322"/>
      <c r="H403" s="401"/>
      <c r="I403" s="320"/>
      <c r="J403" s="321"/>
      <c r="K403" s="322"/>
      <c r="L403" s="401"/>
      <c r="M403" s="320"/>
      <c r="N403" s="321"/>
      <c r="O403" s="322"/>
      <c r="P403" s="401"/>
      <c r="Q403" s="203"/>
      <c r="R403" s="223"/>
      <c r="S403" s="404"/>
      <c r="T403" s="405"/>
      <c r="U403" s="203"/>
      <c r="V403" s="223"/>
      <c r="W403" s="404"/>
      <c r="X403" s="405"/>
      <c r="Y403" s="203"/>
      <c r="Z403" s="223"/>
      <c r="AA403" s="404"/>
      <c r="AB403" s="405"/>
      <c r="AC403" s="203"/>
      <c r="AD403" s="223"/>
      <c r="AE403" s="404"/>
      <c r="AF403" s="405"/>
      <c r="AG403" s="205"/>
      <c r="AH403" s="205"/>
      <c r="AI403" s="205"/>
      <c r="AJ403" s="205"/>
      <c r="AK403" s="401"/>
      <c r="AL403" s="401"/>
      <c r="AM403" s="401"/>
    </row>
    <row r="404">
      <c r="A404" s="320"/>
      <c r="B404" s="321"/>
      <c r="C404" s="322"/>
      <c r="D404" s="401"/>
      <c r="E404" s="320"/>
      <c r="F404" s="321"/>
      <c r="G404" s="322"/>
      <c r="H404" s="401"/>
      <c r="I404" s="320"/>
      <c r="J404" s="321"/>
      <c r="K404" s="322"/>
      <c r="L404" s="401"/>
      <c r="M404" s="320"/>
      <c r="N404" s="321"/>
      <c r="O404" s="322"/>
      <c r="P404" s="401"/>
      <c r="Q404" s="203"/>
      <c r="R404" s="223"/>
      <c r="S404" s="404"/>
      <c r="T404" s="405"/>
      <c r="U404" s="203"/>
      <c r="V404" s="223"/>
      <c r="W404" s="404"/>
      <c r="X404" s="405"/>
      <c r="Y404" s="203"/>
      <c r="Z404" s="223"/>
      <c r="AA404" s="404"/>
      <c r="AB404" s="405"/>
      <c r="AC404" s="203"/>
      <c r="AD404" s="223"/>
      <c r="AE404" s="404"/>
      <c r="AF404" s="405"/>
      <c r="AG404" s="205"/>
      <c r="AH404" s="205"/>
      <c r="AI404" s="205"/>
      <c r="AJ404" s="205"/>
      <c r="AK404" s="401"/>
      <c r="AL404" s="401"/>
      <c r="AM404" s="401"/>
    </row>
    <row r="405">
      <c r="A405" s="320"/>
      <c r="B405" s="321"/>
      <c r="C405" s="322"/>
      <c r="D405" s="401"/>
      <c r="E405" s="320"/>
      <c r="F405" s="321"/>
      <c r="G405" s="322"/>
      <c r="H405" s="401"/>
      <c r="I405" s="320"/>
      <c r="J405" s="321"/>
      <c r="K405" s="322"/>
      <c r="L405" s="401"/>
      <c r="M405" s="320"/>
      <c r="N405" s="321"/>
      <c r="O405" s="322"/>
      <c r="P405" s="401"/>
      <c r="Q405" s="203"/>
      <c r="R405" s="223"/>
      <c r="S405" s="404"/>
      <c r="T405" s="405"/>
      <c r="U405" s="203"/>
      <c r="V405" s="223"/>
      <c r="W405" s="404"/>
      <c r="X405" s="405"/>
      <c r="Y405" s="203"/>
      <c r="Z405" s="223"/>
      <c r="AA405" s="404"/>
      <c r="AB405" s="405"/>
      <c r="AC405" s="203"/>
      <c r="AD405" s="223"/>
      <c r="AE405" s="404"/>
      <c r="AF405" s="405"/>
      <c r="AG405" s="205"/>
      <c r="AH405" s="205"/>
      <c r="AI405" s="205"/>
      <c r="AJ405" s="205"/>
      <c r="AK405" s="401"/>
      <c r="AL405" s="401"/>
      <c r="AM405" s="401"/>
    </row>
    <row r="406">
      <c r="A406" s="320"/>
      <c r="B406" s="321"/>
      <c r="C406" s="322"/>
      <c r="D406" s="401"/>
      <c r="E406" s="320"/>
      <c r="F406" s="321"/>
      <c r="G406" s="322"/>
      <c r="H406" s="401"/>
      <c r="I406" s="320"/>
      <c r="J406" s="321"/>
      <c r="K406" s="322"/>
      <c r="L406" s="401"/>
      <c r="M406" s="320"/>
      <c r="N406" s="321"/>
      <c r="O406" s="322"/>
      <c r="P406" s="401"/>
      <c r="Q406" s="203"/>
      <c r="R406" s="223"/>
      <c r="S406" s="404"/>
      <c r="T406" s="405"/>
      <c r="U406" s="203"/>
      <c r="V406" s="223"/>
      <c r="W406" s="404"/>
      <c r="X406" s="405"/>
      <c r="Y406" s="203"/>
      <c r="Z406" s="223"/>
      <c r="AA406" s="404"/>
      <c r="AB406" s="405"/>
      <c r="AC406" s="203"/>
      <c r="AD406" s="223"/>
      <c r="AE406" s="404"/>
      <c r="AF406" s="405"/>
      <c r="AG406" s="205"/>
      <c r="AH406" s="205"/>
      <c r="AI406" s="205"/>
      <c r="AJ406" s="205"/>
      <c r="AK406" s="401"/>
      <c r="AL406" s="401"/>
      <c r="AM406" s="401"/>
    </row>
    <row r="407">
      <c r="A407" s="320"/>
      <c r="B407" s="321"/>
      <c r="C407" s="322"/>
      <c r="D407" s="401"/>
      <c r="E407" s="320"/>
      <c r="F407" s="321"/>
      <c r="G407" s="322"/>
      <c r="H407" s="401"/>
      <c r="I407" s="320"/>
      <c r="J407" s="321"/>
      <c r="K407" s="322"/>
      <c r="L407" s="401"/>
      <c r="M407" s="320"/>
      <c r="N407" s="321"/>
      <c r="O407" s="322"/>
      <c r="P407" s="401"/>
      <c r="Q407" s="203"/>
      <c r="R407" s="223"/>
      <c r="S407" s="404"/>
      <c r="T407" s="405"/>
      <c r="U407" s="203"/>
      <c r="V407" s="223"/>
      <c r="W407" s="404"/>
      <c r="X407" s="405"/>
      <c r="Y407" s="203"/>
      <c r="Z407" s="223"/>
      <c r="AA407" s="404"/>
      <c r="AB407" s="405"/>
      <c r="AC407" s="203"/>
      <c r="AD407" s="223"/>
      <c r="AE407" s="404"/>
      <c r="AF407" s="405"/>
      <c r="AG407" s="205"/>
      <c r="AH407" s="205"/>
      <c r="AI407" s="205"/>
      <c r="AJ407" s="205"/>
      <c r="AK407" s="401"/>
      <c r="AL407" s="401"/>
      <c r="AM407" s="401"/>
    </row>
    <row r="408">
      <c r="A408" s="320"/>
      <c r="B408" s="321"/>
      <c r="C408" s="322"/>
      <c r="D408" s="401"/>
      <c r="E408" s="320"/>
      <c r="F408" s="321"/>
      <c r="G408" s="322"/>
      <c r="H408" s="401"/>
      <c r="I408" s="320"/>
      <c r="J408" s="321"/>
      <c r="K408" s="322"/>
      <c r="L408" s="401"/>
      <c r="M408" s="320"/>
      <c r="N408" s="321"/>
      <c r="O408" s="322"/>
      <c r="P408" s="401"/>
      <c r="Q408" s="203"/>
      <c r="R408" s="223"/>
      <c r="S408" s="404"/>
      <c r="T408" s="405"/>
      <c r="U408" s="203"/>
      <c r="V408" s="223"/>
      <c r="W408" s="404"/>
      <c r="X408" s="405"/>
      <c r="Y408" s="203"/>
      <c r="Z408" s="223"/>
      <c r="AA408" s="404"/>
      <c r="AB408" s="405"/>
      <c r="AC408" s="203"/>
      <c r="AD408" s="223"/>
      <c r="AE408" s="404"/>
      <c r="AF408" s="405"/>
      <c r="AG408" s="205"/>
      <c r="AH408" s="205"/>
      <c r="AI408" s="205"/>
      <c r="AJ408" s="205"/>
      <c r="AK408" s="401"/>
      <c r="AL408" s="401"/>
      <c r="AM408" s="401"/>
    </row>
    <row r="409">
      <c r="A409" s="320"/>
      <c r="B409" s="321"/>
      <c r="C409" s="322"/>
      <c r="D409" s="401"/>
      <c r="E409" s="320"/>
      <c r="F409" s="321"/>
      <c r="G409" s="322"/>
      <c r="H409" s="401"/>
      <c r="I409" s="320"/>
      <c r="J409" s="321"/>
      <c r="K409" s="322"/>
      <c r="L409" s="401"/>
      <c r="M409" s="320"/>
      <c r="N409" s="321"/>
      <c r="O409" s="322"/>
      <c r="P409" s="401"/>
      <c r="Q409" s="203"/>
      <c r="R409" s="223"/>
      <c r="S409" s="404"/>
      <c r="T409" s="405"/>
      <c r="U409" s="203"/>
      <c r="V409" s="223"/>
      <c r="W409" s="404"/>
      <c r="X409" s="405"/>
      <c r="Y409" s="203"/>
      <c r="Z409" s="223"/>
      <c r="AA409" s="404"/>
      <c r="AB409" s="405"/>
      <c r="AC409" s="203"/>
      <c r="AD409" s="223"/>
      <c r="AE409" s="404"/>
      <c r="AF409" s="405"/>
      <c r="AG409" s="205"/>
      <c r="AH409" s="205"/>
      <c r="AI409" s="205"/>
      <c r="AJ409" s="205"/>
      <c r="AK409" s="401"/>
      <c r="AL409" s="401"/>
      <c r="AM409" s="401"/>
    </row>
    <row r="410">
      <c r="A410" s="320"/>
      <c r="B410" s="321"/>
      <c r="C410" s="322"/>
      <c r="D410" s="401"/>
      <c r="E410" s="320"/>
      <c r="F410" s="321"/>
      <c r="G410" s="322"/>
      <c r="H410" s="401"/>
      <c r="I410" s="320"/>
      <c r="J410" s="321"/>
      <c r="K410" s="322"/>
      <c r="L410" s="401"/>
      <c r="M410" s="320"/>
      <c r="N410" s="321"/>
      <c r="O410" s="322"/>
      <c r="P410" s="401"/>
      <c r="Q410" s="203"/>
      <c r="R410" s="223"/>
      <c r="S410" s="404"/>
      <c r="T410" s="405"/>
      <c r="U410" s="203"/>
      <c r="V410" s="223"/>
      <c r="W410" s="404"/>
      <c r="X410" s="405"/>
      <c r="Y410" s="203"/>
      <c r="Z410" s="223"/>
      <c r="AA410" s="404"/>
      <c r="AB410" s="405"/>
      <c r="AC410" s="203"/>
      <c r="AD410" s="223"/>
      <c r="AE410" s="404"/>
      <c r="AF410" s="405"/>
      <c r="AG410" s="205"/>
      <c r="AH410" s="205"/>
      <c r="AI410" s="205"/>
      <c r="AJ410" s="205"/>
      <c r="AK410" s="401"/>
      <c r="AL410" s="401"/>
      <c r="AM410" s="401"/>
    </row>
    <row r="411">
      <c r="A411" s="320"/>
      <c r="B411" s="321"/>
      <c r="C411" s="322"/>
      <c r="D411" s="401"/>
      <c r="E411" s="320"/>
      <c r="F411" s="321"/>
      <c r="G411" s="322"/>
      <c r="H411" s="401"/>
      <c r="I411" s="320"/>
      <c r="J411" s="321"/>
      <c r="K411" s="322"/>
      <c r="L411" s="401"/>
      <c r="M411" s="320"/>
      <c r="N411" s="321"/>
      <c r="O411" s="322"/>
      <c r="P411" s="401"/>
      <c r="Q411" s="203"/>
      <c r="R411" s="223"/>
      <c r="S411" s="404"/>
      <c r="T411" s="405"/>
      <c r="U411" s="203"/>
      <c r="V411" s="223"/>
      <c r="W411" s="404"/>
      <c r="X411" s="405"/>
      <c r="Y411" s="203"/>
      <c r="Z411" s="223"/>
      <c r="AA411" s="404"/>
      <c r="AB411" s="405"/>
      <c r="AC411" s="203"/>
      <c r="AD411" s="223"/>
      <c r="AE411" s="404"/>
      <c r="AF411" s="405"/>
      <c r="AG411" s="205"/>
      <c r="AH411" s="205"/>
      <c r="AI411" s="205"/>
      <c r="AJ411" s="205"/>
      <c r="AK411" s="401"/>
      <c r="AL411" s="401"/>
      <c r="AM411" s="401"/>
    </row>
    <row r="412">
      <c r="A412" s="320"/>
      <c r="B412" s="321"/>
      <c r="C412" s="322"/>
      <c r="D412" s="401"/>
      <c r="E412" s="320"/>
      <c r="F412" s="321"/>
      <c r="G412" s="322"/>
      <c r="H412" s="401"/>
      <c r="I412" s="320"/>
      <c r="J412" s="321"/>
      <c r="K412" s="322"/>
      <c r="L412" s="401"/>
      <c r="M412" s="320"/>
      <c r="N412" s="321"/>
      <c r="O412" s="322"/>
      <c r="P412" s="401"/>
      <c r="Q412" s="203"/>
      <c r="R412" s="223"/>
      <c r="S412" s="404"/>
      <c r="T412" s="405"/>
      <c r="U412" s="203"/>
      <c r="V412" s="223"/>
      <c r="W412" s="404"/>
      <c r="X412" s="405"/>
      <c r="Y412" s="203"/>
      <c r="Z412" s="223"/>
      <c r="AA412" s="404"/>
      <c r="AB412" s="405"/>
      <c r="AC412" s="203"/>
      <c r="AD412" s="223"/>
      <c r="AE412" s="404"/>
      <c r="AF412" s="405"/>
      <c r="AG412" s="205"/>
      <c r="AH412" s="205"/>
      <c r="AI412" s="205"/>
      <c r="AJ412" s="205"/>
      <c r="AK412" s="401"/>
      <c r="AL412" s="401"/>
      <c r="AM412" s="401"/>
    </row>
    <row r="413">
      <c r="A413" s="320"/>
      <c r="B413" s="321"/>
      <c r="C413" s="322"/>
      <c r="D413" s="401"/>
      <c r="E413" s="320"/>
      <c r="F413" s="321"/>
      <c r="G413" s="322"/>
      <c r="H413" s="401"/>
      <c r="I413" s="320"/>
      <c r="J413" s="321"/>
      <c r="K413" s="322"/>
      <c r="L413" s="401"/>
      <c r="M413" s="320"/>
      <c r="N413" s="321"/>
      <c r="O413" s="322"/>
      <c r="P413" s="401"/>
      <c r="Q413" s="203"/>
      <c r="R413" s="223"/>
      <c r="S413" s="404"/>
      <c r="T413" s="405"/>
      <c r="U413" s="203"/>
      <c r="V413" s="223"/>
      <c r="W413" s="404"/>
      <c r="X413" s="405"/>
      <c r="Y413" s="203"/>
      <c r="Z413" s="223"/>
      <c r="AA413" s="404"/>
      <c r="AB413" s="405"/>
      <c r="AC413" s="203"/>
      <c r="AD413" s="223"/>
      <c r="AE413" s="404"/>
      <c r="AF413" s="405"/>
      <c r="AG413" s="205"/>
      <c r="AH413" s="205"/>
      <c r="AI413" s="205"/>
      <c r="AJ413" s="205"/>
      <c r="AK413" s="401"/>
      <c r="AL413" s="401"/>
      <c r="AM413" s="401"/>
    </row>
    <row r="414">
      <c r="A414" s="320"/>
      <c r="B414" s="321"/>
      <c r="C414" s="322"/>
      <c r="D414" s="401"/>
      <c r="E414" s="320"/>
      <c r="F414" s="321"/>
      <c r="G414" s="322"/>
      <c r="H414" s="401"/>
      <c r="I414" s="320"/>
      <c r="J414" s="321"/>
      <c r="K414" s="322"/>
      <c r="L414" s="401"/>
      <c r="M414" s="320"/>
      <c r="N414" s="321"/>
      <c r="O414" s="322"/>
      <c r="P414" s="401"/>
      <c r="Q414" s="203"/>
      <c r="R414" s="223"/>
      <c r="S414" s="404"/>
      <c r="T414" s="405"/>
      <c r="U414" s="203"/>
      <c r="V414" s="223"/>
      <c r="W414" s="404"/>
      <c r="X414" s="405"/>
      <c r="Y414" s="203"/>
      <c r="Z414" s="223"/>
      <c r="AA414" s="404"/>
      <c r="AB414" s="405"/>
      <c r="AC414" s="203"/>
      <c r="AD414" s="223"/>
      <c r="AE414" s="404"/>
      <c r="AF414" s="405"/>
      <c r="AG414" s="205"/>
      <c r="AH414" s="205"/>
      <c r="AI414" s="205"/>
      <c r="AJ414" s="205"/>
      <c r="AK414" s="401"/>
      <c r="AL414" s="401"/>
      <c r="AM414" s="401"/>
    </row>
    <row r="415">
      <c r="A415" s="320"/>
      <c r="B415" s="321"/>
      <c r="C415" s="322"/>
      <c r="D415" s="401"/>
      <c r="E415" s="320"/>
      <c r="F415" s="321"/>
      <c r="G415" s="322"/>
      <c r="H415" s="401"/>
      <c r="I415" s="320"/>
      <c r="J415" s="321"/>
      <c r="K415" s="322"/>
      <c r="L415" s="401"/>
      <c r="M415" s="320"/>
      <c r="N415" s="321"/>
      <c r="O415" s="322"/>
      <c r="P415" s="401"/>
      <c r="Q415" s="203"/>
      <c r="R415" s="223"/>
      <c r="S415" s="404"/>
      <c r="T415" s="405"/>
      <c r="U415" s="203"/>
      <c r="V415" s="223"/>
      <c r="W415" s="404"/>
      <c r="X415" s="405"/>
      <c r="Y415" s="203"/>
      <c r="Z415" s="223"/>
      <c r="AA415" s="404"/>
      <c r="AB415" s="405"/>
      <c r="AC415" s="203"/>
      <c r="AD415" s="223"/>
      <c r="AE415" s="404"/>
      <c r="AF415" s="405"/>
      <c r="AG415" s="205"/>
      <c r="AH415" s="205"/>
      <c r="AI415" s="205"/>
      <c r="AJ415" s="205"/>
      <c r="AK415" s="401"/>
      <c r="AL415" s="401"/>
      <c r="AM415" s="401"/>
    </row>
    <row r="416">
      <c r="A416" s="320"/>
      <c r="B416" s="321"/>
      <c r="C416" s="322"/>
      <c r="D416" s="401"/>
      <c r="E416" s="320"/>
      <c r="F416" s="321"/>
      <c r="G416" s="322"/>
      <c r="H416" s="401"/>
      <c r="I416" s="320"/>
      <c r="J416" s="321"/>
      <c r="K416" s="322"/>
      <c r="L416" s="401"/>
      <c r="M416" s="320"/>
      <c r="N416" s="321"/>
      <c r="O416" s="322"/>
      <c r="P416" s="401"/>
      <c r="Q416" s="203"/>
      <c r="R416" s="223"/>
      <c r="S416" s="404"/>
      <c r="T416" s="405"/>
      <c r="U416" s="203"/>
      <c r="V416" s="223"/>
      <c r="W416" s="404"/>
      <c r="X416" s="405"/>
      <c r="Y416" s="203"/>
      <c r="Z416" s="223"/>
      <c r="AA416" s="404"/>
      <c r="AB416" s="405"/>
      <c r="AC416" s="203"/>
      <c r="AD416" s="223"/>
      <c r="AE416" s="404"/>
      <c r="AF416" s="405"/>
      <c r="AG416" s="205"/>
      <c r="AH416" s="205"/>
      <c r="AI416" s="205"/>
      <c r="AJ416" s="205"/>
      <c r="AK416" s="401"/>
      <c r="AL416" s="401"/>
      <c r="AM416" s="401"/>
    </row>
    <row r="417">
      <c r="A417" s="320"/>
      <c r="B417" s="321"/>
      <c r="C417" s="322"/>
      <c r="D417" s="401"/>
      <c r="E417" s="320"/>
      <c r="F417" s="321"/>
      <c r="G417" s="322"/>
      <c r="H417" s="401"/>
      <c r="I417" s="320"/>
      <c r="J417" s="321"/>
      <c r="K417" s="322"/>
      <c r="L417" s="401"/>
      <c r="M417" s="320"/>
      <c r="N417" s="321"/>
      <c r="O417" s="322"/>
      <c r="P417" s="401"/>
      <c r="Q417" s="203"/>
      <c r="R417" s="223"/>
      <c r="S417" s="404"/>
      <c r="T417" s="405"/>
      <c r="U417" s="203"/>
      <c r="V417" s="223"/>
      <c r="W417" s="404"/>
      <c r="X417" s="405"/>
      <c r="Y417" s="203"/>
      <c r="Z417" s="223"/>
      <c r="AA417" s="404"/>
      <c r="AB417" s="405"/>
      <c r="AC417" s="203"/>
      <c r="AD417" s="223"/>
      <c r="AE417" s="404"/>
      <c r="AF417" s="405"/>
      <c r="AG417" s="205"/>
      <c r="AH417" s="205"/>
      <c r="AI417" s="205"/>
      <c r="AJ417" s="205"/>
      <c r="AK417" s="401"/>
      <c r="AL417" s="401"/>
      <c r="AM417" s="401"/>
    </row>
    <row r="418">
      <c r="A418" s="320"/>
      <c r="B418" s="321"/>
      <c r="C418" s="322"/>
      <c r="D418" s="401"/>
      <c r="E418" s="320"/>
      <c r="F418" s="321"/>
      <c r="G418" s="322"/>
      <c r="H418" s="401"/>
      <c r="I418" s="320"/>
      <c r="J418" s="321"/>
      <c r="K418" s="322"/>
      <c r="L418" s="401"/>
      <c r="M418" s="320"/>
      <c r="N418" s="321"/>
      <c r="O418" s="322"/>
      <c r="P418" s="401"/>
      <c r="Q418" s="203"/>
      <c r="R418" s="223"/>
      <c r="S418" s="404"/>
      <c r="T418" s="405"/>
      <c r="U418" s="203"/>
      <c r="V418" s="223"/>
      <c r="W418" s="404"/>
      <c r="X418" s="405"/>
      <c r="Y418" s="203"/>
      <c r="Z418" s="223"/>
      <c r="AA418" s="404"/>
      <c r="AB418" s="405"/>
      <c r="AC418" s="203"/>
      <c r="AD418" s="223"/>
      <c r="AE418" s="404"/>
      <c r="AF418" s="405"/>
      <c r="AG418" s="205"/>
      <c r="AH418" s="205"/>
      <c r="AI418" s="205"/>
      <c r="AJ418" s="205"/>
      <c r="AK418" s="401"/>
      <c r="AL418" s="401"/>
      <c r="AM418" s="401"/>
    </row>
    <row r="419">
      <c r="A419" s="320"/>
      <c r="B419" s="321"/>
      <c r="C419" s="322"/>
      <c r="D419" s="401"/>
      <c r="E419" s="320"/>
      <c r="F419" s="321"/>
      <c r="G419" s="322"/>
      <c r="H419" s="401"/>
      <c r="I419" s="320"/>
      <c r="J419" s="321"/>
      <c r="K419" s="322"/>
      <c r="L419" s="401"/>
      <c r="M419" s="320"/>
      <c r="N419" s="321"/>
      <c r="O419" s="322"/>
      <c r="P419" s="401"/>
      <c r="Q419" s="203"/>
      <c r="R419" s="223"/>
      <c r="S419" s="404"/>
      <c r="T419" s="405"/>
      <c r="U419" s="203"/>
      <c r="V419" s="223"/>
      <c r="W419" s="404"/>
      <c r="X419" s="405"/>
      <c r="Y419" s="203"/>
      <c r="Z419" s="223"/>
      <c r="AA419" s="404"/>
      <c r="AB419" s="405"/>
      <c r="AC419" s="203"/>
      <c r="AD419" s="223"/>
      <c r="AE419" s="404"/>
      <c r="AF419" s="405"/>
      <c r="AG419" s="205"/>
      <c r="AH419" s="205"/>
      <c r="AI419" s="205"/>
      <c r="AJ419" s="205"/>
      <c r="AK419" s="401"/>
      <c r="AL419" s="401"/>
      <c r="AM419" s="401"/>
    </row>
    <row r="420">
      <c r="A420" s="320"/>
      <c r="B420" s="321"/>
      <c r="C420" s="322"/>
      <c r="D420" s="401"/>
      <c r="E420" s="320"/>
      <c r="F420" s="321"/>
      <c r="G420" s="322"/>
      <c r="H420" s="401"/>
      <c r="I420" s="320"/>
      <c r="J420" s="321"/>
      <c r="K420" s="322"/>
      <c r="L420" s="401"/>
      <c r="M420" s="320"/>
      <c r="N420" s="321"/>
      <c r="O420" s="322"/>
      <c r="P420" s="401"/>
      <c r="Q420" s="203"/>
      <c r="R420" s="223"/>
      <c r="S420" s="404"/>
      <c r="T420" s="405"/>
      <c r="U420" s="203"/>
      <c r="V420" s="223"/>
      <c r="W420" s="404"/>
      <c r="X420" s="405"/>
      <c r="Y420" s="203"/>
      <c r="Z420" s="223"/>
      <c r="AA420" s="404"/>
      <c r="AB420" s="405"/>
      <c r="AC420" s="203"/>
      <c r="AD420" s="223"/>
      <c r="AE420" s="404"/>
      <c r="AF420" s="405"/>
      <c r="AG420" s="205"/>
      <c r="AH420" s="205"/>
      <c r="AI420" s="205"/>
      <c r="AJ420" s="205"/>
      <c r="AK420" s="401"/>
      <c r="AL420" s="401"/>
      <c r="AM420" s="401"/>
    </row>
    <row r="421">
      <c r="A421" s="320"/>
      <c r="B421" s="321"/>
      <c r="C421" s="322"/>
      <c r="D421" s="401"/>
      <c r="E421" s="320"/>
      <c r="F421" s="321"/>
      <c r="G421" s="322"/>
      <c r="H421" s="401"/>
      <c r="I421" s="320"/>
      <c r="J421" s="321"/>
      <c r="K421" s="322"/>
      <c r="L421" s="401"/>
      <c r="M421" s="320"/>
      <c r="N421" s="321"/>
      <c r="O421" s="322"/>
      <c r="P421" s="401"/>
      <c r="Q421" s="203"/>
      <c r="R421" s="223"/>
      <c r="S421" s="404"/>
      <c r="T421" s="405"/>
      <c r="U421" s="203"/>
      <c r="V421" s="223"/>
      <c r="W421" s="404"/>
      <c r="X421" s="405"/>
      <c r="Y421" s="203"/>
      <c r="Z421" s="223"/>
      <c r="AA421" s="404"/>
      <c r="AB421" s="405"/>
      <c r="AC421" s="203"/>
      <c r="AD421" s="223"/>
      <c r="AE421" s="404"/>
      <c r="AF421" s="405"/>
      <c r="AG421" s="205"/>
      <c r="AH421" s="205"/>
      <c r="AI421" s="205"/>
      <c r="AJ421" s="205"/>
      <c r="AK421" s="401"/>
      <c r="AL421" s="401"/>
      <c r="AM421" s="401"/>
    </row>
    <row r="422">
      <c r="A422" s="320"/>
      <c r="B422" s="321"/>
      <c r="C422" s="322"/>
      <c r="D422" s="401"/>
      <c r="E422" s="320"/>
      <c r="F422" s="321"/>
      <c r="G422" s="322"/>
      <c r="H422" s="401"/>
      <c r="I422" s="320"/>
      <c r="J422" s="321"/>
      <c r="K422" s="322"/>
      <c r="L422" s="401"/>
      <c r="M422" s="320"/>
      <c r="N422" s="321"/>
      <c r="O422" s="322"/>
      <c r="P422" s="401"/>
      <c r="Q422" s="203"/>
      <c r="R422" s="223"/>
      <c r="S422" s="404"/>
      <c r="T422" s="405"/>
      <c r="U422" s="203"/>
      <c r="V422" s="223"/>
      <c r="W422" s="404"/>
      <c r="X422" s="405"/>
      <c r="Y422" s="203"/>
      <c r="Z422" s="223"/>
      <c r="AA422" s="404"/>
      <c r="AB422" s="405"/>
      <c r="AC422" s="203"/>
      <c r="AD422" s="223"/>
      <c r="AE422" s="404"/>
      <c r="AF422" s="405"/>
      <c r="AG422" s="205"/>
      <c r="AH422" s="205"/>
      <c r="AI422" s="205"/>
      <c r="AJ422" s="205"/>
      <c r="AK422" s="401"/>
      <c r="AL422" s="401"/>
      <c r="AM422" s="401"/>
    </row>
    <row r="423">
      <c r="A423" s="320"/>
      <c r="B423" s="321"/>
      <c r="C423" s="322"/>
      <c r="D423" s="401"/>
      <c r="E423" s="320"/>
      <c r="F423" s="321"/>
      <c r="G423" s="322"/>
      <c r="H423" s="401"/>
      <c r="I423" s="320"/>
      <c r="J423" s="321"/>
      <c r="K423" s="322"/>
      <c r="L423" s="401"/>
      <c r="M423" s="320"/>
      <c r="N423" s="321"/>
      <c r="O423" s="322"/>
      <c r="P423" s="401"/>
      <c r="Q423" s="203"/>
      <c r="R423" s="223"/>
      <c r="S423" s="404"/>
      <c r="T423" s="405"/>
      <c r="U423" s="203"/>
      <c r="V423" s="223"/>
      <c r="W423" s="404"/>
      <c r="X423" s="405"/>
      <c r="Y423" s="203"/>
      <c r="Z423" s="223"/>
      <c r="AA423" s="404"/>
      <c r="AB423" s="405"/>
      <c r="AC423" s="203"/>
      <c r="AD423" s="223"/>
      <c r="AE423" s="404"/>
      <c r="AF423" s="405"/>
      <c r="AG423" s="205"/>
      <c r="AH423" s="205"/>
      <c r="AI423" s="205"/>
      <c r="AJ423" s="205"/>
      <c r="AK423" s="401"/>
      <c r="AL423" s="401"/>
      <c r="AM423" s="401"/>
    </row>
    <row r="424">
      <c r="A424" s="320"/>
      <c r="B424" s="321"/>
      <c r="C424" s="322"/>
      <c r="D424" s="401"/>
      <c r="E424" s="320"/>
      <c r="F424" s="321"/>
      <c r="G424" s="322"/>
      <c r="H424" s="401"/>
      <c r="I424" s="320"/>
      <c r="J424" s="321"/>
      <c r="K424" s="322"/>
      <c r="L424" s="401"/>
      <c r="M424" s="320"/>
      <c r="N424" s="321"/>
      <c r="O424" s="322"/>
      <c r="P424" s="401"/>
      <c r="Q424" s="203"/>
      <c r="R424" s="223"/>
      <c r="S424" s="404"/>
      <c r="T424" s="405"/>
      <c r="U424" s="203"/>
      <c r="V424" s="223"/>
      <c r="W424" s="404"/>
      <c r="X424" s="405"/>
      <c r="Y424" s="203"/>
      <c r="Z424" s="223"/>
      <c r="AA424" s="404"/>
      <c r="AB424" s="405"/>
      <c r="AC424" s="203"/>
      <c r="AD424" s="223"/>
      <c r="AE424" s="404"/>
      <c r="AF424" s="405"/>
      <c r="AG424" s="205"/>
      <c r="AH424" s="205"/>
      <c r="AI424" s="205"/>
      <c r="AJ424" s="205"/>
      <c r="AK424" s="401"/>
      <c r="AL424" s="401"/>
      <c r="AM424" s="401"/>
    </row>
    <row r="425">
      <c r="A425" s="320"/>
      <c r="B425" s="321"/>
      <c r="C425" s="322"/>
      <c r="D425" s="401"/>
      <c r="E425" s="320"/>
      <c r="F425" s="321"/>
      <c r="G425" s="322"/>
      <c r="H425" s="401"/>
      <c r="I425" s="320"/>
      <c r="J425" s="321"/>
      <c r="K425" s="322"/>
      <c r="L425" s="401"/>
      <c r="M425" s="320"/>
      <c r="N425" s="321"/>
      <c r="O425" s="322"/>
      <c r="P425" s="401"/>
      <c r="Q425" s="203"/>
      <c r="R425" s="223"/>
      <c r="S425" s="404"/>
      <c r="T425" s="405"/>
      <c r="U425" s="203"/>
      <c r="V425" s="223"/>
      <c r="W425" s="404"/>
      <c r="X425" s="405"/>
      <c r="Y425" s="203"/>
      <c r="Z425" s="223"/>
      <c r="AA425" s="404"/>
      <c r="AB425" s="405"/>
      <c r="AC425" s="203"/>
      <c r="AD425" s="223"/>
      <c r="AE425" s="404"/>
      <c r="AF425" s="405"/>
      <c r="AG425" s="205"/>
      <c r="AH425" s="205"/>
      <c r="AI425" s="205"/>
      <c r="AJ425" s="205"/>
      <c r="AK425" s="401"/>
      <c r="AL425" s="401"/>
      <c r="AM425" s="401"/>
    </row>
    <row r="426">
      <c r="A426" s="320"/>
      <c r="B426" s="321"/>
      <c r="C426" s="322"/>
      <c r="D426" s="401"/>
      <c r="E426" s="320"/>
      <c r="F426" s="321"/>
      <c r="G426" s="322"/>
      <c r="H426" s="401"/>
      <c r="I426" s="320"/>
      <c r="J426" s="321"/>
      <c r="K426" s="322"/>
      <c r="L426" s="401"/>
      <c r="M426" s="320"/>
      <c r="N426" s="321"/>
      <c r="O426" s="322"/>
      <c r="P426" s="401"/>
      <c r="Q426" s="203"/>
      <c r="R426" s="223"/>
      <c r="S426" s="404"/>
      <c r="T426" s="405"/>
      <c r="U426" s="203"/>
      <c r="V426" s="223"/>
      <c r="W426" s="404"/>
      <c r="X426" s="405"/>
      <c r="Y426" s="203"/>
      <c r="Z426" s="223"/>
      <c r="AA426" s="404"/>
      <c r="AB426" s="405"/>
      <c r="AC426" s="203"/>
      <c r="AD426" s="223"/>
      <c r="AE426" s="404"/>
      <c r="AF426" s="405"/>
      <c r="AG426" s="205"/>
      <c r="AH426" s="205"/>
      <c r="AI426" s="205"/>
      <c r="AJ426" s="205"/>
      <c r="AK426" s="401"/>
      <c r="AL426" s="401"/>
      <c r="AM426" s="401"/>
    </row>
    <row r="427">
      <c r="A427" s="320"/>
      <c r="B427" s="321"/>
      <c r="C427" s="322"/>
      <c r="D427" s="401"/>
      <c r="E427" s="320"/>
      <c r="F427" s="321"/>
      <c r="G427" s="322"/>
      <c r="H427" s="401"/>
      <c r="I427" s="320"/>
      <c r="J427" s="321"/>
      <c r="K427" s="322"/>
      <c r="L427" s="401"/>
      <c r="M427" s="320"/>
      <c r="N427" s="321"/>
      <c r="O427" s="322"/>
      <c r="P427" s="401"/>
      <c r="Q427" s="203"/>
      <c r="R427" s="223"/>
      <c r="S427" s="404"/>
      <c r="T427" s="405"/>
      <c r="U427" s="203"/>
      <c r="V427" s="223"/>
      <c r="W427" s="404"/>
      <c r="X427" s="405"/>
      <c r="Y427" s="203"/>
      <c r="Z427" s="223"/>
      <c r="AA427" s="404"/>
      <c r="AB427" s="405"/>
      <c r="AC427" s="203"/>
      <c r="AD427" s="223"/>
      <c r="AE427" s="404"/>
      <c r="AF427" s="405"/>
      <c r="AG427" s="205"/>
      <c r="AH427" s="205"/>
      <c r="AI427" s="205"/>
      <c r="AJ427" s="205"/>
      <c r="AK427" s="401"/>
      <c r="AL427" s="401"/>
      <c r="AM427" s="401"/>
    </row>
    <row r="428">
      <c r="A428" s="320"/>
      <c r="B428" s="321"/>
      <c r="C428" s="322"/>
      <c r="D428" s="401"/>
      <c r="E428" s="320"/>
      <c r="F428" s="321"/>
      <c r="G428" s="322"/>
      <c r="H428" s="401"/>
      <c r="I428" s="320"/>
      <c r="J428" s="321"/>
      <c r="K428" s="322"/>
      <c r="L428" s="401"/>
      <c r="M428" s="320"/>
      <c r="N428" s="321"/>
      <c r="O428" s="322"/>
      <c r="P428" s="401"/>
      <c r="Q428" s="203"/>
      <c r="R428" s="223"/>
      <c r="S428" s="404"/>
      <c r="T428" s="405"/>
      <c r="U428" s="203"/>
      <c r="V428" s="223"/>
      <c r="W428" s="404"/>
      <c r="X428" s="405"/>
      <c r="Y428" s="203"/>
      <c r="Z428" s="223"/>
      <c r="AA428" s="404"/>
      <c r="AB428" s="405"/>
      <c r="AC428" s="203"/>
      <c r="AD428" s="223"/>
      <c r="AE428" s="404"/>
      <c r="AF428" s="405"/>
      <c r="AG428" s="205"/>
      <c r="AH428" s="205"/>
      <c r="AI428" s="205"/>
      <c r="AJ428" s="205"/>
      <c r="AK428" s="401"/>
      <c r="AL428" s="401"/>
      <c r="AM428" s="401"/>
    </row>
    <row r="429">
      <c r="A429" s="320"/>
      <c r="B429" s="321"/>
      <c r="C429" s="322"/>
      <c r="D429" s="401"/>
      <c r="E429" s="320"/>
      <c r="F429" s="321"/>
      <c r="G429" s="322"/>
      <c r="H429" s="401"/>
      <c r="I429" s="320"/>
      <c r="J429" s="321"/>
      <c r="K429" s="322"/>
      <c r="L429" s="401"/>
      <c r="M429" s="320"/>
      <c r="N429" s="321"/>
      <c r="O429" s="322"/>
      <c r="P429" s="401"/>
      <c r="Q429" s="203"/>
      <c r="R429" s="223"/>
      <c r="S429" s="404"/>
      <c r="T429" s="405"/>
      <c r="U429" s="203"/>
      <c r="V429" s="223"/>
      <c r="W429" s="404"/>
      <c r="X429" s="405"/>
      <c r="Y429" s="203"/>
      <c r="Z429" s="223"/>
      <c r="AA429" s="404"/>
      <c r="AB429" s="405"/>
      <c r="AC429" s="203"/>
      <c r="AD429" s="223"/>
      <c r="AE429" s="404"/>
      <c r="AF429" s="405"/>
      <c r="AG429" s="205"/>
      <c r="AH429" s="205"/>
      <c r="AI429" s="205"/>
      <c r="AJ429" s="205"/>
      <c r="AK429" s="401"/>
      <c r="AL429" s="401"/>
      <c r="AM429" s="401"/>
    </row>
    <row r="430">
      <c r="A430" s="320"/>
      <c r="B430" s="321"/>
      <c r="C430" s="322"/>
      <c r="D430" s="401"/>
      <c r="E430" s="320"/>
      <c r="F430" s="321"/>
      <c r="G430" s="322"/>
      <c r="H430" s="401"/>
      <c r="I430" s="320"/>
      <c r="J430" s="321"/>
      <c r="K430" s="322"/>
      <c r="L430" s="401"/>
      <c r="M430" s="320"/>
      <c r="N430" s="321"/>
      <c r="O430" s="322"/>
      <c r="P430" s="401"/>
      <c r="Q430" s="203"/>
      <c r="R430" s="223"/>
      <c r="S430" s="404"/>
      <c r="T430" s="405"/>
      <c r="U430" s="203"/>
      <c r="V430" s="223"/>
      <c r="W430" s="404"/>
      <c r="X430" s="405"/>
      <c r="Y430" s="203"/>
      <c r="Z430" s="223"/>
      <c r="AA430" s="404"/>
      <c r="AB430" s="405"/>
      <c r="AC430" s="203"/>
      <c r="AD430" s="223"/>
      <c r="AE430" s="404"/>
      <c r="AF430" s="405"/>
      <c r="AG430" s="205"/>
      <c r="AH430" s="205"/>
      <c r="AI430" s="205"/>
      <c r="AJ430" s="205"/>
      <c r="AK430" s="401"/>
      <c r="AL430" s="401"/>
      <c r="AM430" s="401"/>
    </row>
    <row r="431">
      <c r="A431" s="320"/>
      <c r="B431" s="321"/>
      <c r="C431" s="322"/>
      <c r="D431" s="401"/>
      <c r="E431" s="320"/>
      <c r="F431" s="321"/>
      <c r="G431" s="322"/>
      <c r="H431" s="401"/>
      <c r="I431" s="320"/>
      <c r="J431" s="321"/>
      <c r="K431" s="322"/>
      <c r="L431" s="401"/>
      <c r="M431" s="320"/>
      <c r="N431" s="321"/>
      <c r="O431" s="322"/>
      <c r="P431" s="401"/>
      <c r="Q431" s="203"/>
      <c r="R431" s="223"/>
      <c r="S431" s="404"/>
      <c r="T431" s="405"/>
      <c r="U431" s="203"/>
      <c r="V431" s="223"/>
      <c r="W431" s="404"/>
      <c r="X431" s="405"/>
      <c r="Y431" s="203"/>
      <c r="Z431" s="223"/>
      <c r="AA431" s="404"/>
      <c r="AB431" s="405"/>
      <c r="AC431" s="203"/>
      <c r="AD431" s="223"/>
      <c r="AE431" s="404"/>
      <c r="AF431" s="405"/>
      <c r="AG431" s="205"/>
      <c r="AH431" s="205"/>
      <c r="AI431" s="205"/>
      <c r="AJ431" s="205"/>
      <c r="AK431" s="401"/>
      <c r="AL431" s="401"/>
      <c r="AM431" s="401"/>
    </row>
    <row r="432">
      <c r="A432" s="320"/>
      <c r="B432" s="321"/>
      <c r="C432" s="322"/>
      <c r="D432" s="401"/>
      <c r="E432" s="320"/>
      <c r="F432" s="321"/>
      <c r="G432" s="322"/>
      <c r="H432" s="401"/>
      <c r="I432" s="320"/>
      <c r="J432" s="321"/>
      <c r="K432" s="322"/>
      <c r="L432" s="401"/>
      <c r="M432" s="320"/>
      <c r="N432" s="321"/>
      <c r="O432" s="322"/>
      <c r="P432" s="401"/>
      <c r="Q432" s="203"/>
      <c r="R432" s="223"/>
      <c r="S432" s="404"/>
      <c r="T432" s="405"/>
      <c r="U432" s="203"/>
      <c r="V432" s="223"/>
      <c r="W432" s="404"/>
      <c r="X432" s="405"/>
      <c r="Y432" s="203"/>
      <c r="Z432" s="223"/>
      <c r="AA432" s="404"/>
      <c r="AB432" s="405"/>
      <c r="AC432" s="203"/>
      <c r="AD432" s="223"/>
      <c r="AE432" s="404"/>
      <c r="AF432" s="405"/>
      <c r="AG432" s="205"/>
      <c r="AH432" s="205"/>
      <c r="AI432" s="205"/>
      <c r="AJ432" s="205"/>
      <c r="AK432" s="401"/>
      <c r="AL432" s="401"/>
      <c r="AM432" s="401"/>
    </row>
    <row r="433">
      <c r="A433" s="320"/>
      <c r="B433" s="321"/>
      <c r="C433" s="322"/>
      <c r="D433" s="401"/>
      <c r="E433" s="320"/>
      <c r="F433" s="321"/>
      <c r="G433" s="322"/>
      <c r="H433" s="401"/>
      <c r="I433" s="320"/>
      <c r="J433" s="321"/>
      <c r="K433" s="322"/>
      <c r="L433" s="401"/>
      <c r="M433" s="320"/>
      <c r="N433" s="321"/>
      <c r="O433" s="322"/>
      <c r="P433" s="401"/>
      <c r="Q433" s="203"/>
      <c r="R433" s="223"/>
      <c r="S433" s="404"/>
      <c r="T433" s="405"/>
      <c r="U433" s="203"/>
      <c r="V433" s="223"/>
      <c r="W433" s="404"/>
      <c r="X433" s="405"/>
      <c r="Y433" s="203"/>
      <c r="Z433" s="223"/>
      <c r="AA433" s="404"/>
      <c r="AB433" s="405"/>
      <c r="AC433" s="203"/>
      <c r="AD433" s="223"/>
      <c r="AE433" s="404"/>
      <c r="AF433" s="405"/>
      <c r="AG433" s="205"/>
      <c r="AH433" s="205"/>
      <c r="AI433" s="205"/>
      <c r="AJ433" s="205"/>
      <c r="AK433" s="401"/>
      <c r="AL433" s="401"/>
      <c r="AM433" s="401"/>
    </row>
    <row r="434">
      <c r="A434" s="320"/>
      <c r="B434" s="321"/>
      <c r="C434" s="322"/>
      <c r="D434" s="401"/>
      <c r="E434" s="320"/>
      <c r="F434" s="321"/>
      <c r="G434" s="322"/>
      <c r="H434" s="401"/>
      <c r="I434" s="320"/>
      <c r="J434" s="321"/>
      <c r="K434" s="322"/>
      <c r="L434" s="401"/>
      <c r="M434" s="320"/>
      <c r="N434" s="321"/>
      <c r="O434" s="322"/>
      <c r="P434" s="401"/>
      <c r="Q434" s="203"/>
      <c r="R434" s="223"/>
      <c r="S434" s="404"/>
      <c r="T434" s="405"/>
      <c r="U434" s="203"/>
      <c r="V434" s="223"/>
      <c r="W434" s="404"/>
      <c r="X434" s="405"/>
      <c r="Y434" s="203"/>
      <c r="Z434" s="223"/>
      <c r="AA434" s="404"/>
      <c r="AB434" s="405"/>
      <c r="AC434" s="203"/>
      <c r="AD434" s="223"/>
      <c r="AE434" s="404"/>
      <c r="AF434" s="405"/>
      <c r="AG434" s="205"/>
      <c r="AH434" s="205"/>
      <c r="AI434" s="205"/>
      <c r="AJ434" s="205"/>
      <c r="AK434" s="401"/>
      <c r="AL434" s="401"/>
      <c r="AM434" s="401"/>
    </row>
    <row r="435">
      <c r="A435" s="320"/>
      <c r="B435" s="321"/>
      <c r="C435" s="322"/>
      <c r="D435" s="401"/>
      <c r="E435" s="320"/>
      <c r="F435" s="321"/>
      <c r="G435" s="322"/>
      <c r="H435" s="401"/>
      <c r="I435" s="320"/>
      <c r="J435" s="321"/>
      <c r="K435" s="322"/>
      <c r="L435" s="401"/>
      <c r="M435" s="320"/>
      <c r="N435" s="321"/>
      <c r="O435" s="322"/>
      <c r="P435" s="401"/>
      <c r="Q435" s="203"/>
      <c r="R435" s="223"/>
      <c r="S435" s="404"/>
      <c r="T435" s="405"/>
      <c r="U435" s="203"/>
      <c r="V435" s="223"/>
      <c r="W435" s="404"/>
      <c r="X435" s="405"/>
      <c r="Y435" s="203"/>
      <c r="Z435" s="223"/>
      <c r="AA435" s="404"/>
      <c r="AB435" s="405"/>
      <c r="AC435" s="203"/>
      <c r="AD435" s="223"/>
      <c r="AE435" s="404"/>
      <c r="AF435" s="405"/>
      <c r="AG435" s="205"/>
      <c r="AH435" s="205"/>
      <c r="AI435" s="205"/>
      <c r="AJ435" s="205"/>
      <c r="AK435" s="401"/>
      <c r="AL435" s="401"/>
      <c r="AM435" s="401"/>
    </row>
    <row r="436">
      <c r="A436" s="320"/>
      <c r="B436" s="321"/>
      <c r="C436" s="322"/>
      <c r="D436" s="401"/>
      <c r="E436" s="320"/>
      <c r="F436" s="321"/>
      <c r="G436" s="322"/>
      <c r="H436" s="401"/>
      <c r="I436" s="320"/>
      <c r="J436" s="321"/>
      <c r="K436" s="322"/>
      <c r="L436" s="401"/>
      <c r="M436" s="320"/>
      <c r="N436" s="321"/>
      <c r="O436" s="322"/>
      <c r="P436" s="401"/>
      <c r="Q436" s="203"/>
      <c r="R436" s="223"/>
      <c r="S436" s="404"/>
      <c r="T436" s="405"/>
      <c r="U436" s="203"/>
      <c r="V436" s="223"/>
      <c r="W436" s="404"/>
      <c r="X436" s="405"/>
      <c r="Y436" s="203"/>
      <c r="Z436" s="223"/>
      <c r="AA436" s="404"/>
      <c r="AB436" s="405"/>
      <c r="AC436" s="203"/>
      <c r="AD436" s="223"/>
      <c r="AE436" s="404"/>
      <c r="AF436" s="405"/>
      <c r="AG436" s="205"/>
      <c r="AH436" s="205"/>
      <c r="AI436" s="205"/>
      <c r="AJ436" s="205"/>
      <c r="AK436" s="401"/>
      <c r="AL436" s="401"/>
      <c r="AM436" s="401"/>
    </row>
    <row r="437">
      <c r="A437" s="320"/>
      <c r="B437" s="321"/>
      <c r="C437" s="322"/>
      <c r="D437" s="401"/>
      <c r="E437" s="320"/>
      <c r="F437" s="321"/>
      <c r="G437" s="322"/>
      <c r="H437" s="401"/>
      <c r="I437" s="320"/>
      <c r="J437" s="321"/>
      <c r="K437" s="322"/>
      <c r="L437" s="401"/>
      <c r="M437" s="320"/>
      <c r="N437" s="321"/>
      <c r="O437" s="322"/>
      <c r="P437" s="401"/>
      <c r="Q437" s="203"/>
      <c r="R437" s="223"/>
      <c r="S437" s="404"/>
      <c r="T437" s="405"/>
      <c r="U437" s="203"/>
      <c r="V437" s="223"/>
      <c r="W437" s="404"/>
      <c r="X437" s="405"/>
      <c r="Y437" s="203"/>
      <c r="Z437" s="223"/>
      <c r="AA437" s="404"/>
      <c r="AB437" s="405"/>
      <c r="AC437" s="203"/>
      <c r="AD437" s="223"/>
      <c r="AE437" s="404"/>
      <c r="AF437" s="405"/>
      <c r="AG437" s="205"/>
      <c r="AH437" s="205"/>
      <c r="AI437" s="205"/>
      <c r="AJ437" s="205"/>
      <c r="AK437" s="401"/>
      <c r="AL437" s="401"/>
      <c r="AM437" s="401"/>
    </row>
    <row r="438">
      <c r="A438" s="320"/>
      <c r="B438" s="321"/>
      <c r="C438" s="322"/>
      <c r="D438" s="401"/>
      <c r="E438" s="320"/>
      <c r="F438" s="321"/>
      <c r="G438" s="322"/>
      <c r="H438" s="401"/>
      <c r="I438" s="320"/>
      <c r="J438" s="321"/>
      <c r="K438" s="322"/>
      <c r="L438" s="401"/>
      <c r="M438" s="320"/>
      <c r="N438" s="321"/>
      <c r="O438" s="322"/>
      <c r="P438" s="401"/>
      <c r="Q438" s="203"/>
      <c r="R438" s="223"/>
      <c r="S438" s="404"/>
      <c r="T438" s="405"/>
      <c r="U438" s="203"/>
      <c r="V438" s="223"/>
      <c r="W438" s="404"/>
      <c r="X438" s="405"/>
      <c r="Y438" s="203"/>
      <c r="Z438" s="223"/>
      <c r="AA438" s="404"/>
      <c r="AB438" s="405"/>
      <c r="AC438" s="203"/>
      <c r="AD438" s="223"/>
      <c r="AE438" s="404"/>
      <c r="AF438" s="405"/>
      <c r="AG438" s="205"/>
      <c r="AH438" s="205"/>
      <c r="AI438" s="205"/>
      <c r="AJ438" s="205"/>
      <c r="AK438" s="401"/>
      <c r="AL438" s="401"/>
      <c r="AM438" s="401"/>
    </row>
    <row r="439">
      <c r="A439" s="320"/>
      <c r="B439" s="321"/>
      <c r="C439" s="322"/>
      <c r="D439" s="401"/>
      <c r="E439" s="320"/>
      <c r="F439" s="321"/>
      <c r="G439" s="322"/>
      <c r="H439" s="401"/>
      <c r="I439" s="320"/>
      <c r="J439" s="321"/>
      <c r="K439" s="322"/>
      <c r="L439" s="401"/>
      <c r="M439" s="320"/>
      <c r="N439" s="321"/>
      <c r="O439" s="322"/>
      <c r="P439" s="401"/>
      <c r="Q439" s="203"/>
      <c r="R439" s="223"/>
      <c r="S439" s="404"/>
      <c r="T439" s="405"/>
      <c r="U439" s="203"/>
      <c r="V439" s="223"/>
      <c r="W439" s="404"/>
      <c r="X439" s="405"/>
      <c r="Y439" s="203"/>
      <c r="Z439" s="223"/>
      <c r="AA439" s="404"/>
      <c r="AB439" s="405"/>
      <c r="AC439" s="203"/>
      <c r="AD439" s="223"/>
      <c r="AE439" s="404"/>
      <c r="AF439" s="405"/>
      <c r="AG439" s="205"/>
      <c r="AH439" s="205"/>
      <c r="AI439" s="205"/>
      <c r="AJ439" s="205"/>
      <c r="AK439" s="401"/>
      <c r="AL439" s="401"/>
      <c r="AM439" s="401"/>
    </row>
    <row r="440">
      <c r="A440" s="320"/>
      <c r="B440" s="321"/>
      <c r="C440" s="322"/>
      <c r="D440" s="401"/>
      <c r="E440" s="320"/>
      <c r="F440" s="321"/>
      <c r="G440" s="322"/>
      <c r="H440" s="401"/>
      <c r="I440" s="320"/>
      <c r="J440" s="321"/>
      <c r="K440" s="322"/>
      <c r="L440" s="401"/>
      <c r="M440" s="320"/>
      <c r="N440" s="321"/>
      <c r="O440" s="322"/>
      <c r="P440" s="401"/>
      <c r="Q440" s="203"/>
      <c r="R440" s="223"/>
      <c r="S440" s="404"/>
      <c r="T440" s="405"/>
      <c r="U440" s="203"/>
      <c r="V440" s="223"/>
      <c r="W440" s="404"/>
      <c r="X440" s="405"/>
      <c r="Y440" s="203"/>
      <c r="Z440" s="223"/>
      <c r="AA440" s="404"/>
      <c r="AB440" s="405"/>
      <c r="AC440" s="203"/>
      <c r="AD440" s="223"/>
      <c r="AE440" s="404"/>
      <c r="AF440" s="405"/>
      <c r="AG440" s="205"/>
      <c r="AH440" s="205"/>
      <c r="AI440" s="205"/>
      <c r="AJ440" s="205"/>
      <c r="AK440" s="401"/>
      <c r="AL440" s="401"/>
      <c r="AM440" s="401"/>
    </row>
    <row r="441">
      <c r="A441" s="320"/>
      <c r="B441" s="321"/>
      <c r="C441" s="322"/>
      <c r="D441" s="401"/>
      <c r="E441" s="320"/>
      <c r="F441" s="321"/>
      <c r="G441" s="322"/>
      <c r="H441" s="401"/>
      <c r="I441" s="320"/>
      <c r="J441" s="321"/>
      <c r="K441" s="322"/>
      <c r="L441" s="401"/>
      <c r="M441" s="320"/>
      <c r="N441" s="321"/>
      <c r="O441" s="322"/>
      <c r="P441" s="401"/>
      <c r="Q441" s="203"/>
      <c r="R441" s="223"/>
      <c r="S441" s="404"/>
      <c r="T441" s="405"/>
      <c r="U441" s="203"/>
      <c r="V441" s="223"/>
      <c r="W441" s="404"/>
      <c r="X441" s="405"/>
      <c r="Y441" s="203"/>
      <c r="Z441" s="223"/>
      <c r="AA441" s="404"/>
      <c r="AB441" s="405"/>
      <c r="AC441" s="203"/>
      <c r="AD441" s="223"/>
      <c r="AE441" s="404"/>
      <c r="AF441" s="405"/>
      <c r="AG441" s="205"/>
      <c r="AH441" s="205"/>
      <c r="AI441" s="205"/>
      <c r="AJ441" s="205"/>
      <c r="AK441" s="401"/>
      <c r="AL441" s="401"/>
      <c r="AM441" s="401"/>
    </row>
    <row r="442">
      <c r="A442" s="320"/>
      <c r="B442" s="321"/>
      <c r="C442" s="322"/>
      <c r="D442" s="401"/>
      <c r="E442" s="320"/>
      <c r="F442" s="321"/>
      <c r="G442" s="322"/>
      <c r="H442" s="401"/>
      <c r="I442" s="320"/>
      <c r="J442" s="321"/>
      <c r="K442" s="322"/>
      <c r="L442" s="401"/>
      <c r="M442" s="320"/>
      <c r="N442" s="321"/>
      <c r="O442" s="322"/>
      <c r="P442" s="401"/>
      <c r="Q442" s="203"/>
      <c r="R442" s="223"/>
      <c r="S442" s="404"/>
      <c r="T442" s="405"/>
      <c r="U442" s="203"/>
      <c r="V442" s="223"/>
      <c r="W442" s="404"/>
      <c r="X442" s="405"/>
      <c r="Y442" s="203"/>
      <c r="Z442" s="223"/>
      <c r="AA442" s="404"/>
      <c r="AB442" s="405"/>
      <c r="AC442" s="203"/>
      <c r="AD442" s="223"/>
      <c r="AE442" s="404"/>
      <c r="AF442" s="405"/>
      <c r="AG442" s="205"/>
      <c r="AH442" s="205"/>
      <c r="AI442" s="205"/>
      <c r="AJ442" s="205"/>
      <c r="AK442" s="401"/>
      <c r="AL442" s="401"/>
      <c r="AM442" s="401"/>
    </row>
    <row r="443">
      <c r="A443" s="320"/>
      <c r="B443" s="321"/>
      <c r="C443" s="322"/>
      <c r="D443" s="401"/>
      <c r="E443" s="320"/>
      <c r="F443" s="321"/>
      <c r="G443" s="322"/>
      <c r="H443" s="401"/>
      <c r="I443" s="320"/>
      <c r="J443" s="321"/>
      <c r="K443" s="322"/>
      <c r="L443" s="401"/>
      <c r="M443" s="320"/>
      <c r="N443" s="321"/>
      <c r="O443" s="322"/>
      <c r="P443" s="401"/>
      <c r="Q443" s="203"/>
      <c r="R443" s="223"/>
      <c r="S443" s="404"/>
      <c r="T443" s="405"/>
      <c r="U443" s="203"/>
      <c r="V443" s="223"/>
      <c r="W443" s="404"/>
      <c r="X443" s="405"/>
      <c r="Y443" s="203"/>
      <c r="Z443" s="223"/>
      <c r="AA443" s="404"/>
      <c r="AB443" s="405"/>
      <c r="AC443" s="203"/>
      <c r="AD443" s="223"/>
      <c r="AE443" s="404"/>
      <c r="AF443" s="405"/>
      <c r="AG443" s="205"/>
      <c r="AH443" s="205"/>
      <c r="AI443" s="205"/>
      <c r="AJ443" s="205"/>
      <c r="AK443" s="401"/>
      <c r="AL443" s="401"/>
      <c r="AM443" s="401"/>
    </row>
    <row r="444">
      <c r="A444" s="320"/>
      <c r="B444" s="321"/>
      <c r="C444" s="322"/>
      <c r="D444" s="401"/>
      <c r="E444" s="320"/>
      <c r="F444" s="321"/>
      <c r="G444" s="322"/>
      <c r="H444" s="401"/>
      <c r="I444" s="320"/>
      <c r="J444" s="321"/>
      <c r="K444" s="322"/>
      <c r="L444" s="401"/>
      <c r="M444" s="320"/>
      <c r="N444" s="321"/>
      <c r="O444" s="322"/>
      <c r="P444" s="401"/>
      <c r="Q444" s="203"/>
      <c r="R444" s="223"/>
      <c r="S444" s="404"/>
      <c r="T444" s="405"/>
      <c r="U444" s="203"/>
      <c r="V444" s="223"/>
      <c r="W444" s="404"/>
      <c r="X444" s="405"/>
      <c r="Y444" s="203"/>
      <c r="Z444" s="223"/>
      <c r="AA444" s="404"/>
      <c r="AB444" s="405"/>
      <c r="AC444" s="203"/>
      <c r="AD444" s="223"/>
      <c r="AE444" s="404"/>
      <c r="AF444" s="405"/>
      <c r="AG444" s="205"/>
      <c r="AH444" s="205"/>
      <c r="AI444" s="205"/>
      <c r="AJ444" s="205"/>
      <c r="AK444" s="401"/>
      <c r="AL444" s="401"/>
      <c r="AM444" s="401"/>
    </row>
    <row r="445">
      <c r="A445" s="320"/>
      <c r="B445" s="321"/>
      <c r="C445" s="322"/>
      <c r="D445" s="401"/>
      <c r="E445" s="320"/>
      <c r="F445" s="321"/>
      <c r="G445" s="322"/>
      <c r="H445" s="401"/>
      <c r="I445" s="320"/>
      <c r="J445" s="321"/>
      <c r="K445" s="322"/>
      <c r="L445" s="401"/>
      <c r="M445" s="320"/>
      <c r="N445" s="321"/>
      <c r="O445" s="322"/>
      <c r="P445" s="401"/>
      <c r="Q445" s="203"/>
      <c r="R445" s="223"/>
      <c r="S445" s="404"/>
      <c r="T445" s="405"/>
      <c r="U445" s="203"/>
      <c r="V445" s="223"/>
      <c r="W445" s="404"/>
      <c r="X445" s="405"/>
      <c r="Y445" s="203"/>
      <c r="Z445" s="223"/>
      <c r="AA445" s="404"/>
      <c r="AB445" s="405"/>
      <c r="AC445" s="203"/>
      <c r="AD445" s="223"/>
      <c r="AE445" s="404"/>
      <c r="AF445" s="405"/>
      <c r="AG445" s="205"/>
      <c r="AH445" s="205"/>
      <c r="AI445" s="205"/>
      <c r="AJ445" s="205"/>
      <c r="AK445" s="401"/>
      <c r="AL445" s="401"/>
      <c r="AM445" s="401"/>
    </row>
    <row r="446">
      <c r="A446" s="320"/>
      <c r="B446" s="321"/>
      <c r="C446" s="322"/>
      <c r="D446" s="401"/>
      <c r="E446" s="320"/>
      <c r="F446" s="321"/>
      <c r="G446" s="322"/>
      <c r="H446" s="401"/>
      <c r="I446" s="320"/>
      <c r="J446" s="321"/>
      <c r="K446" s="322"/>
      <c r="L446" s="401"/>
      <c r="M446" s="320"/>
      <c r="N446" s="321"/>
      <c r="O446" s="322"/>
      <c r="P446" s="401"/>
      <c r="Q446" s="203"/>
      <c r="R446" s="223"/>
      <c r="S446" s="404"/>
      <c r="T446" s="405"/>
      <c r="U446" s="203"/>
      <c r="V446" s="223"/>
      <c r="W446" s="404"/>
      <c r="X446" s="405"/>
      <c r="Y446" s="203"/>
      <c r="Z446" s="223"/>
      <c r="AA446" s="404"/>
      <c r="AB446" s="405"/>
      <c r="AC446" s="203"/>
      <c r="AD446" s="223"/>
      <c r="AE446" s="404"/>
      <c r="AF446" s="405"/>
      <c r="AG446" s="205"/>
      <c r="AH446" s="205"/>
      <c r="AI446" s="205"/>
      <c r="AJ446" s="205"/>
      <c r="AK446" s="401"/>
      <c r="AL446" s="401"/>
      <c r="AM446" s="401"/>
    </row>
    <row r="447">
      <c r="A447" s="320"/>
      <c r="B447" s="321"/>
      <c r="C447" s="322"/>
      <c r="D447" s="401"/>
      <c r="E447" s="320"/>
      <c r="F447" s="321"/>
      <c r="G447" s="322"/>
      <c r="H447" s="401"/>
      <c r="I447" s="320"/>
      <c r="J447" s="321"/>
      <c r="K447" s="322"/>
      <c r="L447" s="401"/>
      <c r="M447" s="320"/>
      <c r="N447" s="321"/>
      <c r="O447" s="322"/>
      <c r="P447" s="401"/>
      <c r="Q447" s="203"/>
      <c r="R447" s="223"/>
      <c r="S447" s="404"/>
      <c r="T447" s="405"/>
      <c r="U447" s="203"/>
      <c r="V447" s="223"/>
      <c r="W447" s="404"/>
      <c r="X447" s="405"/>
      <c r="Y447" s="203"/>
      <c r="Z447" s="223"/>
      <c r="AA447" s="404"/>
      <c r="AB447" s="405"/>
      <c r="AC447" s="203"/>
      <c r="AD447" s="223"/>
      <c r="AE447" s="404"/>
      <c r="AF447" s="405"/>
      <c r="AG447" s="205"/>
      <c r="AH447" s="205"/>
      <c r="AI447" s="205"/>
      <c r="AJ447" s="205"/>
      <c r="AK447" s="401"/>
      <c r="AL447" s="401"/>
      <c r="AM447" s="401"/>
    </row>
    <row r="448">
      <c r="A448" s="320"/>
      <c r="B448" s="321"/>
      <c r="C448" s="322"/>
      <c r="D448" s="401"/>
      <c r="E448" s="320"/>
      <c r="F448" s="321"/>
      <c r="G448" s="322"/>
      <c r="H448" s="401"/>
      <c r="I448" s="320"/>
      <c r="J448" s="321"/>
      <c r="K448" s="322"/>
      <c r="L448" s="401"/>
      <c r="M448" s="320"/>
      <c r="N448" s="321"/>
      <c r="O448" s="322"/>
      <c r="P448" s="401"/>
      <c r="Q448" s="203"/>
      <c r="R448" s="223"/>
      <c r="S448" s="404"/>
      <c r="T448" s="405"/>
      <c r="U448" s="203"/>
      <c r="V448" s="223"/>
      <c r="W448" s="404"/>
      <c r="X448" s="405"/>
      <c r="Y448" s="203"/>
      <c r="Z448" s="223"/>
      <c r="AA448" s="404"/>
      <c r="AB448" s="405"/>
      <c r="AC448" s="203"/>
      <c r="AD448" s="223"/>
      <c r="AE448" s="404"/>
      <c r="AF448" s="405"/>
      <c r="AG448" s="205"/>
      <c r="AH448" s="205"/>
      <c r="AI448" s="205"/>
      <c r="AJ448" s="205"/>
      <c r="AK448" s="401"/>
      <c r="AL448" s="401"/>
      <c r="AM448" s="401"/>
    </row>
    <row r="449">
      <c r="A449" s="320"/>
      <c r="B449" s="321"/>
      <c r="C449" s="322"/>
      <c r="D449" s="401"/>
      <c r="E449" s="320"/>
      <c r="F449" s="321"/>
      <c r="G449" s="322"/>
      <c r="H449" s="401"/>
      <c r="I449" s="320"/>
      <c r="J449" s="321"/>
      <c r="K449" s="322"/>
      <c r="L449" s="401"/>
      <c r="M449" s="320"/>
      <c r="N449" s="321"/>
      <c r="O449" s="322"/>
      <c r="P449" s="401"/>
      <c r="Q449" s="203"/>
      <c r="R449" s="223"/>
      <c r="S449" s="404"/>
      <c r="T449" s="405"/>
      <c r="U449" s="203"/>
      <c r="V449" s="223"/>
      <c r="W449" s="404"/>
      <c r="X449" s="405"/>
      <c r="Y449" s="203"/>
      <c r="Z449" s="223"/>
      <c r="AA449" s="404"/>
      <c r="AB449" s="405"/>
      <c r="AC449" s="203"/>
      <c r="AD449" s="223"/>
      <c r="AE449" s="404"/>
      <c r="AF449" s="405"/>
      <c r="AG449" s="205"/>
      <c r="AH449" s="205"/>
      <c r="AI449" s="205"/>
      <c r="AJ449" s="205"/>
      <c r="AK449" s="401"/>
      <c r="AL449" s="401"/>
      <c r="AM449" s="401"/>
    </row>
    <row r="450">
      <c r="A450" s="320"/>
      <c r="B450" s="321"/>
      <c r="C450" s="322"/>
      <c r="D450" s="401"/>
      <c r="E450" s="320"/>
      <c r="F450" s="321"/>
      <c r="G450" s="322"/>
      <c r="H450" s="401"/>
      <c r="I450" s="320"/>
      <c r="J450" s="321"/>
      <c r="K450" s="322"/>
      <c r="L450" s="401"/>
      <c r="M450" s="320"/>
      <c r="N450" s="321"/>
      <c r="O450" s="322"/>
      <c r="P450" s="401"/>
      <c r="Q450" s="203"/>
      <c r="R450" s="223"/>
      <c r="S450" s="404"/>
      <c r="T450" s="405"/>
      <c r="U450" s="203"/>
      <c r="V450" s="223"/>
      <c r="W450" s="404"/>
      <c r="X450" s="405"/>
      <c r="Y450" s="203"/>
      <c r="Z450" s="223"/>
      <c r="AA450" s="404"/>
      <c r="AB450" s="405"/>
      <c r="AC450" s="203"/>
      <c r="AD450" s="223"/>
      <c r="AE450" s="404"/>
      <c r="AF450" s="405"/>
      <c r="AG450" s="205"/>
      <c r="AH450" s="205"/>
      <c r="AI450" s="205"/>
      <c r="AJ450" s="205"/>
      <c r="AK450" s="401"/>
      <c r="AL450" s="401"/>
      <c r="AM450" s="401"/>
    </row>
    <row r="451">
      <c r="A451" s="320"/>
      <c r="B451" s="321"/>
      <c r="C451" s="322"/>
      <c r="D451" s="401"/>
      <c r="E451" s="320"/>
      <c r="F451" s="321"/>
      <c r="G451" s="322"/>
      <c r="H451" s="401"/>
      <c r="I451" s="320"/>
      <c r="J451" s="321"/>
      <c r="K451" s="322"/>
      <c r="L451" s="401"/>
      <c r="M451" s="320"/>
      <c r="N451" s="321"/>
      <c r="O451" s="322"/>
      <c r="P451" s="401"/>
      <c r="Q451" s="203"/>
      <c r="R451" s="223"/>
      <c r="S451" s="404"/>
      <c r="T451" s="405"/>
      <c r="U451" s="203"/>
      <c r="V451" s="223"/>
      <c r="W451" s="404"/>
      <c r="X451" s="405"/>
      <c r="Y451" s="203"/>
      <c r="Z451" s="223"/>
      <c r="AA451" s="404"/>
      <c r="AB451" s="405"/>
      <c r="AC451" s="203"/>
      <c r="AD451" s="223"/>
      <c r="AE451" s="404"/>
      <c r="AF451" s="405"/>
      <c r="AG451" s="205"/>
      <c r="AH451" s="205"/>
      <c r="AI451" s="205"/>
      <c r="AJ451" s="205"/>
      <c r="AK451" s="401"/>
      <c r="AL451" s="401"/>
      <c r="AM451" s="401"/>
    </row>
    <row r="452">
      <c r="A452" s="320"/>
      <c r="B452" s="321"/>
      <c r="C452" s="322"/>
      <c r="D452" s="401"/>
      <c r="E452" s="320"/>
      <c r="F452" s="321"/>
      <c r="G452" s="322"/>
      <c r="H452" s="401"/>
      <c r="I452" s="320"/>
      <c r="J452" s="321"/>
      <c r="K452" s="322"/>
      <c r="L452" s="401"/>
      <c r="M452" s="320"/>
      <c r="N452" s="321"/>
      <c r="O452" s="322"/>
      <c r="P452" s="401"/>
      <c r="Q452" s="203"/>
      <c r="R452" s="223"/>
      <c r="S452" s="404"/>
      <c r="T452" s="405"/>
      <c r="U452" s="203"/>
      <c r="V452" s="223"/>
      <c r="W452" s="404"/>
      <c r="X452" s="405"/>
      <c r="Y452" s="203"/>
      <c r="Z452" s="223"/>
      <c r="AA452" s="404"/>
      <c r="AB452" s="405"/>
      <c r="AC452" s="203"/>
      <c r="AD452" s="223"/>
      <c r="AE452" s="404"/>
      <c r="AF452" s="405"/>
      <c r="AG452" s="205"/>
      <c r="AH452" s="205"/>
      <c r="AI452" s="205"/>
      <c r="AJ452" s="205"/>
      <c r="AK452" s="401"/>
      <c r="AL452" s="401"/>
      <c r="AM452" s="401"/>
    </row>
    <row r="453">
      <c r="A453" s="320"/>
      <c r="B453" s="321"/>
      <c r="C453" s="322"/>
      <c r="D453" s="401"/>
      <c r="E453" s="320"/>
      <c r="F453" s="321"/>
      <c r="G453" s="322"/>
      <c r="H453" s="401"/>
      <c r="I453" s="320"/>
      <c r="J453" s="321"/>
      <c r="K453" s="322"/>
      <c r="L453" s="401"/>
      <c r="M453" s="320"/>
      <c r="N453" s="321"/>
      <c r="O453" s="322"/>
      <c r="P453" s="401"/>
      <c r="Q453" s="203"/>
      <c r="R453" s="223"/>
      <c r="S453" s="404"/>
      <c r="T453" s="405"/>
      <c r="U453" s="203"/>
      <c r="V453" s="223"/>
      <c r="W453" s="404"/>
      <c r="X453" s="405"/>
      <c r="Y453" s="203"/>
      <c r="Z453" s="223"/>
      <c r="AA453" s="404"/>
      <c r="AB453" s="405"/>
      <c r="AC453" s="203"/>
      <c r="AD453" s="223"/>
      <c r="AE453" s="404"/>
      <c r="AF453" s="405"/>
      <c r="AG453" s="205"/>
      <c r="AH453" s="205"/>
      <c r="AI453" s="205"/>
      <c r="AJ453" s="205"/>
      <c r="AK453" s="401"/>
      <c r="AL453" s="401"/>
      <c r="AM453" s="401"/>
    </row>
    <row r="454">
      <c r="A454" s="320"/>
      <c r="B454" s="321"/>
      <c r="C454" s="322"/>
      <c r="D454" s="401"/>
      <c r="E454" s="320"/>
      <c r="F454" s="321"/>
      <c r="G454" s="322"/>
      <c r="H454" s="401"/>
      <c r="I454" s="320"/>
      <c r="J454" s="321"/>
      <c r="K454" s="322"/>
      <c r="L454" s="401"/>
      <c r="M454" s="320"/>
      <c r="N454" s="321"/>
      <c r="O454" s="322"/>
      <c r="P454" s="401"/>
      <c r="Q454" s="203"/>
      <c r="R454" s="223"/>
      <c r="S454" s="404"/>
      <c r="T454" s="405"/>
      <c r="U454" s="203"/>
      <c r="V454" s="223"/>
      <c r="W454" s="404"/>
      <c r="X454" s="405"/>
      <c r="Y454" s="203"/>
      <c r="Z454" s="223"/>
      <c r="AA454" s="404"/>
      <c r="AB454" s="405"/>
      <c r="AC454" s="203"/>
      <c r="AD454" s="223"/>
      <c r="AE454" s="404"/>
      <c r="AF454" s="405"/>
      <c r="AG454" s="205"/>
      <c r="AH454" s="205"/>
      <c r="AI454" s="205"/>
      <c r="AJ454" s="205"/>
      <c r="AK454" s="401"/>
      <c r="AL454" s="401"/>
      <c r="AM454" s="401"/>
    </row>
    <row r="455">
      <c r="A455" s="320"/>
      <c r="B455" s="321"/>
      <c r="C455" s="322"/>
      <c r="D455" s="401"/>
      <c r="E455" s="320"/>
      <c r="F455" s="321"/>
      <c r="G455" s="322"/>
      <c r="H455" s="401"/>
      <c r="I455" s="320"/>
      <c r="J455" s="321"/>
      <c r="K455" s="322"/>
      <c r="L455" s="401"/>
      <c r="M455" s="320"/>
      <c r="N455" s="321"/>
      <c r="O455" s="322"/>
      <c r="P455" s="401"/>
      <c r="Q455" s="203"/>
      <c r="R455" s="223"/>
      <c r="S455" s="404"/>
      <c r="T455" s="405"/>
      <c r="U455" s="203"/>
      <c r="V455" s="223"/>
      <c r="W455" s="404"/>
      <c r="X455" s="405"/>
      <c r="Y455" s="203"/>
      <c r="Z455" s="223"/>
      <c r="AA455" s="404"/>
      <c r="AB455" s="405"/>
      <c r="AC455" s="203"/>
      <c r="AD455" s="223"/>
      <c r="AE455" s="404"/>
      <c r="AF455" s="405"/>
      <c r="AG455" s="205"/>
      <c r="AH455" s="205"/>
      <c r="AI455" s="205"/>
      <c r="AJ455" s="205"/>
      <c r="AK455" s="401"/>
      <c r="AL455" s="401"/>
      <c r="AM455" s="401"/>
    </row>
    <row r="456">
      <c r="A456" s="320"/>
      <c r="B456" s="321"/>
      <c r="C456" s="322"/>
      <c r="D456" s="401"/>
      <c r="E456" s="320"/>
      <c r="F456" s="321"/>
      <c r="G456" s="322"/>
      <c r="H456" s="401"/>
      <c r="I456" s="320"/>
      <c r="J456" s="321"/>
      <c r="K456" s="322"/>
      <c r="L456" s="401"/>
      <c r="M456" s="320"/>
      <c r="N456" s="321"/>
      <c r="O456" s="322"/>
      <c r="P456" s="401"/>
      <c r="Q456" s="203"/>
      <c r="R456" s="223"/>
      <c r="S456" s="404"/>
      <c r="T456" s="405"/>
      <c r="U456" s="203"/>
      <c r="V456" s="223"/>
      <c r="W456" s="404"/>
      <c r="X456" s="405"/>
      <c r="Y456" s="203"/>
      <c r="Z456" s="223"/>
      <c r="AA456" s="404"/>
      <c r="AB456" s="405"/>
      <c r="AC456" s="203"/>
      <c r="AD456" s="223"/>
      <c r="AE456" s="404"/>
      <c r="AF456" s="405"/>
      <c r="AG456" s="205"/>
      <c r="AH456" s="205"/>
      <c r="AI456" s="205"/>
      <c r="AJ456" s="205"/>
      <c r="AK456" s="401"/>
      <c r="AL456" s="401"/>
      <c r="AM456" s="401"/>
    </row>
    <row r="457">
      <c r="A457" s="320"/>
      <c r="B457" s="321"/>
      <c r="C457" s="322"/>
      <c r="D457" s="401"/>
      <c r="E457" s="320"/>
      <c r="F457" s="321"/>
      <c r="G457" s="322"/>
      <c r="H457" s="401"/>
      <c r="I457" s="320"/>
      <c r="J457" s="321"/>
      <c r="K457" s="322"/>
      <c r="L457" s="401"/>
      <c r="M457" s="320"/>
      <c r="N457" s="321"/>
      <c r="O457" s="322"/>
      <c r="P457" s="401"/>
      <c r="Q457" s="203"/>
      <c r="R457" s="223"/>
      <c r="S457" s="404"/>
      <c r="T457" s="405"/>
      <c r="U457" s="203"/>
      <c r="V457" s="223"/>
      <c r="W457" s="404"/>
      <c r="X457" s="405"/>
      <c r="Y457" s="203"/>
      <c r="Z457" s="223"/>
      <c r="AA457" s="404"/>
      <c r="AB457" s="405"/>
      <c r="AC457" s="203"/>
      <c r="AD457" s="223"/>
      <c r="AE457" s="404"/>
      <c r="AF457" s="405"/>
      <c r="AG457" s="205"/>
      <c r="AH457" s="205"/>
      <c r="AI457" s="205"/>
      <c r="AJ457" s="205"/>
      <c r="AK457" s="401"/>
      <c r="AL457" s="401"/>
      <c r="AM457" s="401"/>
    </row>
    <row r="458">
      <c r="A458" s="320"/>
      <c r="B458" s="321"/>
      <c r="C458" s="322"/>
      <c r="D458" s="401"/>
      <c r="E458" s="320"/>
      <c r="F458" s="321"/>
      <c r="G458" s="322"/>
      <c r="H458" s="401"/>
      <c r="I458" s="320"/>
      <c r="J458" s="321"/>
      <c r="K458" s="322"/>
      <c r="L458" s="401"/>
      <c r="M458" s="320"/>
      <c r="N458" s="321"/>
      <c r="O458" s="322"/>
      <c r="P458" s="401"/>
      <c r="Q458" s="203"/>
      <c r="R458" s="223"/>
      <c r="S458" s="404"/>
      <c r="T458" s="405"/>
      <c r="U458" s="203"/>
      <c r="V458" s="223"/>
      <c r="W458" s="404"/>
      <c r="X458" s="405"/>
      <c r="Y458" s="203"/>
      <c r="Z458" s="223"/>
      <c r="AA458" s="404"/>
      <c r="AB458" s="405"/>
      <c r="AC458" s="203"/>
      <c r="AD458" s="223"/>
      <c r="AE458" s="404"/>
      <c r="AF458" s="405"/>
      <c r="AG458" s="205"/>
      <c r="AH458" s="205"/>
      <c r="AI458" s="205"/>
      <c r="AJ458" s="205"/>
      <c r="AK458" s="401"/>
      <c r="AL458" s="401"/>
      <c r="AM458" s="401"/>
    </row>
    <row r="459">
      <c r="A459" s="320"/>
      <c r="B459" s="321"/>
      <c r="C459" s="322"/>
      <c r="D459" s="401"/>
      <c r="E459" s="320"/>
      <c r="F459" s="321"/>
      <c r="G459" s="322"/>
      <c r="H459" s="401"/>
      <c r="I459" s="320"/>
      <c r="J459" s="321"/>
      <c r="K459" s="322"/>
      <c r="L459" s="401"/>
      <c r="M459" s="320"/>
      <c r="N459" s="321"/>
      <c r="O459" s="322"/>
      <c r="P459" s="401"/>
      <c r="Q459" s="203"/>
      <c r="R459" s="223"/>
      <c r="S459" s="404"/>
      <c r="T459" s="405"/>
      <c r="U459" s="203"/>
      <c r="V459" s="223"/>
      <c r="W459" s="404"/>
      <c r="X459" s="405"/>
      <c r="Y459" s="203"/>
      <c r="Z459" s="223"/>
      <c r="AA459" s="404"/>
      <c r="AB459" s="405"/>
      <c r="AC459" s="203"/>
      <c r="AD459" s="223"/>
      <c r="AE459" s="404"/>
      <c r="AF459" s="405"/>
      <c r="AG459" s="205"/>
      <c r="AH459" s="205"/>
      <c r="AI459" s="205"/>
      <c r="AJ459" s="205"/>
      <c r="AK459" s="401"/>
      <c r="AL459" s="401"/>
      <c r="AM459" s="401"/>
    </row>
    <row r="460">
      <c r="A460" s="320"/>
      <c r="B460" s="321"/>
      <c r="C460" s="322"/>
      <c r="D460" s="401"/>
      <c r="E460" s="320"/>
      <c r="F460" s="321"/>
      <c r="G460" s="322"/>
      <c r="H460" s="401"/>
      <c r="I460" s="320"/>
      <c r="J460" s="321"/>
      <c r="K460" s="322"/>
      <c r="L460" s="401"/>
      <c r="M460" s="320"/>
      <c r="N460" s="321"/>
      <c r="O460" s="322"/>
      <c r="P460" s="401"/>
      <c r="Q460" s="203"/>
      <c r="R460" s="223"/>
      <c r="S460" s="404"/>
      <c r="T460" s="405"/>
      <c r="U460" s="203"/>
      <c r="V460" s="223"/>
      <c r="W460" s="404"/>
      <c r="X460" s="405"/>
      <c r="Y460" s="203"/>
      <c r="Z460" s="223"/>
      <c r="AA460" s="404"/>
      <c r="AB460" s="405"/>
      <c r="AC460" s="203"/>
      <c r="AD460" s="223"/>
      <c r="AE460" s="404"/>
      <c r="AF460" s="405"/>
      <c r="AG460" s="205"/>
      <c r="AH460" s="205"/>
      <c r="AI460" s="205"/>
      <c r="AJ460" s="205"/>
      <c r="AK460" s="401"/>
      <c r="AL460" s="401"/>
      <c r="AM460" s="401"/>
    </row>
    <row r="461">
      <c r="A461" s="320"/>
      <c r="B461" s="321"/>
      <c r="C461" s="322"/>
      <c r="D461" s="401"/>
      <c r="E461" s="320"/>
      <c r="F461" s="321"/>
      <c r="G461" s="322"/>
      <c r="H461" s="401"/>
      <c r="I461" s="320"/>
      <c r="J461" s="321"/>
      <c r="K461" s="322"/>
      <c r="L461" s="401"/>
      <c r="M461" s="320"/>
      <c r="N461" s="321"/>
      <c r="O461" s="322"/>
      <c r="P461" s="401"/>
      <c r="Q461" s="203"/>
      <c r="R461" s="223"/>
      <c r="S461" s="404"/>
      <c r="T461" s="405"/>
      <c r="U461" s="203"/>
      <c r="V461" s="223"/>
      <c r="W461" s="404"/>
      <c r="X461" s="405"/>
      <c r="Y461" s="203"/>
      <c r="Z461" s="223"/>
      <c r="AA461" s="404"/>
      <c r="AB461" s="405"/>
      <c r="AC461" s="203"/>
      <c r="AD461" s="223"/>
      <c r="AE461" s="404"/>
      <c r="AF461" s="405"/>
      <c r="AG461" s="205"/>
      <c r="AH461" s="205"/>
      <c r="AI461" s="205"/>
      <c r="AJ461" s="205"/>
      <c r="AK461" s="401"/>
      <c r="AL461" s="401"/>
      <c r="AM461" s="401"/>
    </row>
    <row r="462">
      <c r="A462" s="320"/>
      <c r="B462" s="321"/>
      <c r="C462" s="322"/>
      <c r="D462" s="401"/>
      <c r="E462" s="320"/>
      <c r="F462" s="321"/>
      <c r="G462" s="322"/>
      <c r="H462" s="401"/>
      <c r="I462" s="320"/>
      <c r="J462" s="321"/>
      <c r="K462" s="322"/>
      <c r="L462" s="401"/>
      <c r="M462" s="320"/>
      <c r="N462" s="321"/>
      <c r="O462" s="322"/>
      <c r="P462" s="401"/>
      <c r="Q462" s="203"/>
      <c r="R462" s="223"/>
      <c r="S462" s="404"/>
      <c r="T462" s="405"/>
      <c r="U462" s="203"/>
      <c r="V462" s="223"/>
      <c r="W462" s="404"/>
      <c r="X462" s="405"/>
      <c r="Y462" s="203"/>
      <c r="Z462" s="223"/>
      <c r="AA462" s="404"/>
      <c r="AB462" s="405"/>
      <c r="AC462" s="203"/>
      <c r="AD462" s="223"/>
      <c r="AE462" s="404"/>
      <c r="AF462" s="405"/>
      <c r="AG462" s="205"/>
      <c r="AH462" s="205"/>
      <c r="AI462" s="205"/>
      <c r="AJ462" s="205"/>
      <c r="AK462" s="401"/>
      <c r="AL462" s="401"/>
      <c r="AM462" s="401"/>
    </row>
    <row r="463">
      <c r="A463" s="320"/>
      <c r="B463" s="321"/>
      <c r="C463" s="322"/>
      <c r="D463" s="401"/>
      <c r="E463" s="320"/>
      <c r="F463" s="321"/>
      <c r="G463" s="322"/>
      <c r="H463" s="401"/>
      <c r="I463" s="320"/>
      <c r="J463" s="321"/>
      <c r="K463" s="322"/>
      <c r="L463" s="401"/>
      <c r="M463" s="320"/>
      <c r="N463" s="321"/>
      <c r="O463" s="322"/>
      <c r="P463" s="401"/>
      <c r="Q463" s="203"/>
      <c r="R463" s="223"/>
      <c r="S463" s="404"/>
      <c r="T463" s="405"/>
      <c r="U463" s="203"/>
      <c r="V463" s="223"/>
      <c r="W463" s="404"/>
      <c r="X463" s="405"/>
      <c r="Y463" s="203"/>
      <c r="Z463" s="223"/>
      <c r="AA463" s="404"/>
      <c r="AB463" s="405"/>
      <c r="AC463" s="203"/>
      <c r="AD463" s="223"/>
      <c r="AE463" s="404"/>
      <c r="AF463" s="405"/>
      <c r="AG463" s="205"/>
      <c r="AH463" s="205"/>
      <c r="AI463" s="205"/>
      <c r="AJ463" s="205"/>
      <c r="AK463" s="401"/>
      <c r="AL463" s="401"/>
      <c r="AM463" s="401"/>
    </row>
    <row r="464">
      <c r="A464" s="320"/>
      <c r="B464" s="321"/>
      <c r="C464" s="322"/>
      <c r="D464" s="401"/>
      <c r="E464" s="320"/>
      <c r="F464" s="321"/>
      <c r="G464" s="322"/>
      <c r="H464" s="401"/>
      <c r="I464" s="320"/>
      <c r="J464" s="321"/>
      <c r="K464" s="322"/>
      <c r="L464" s="401"/>
      <c r="M464" s="320"/>
      <c r="N464" s="321"/>
      <c r="O464" s="322"/>
      <c r="P464" s="401"/>
      <c r="Q464" s="203"/>
      <c r="R464" s="223"/>
      <c r="S464" s="404"/>
      <c r="T464" s="405"/>
      <c r="U464" s="203"/>
      <c r="V464" s="223"/>
      <c r="W464" s="404"/>
      <c r="X464" s="405"/>
      <c r="Y464" s="203"/>
      <c r="Z464" s="223"/>
      <c r="AA464" s="404"/>
      <c r="AB464" s="405"/>
      <c r="AC464" s="203"/>
      <c r="AD464" s="223"/>
      <c r="AE464" s="404"/>
      <c r="AF464" s="405"/>
      <c r="AG464" s="205"/>
      <c r="AH464" s="205"/>
      <c r="AI464" s="205"/>
      <c r="AJ464" s="205"/>
      <c r="AK464" s="401"/>
      <c r="AL464" s="401"/>
      <c r="AM464" s="401"/>
    </row>
    <row r="465">
      <c r="A465" s="320"/>
      <c r="B465" s="321"/>
      <c r="C465" s="322"/>
      <c r="D465" s="401"/>
      <c r="E465" s="320"/>
      <c r="F465" s="321"/>
      <c r="G465" s="322"/>
      <c r="H465" s="401"/>
      <c r="I465" s="320"/>
      <c r="J465" s="321"/>
      <c r="K465" s="322"/>
      <c r="L465" s="401"/>
      <c r="M465" s="320"/>
      <c r="N465" s="321"/>
      <c r="O465" s="322"/>
      <c r="P465" s="401"/>
      <c r="Q465" s="203"/>
      <c r="R465" s="223"/>
      <c r="S465" s="404"/>
      <c r="T465" s="405"/>
      <c r="U465" s="203"/>
      <c r="V465" s="223"/>
      <c r="W465" s="404"/>
      <c r="X465" s="405"/>
      <c r="Y465" s="203"/>
      <c r="Z465" s="223"/>
      <c r="AA465" s="404"/>
      <c r="AB465" s="405"/>
      <c r="AC465" s="203"/>
      <c r="AD465" s="223"/>
      <c r="AE465" s="404"/>
      <c r="AF465" s="405"/>
      <c r="AG465" s="205"/>
      <c r="AH465" s="205"/>
      <c r="AI465" s="205"/>
      <c r="AJ465" s="205"/>
      <c r="AK465" s="401"/>
      <c r="AL465" s="401"/>
      <c r="AM465" s="401"/>
    </row>
    <row r="466">
      <c r="A466" s="320"/>
      <c r="B466" s="321"/>
      <c r="C466" s="322"/>
      <c r="D466" s="401"/>
      <c r="E466" s="320"/>
      <c r="F466" s="321"/>
      <c r="G466" s="322"/>
      <c r="H466" s="401"/>
      <c r="I466" s="320"/>
      <c r="J466" s="321"/>
      <c r="K466" s="322"/>
      <c r="L466" s="401"/>
      <c r="M466" s="320"/>
      <c r="N466" s="321"/>
      <c r="O466" s="322"/>
      <c r="P466" s="401"/>
      <c r="Q466" s="203"/>
      <c r="R466" s="223"/>
      <c r="S466" s="404"/>
      <c r="T466" s="405"/>
      <c r="U466" s="203"/>
      <c r="V466" s="223"/>
      <c r="W466" s="404"/>
      <c r="X466" s="405"/>
      <c r="Y466" s="203"/>
      <c r="Z466" s="223"/>
      <c r="AA466" s="404"/>
      <c r="AB466" s="405"/>
      <c r="AC466" s="203"/>
      <c r="AD466" s="223"/>
      <c r="AE466" s="404"/>
      <c r="AF466" s="405"/>
      <c r="AG466" s="205"/>
      <c r="AH466" s="205"/>
      <c r="AI466" s="205"/>
      <c r="AJ466" s="205"/>
      <c r="AK466" s="401"/>
      <c r="AL466" s="401"/>
      <c r="AM466" s="401"/>
    </row>
    <row r="467">
      <c r="A467" s="320"/>
      <c r="B467" s="321"/>
      <c r="C467" s="322"/>
      <c r="D467" s="401"/>
      <c r="E467" s="320"/>
      <c r="F467" s="321"/>
      <c r="G467" s="322"/>
      <c r="H467" s="401"/>
      <c r="I467" s="320"/>
      <c r="J467" s="321"/>
      <c r="K467" s="322"/>
      <c r="L467" s="401"/>
      <c r="M467" s="320"/>
      <c r="N467" s="321"/>
      <c r="O467" s="322"/>
      <c r="P467" s="401"/>
      <c r="Q467" s="203"/>
      <c r="R467" s="223"/>
      <c r="S467" s="404"/>
      <c r="T467" s="405"/>
      <c r="U467" s="203"/>
      <c r="V467" s="223"/>
      <c r="W467" s="404"/>
      <c r="X467" s="405"/>
      <c r="Y467" s="203"/>
      <c r="Z467" s="223"/>
      <c r="AA467" s="404"/>
      <c r="AB467" s="405"/>
      <c r="AC467" s="203"/>
      <c r="AD467" s="223"/>
      <c r="AE467" s="404"/>
      <c r="AF467" s="405"/>
      <c r="AG467" s="205"/>
      <c r="AH467" s="205"/>
      <c r="AI467" s="205"/>
      <c r="AJ467" s="205"/>
      <c r="AK467" s="401"/>
      <c r="AL467" s="401"/>
      <c r="AM467" s="401"/>
    </row>
    <row r="468">
      <c r="A468" s="320"/>
      <c r="B468" s="321"/>
      <c r="C468" s="322"/>
      <c r="D468" s="401"/>
      <c r="E468" s="320"/>
      <c r="F468" s="321"/>
      <c r="G468" s="322"/>
      <c r="H468" s="401"/>
      <c r="I468" s="320"/>
      <c r="J468" s="321"/>
      <c r="K468" s="322"/>
      <c r="L468" s="401"/>
      <c r="M468" s="320"/>
      <c r="N468" s="321"/>
      <c r="O468" s="322"/>
      <c r="P468" s="401"/>
      <c r="Q468" s="203"/>
      <c r="R468" s="223"/>
      <c r="S468" s="404"/>
      <c r="T468" s="405"/>
      <c r="U468" s="203"/>
      <c r="V468" s="223"/>
      <c r="W468" s="404"/>
      <c r="X468" s="405"/>
      <c r="Y468" s="203"/>
      <c r="Z468" s="223"/>
      <c r="AA468" s="404"/>
      <c r="AB468" s="405"/>
      <c r="AC468" s="203"/>
      <c r="AD468" s="223"/>
      <c r="AE468" s="404"/>
      <c r="AF468" s="405"/>
      <c r="AG468" s="205"/>
      <c r="AH468" s="205"/>
      <c r="AI468" s="205"/>
      <c r="AJ468" s="205"/>
      <c r="AK468" s="401"/>
      <c r="AL468" s="401"/>
      <c r="AM468" s="401"/>
    </row>
    <row r="469">
      <c r="A469" s="320"/>
      <c r="B469" s="321"/>
      <c r="C469" s="322"/>
      <c r="D469" s="401"/>
      <c r="E469" s="320"/>
      <c r="F469" s="321"/>
      <c r="G469" s="322"/>
      <c r="H469" s="401"/>
      <c r="I469" s="320"/>
      <c r="J469" s="321"/>
      <c r="K469" s="322"/>
      <c r="L469" s="401"/>
      <c r="M469" s="320"/>
      <c r="N469" s="321"/>
      <c r="O469" s="322"/>
      <c r="P469" s="401"/>
      <c r="Q469" s="203"/>
      <c r="R469" s="223"/>
      <c r="S469" s="404"/>
      <c r="T469" s="405"/>
      <c r="U469" s="203"/>
      <c r="V469" s="223"/>
      <c r="W469" s="404"/>
      <c r="X469" s="405"/>
      <c r="Y469" s="203"/>
      <c r="Z469" s="223"/>
      <c r="AA469" s="404"/>
      <c r="AB469" s="405"/>
      <c r="AC469" s="203"/>
      <c r="AD469" s="223"/>
      <c r="AE469" s="404"/>
      <c r="AF469" s="405"/>
      <c r="AG469" s="205"/>
      <c r="AH469" s="205"/>
      <c r="AI469" s="205"/>
      <c r="AJ469" s="205"/>
      <c r="AK469" s="401"/>
      <c r="AL469" s="401"/>
      <c r="AM469" s="401"/>
    </row>
    <row r="470">
      <c r="A470" s="320"/>
      <c r="B470" s="321"/>
      <c r="C470" s="322"/>
      <c r="D470" s="401"/>
      <c r="E470" s="320"/>
      <c r="F470" s="321"/>
      <c r="G470" s="322"/>
      <c r="H470" s="401"/>
      <c r="I470" s="320"/>
      <c r="J470" s="321"/>
      <c r="K470" s="322"/>
      <c r="L470" s="401"/>
      <c r="M470" s="320"/>
      <c r="N470" s="321"/>
      <c r="O470" s="322"/>
      <c r="P470" s="401"/>
      <c r="Q470" s="203"/>
      <c r="R470" s="223"/>
      <c r="S470" s="404"/>
      <c r="T470" s="405"/>
      <c r="U470" s="203"/>
      <c r="V470" s="223"/>
      <c r="W470" s="404"/>
      <c r="X470" s="405"/>
      <c r="Y470" s="203"/>
      <c r="Z470" s="223"/>
      <c r="AA470" s="404"/>
      <c r="AB470" s="405"/>
      <c r="AC470" s="203"/>
      <c r="AD470" s="223"/>
      <c r="AE470" s="404"/>
      <c r="AF470" s="405"/>
      <c r="AG470" s="205"/>
      <c r="AH470" s="205"/>
      <c r="AI470" s="205"/>
      <c r="AJ470" s="205"/>
      <c r="AK470" s="401"/>
      <c r="AL470" s="401"/>
      <c r="AM470" s="401"/>
    </row>
    <row r="471">
      <c r="A471" s="320"/>
      <c r="B471" s="321"/>
      <c r="C471" s="322"/>
      <c r="D471" s="401"/>
      <c r="E471" s="320"/>
      <c r="F471" s="321"/>
      <c r="G471" s="322"/>
      <c r="H471" s="401"/>
      <c r="I471" s="320"/>
      <c r="J471" s="321"/>
      <c r="K471" s="322"/>
      <c r="L471" s="401"/>
      <c r="M471" s="320"/>
      <c r="N471" s="321"/>
      <c r="O471" s="322"/>
      <c r="P471" s="401"/>
      <c r="Q471" s="203"/>
      <c r="R471" s="223"/>
      <c r="S471" s="404"/>
      <c r="T471" s="405"/>
      <c r="U471" s="203"/>
      <c r="V471" s="223"/>
      <c r="W471" s="404"/>
      <c r="X471" s="405"/>
      <c r="Y471" s="203"/>
      <c r="Z471" s="223"/>
      <c r="AA471" s="404"/>
      <c r="AB471" s="405"/>
      <c r="AC471" s="203"/>
      <c r="AD471" s="223"/>
      <c r="AE471" s="404"/>
      <c r="AF471" s="405"/>
      <c r="AG471" s="205"/>
      <c r="AH471" s="205"/>
      <c r="AI471" s="205"/>
      <c r="AJ471" s="205"/>
      <c r="AK471" s="401"/>
      <c r="AL471" s="401"/>
      <c r="AM471" s="401"/>
    </row>
    <row r="472">
      <c r="A472" s="320"/>
      <c r="B472" s="321"/>
      <c r="C472" s="322"/>
      <c r="D472" s="401"/>
      <c r="E472" s="320"/>
      <c r="F472" s="321"/>
      <c r="G472" s="322"/>
      <c r="H472" s="401"/>
      <c r="I472" s="320"/>
      <c r="J472" s="321"/>
      <c r="K472" s="322"/>
      <c r="L472" s="401"/>
      <c r="M472" s="320"/>
      <c r="N472" s="321"/>
      <c r="O472" s="322"/>
      <c r="P472" s="401"/>
      <c r="Q472" s="203"/>
      <c r="R472" s="223"/>
      <c r="S472" s="404"/>
      <c r="T472" s="405"/>
      <c r="U472" s="203"/>
      <c r="V472" s="223"/>
      <c r="W472" s="404"/>
      <c r="X472" s="405"/>
      <c r="Y472" s="203"/>
      <c r="Z472" s="223"/>
      <c r="AA472" s="404"/>
      <c r="AB472" s="405"/>
      <c r="AC472" s="203"/>
      <c r="AD472" s="223"/>
      <c r="AE472" s="404"/>
      <c r="AF472" s="405"/>
      <c r="AG472" s="205"/>
      <c r="AH472" s="205"/>
      <c r="AI472" s="205"/>
      <c r="AJ472" s="205"/>
      <c r="AK472" s="401"/>
      <c r="AL472" s="401"/>
      <c r="AM472" s="401"/>
    </row>
    <row r="473">
      <c r="A473" s="320"/>
      <c r="B473" s="321"/>
      <c r="C473" s="322"/>
      <c r="D473" s="401"/>
      <c r="E473" s="320"/>
      <c r="F473" s="321"/>
      <c r="G473" s="322"/>
      <c r="H473" s="401"/>
      <c r="I473" s="320"/>
      <c r="J473" s="321"/>
      <c r="K473" s="322"/>
      <c r="L473" s="401"/>
      <c r="M473" s="320"/>
      <c r="N473" s="321"/>
      <c r="O473" s="322"/>
      <c r="P473" s="401"/>
      <c r="Q473" s="203"/>
      <c r="R473" s="223"/>
      <c r="S473" s="404"/>
      <c r="T473" s="405"/>
      <c r="U473" s="203"/>
      <c r="V473" s="223"/>
      <c r="W473" s="404"/>
      <c r="X473" s="405"/>
      <c r="Y473" s="203"/>
      <c r="Z473" s="223"/>
      <c r="AA473" s="404"/>
      <c r="AB473" s="405"/>
      <c r="AC473" s="203"/>
      <c r="AD473" s="223"/>
      <c r="AE473" s="404"/>
      <c r="AF473" s="405"/>
      <c r="AG473" s="205"/>
      <c r="AH473" s="205"/>
      <c r="AI473" s="205"/>
      <c r="AJ473" s="205"/>
      <c r="AK473" s="401"/>
      <c r="AL473" s="401"/>
      <c r="AM473" s="401"/>
    </row>
    <row r="474">
      <c r="A474" s="320"/>
      <c r="B474" s="321"/>
      <c r="C474" s="322"/>
      <c r="D474" s="401"/>
      <c r="E474" s="320"/>
      <c r="F474" s="321"/>
      <c r="G474" s="322"/>
      <c r="H474" s="401"/>
      <c r="I474" s="320"/>
      <c r="J474" s="321"/>
      <c r="K474" s="322"/>
      <c r="L474" s="401"/>
      <c r="M474" s="320"/>
      <c r="N474" s="321"/>
      <c r="O474" s="322"/>
      <c r="P474" s="401"/>
      <c r="Q474" s="203"/>
      <c r="R474" s="223"/>
      <c r="S474" s="404"/>
      <c r="T474" s="405"/>
      <c r="U474" s="203"/>
      <c r="V474" s="223"/>
      <c r="W474" s="404"/>
      <c r="X474" s="405"/>
      <c r="Y474" s="203"/>
      <c r="Z474" s="223"/>
      <c r="AA474" s="404"/>
      <c r="AB474" s="405"/>
      <c r="AC474" s="203"/>
      <c r="AD474" s="223"/>
      <c r="AE474" s="404"/>
      <c r="AF474" s="405"/>
      <c r="AG474" s="205"/>
      <c r="AH474" s="205"/>
      <c r="AI474" s="205"/>
      <c r="AJ474" s="205"/>
      <c r="AK474" s="401"/>
      <c r="AL474" s="401"/>
      <c r="AM474" s="401"/>
    </row>
    <row r="475">
      <c r="A475" s="320"/>
      <c r="B475" s="321"/>
      <c r="C475" s="322"/>
      <c r="D475" s="401"/>
      <c r="E475" s="320"/>
      <c r="F475" s="321"/>
      <c r="G475" s="322"/>
      <c r="H475" s="401"/>
      <c r="I475" s="320"/>
      <c r="J475" s="321"/>
      <c r="K475" s="322"/>
      <c r="L475" s="401"/>
      <c r="M475" s="320"/>
      <c r="N475" s="321"/>
      <c r="O475" s="322"/>
      <c r="P475" s="401"/>
      <c r="Q475" s="203"/>
      <c r="R475" s="223"/>
      <c r="S475" s="404"/>
      <c r="T475" s="405"/>
      <c r="U475" s="203"/>
      <c r="V475" s="223"/>
      <c r="W475" s="404"/>
      <c r="X475" s="405"/>
      <c r="Y475" s="203"/>
      <c r="Z475" s="223"/>
      <c r="AA475" s="404"/>
      <c r="AB475" s="405"/>
      <c r="AC475" s="203"/>
      <c r="AD475" s="223"/>
      <c r="AE475" s="404"/>
      <c r="AF475" s="405"/>
      <c r="AG475" s="205"/>
      <c r="AH475" s="205"/>
      <c r="AI475" s="205"/>
      <c r="AJ475" s="205"/>
      <c r="AK475" s="401"/>
      <c r="AL475" s="401"/>
      <c r="AM475" s="401"/>
    </row>
    <row r="476">
      <c r="A476" s="320"/>
      <c r="B476" s="321"/>
      <c r="C476" s="322"/>
      <c r="D476" s="401"/>
      <c r="E476" s="320"/>
      <c r="F476" s="321"/>
      <c r="G476" s="322"/>
      <c r="H476" s="401"/>
      <c r="I476" s="320"/>
      <c r="J476" s="321"/>
      <c r="K476" s="322"/>
      <c r="L476" s="401"/>
      <c r="M476" s="320"/>
      <c r="N476" s="321"/>
      <c r="O476" s="322"/>
      <c r="P476" s="401"/>
      <c r="Q476" s="203"/>
      <c r="R476" s="223"/>
      <c r="S476" s="404"/>
      <c r="T476" s="405"/>
      <c r="U476" s="203"/>
      <c r="V476" s="223"/>
      <c r="W476" s="404"/>
      <c r="X476" s="405"/>
      <c r="Y476" s="203"/>
      <c r="Z476" s="223"/>
      <c r="AA476" s="404"/>
      <c r="AB476" s="405"/>
      <c r="AC476" s="203"/>
      <c r="AD476" s="223"/>
      <c r="AE476" s="404"/>
      <c r="AF476" s="405"/>
      <c r="AG476" s="205"/>
      <c r="AH476" s="205"/>
      <c r="AI476" s="205"/>
      <c r="AJ476" s="205"/>
      <c r="AK476" s="401"/>
      <c r="AL476" s="401"/>
      <c r="AM476" s="401"/>
    </row>
    <row r="477">
      <c r="A477" s="320"/>
      <c r="B477" s="321"/>
      <c r="C477" s="322"/>
      <c r="D477" s="401"/>
      <c r="E477" s="320"/>
      <c r="F477" s="321"/>
      <c r="G477" s="322"/>
      <c r="H477" s="401"/>
      <c r="I477" s="320"/>
      <c r="J477" s="321"/>
      <c r="K477" s="322"/>
      <c r="L477" s="401"/>
      <c r="M477" s="320"/>
      <c r="N477" s="321"/>
      <c r="O477" s="322"/>
      <c r="P477" s="401"/>
      <c r="Q477" s="203"/>
      <c r="R477" s="223"/>
      <c r="S477" s="404"/>
      <c r="T477" s="405"/>
      <c r="U477" s="203"/>
      <c r="V477" s="223"/>
      <c r="W477" s="404"/>
      <c r="X477" s="405"/>
      <c r="Y477" s="203"/>
      <c r="Z477" s="223"/>
      <c r="AA477" s="404"/>
      <c r="AB477" s="405"/>
      <c r="AC477" s="203"/>
      <c r="AD477" s="223"/>
      <c r="AE477" s="404"/>
      <c r="AF477" s="405"/>
      <c r="AG477" s="205"/>
      <c r="AH477" s="205"/>
      <c r="AI477" s="205"/>
      <c r="AJ477" s="205"/>
      <c r="AK477" s="401"/>
      <c r="AL477" s="401"/>
      <c r="AM477" s="401"/>
    </row>
    <row r="478">
      <c r="A478" s="320"/>
      <c r="B478" s="321"/>
      <c r="C478" s="322"/>
      <c r="D478" s="401"/>
      <c r="E478" s="320"/>
      <c r="F478" s="321"/>
      <c r="G478" s="322"/>
      <c r="H478" s="401"/>
      <c r="I478" s="320"/>
      <c r="J478" s="321"/>
      <c r="K478" s="322"/>
      <c r="L478" s="401"/>
      <c r="M478" s="320"/>
      <c r="N478" s="321"/>
      <c r="O478" s="322"/>
      <c r="P478" s="401"/>
      <c r="Q478" s="203"/>
      <c r="R478" s="223"/>
      <c r="S478" s="404"/>
      <c r="T478" s="405"/>
      <c r="U478" s="203"/>
      <c r="V478" s="223"/>
      <c r="W478" s="404"/>
      <c r="X478" s="405"/>
      <c r="Y478" s="203"/>
      <c r="Z478" s="223"/>
      <c r="AA478" s="404"/>
      <c r="AB478" s="405"/>
      <c r="AC478" s="203"/>
      <c r="AD478" s="223"/>
      <c r="AE478" s="404"/>
      <c r="AF478" s="405"/>
      <c r="AG478" s="205"/>
      <c r="AH478" s="205"/>
      <c r="AI478" s="205"/>
      <c r="AJ478" s="205"/>
      <c r="AK478" s="401"/>
      <c r="AL478" s="401"/>
      <c r="AM478" s="401"/>
    </row>
    <row r="479">
      <c r="A479" s="320"/>
      <c r="B479" s="321"/>
      <c r="C479" s="322"/>
      <c r="D479" s="401"/>
      <c r="E479" s="320"/>
      <c r="F479" s="321"/>
      <c r="G479" s="322"/>
      <c r="H479" s="401"/>
      <c r="I479" s="320"/>
      <c r="J479" s="321"/>
      <c r="K479" s="322"/>
      <c r="L479" s="401"/>
      <c r="M479" s="320"/>
      <c r="N479" s="321"/>
      <c r="O479" s="322"/>
      <c r="P479" s="401"/>
      <c r="Q479" s="203"/>
      <c r="R479" s="223"/>
      <c r="S479" s="404"/>
      <c r="T479" s="405"/>
      <c r="U479" s="203"/>
      <c r="V479" s="223"/>
      <c r="W479" s="404"/>
      <c r="X479" s="405"/>
      <c r="Y479" s="203"/>
      <c r="Z479" s="223"/>
      <c r="AA479" s="404"/>
      <c r="AB479" s="405"/>
      <c r="AC479" s="203"/>
      <c r="AD479" s="223"/>
      <c r="AE479" s="404"/>
      <c r="AF479" s="405"/>
      <c r="AG479" s="205"/>
      <c r="AH479" s="205"/>
      <c r="AI479" s="205"/>
      <c r="AJ479" s="205"/>
      <c r="AK479" s="401"/>
      <c r="AL479" s="401"/>
      <c r="AM479" s="401"/>
    </row>
    <row r="480">
      <c r="A480" s="320"/>
      <c r="B480" s="321"/>
      <c r="C480" s="322"/>
      <c r="D480" s="401"/>
      <c r="E480" s="320"/>
      <c r="F480" s="321"/>
      <c r="G480" s="322"/>
      <c r="H480" s="401"/>
      <c r="I480" s="320"/>
      <c r="J480" s="321"/>
      <c r="K480" s="322"/>
      <c r="L480" s="401"/>
      <c r="M480" s="320"/>
      <c r="N480" s="321"/>
      <c r="O480" s="322"/>
      <c r="P480" s="401"/>
      <c r="Q480" s="203"/>
      <c r="R480" s="223"/>
      <c r="S480" s="404"/>
      <c r="T480" s="405"/>
      <c r="U480" s="203"/>
      <c r="V480" s="223"/>
      <c r="W480" s="404"/>
      <c r="X480" s="405"/>
      <c r="Y480" s="203"/>
      <c r="Z480" s="223"/>
      <c r="AA480" s="404"/>
      <c r="AB480" s="405"/>
      <c r="AC480" s="203"/>
      <c r="AD480" s="223"/>
      <c r="AE480" s="404"/>
      <c r="AF480" s="405"/>
      <c r="AG480" s="205"/>
      <c r="AH480" s="205"/>
      <c r="AI480" s="205"/>
      <c r="AJ480" s="205"/>
      <c r="AK480" s="401"/>
      <c r="AL480" s="401"/>
      <c r="AM480" s="401"/>
    </row>
    <row r="481">
      <c r="A481" s="320"/>
      <c r="B481" s="321"/>
      <c r="C481" s="322"/>
      <c r="D481" s="401"/>
      <c r="E481" s="320"/>
      <c r="F481" s="321"/>
      <c r="G481" s="322"/>
      <c r="H481" s="401"/>
      <c r="I481" s="320"/>
      <c r="J481" s="321"/>
      <c r="K481" s="322"/>
      <c r="L481" s="401"/>
      <c r="M481" s="320"/>
      <c r="N481" s="321"/>
      <c r="O481" s="322"/>
      <c r="P481" s="401"/>
      <c r="Q481" s="203"/>
      <c r="R481" s="223"/>
      <c r="S481" s="404"/>
      <c r="T481" s="405"/>
      <c r="U481" s="203"/>
      <c r="V481" s="223"/>
      <c r="W481" s="404"/>
      <c r="X481" s="405"/>
      <c r="Y481" s="203"/>
      <c r="Z481" s="223"/>
      <c r="AA481" s="404"/>
      <c r="AB481" s="405"/>
      <c r="AC481" s="203"/>
      <c r="AD481" s="223"/>
      <c r="AE481" s="404"/>
      <c r="AF481" s="405"/>
      <c r="AG481" s="205"/>
      <c r="AH481" s="205"/>
      <c r="AI481" s="205"/>
      <c r="AJ481" s="205"/>
      <c r="AK481" s="401"/>
      <c r="AL481" s="401"/>
      <c r="AM481" s="401"/>
    </row>
    <row r="482">
      <c r="A482" s="320"/>
      <c r="B482" s="321"/>
      <c r="C482" s="322"/>
      <c r="D482" s="401"/>
      <c r="E482" s="320"/>
      <c r="F482" s="321"/>
      <c r="G482" s="322"/>
      <c r="H482" s="401"/>
      <c r="I482" s="320"/>
      <c r="J482" s="321"/>
      <c r="K482" s="322"/>
      <c r="L482" s="401"/>
      <c r="M482" s="320"/>
      <c r="N482" s="321"/>
      <c r="O482" s="322"/>
      <c r="P482" s="401"/>
      <c r="Q482" s="203"/>
      <c r="R482" s="223"/>
      <c r="S482" s="404"/>
      <c r="T482" s="405"/>
      <c r="U482" s="203"/>
      <c r="V482" s="223"/>
      <c r="W482" s="404"/>
      <c r="X482" s="405"/>
      <c r="Y482" s="203"/>
      <c r="Z482" s="223"/>
      <c r="AA482" s="404"/>
      <c r="AB482" s="405"/>
      <c r="AC482" s="203"/>
      <c r="AD482" s="223"/>
      <c r="AE482" s="404"/>
      <c r="AF482" s="405"/>
      <c r="AG482" s="205"/>
      <c r="AH482" s="205"/>
      <c r="AI482" s="205"/>
      <c r="AJ482" s="205"/>
      <c r="AK482" s="401"/>
      <c r="AL482" s="401"/>
      <c r="AM482" s="401"/>
    </row>
    <row r="483">
      <c r="A483" s="320"/>
      <c r="B483" s="321"/>
      <c r="C483" s="322"/>
      <c r="D483" s="401"/>
      <c r="E483" s="320"/>
      <c r="F483" s="321"/>
      <c r="G483" s="322"/>
      <c r="H483" s="401"/>
      <c r="I483" s="320"/>
      <c r="J483" s="321"/>
      <c r="K483" s="322"/>
      <c r="L483" s="401"/>
      <c r="M483" s="320"/>
      <c r="N483" s="321"/>
      <c r="O483" s="322"/>
      <c r="P483" s="401"/>
      <c r="Q483" s="203"/>
      <c r="R483" s="223"/>
      <c r="S483" s="404"/>
      <c r="T483" s="405"/>
      <c r="U483" s="203"/>
      <c r="V483" s="223"/>
      <c r="W483" s="404"/>
      <c r="X483" s="405"/>
      <c r="Y483" s="203"/>
      <c r="Z483" s="223"/>
      <c r="AA483" s="404"/>
      <c r="AB483" s="405"/>
      <c r="AC483" s="203"/>
      <c r="AD483" s="223"/>
      <c r="AE483" s="404"/>
      <c r="AF483" s="405"/>
      <c r="AG483" s="205"/>
      <c r="AH483" s="205"/>
      <c r="AI483" s="205"/>
      <c r="AJ483" s="205"/>
      <c r="AK483" s="401"/>
      <c r="AL483" s="401"/>
      <c r="AM483" s="401"/>
    </row>
    <row r="484">
      <c r="A484" s="320"/>
      <c r="B484" s="321"/>
      <c r="C484" s="322"/>
      <c r="D484" s="401"/>
      <c r="E484" s="320"/>
      <c r="F484" s="321"/>
      <c r="G484" s="322"/>
      <c r="H484" s="401"/>
      <c r="I484" s="320"/>
      <c r="J484" s="321"/>
      <c r="K484" s="322"/>
      <c r="L484" s="401"/>
      <c r="M484" s="320"/>
      <c r="N484" s="321"/>
      <c r="O484" s="322"/>
      <c r="P484" s="401"/>
      <c r="Q484" s="203"/>
      <c r="R484" s="223"/>
      <c r="S484" s="404"/>
      <c r="T484" s="405"/>
      <c r="U484" s="203"/>
      <c r="V484" s="223"/>
      <c r="W484" s="404"/>
      <c r="X484" s="405"/>
      <c r="Y484" s="203"/>
      <c r="Z484" s="223"/>
      <c r="AA484" s="404"/>
      <c r="AB484" s="405"/>
      <c r="AC484" s="203"/>
      <c r="AD484" s="223"/>
      <c r="AE484" s="404"/>
      <c r="AF484" s="405"/>
      <c r="AG484" s="205"/>
      <c r="AH484" s="205"/>
      <c r="AI484" s="205"/>
      <c r="AJ484" s="205"/>
      <c r="AK484" s="401"/>
      <c r="AL484" s="401"/>
      <c r="AM484" s="401"/>
    </row>
    <row r="485">
      <c r="A485" s="320"/>
      <c r="B485" s="321"/>
      <c r="C485" s="322"/>
      <c r="D485" s="401"/>
      <c r="E485" s="320"/>
      <c r="F485" s="321"/>
      <c r="G485" s="322"/>
      <c r="H485" s="401"/>
      <c r="I485" s="320"/>
      <c r="J485" s="321"/>
      <c r="K485" s="322"/>
      <c r="L485" s="401"/>
      <c r="M485" s="320"/>
      <c r="N485" s="321"/>
      <c r="O485" s="322"/>
      <c r="P485" s="401"/>
      <c r="Q485" s="203"/>
      <c r="R485" s="223"/>
      <c r="S485" s="404"/>
      <c r="T485" s="405"/>
      <c r="U485" s="203"/>
      <c r="V485" s="223"/>
      <c r="W485" s="404"/>
      <c r="X485" s="405"/>
      <c r="Y485" s="203"/>
      <c r="Z485" s="223"/>
      <c r="AA485" s="404"/>
      <c r="AB485" s="405"/>
      <c r="AC485" s="203"/>
      <c r="AD485" s="223"/>
      <c r="AE485" s="404"/>
      <c r="AF485" s="405"/>
      <c r="AG485" s="205"/>
      <c r="AH485" s="205"/>
      <c r="AI485" s="205"/>
      <c r="AJ485" s="205"/>
      <c r="AK485" s="401"/>
      <c r="AL485" s="401"/>
      <c r="AM485" s="401"/>
    </row>
    <row r="486">
      <c r="A486" s="320"/>
      <c r="B486" s="321"/>
      <c r="C486" s="322"/>
      <c r="D486" s="401"/>
      <c r="E486" s="320"/>
      <c r="F486" s="321"/>
      <c r="G486" s="322"/>
      <c r="H486" s="401"/>
      <c r="I486" s="320"/>
      <c r="J486" s="321"/>
      <c r="K486" s="322"/>
      <c r="L486" s="401"/>
      <c r="M486" s="320"/>
      <c r="N486" s="321"/>
      <c r="O486" s="322"/>
      <c r="P486" s="401"/>
      <c r="Q486" s="203"/>
      <c r="R486" s="223"/>
      <c r="S486" s="404"/>
      <c r="T486" s="405"/>
      <c r="U486" s="203"/>
      <c r="V486" s="223"/>
      <c r="W486" s="404"/>
      <c r="X486" s="405"/>
      <c r="Y486" s="203"/>
      <c r="Z486" s="223"/>
      <c r="AA486" s="404"/>
      <c r="AB486" s="405"/>
      <c r="AC486" s="203"/>
      <c r="AD486" s="223"/>
      <c r="AE486" s="404"/>
      <c r="AF486" s="405"/>
      <c r="AG486" s="205"/>
      <c r="AH486" s="205"/>
      <c r="AI486" s="205"/>
      <c r="AJ486" s="205"/>
      <c r="AK486" s="401"/>
      <c r="AL486" s="401"/>
      <c r="AM486" s="401"/>
    </row>
    <row r="487">
      <c r="A487" s="320"/>
      <c r="B487" s="321"/>
      <c r="C487" s="322"/>
      <c r="D487" s="401"/>
      <c r="E487" s="320"/>
      <c r="F487" s="321"/>
      <c r="G487" s="322"/>
      <c r="H487" s="401"/>
      <c r="I487" s="320"/>
      <c r="J487" s="321"/>
      <c r="K487" s="322"/>
      <c r="L487" s="401"/>
      <c r="M487" s="320"/>
      <c r="N487" s="321"/>
      <c r="O487" s="322"/>
      <c r="P487" s="401"/>
      <c r="Q487" s="203"/>
      <c r="R487" s="223"/>
      <c r="S487" s="404"/>
      <c r="T487" s="405"/>
      <c r="U487" s="203"/>
      <c r="V487" s="223"/>
      <c r="W487" s="404"/>
      <c r="X487" s="405"/>
      <c r="Y487" s="203"/>
      <c r="Z487" s="223"/>
      <c r="AA487" s="404"/>
      <c r="AB487" s="405"/>
      <c r="AC487" s="203"/>
      <c r="AD487" s="223"/>
      <c r="AE487" s="404"/>
      <c r="AF487" s="405"/>
      <c r="AG487" s="205"/>
      <c r="AH487" s="205"/>
      <c r="AI487" s="205"/>
      <c r="AJ487" s="205"/>
      <c r="AK487" s="401"/>
      <c r="AL487" s="401"/>
      <c r="AM487" s="401"/>
    </row>
    <row r="488">
      <c r="A488" s="320"/>
      <c r="B488" s="321"/>
      <c r="C488" s="322"/>
      <c r="D488" s="401"/>
      <c r="E488" s="320"/>
      <c r="F488" s="321"/>
      <c r="G488" s="322"/>
      <c r="H488" s="401"/>
      <c r="I488" s="320"/>
      <c r="J488" s="321"/>
      <c r="K488" s="322"/>
      <c r="L488" s="401"/>
      <c r="M488" s="320"/>
      <c r="N488" s="321"/>
      <c r="O488" s="322"/>
      <c r="P488" s="401"/>
      <c r="Q488" s="203"/>
      <c r="R488" s="223"/>
      <c r="S488" s="404"/>
      <c r="T488" s="405"/>
      <c r="U488" s="203"/>
      <c r="V488" s="223"/>
      <c r="W488" s="404"/>
      <c r="X488" s="405"/>
      <c r="Y488" s="203"/>
      <c r="Z488" s="223"/>
      <c r="AA488" s="404"/>
      <c r="AB488" s="405"/>
      <c r="AC488" s="203"/>
      <c r="AD488" s="223"/>
      <c r="AE488" s="404"/>
      <c r="AF488" s="405"/>
      <c r="AG488" s="205"/>
      <c r="AH488" s="205"/>
      <c r="AI488" s="205"/>
      <c r="AJ488" s="205"/>
      <c r="AK488" s="401"/>
      <c r="AL488" s="401"/>
      <c r="AM488" s="401"/>
    </row>
    <row r="489">
      <c r="A489" s="320"/>
      <c r="B489" s="321"/>
      <c r="C489" s="322"/>
      <c r="D489" s="401"/>
      <c r="E489" s="320"/>
      <c r="F489" s="321"/>
      <c r="G489" s="322"/>
      <c r="H489" s="401"/>
      <c r="I489" s="320"/>
      <c r="J489" s="321"/>
      <c r="K489" s="322"/>
      <c r="L489" s="401"/>
      <c r="M489" s="320"/>
      <c r="N489" s="321"/>
      <c r="O489" s="322"/>
      <c r="P489" s="401"/>
      <c r="Q489" s="203"/>
      <c r="R489" s="223"/>
      <c r="S489" s="404"/>
      <c r="T489" s="405"/>
      <c r="U489" s="203"/>
      <c r="V489" s="223"/>
      <c r="W489" s="404"/>
      <c r="X489" s="405"/>
      <c r="Y489" s="203"/>
      <c r="Z489" s="223"/>
      <c r="AA489" s="404"/>
      <c r="AB489" s="405"/>
      <c r="AC489" s="203"/>
      <c r="AD489" s="223"/>
      <c r="AE489" s="404"/>
      <c r="AF489" s="405"/>
      <c r="AG489" s="205"/>
      <c r="AH489" s="205"/>
      <c r="AI489" s="205"/>
      <c r="AJ489" s="205"/>
      <c r="AK489" s="401"/>
      <c r="AL489" s="401"/>
      <c r="AM489" s="401"/>
    </row>
    <row r="490">
      <c r="A490" s="320"/>
      <c r="B490" s="321"/>
      <c r="C490" s="322"/>
      <c r="D490" s="401"/>
      <c r="E490" s="320"/>
      <c r="F490" s="321"/>
      <c r="G490" s="322"/>
      <c r="H490" s="401"/>
      <c r="I490" s="320"/>
      <c r="J490" s="321"/>
      <c r="K490" s="322"/>
      <c r="L490" s="401"/>
      <c r="M490" s="320"/>
      <c r="N490" s="321"/>
      <c r="O490" s="322"/>
      <c r="P490" s="401"/>
      <c r="Q490" s="203"/>
      <c r="R490" s="223"/>
      <c r="S490" s="404"/>
      <c r="T490" s="405"/>
      <c r="U490" s="203"/>
      <c r="V490" s="223"/>
      <c r="W490" s="404"/>
      <c r="X490" s="405"/>
      <c r="Y490" s="203"/>
      <c r="Z490" s="223"/>
      <c r="AA490" s="404"/>
      <c r="AB490" s="405"/>
      <c r="AC490" s="203"/>
      <c r="AD490" s="223"/>
      <c r="AE490" s="404"/>
      <c r="AF490" s="405"/>
      <c r="AG490" s="205"/>
      <c r="AH490" s="205"/>
      <c r="AI490" s="205"/>
      <c r="AJ490" s="205"/>
      <c r="AK490" s="401"/>
      <c r="AL490" s="401"/>
      <c r="AM490" s="401"/>
    </row>
    <row r="491">
      <c r="A491" s="320"/>
      <c r="B491" s="321"/>
      <c r="C491" s="322"/>
      <c r="D491" s="401"/>
      <c r="E491" s="320"/>
      <c r="F491" s="321"/>
      <c r="G491" s="322"/>
      <c r="H491" s="401"/>
      <c r="I491" s="320"/>
      <c r="J491" s="321"/>
      <c r="K491" s="322"/>
      <c r="L491" s="401"/>
      <c r="M491" s="320"/>
      <c r="N491" s="321"/>
      <c r="O491" s="322"/>
      <c r="P491" s="401"/>
      <c r="Q491" s="203"/>
      <c r="R491" s="223"/>
      <c r="S491" s="404"/>
      <c r="T491" s="405"/>
      <c r="U491" s="203"/>
      <c r="V491" s="223"/>
      <c r="W491" s="404"/>
      <c r="X491" s="405"/>
      <c r="Y491" s="203"/>
      <c r="Z491" s="223"/>
      <c r="AA491" s="404"/>
      <c r="AB491" s="405"/>
      <c r="AC491" s="203"/>
      <c r="AD491" s="223"/>
      <c r="AE491" s="404"/>
      <c r="AF491" s="405"/>
      <c r="AG491" s="205"/>
      <c r="AH491" s="205"/>
      <c r="AI491" s="205"/>
      <c r="AJ491" s="205"/>
      <c r="AK491" s="401"/>
      <c r="AL491" s="401"/>
      <c r="AM491" s="401"/>
    </row>
    <row r="492">
      <c r="A492" s="320"/>
      <c r="B492" s="321"/>
      <c r="C492" s="322"/>
      <c r="D492" s="401"/>
      <c r="E492" s="320"/>
      <c r="F492" s="321"/>
      <c r="G492" s="322"/>
      <c r="H492" s="401"/>
      <c r="I492" s="320"/>
      <c r="J492" s="321"/>
      <c r="K492" s="322"/>
      <c r="L492" s="401"/>
      <c r="M492" s="320"/>
      <c r="N492" s="321"/>
      <c r="O492" s="322"/>
      <c r="P492" s="401"/>
      <c r="Q492" s="203"/>
      <c r="R492" s="223"/>
      <c r="S492" s="404"/>
      <c r="T492" s="405"/>
      <c r="U492" s="203"/>
      <c r="V492" s="223"/>
      <c r="W492" s="404"/>
      <c r="X492" s="405"/>
      <c r="Y492" s="203"/>
      <c r="Z492" s="223"/>
      <c r="AA492" s="404"/>
      <c r="AB492" s="405"/>
      <c r="AC492" s="203"/>
      <c r="AD492" s="223"/>
      <c r="AE492" s="404"/>
      <c r="AF492" s="405"/>
      <c r="AG492" s="205"/>
      <c r="AH492" s="205"/>
      <c r="AI492" s="205"/>
      <c r="AJ492" s="205"/>
      <c r="AK492" s="401"/>
      <c r="AL492" s="401"/>
      <c r="AM492" s="401"/>
    </row>
    <row r="493">
      <c r="A493" s="320"/>
      <c r="B493" s="321"/>
      <c r="C493" s="322"/>
      <c r="D493" s="401"/>
      <c r="E493" s="320"/>
      <c r="F493" s="321"/>
      <c r="G493" s="322"/>
      <c r="H493" s="401"/>
      <c r="I493" s="320"/>
      <c r="J493" s="321"/>
      <c r="K493" s="322"/>
      <c r="L493" s="401"/>
      <c r="M493" s="320"/>
      <c r="N493" s="321"/>
      <c r="O493" s="322"/>
      <c r="P493" s="401"/>
      <c r="Q493" s="203"/>
      <c r="R493" s="223"/>
      <c r="S493" s="404"/>
      <c r="T493" s="405"/>
      <c r="U493" s="203"/>
      <c r="V493" s="223"/>
      <c r="W493" s="404"/>
      <c r="X493" s="405"/>
      <c r="Y493" s="203"/>
      <c r="Z493" s="223"/>
      <c r="AA493" s="404"/>
      <c r="AB493" s="405"/>
      <c r="AC493" s="203"/>
      <c r="AD493" s="223"/>
      <c r="AE493" s="404"/>
      <c r="AF493" s="405"/>
      <c r="AG493" s="205"/>
      <c r="AH493" s="205"/>
      <c r="AI493" s="205"/>
      <c r="AJ493" s="205"/>
      <c r="AK493" s="401"/>
      <c r="AL493" s="401"/>
      <c r="AM493" s="401"/>
    </row>
    <row r="494">
      <c r="A494" s="320"/>
      <c r="B494" s="321"/>
      <c r="C494" s="322"/>
      <c r="D494" s="401"/>
      <c r="E494" s="320"/>
      <c r="F494" s="321"/>
      <c r="G494" s="322"/>
      <c r="H494" s="401"/>
      <c r="I494" s="320"/>
      <c r="J494" s="321"/>
      <c r="K494" s="322"/>
      <c r="L494" s="401"/>
      <c r="M494" s="320"/>
      <c r="N494" s="321"/>
      <c r="O494" s="322"/>
      <c r="P494" s="401"/>
      <c r="Q494" s="203"/>
      <c r="R494" s="223"/>
      <c r="S494" s="404"/>
      <c r="T494" s="405"/>
      <c r="U494" s="203"/>
      <c r="V494" s="223"/>
      <c r="W494" s="404"/>
      <c r="X494" s="405"/>
      <c r="Y494" s="203"/>
      <c r="Z494" s="223"/>
      <c r="AA494" s="404"/>
      <c r="AB494" s="405"/>
      <c r="AC494" s="203"/>
      <c r="AD494" s="223"/>
      <c r="AE494" s="404"/>
      <c r="AF494" s="405"/>
      <c r="AG494" s="205"/>
      <c r="AH494" s="205"/>
      <c r="AI494" s="205"/>
      <c r="AJ494" s="205"/>
      <c r="AK494" s="401"/>
      <c r="AL494" s="401"/>
      <c r="AM494" s="401"/>
    </row>
    <row r="495">
      <c r="A495" s="320"/>
      <c r="B495" s="321"/>
      <c r="C495" s="322"/>
      <c r="D495" s="401"/>
      <c r="E495" s="320"/>
      <c r="F495" s="321"/>
      <c r="G495" s="322"/>
      <c r="H495" s="401"/>
      <c r="I495" s="320"/>
      <c r="J495" s="321"/>
      <c r="K495" s="322"/>
      <c r="L495" s="401"/>
      <c r="M495" s="320"/>
      <c r="N495" s="321"/>
      <c r="O495" s="322"/>
      <c r="P495" s="401"/>
      <c r="Q495" s="203"/>
      <c r="R495" s="223"/>
      <c r="S495" s="404"/>
      <c r="T495" s="405"/>
      <c r="U495" s="203"/>
      <c r="V495" s="223"/>
      <c r="W495" s="404"/>
      <c r="X495" s="405"/>
      <c r="Y495" s="203"/>
      <c r="Z495" s="223"/>
      <c r="AA495" s="404"/>
      <c r="AB495" s="405"/>
      <c r="AC495" s="203"/>
      <c r="AD495" s="223"/>
      <c r="AE495" s="404"/>
      <c r="AF495" s="405"/>
      <c r="AG495" s="205"/>
      <c r="AH495" s="205"/>
      <c r="AI495" s="205"/>
      <c r="AJ495" s="205"/>
      <c r="AK495" s="401"/>
      <c r="AL495" s="401"/>
      <c r="AM495" s="401"/>
    </row>
    <row r="496">
      <c r="A496" s="320"/>
      <c r="B496" s="321"/>
      <c r="C496" s="322"/>
      <c r="D496" s="401"/>
      <c r="E496" s="320"/>
      <c r="F496" s="321"/>
      <c r="G496" s="322"/>
      <c r="H496" s="401"/>
      <c r="I496" s="320"/>
      <c r="J496" s="321"/>
      <c r="K496" s="322"/>
      <c r="L496" s="401"/>
      <c r="M496" s="320"/>
      <c r="N496" s="321"/>
      <c r="O496" s="322"/>
      <c r="P496" s="401"/>
      <c r="Q496" s="203"/>
      <c r="R496" s="223"/>
      <c r="S496" s="404"/>
      <c r="T496" s="405"/>
      <c r="U496" s="203"/>
      <c r="V496" s="223"/>
      <c r="W496" s="404"/>
      <c r="X496" s="405"/>
      <c r="Y496" s="203"/>
      <c r="Z496" s="223"/>
      <c r="AA496" s="404"/>
      <c r="AB496" s="405"/>
      <c r="AC496" s="203"/>
      <c r="AD496" s="223"/>
      <c r="AE496" s="404"/>
      <c r="AF496" s="405"/>
      <c r="AG496" s="205"/>
      <c r="AH496" s="205"/>
      <c r="AI496" s="205"/>
      <c r="AJ496" s="205"/>
      <c r="AK496" s="401"/>
      <c r="AL496" s="401"/>
      <c r="AM496" s="401"/>
    </row>
    <row r="497">
      <c r="A497" s="320"/>
      <c r="B497" s="321"/>
      <c r="C497" s="322"/>
      <c r="D497" s="401"/>
      <c r="E497" s="320"/>
      <c r="F497" s="321"/>
      <c r="G497" s="322"/>
      <c r="H497" s="401"/>
      <c r="I497" s="320"/>
      <c r="J497" s="321"/>
      <c r="K497" s="322"/>
      <c r="L497" s="401"/>
      <c r="M497" s="320"/>
      <c r="N497" s="321"/>
      <c r="O497" s="322"/>
      <c r="P497" s="401"/>
      <c r="Q497" s="203"/>
      <c r="R497" s="223"/>
      <c r="S497" s="404"/>
      <c r="T497" s="405"/>
      <c r="U497" s="203"/>
      <c r="V497" s="223"/>
      <c r="W497" s="404"/>
      <c r="X497" s="405"/>
      <c r="Y497" s="203"/>
      <c r="Z497" s="223"/>
      <c r="AA497" s="404"/>
      <c r="AB497" s="405"/>
      <c r="AC497" s="203"/>
      <c r="AD497" s="223"/>
      <c r="AE497" s="404"/>
      <c r="AF497" s="405"/>
      <c r="AG497" s="205"/>
      <c r="AH497" s="205"/>
      <c r="AI497" s="205"/>
      <c r="AJ497" s="205"/>
      <c r="AK497" s="401"/>
      <c r="AL497" s="401"/>
      <c r="AM497" s="401"/>
    </row>
    <row r="498">
      <c r="A498" s="320"/>
      <c r="B498" s="321"/>
      <c r="C498" s="322"/>
      <c r="D498" s="401"/>
      <c r="E498" s="320"/>
      <c r="F498" s="321"/>
      <c r="G498" s="322"/>
      <c r="H498" s="401"/>
      <c r="I498" s="320"/>
      <c r="J498" s="321"/>
      <c r="K498" s="322"/>
      <c r="L498" s="401"/>
      <c r="M498" s="320"/>
      <c r="N498" s="321"/>
      <c r="O498" s="322"/>
      <c r="P498" s="401"/>
      <c r="Q498" s="203"/>
      <c r="R498" s="223"/>
      <c r="S498" s="404"/>
      <c r="T498" s="405"/>
      <c r="U498" s="203"/>
      <c r="V498" s="223"/>
      <c r="W498" s="404"/>
      <c r="X498" s="405"/>
      <c r="Y498" s="203"/>
      <c r="Z498" s="223"/>
      <c r="AA498" s="404"/>
      <c r="AB498" s="405"/>
      <c r="AC498" s="203"/>
      <c r="AD498" s="223"/>
      <c r="AE498" s="404"/>
      <c r="AF498" s="405"/>
      <c r="AG498" s="205"/>
      <c r="AH498" s="205"/>
      <c r="AI498" s="205"/>
      <c r="AJ498" s="205"/>
      <c r="AK498" s="401"/>
      <c r="AL498" s="401"/>
      <c r="AM498" s="401"/>
    </row>
    <row r="499">
      <c r="A499" s="320"/>
      <c r="B499" s="321"/>
      <c r="C499" s="322"/>
      <c r="D499" s="401"/>
      <c r="E499" s="320"/>
      <c r="F499" s="321"/>
      <c r="G499" s="322"/>
      <c r="H499" s="401"/>
      <c r="I499" s="320"/>
      <c r="J499" s="321"/>
      <c r="K499" s="322"/>
      <c r="L499" s="401"/>
      <c r="M499" s="320"/>
      <c r="N499" s="321"/>
      <c r="O499" s="322"/>
      <c r="P499" s="401"/>
      <c r="Q499" s="203"/>
      <c r="R499" s="223"/>
      <c r="S499" s="404"/>
      <c r="T499" s="405"/>
      <c r="U499" s="203"/>
      <c r="V499" s="223"/>
      <c r="W499" s="404"/>
      <c r="X499" s="405"/>
      <c r="Y499" s="203"/>
      <c r="Z499" s="223"/>
      <c r="AA499" s="404"/>
      <c r="AB499" s="405"/>
      <c r="AC499" s="203"/>
      <c r="AD499" s="223"/>
      <c r="AE499" s="404"/>
      <c r="AF499" s="405"/>
      <c r="AG499" s="205"/>
      <c r="AH499" s="205"/>
      <c r="AI499" s="205"/>
      <c r="AJ499" s="205"/>
      <c r="AK499" s="401"/>
      <c r="AL499" s="401"/>
      <c r="AM499" s="401"/>
    </row>
    <row r="500">
      <c r="A500" s="320"/>
      <c r="B500" s="321"/>
      <c r="C500" s="322"/>
      <c r="D500" s="401"/>
      <c r="E500" s="320"/>
      <c r="F500" s="321"/>
      <c r="G500" s="322"/>
      <c r="H500" s="401"/>
      <c r="I500" s="320"/>
      <c r="J500" s="321"/>
      <c r="K500" s="322"/>
      <c r="L500" s="401"/>
      <c r="M500" s="320"/>
      <c r="N500" s="321"/>
      <c r="O500" s="322"/>
      <c r="P500" s="401"/>
      <c r="Q500" s="203"/>
      <c r="R500" s="223"/>
      <c r="S500" s="404"/>
      <c r="T500" s="405"/>
      <c r="U500" s="203"/>
      <c r="V500" s="223"/>
      <c r="W500" s="404"/>
      <c r="X500" s="405"/>
      <c r="Y500" s="203"/>
      <c r="Z500" s="223"/>
      <c r="AA500" s="404"/>
      <c r="AB500" s="405"/>
      <c r="AC500" s="203"/>
      <c r="AD500" s="223"/>
      <c r="AE500" s="404"/>
      <c r="AF500" s="405"/>
      <c r="AG500" s="205"/>
      <c r="AH500" s="205"/>
      <c r="AI500" s="205"/>
      <c r="AJ500" s="205"/>
      <c r="AK500" s="401"/>
      <c r="AL500" s="401"/>
      <c r="AM500" s="401"/>
    </row>
    <row r="501">
      <c r="A501" s="320"/>
      <c r="B501" s="321"/>
      <c r="C501" s="322"/>
      <c r="D501" s="401"/>
      <c r="E501" s="320"/>
      <c r="F501" s="321"/>
      <c r="G501" s="322"/>
      <c r="H501" s="401"/>
      <c r="I501" s="320"/>
      <c r="J501" s="321"/>
      <c r="K501" s="322"/>
      <c r="L501" s="401"/>
      <c r="M501" s="320"/>
      <c r="N501" s="321"/>
      <c r="O501" s="322"/>
      <c r="P501" s="401"/>
      <c r="Q501" s="203"/>
      <c r="R501" s="223"/>
      <c r="S501" s="404"/>
      <c r="T501" s="405"/>
      <c r="U501" s="203"/>
      <c r="V501" s="223"/>
      <c r="W501" s="404"/>
      <c r="X501" s="405"/>
      <c r="Y501" s="203"/>
      <c r="Z501" s="223"/>
      <c r="AA501" s="404"/>
      <c r="AB501" s="405"/>
      <c r="AC501" s="203"/>
      <c r="AD501" s="223"/>
      <c r="AE501" s="404"/>
      <c r="AF501" s="405"/>
      <c r="AG501" s="205"/>
      <c r="AH501" s="205"/>
      <c r="AI501" s="205"/>
      <c r="AJ501" s="205"/>
      <c r="AK501" s="401"/>
      <c r="AL501" s="401"/>
      <c r="AM501" s="401"/>
    </row>
    <row r="502">
      <c r="A502" s="320"/>
      <c r="B502" s="321"/>
      <c r="C502" s="322"/>
      <c r="D502" s="401"/>
      <c r="E502" s="320"/>
      <c r="F502" s="321"/>
      <c r="G502" s="322"/>
      <c r="H502" s="401"/>
      <c r="I502" s="320"/>
      <c r="J502" s="321"/>
      <c r="K502" s="322"/>
      <c r="L502" s="401"/>
      <c r="M502" s="320"/>
      <c r="N502" s="321"/>
      <c r="O502" s="322"/>
      <c r="P502" s="401"/>
      <c r="Q502" s="203"/>
      <c r="R502" s="223"/>
      <c r="S502" s="404"/>
      <c r="T502" s="405"/>
      <c r="U502" s="203"/>
      <c r="V502" s="223"/>
      <c r="W502" s="404"/>
      <c r="X502" s="405"/>
      <c r="Y502" s="203"/>
      <c r="Z502" s="223"/>
      <c r="AA502" s="404"/>
      <c r="AB502" s="405"/>
      <c r="AC502" s="203"/>
      <c r="AD502" s="223"/>
      <c r="AE502" s="404"/>
      <c r="AF502" s="405"/>
      <c r="AG502" s="205"/>
      <c r="AH502" s="205"/>
      <c r="AI502" s="205"/>
      <c r="AJ502" s="205"/>
      <c r="AK502" s="401"/>
      <c r="AL502" s="401"/>
      <c r="AM502" s="401"/>
    </row>
    <row r="503">
      <c r="A503" s="320"/>
      <c r="B503" s="321"/>
      <c r="C503" s="322"/>
      <c r="D503" s="401"/>
      <c r="E503" s="320"/>
      <c r="F503" s="321"/>
      <c r="G503" s="322"/>
      <c r="H503" s="401"/>
      <c r="I503" s="320"/>
      <c r="J503" s="321"/>
      <c r="K503" s="322"/>
      <c r="L503" s="401"/>
      <c r="M503" s="320"/>
      <c r="N503" s="321"/>
      <c r="O503" s="322"/>
      <c r="P503" s="401"/>
      <c r="Q503" s="203"/>
      <c r="R503" s="223"/>
      <c r="S503" s="404"/>
      <c r="T503" s="405"/>
      <c r="U503" s="203"/>
      <c r="V503" s="223"/>
      <c r="W503" s="404"/>
      <c r="X503" s="405"/>
      <c r="Y503" s="203"/>
      <c r="Z503" s="223"/>
      <c r="AA503" s="404"/>
      <c r="AB503" s="405"/>
      <c r="AC503" s="203"/>
      <c r="AD503" s="223"/>
      <c r="AE503" s="404"/>
      <c r="AF503" s="405"/>
      <c r="AG503" s="205"/>
      <c r="AH503" s="205"/>
      <c r="AI503" s="205"/>
      <c r="AJ503" s="205"/>
      <c r="AK503" s="401"/>
      <c r="AL503" s="401"/>
      <c r="AM503" s="401"/>
    </row>
    <row r="504">
      <c r="A504" s="320"/>
      <c r="B504" s="321"/>
      <c r="C504" s="322"/>
      <c r="D504" s="401"/>
      <c r="E504" s="320"/>
      <c r="F504" s="321"/>
      <c r="G504" s="322"/>
      <c r="H504" s="401"/>
      <c r="I504" s="320"/>
      <c r="J504" s="321"/>
      <c r="K504" s="322"/>
      <c r="L504" s="401"/>
      <c r="M504" s="320"/>
      <c r="N504" s="321"/>
      <c r="O504" s="322"/>
      <c r="P504" s="401"/>
      <c r="Q504" s="203"/>
      <c r="R504" s="223"/>
      <c r="S504" s="404"/>
      <c r="T504" s="405"/>
      <c r="U504" s="203"/>
      <c r="V504" s="223"/>
      <c r="W504" s="404"/>
      <c r="X504" s="405"/>
      <c r="Y504" s="203"/>
      <c r="Z504" s="223"/>
      <c r="AA504" s="404"/>
      <c r="AB504" s="405"/>
      <c r="AC504" s="203"/>
      <c r="AD504" s="223"/>
      <c r="AE504" s="404"/>
      <c r="AF504" s="405"/>
      <c r="AG504" s="205"/>
      <c r="AH504" s="205"/>
      <c r="AI504" s="205"/>
      <c r="AJ504" s="205"/>
      <c r="AK504" s="401"/>
      <c r="AL504" s="401"/>
      <c r="AM504" s="401"/>
    </row>
    <row r="505">
      <c r="A505" s="320"/>
      <c r="B505" s="321"/>
      <c r="C505" s="322"/>
      <c r="D505" s="401"/>
      <c r="E505" s="320"/>
      <c r="F505" s="321"/>
      <c r="G505" s="322"/>
      <c r="H505" s="401"/>
      <c r="I505" s="320"/>
      <c r="J505" s="321"/>
      <c r="K505" s="322"/>
      <c r="L505" s="401"/>
      <c r="M505" s="320"/>
      <c r="N505" s="321"/>
      <c r="O505" s="322"/>
      <c r="P505" s="401"/>
      <c r="Q505" s="203"/>
      <c r="R505" s="223"/>
      <c r="S505" s="404"/>
      <c r="T505" s="405"/>
      <c r="U505" s="203"/>
      <c r="V505" s="223"/>
      <c r="W505" s="404"/>
      <c r="X505" s="405"/>
      <c r="Y505" s="203"/>
      <c r="Z505" s="223"/>
      <c r="AA505" s="404"/>
      <c r="AB505" s="405"/>
      <c r="AC505" s="203"/>
      <c r="AD505" s="223"/>
      <c r="AE505" s="404"/>
      <c r="AF505" s="405"/>
      <c r="AG505" s="205"/>
      <c r="AH505" s="205"/>
      <c r="AI505" s="205"/>
      <c r="AJ505" s="205"/>
      <c r="AK505" s="401"/>
      <c r="AL505" s="401"/>
      <c r="AM505" s="401"/>
    </row>
    <row r="506">
      <c r="A506" s="320"/>
      <c r="B506" s="321"/>
      <c r="C506" s="322"/>
      <c r="D506" s="401"/>
      <c r="E506" s="320"/>
      <c r="F506" s="321"/>
      <c r="G506" s="322"/>
      <c r="H506" s="401"/>
      <c r="I506" s="320"/>
      <c r="J506" s="321"/>
      <c r="K506" s="322"/>
      <c r="L506" s="401"/>
      <c r="M506" s="320"/>
      <c r="N506" s="321"/>
      <c r="O506" s="322"/>
      <c r="P506" s="401"/>
      <c r="Q506" s="203"/>
      <c r="R506" s="223"/>
      <c r="S506" s="404"/>
      <c r="T506" s="405"/>
      <c r="U506" s="203"/>
      <c r="V506" s="223"/>
      <c r="W506" s="404"/>
      <c r="X506" s="405"/>
      <c r="Y506" s="203"/>
      <c r="Z506" s="223"/>
      <c r="AA506" s="404"/>
      <c r="AB506" s="405"/>
      <c r="AC506" s="203"/>
      <c r="AD506" s="223"/>
      <c r="AE506" s="404"/>
      <c r="AF506" s="405"/>
      <c r="AG506" s="205"/>
      <c r="AH506" s="205"/>
      <c r="AI506" s="205"/>
      <c r="AJ506" s="205"/>
      <c r="AK506" s="401"/>
      <c r="AL506" s="401"/>
      <c r="AM506" s="401"/>
    </row>
    <row r="507">
      <c r="A507" s="320"/>
      <c r="B507" s="321"/>
      <c r="C507" s="322"/>
      <c r="D507" s="401"/>
      <c r="E507" s="320"/>
      <c r="F507" s="321"/>
      <c r="G507" s="322"/>
      <c r="H507" s="401"/>
      <c r="I507" s="320"/>
      <c r="J507" s="321"/>
      <c r="K507" s="322"/>
      <c r="L507" s="401"/>
      <c r="M507" s="320"/>
      <c r="N507" s="321"/>
      <c r="O507" s="322"/>
      <c r="P507" s="401"/>
      <c r="Q507" s="203"/>
      <c r="R507" s="223"/>
      <c r="S507" s="404"/>
      <c r="T507" s="405"/>
      <c r="U507" s="203"/>
      <c r="V507" s="223"/>
      <c r="W507" s="404"/>
      <c r="X507" s="405"/>
      <c r="Y507" s="203"/>
      <c r="Z507" s="223"/>
      <c r="AA507" s="404"/>
      <c r="AB507" s="405"/>
      <c r="AC507" s="203"/>
      <c r="AD507" s="223"/>
      <c r="AE507" s="404"/>
      <c r="AF507" s="405"/>
      <c r="AG507" s="205"/>
      <c r="AH507" s="205"/>
      <c r="AI507" s="205"/>
      <c r="AJ507" s="205"/>
      <c r="AK507" s="401"/>
      <c r="AL507" s="401"/>
      <c r="AM507" s="401"/>
    </row>
    <row r="508">
      <c r="A508" s="320"/>
      <c r="B508" s="321"/>
      <c r="C508" s="322"/>
      <c r="D508" s="401"/>
      <c r="E508" s="320"/>
      <c r="F508" s="321"/>
      <c r="G508" s="322"/>
      <c r="H508" s="401"/>
      <c r="I508" s="320"/>
      <c r="J508" s="321"/>
      <c r="K508" s="322"/>
      <c r="L508" s="401"/>
      <c r="M508" s="320"/>
      <c r="N508" s="321"/>
      <c r="O508" s="322"/>
      <c r="P508" s="401"/>
      <c r="Q508" s="203"/>
      <c r="R508" s="223"/>
      <c r="S508" s="404"/>
      <c r="T508" s="405"/>
      <c r="U508" s="203"/>
      <c r="V508" s="223"/>
      <c r="W508" s="404"/>
      <c r="X508" s="405"/>
      <c r="Y508" s="203"/>
      <c r="Z508" s="223"/>
      <c r="AA508" s="404"/>
      <c r="AB508" s="405"/>
      <c r="AC508" s="203"/>
      <c r="AD508" s="223"/>
      <c r="AE508" s="404"/>
      <c r="AF508" s="405"/>
      <c r="AG508" s="205"/>
      <c r="AH508" s="205"/>
      <c r="AI508" s="205"/>
      <c r="AJ508" s="205"/>
      <c r="AK508" s="401"/>
      <c r="AL508" s="401"/>
      <c r="AM508" s="401"/>
    </row>
    <row r="509">
      <c r="A509" s="320"/>
      <c r="B509" s="321"/>
      <c r="C509" s="322"/>
      <c r="D509" s="401"/>
      <c r="E509" s="320"/>
      <c r="F509" s="321"/>
      <c r="G509" s="322"/>
      <c r="H509" s="401"/>
      <c r="I509" s="320"/>
      <c r="J509" s="321"/>
      <c r="K509" s="322"/>
      <c r="L509" s="401"/>
      <c r="M509" s="320"/>
      <c r="N509" s="321"/>
      <c r="O509" s="322"/>
      <c r="P509" s="401"/>
      <c r="Q509" s="203"/>
      <c r="R509" s="223"/>
      <c r="S509" s="404"/>
      <c r="T509" s="405"/>
      <c r="U509" s="203"/>
      <c r="V509" s="223"/>
      <c r="W509" s="404"/>
      <c r="X509" s="405"/>
      <c r="Y509" s="203"/>
      <c r="Z509" s="223"/>
      <c r="AA509" s="404"/>
      <c r="AB509" s="405"/>
      <c r="AC509" s="203"/>
      <c r="AD509" s="223"/>
      <c r="AE509" s="404"/>
      <c r="AF509" s="405"/>
      <c r="AG509" s="205"/>
      <c r="AH509" s="205"/>
      <c r="AI509" s="205"/>
      <c r="AJ509" s="205"/>
      <c r="AK509" s="401"/>
      <c r="AL509" s="401"/>
      <c r="AM509" s="401"/>
    </row>
    <row r="510">
      <c r="A510" s="320"/>
      <c r="B510" s="321"/>
      <c r="C510" s="322"/>
      <c r="D510" s="401"/>
      <c r="E510" s="320"/>
      <c r="F510" s="321"/>
      <c r="G510" s="322"/>
      <c r="H510" s="401"/>
      <c r="I510" s="320"/>
      <c r="J510" s="321"/>
      <c r="K510" s="322"/>
      <c r="L510" s="401"/>
      <c r="M510" s="320"/>
      <c r="N510" s="321"/>
      <c r="O510" s="322"/>
      <c r="P510" s="401"/>
      <c r="Q510" s="203"/>
      <c r="R510" s="223"/>
      <c r="S510" s="404"/>
      <c r="T510" s="405"/>
      <c r="U510" s="203"/>
      <c r="V510" s="223"/>
      <c r="W510" s="404"/>
      <c r="X510" s="405"/>
      <c r="Y510" s="203"/>
      <c r="Z510" s="223"/>
      <c r="AA510" s="404"/>
      <c r="AB510" s="405"/>
      <c r="AC510" s="203"/>
      <c r="AD510" s="223"/>
      <c r="AE510" s="404"/>
      <c r="AF510" s="405"/>
      <c r="AG510" s="205"/>
      <c r="AH510" s="205"/>
      <c r="AI510" s="205"/>
      <c r="AJ510" s="205"/>
      <c r="AK510" s="401"/>
      <c r="AL510" s="401"/>
      <c r="AM510" s="401"/>
    </row>
    <row r="511">
      <c r="A511" s="320"/>
      <c r="B511" s="321"/>
      <c r="C511" s="322"/>
      <c r="D511" s="401"/>
      <c r="E511" s="320"/>
      <c r="F511" s="321"/>
      <c r="G511" s="322"/>
      <c r="H511" s="401"/>
      <c r="I511" s="320"/>
      <c r="J511" s="321"/>
      <c r="K511" s="322"/>
      <c r="L511" s="401"/>
      <c r="M511" s="320"/>
      <c r="N511" s="321"/>
      <c r="O511" s="322"/>
      <c r="P511" s="401"/>
      <c r="Q511" s="203"/>
      <c r="R511" s="223"/>
      <c r="S511" s="404"/>
      <c r="T511" s="405"/>
      <c r="U511" s="203"/>
      <c r="V511" s="223"/>
      <c r="W511" s="404"/>
      <c r="X511" s="405"/>
      <c r="Y511" s="203"/>
      <c r="Z511" s="223"/>
      <c r="AA511" s="404"/>
      <c r="AB511" s="405"/>
      <c r="AC511" s="203"/>
      <c r="AD511" s="223"/>
      <c r="AE511" s="404"/>
      <c r="AF511" s="405"/>
      <c r="AG511" s="205"/>
      <c r="AH511" s="205"/>
      <c r="AI511" s="205"/>
      <c r="AJ511" s="205"/>
      <c r="AK511" s="401"/>
      <c r="AL511" s="401"/>
      <c r="AM511" s="401"/>
    </row>
    <row r="512">
      <c r="A512" s="320"/>
      <c r="B512" s="321"/>
      <c r="C512" s="322"/>
      <c r="D512" s="401"/>
      <c r="E512" s="320"/>
      <c r="F512" s="321"/>
      <c r="G512" s="322"/>
      <c r="H512" s="401"/>
      <c r="I512" s="320"/>
      <c r="J512" s="321"/>
      <c r="K512" s="322"/>
      <c r="L512" s="401"/>
      <c r="M512" s="320"/>
      <c r="N512" s="321"/>
      <c r="O512" s="322"/>
      <c r="P512" s="401"/>
      <c r="Q512" s="203"/>
      <c r="R512" s="223"/>
      <c r="S512" s="404"/>
      <c r="T512" s="405"/>
      <c r="U512" s="203"/>
      <c r="V512" s="223"/>
      <c r="W512" s="404"/>
      <c r="X512" s="405"/>
      <c r="Y512" s="203"/>
      <c r="Z512" s="223"/>
      <c r="AA512" s="404"/>
      <c r="AB512" s="405"/>
      <c r="AC512" s="203"/>
      <c r="AD512" s="223"/>
      <c r="AE512" s="404"/>
      <c r="AF512" s="405"/>
      <c r="AG512" s="205"/>
      <c r="AH512" s="205"/>
      <c r="AI512" s="205"/>
      <c r="AJ512" s="205"/>
      <c r="AK512" s="401"/>
      <c r="AL512" s="401"/>
      <c r="AM512" s="401"/>
    </row>
    <row r="513">
      <c r="A513" s="320"/>
      <c r="B513" s="321"/>
      <c r="C513" s="322"/>
      <c r="D513" s="401"/>
      <c r="E513" s="320"/>
      <c r="F513" s="321"/>
      <c r="G513" s="322"/>
      <c r="H513" s="401"/>
      <c r="I513" s="320"/>
      <c r="J513" s="321"/>
      <c r="K513" s="322"/>
      <c r="L513" s="401"/>
      <c r="M513" s="320"/>
      <c r="N513" s="321"/>
      <c r="O513" s="322"/>
      <c r="P513" s="401"/>
      <c r="Q513" s="203"/>
      <c r="R513" s="223"/>
      <c r="S513" s="404"/>
      <c r="T513" s="405"/>
      <c r="U513" s="203"/>
      <c r="V513" s="223"/>
      <c r="W513" s="404"/>
      <c r="X513" s="405"/>
      <c r="Y513" s="203"/>
      <c r="Z513" s="223"/>
      <c r="AA513" s="404"/>
      <c r="AB513" s="405"/>
      <c r="AC513" s="203"/>
      <c r="AD513" s="223"/>
      <c r="AE513" s="404"/>
      <c r="AF513" s="405"/>
      <c r="AG513" s="205"/>
      <c r="AH513" s="205"/>
      <c r="AI513" s="205"/>
      <c r="AJ513" s="205"/>
      <c r="AK513" s="401"/>
      <c r="AL513" s="401"/>
      <c r="AM513" s="401"/>
    </row>
    <row r="514">
      <c r="A514" s="320"/>
      <c r="B514" s="321"/>
      <c r="C514" s="322"/>
      <c r="D514" s="401"/>
      <c r="E514" s="320"/>
      <c r="F514" s="321"/>
      <c r="G514" s="322"/>
      <c r="H514" s="401"/>
      <c r="I514" s="320"/>
      <c r="J514" s="321"/>
      <c r="K514" s="322"/>
      <c r="L514" s="401"/>
      <c r="M514" s="320"/>
      <c r="N514" s="321"/>
      <c r="O514" s="322"/>
      <c r="P514" s="401"/>
      <c r="Q514" s="203"/>
      <c r="R514" s="223"/>
      <c r="S514" s="404"/>
      <c r="T514" s="405"/>
      <c r="U514" s="203"/>
      <c r="V514" s="223"/>
      <c r="W514" s="404"/>
      <c r="X514" s="405"/>
      <c r="Y514" s="203"/>
      <c r="Z514" s="223"/>
      <c r="AA514" s="404"/>
      <c r="AB514" s="405"/>
      <c r="AC514" s="203"/>
      <c r="AD514" s="223"/>
      <c r="AE514" s="404"/>
      <c r="AF514" s="405"/>
      <c r="AG514" s="205"/>
      <c r="AH514" s="205"/>
      <c r="AI514" s="205"/>
      <c r="AJ514" s="205"/>
      <c r="AK514" s="401"/>
      <c r="AL514" s="401"/>
      <c r="AM514" s="401"/>
    </row>
    <row r="515">
      <c r="A515" s="320"/>
      <c r="B515" s="321"/>
      <c r="C515" s="322"/>
      <c r="D515" s="401"/>
      <c r="E515" s="320"/>
      <c r="F515" s="321"/>
      <c r="G515" s="322"/>
      <c r="H515" s="401"/>
      <c r="I515" s="320"/>
      <c r="J515" s="321"/>
      <c r="K515" s="322"/>
      <c r="L515" s="401"/>
      <c r="M515" s="320"/>
      <c r="N515" s="321"/>
      <c r="O515" s="322"/>
      <c r="P515" s="401"/>
      <c r="Q515" s="203"/>
      <c r="R515" s="223"/>
      <c r="S515" s="404"/>
      <c r="T515" s="405"/>
      <c r="U515" s="203"/>
      <c r="V515" s="223"/>
      <c r="W515" s="404"/>
      <c r="X515" s="405"/>
      <c r="Y515" s="203"/>
      <c r="Z515" s="223"/>
      <c r="AA515" s="404"/>
      <c r="AB515" s="405"/>
      <c r="AC515" s="203"/>
      <c r="AD515" s="223"/>
      <c r="AE515" s="404"/>
      <c r="AF515" s="405"/>
      <c r="AG515" s="205"/>
      <c r="AH515" s="205"/>
      <c r="AI515" s="205"/>
      <c r="AJ515" s="205"/>
      <c r="AK515" s="401"/>
      <c r="AL515" s="401"/>
      <c r="AM515" s="401"/>
    </row>
    <row r="516">
      <c r="A516" s="320"/>
      <c r="B516" s="321"/>
      <c r="C516" s="322"/>
      <c r="D516" s="401"/>
      <c r="E516" s="320"/>
      <c r="F516" s="321"/>
      <c r="G516" s="322"/>
      <c r="H516" s="401"/>
      <c r="I516" s="320"/>
      <c r="J516" s="321"/>
      <c r="K516" s="322"/>
      <c r="L516" s="401"/>
      <c r="M516" s="320"/>
      <c r="N516" s="321"/>
      <c r="O516" s="322"/>
      <c r="P516" s="401"/>
      <c r="Q516" s="203"/>
      <c r="R516" s="223"/>
      <c r="S516" s="404"/>
      <c r="T516" s="405"/>
      <c r="U516" s="203"/>
      <c r="V516" s="223"/>
      <c r="W516" s="404"/>
      <c r="X516" s="405"/>
      <c r="Y516" s="203"/>
      <c r="Z516" s="223"/>
      <c r="AA516" s="404"/>
      <c r="AB516" s="405"/>
      <c r="AC516" s="203"/>
      <c r="AD516" s="223"/>
      <c r="AE516" s="404"/>
      <c r="AF516" s="405"/>
      <c r="AG516" s="205"/>
      <c r="AH516" s="205"/>
      <c r="AI516" s="205"/>
      <c r="AJ516" s="205"/>
      <c r="AK516" s="401"/>
      <c r="AL516" s="401"/>
      <c r="AM516" s="401"/>
    </row>
    <row r="517">
      <c r="A517" s="320"/>
      <c r="B517" s="321"/>
      <c r="C517" s="322"/>
      <c r="D517" s="401"/>
      <c r="E517" s="320"/>
      <c r="F517" s="321"/>
      <c r="G517" s="322"/>
      <c r="H517" s="401"/>
      <c r="I517" s="320"/>
      <c r="J517" s="321"/>
      <c r="K517" s="322"/>
      <c r="L517" s="401"/>
      <c r="M517" s="320"/>
      <c r="N517" s="321"/>
      <c r="O517" s="322"/>
      <c r="P517" s="401"/>
      <c r="Q517" s="203"/>
      <c r="R517" s="223"/>
      <c r="S517" s="404"/>
      <c r="T517" s="405"/>
      <c r="U517" s="203"/>
      <c r="V517" s="223"/>
      <c r="W517" s="404"/>
      <c r="X517" s="405"/>
      <c r="Y517" s="203"/>
      <c r="Z517" s="223"/>
      <c r="AA517" s="404"/>
      <c r="AB517" s="405"/>
      <c r="AC517" s="203"/>
      <c r="AD517" s="223"/>
      <c r="AE517" s="404"/>
      <c r="AF517" s="405"/>
      <c r="AG517" s="205"/>
      <c r="AH517" s="205"/>
      <c r="AI517" s="205"/>
      <c r="AJ517" s="205"/>
      <c r="AK517" s="401"/>
      <c r="AL517" s="401"/>
      <c r="AM517" s="401"/>
    </row>
    <row r="518">
      <c r="A518" s="320"/>
      <c r="B518" s="321"/>
      <c r="C518" s="322"/>
      <c r="D518" s="401"/>
      <c r="E518" s="320"/>
      <c r="F518" s="321"/>
      <c r="G518" s="322"/>
      <c r="H518" s="401"/>
      <c r="I518" s="320"/>
      <c r="J518" s="321"/>
      <c r="K518" s="322"/>
      <c r="L518" s="401"/>
      <c r="M518" s="320"/>
      <c r="N518" s="321"/>
      <c r="O518" s="322"/>
      <c r="P518" s="401"/>
      <c r="Q518" s="203"/>
      <c r="R518" s="223"/>
      <c r="S518" s="404"/>
      <c r="T518" s="405"/>
      <c r="U518" s="203"/>
      <c r="V518" s="223"/>
      <c r="W518" s="404"/>
      <c r="X518" s="405"/>
      <c r="Y518" s="203"/>
      <c r="Z518" s="223"/>
      <c r="AA518" s="404"/>
      <c r="AB518" s="405"/>
      <c r="AC518" s="203"/>
      <c r="AD518" s="223"/>
      <c r="AE518" s="404"/>
      <c r="AF518" s="405"/>
      <c r="AG518" s="205"/>
      <c r="AH518" s="205"/>
      <c r="AI518" s="205"/>
      <c r="AJ518" s="205"/>
      <c r="AK518" s="401"/>
      <c r="AL518" s="401"/>
      <c r="AM518" s="401"/>
    </row>
    <row r="519">
      <c r="A519" s="320"/>
      <c r="B519" s="321"/>
      <c r="C519" s="322"/>
      <c r="D519" s="401"/>
      <c r="E519" s="320"/>
      <c r="F519" s="321"/>
      <c r="G519" s="322"/>
      <c r="H519" s="401"/>
      <c r="I519" s="320"/>
      <c r="J519" s="321"/>
      <c r="K519" s="322"/>
      <c r="L519" s="401"/>
      <c r="M519" s="320"/>
      <c r="N519" s="321"/>
      <c r="O519" s="322"/>
      <c r="P519" s="401"/>
      <c r="Q519" s="203"/>
      <c r="R519" s="223"/>
      <c r="S519" s="404"/>
      <c r="T519" s="405"/>
      <c r="U519" s="203"/>
      <c r="V519" s="223"/>
      <c r="W519" s="404"/>
      <c r="X519" s="405"/>
      <c r="Y519" s="203"/>
      <c r="Z519" s="223"/>
      <c r="AA519" s="404"/>
      <c r="AB519" s="405"/>
      <c r="AC519" s="203"/>
      <c r="AD519" s="223"/>
      <c r="AE519" s="404"/>
      <c r="AF519" s="405"/>
      <c r="AG519" s="205"/>
      <c r="AH519" s="205"/>
      <c r="AI519" s="205"/>
      <c r="AJ519" s="205"/>
      <c r="AK519" s="401"/>
      <c r="AL519" s="401"/>
      <c r="AM519" s="401"/>
    </row>
    <row r="520">
      <c r="A520" s="320"/>
      <c r="B520" s="321"/>
      <c r="C520" s="322"/>
      <c r="D520" s="401"/>
      <c r="E520" s="320"/>
      <c r="F520" s="321"/>
      <c r="G520" s="322"/>
      <c r="H520" s="401"/>
      <c r="I520" s="320"/>
      <c r="J520" s="321"/>
      <c r="K520" s="322"/>
      <c r="L520" s="401"/>
      <c r="M520" s="320"/>
      <c r="N520" s="321"/>
      <c r="O520" s="322"/>
      <c r="P520" s="401"/>
      <c r="Q520" s="203"/>
      <c r="R520" s="223"/>
      <c r="S520" s="404"/>
      <c r="T520" s="405"/>
      <c r="U520" s="203"/>
      <c r="V520" s="223"/>
      <c r="W520" s="404"/>
      <c r="X520" s="405"/>
      <c r="Y520" s="203"/>
      <c r="Z520" s="223"/>
      <c r="AA520" s="404"/>
      <c r="AB520" s="405"/>
      <c r="AC520" s="203"/>
      <c r="AD520" s="223"/>
      <c r="AE520" s="404"/>
      <c r="AF520" s="405"/>
      <c r="AG520" s="205"/>
      <c r="AH520" s="205"/>
      <c r="AI520" s="205"/>
      <c r="AJ520" s="205"/>
      <c r="AK520" s="401"/>
      <c r="AL520" s="401"/>
      <c r="AM520" s="401"/>
    </row>
    <row r="521">
      <c r="A521" s="320"/>
      <c r="B521" s="321"/>
      <c r="C521" s="322"/>
      <c r="D521" s="401"/>
      <c r="E521" s="320"/>
      <c r="F521" s="321"/>
      <c r="G521" s="322"/>
      <c r="H521" s="401"/>
      <c r="I521" s="320"/>
      <c r="J521" s="321"/>
      <c r="K521" s="322"/>
      <c r="L521" s="401"/>
      <c r="M521" s="320"/>
      <c r="N521" s="321"/>
      <c r="O521" s="322"/>
      <c r="P521" s="401"/>
      <c r="Q521" s="203"/>
      <c r="R521" s="223"/>
      <c r="S521" s="404"/>
      <c r="T521" s="405"/>
      <c r="U521" s="203"/>
      <c r="V521" s="223"/>
      <c r="W521" s="404"/>
      <c r="X521" s="405"/>
      <c r="Y521" s="203"/>
      <c r="Z521" s="223"/>
      <c r="AA521" s="404"/>
      <c r="AB521" s="405"/>
      <c r="AC521" s="203"/>
      <c r="AD521" s="223"/>
      <c r="AE521" s="404"/>
      <c r="AF521" s="405"/>
      <c r="AG521" s="205"/>
      <c r="AH521" s="205"/>
      <c r="AI521" s="205"/>
      <c r="AJ521" s="205"/>
      <c r="AK521" s="401"/>
      <c r="AL521" s="401"/>
      <c r="AM521" s="401"/>
    </row>
    <row r="522">
      <c r="A522" s="320"/>
      <c r="B522" s="321"/>
      <c r="C522" s="322"/>
      <c r="D522" s="401"/>
      <c r="E522" s="320"/>
      <c r="F522" s="321"/>
      <c r="G522" s="322"/>
      <c r="H522" s="401"/>
      <c r="I522" s="320"/>
      <c r="J522" s="321"/>
      <c r="K522" s="322"/>
      <c r="L522" s="401"/>
      <c r="M522" s="320"/>
      <c r="N522" s="321"/>
      <c r="O522" s="322"/>
      <c r="P522" s="401"/>
      <c r="Q522" s="203"/>
      <c r="R522" s="223"/>
      <c r="S522" s="404"/>
      <c r="T522" s="405"/>
      <c r="U522" s="203"/>
      <c r="V522" s="223"/>
      <c r="W522" s="404"/>
      <c r="X522" s="405"/>
      <c r="Y522" s="203"/>
      <c r="Z522" s="223"/>
      <c r="AA522" s="404"/>
      <c r="AB522" s="405"/>
      <c r="AC522" s="203"/>
      <c r="AD522" s="223"/>
      <c r="AE522" s="404"/>
      <c r="AF522" s="405"/>
      <c r="AG522" s="205"/>
      <c r="AH522" s="205"/>
      <c r="AI522" s="205"/>
      <c r="AJ522" s="205"/>
      <c r="AK522" s="401"/>
      <c r="AL522" s="401"/>
      <c r="AM522" s="401"/>
    </row>
    <row r="523">
      <c r="A523" s="320"/>
      <c r="B523" s="321"/>
      <c r="C523" s="322"/>
      <c r="D523" s="401"/>
      <c r="E523" s="320"/>
      <c r="F523" s="321"/>
      <c r="G523" s="322"/>
      <c r="H523" s="401"/>
      <c r="I523" s="320"/>
      <c r="J523" s="321"/>
      <c r="K523" s="322"/>
      <c r="L523" s="401"/>
      <c r="M523" s="320"/>
      <c r="N523" s="321"/>
      <c r="O523" s="322"/>
      <c r="P523" s="401"/>
      <c r="Q523" s="203"/>
      <c r="R523" s="223"/>
      <c r="S523" s="404"/>
      <c r="T523" s="405"/>
      <c r="U523" s="203"/>
      <c r="V523" s="223"/>
      <c r="W523" s="404"/>
      <c r="X523" s="405"/>
      <c r="Y523" s="203"/>
      <c r="Z523" s="223"/>
      <c r="AA523" s="404"/>
      <c r="AB523" s="405"/>
      <c r="AC523" s="203"/>
      <c r="AD523" s="223"/>
      <c r="AE523" s="404"/>
      <c r="AF523" s="405"/>
      <c r="AG523" s="205"/>
      <c r="AH523" s="205"/>
      <c r="AI523" s="205"/>
      <c r="AJ523" s="205"/>
      <c r="AK523" s="401"/>
      <c r="AL523" s="401"/>
      <c r="AM523" s="401"/>
    </row>
    <row r="524">
      <c r="A524" s="320"/>
      <c r="B524" s="321"/>
      <c r="C524" s="322"/>
      <c r="D524" s="401"/>
      <c r="E524" s="320"/>
      <c r="F524" s="321"/>
      <c r="G524" s="322"/>
      <c r="H524" s="401"/>
      <c r="I524" s="320"/>
      <c r="J524" s="321"/>
      <c r="K524" s="322"/>
      <c r="L524" s="401"/>
      <c r="M524" s="320"/>
      <c r="N524" s="321"/>
      <c r="O524" s="322"/>
      <c r="P524" s="401"/>
      <c r="Q524" s="203"/>
      <c r="R524" s="223"/>
      <c r="S524" s="404"/>
      <c r="T524" s="405"/>
      <c r="U524" s="203"/>
      <c r="V524" s="223"/>
      <c r="W524" s="404"/>
      <c r="X524" s="405"/>
      <c r="Y524" s="203"/>
      <c r="Z524" s="223"/>
      <c r="AA524" s="404"/>
      <c r="AB524" s="405"/>
      <c r="AC524" s="203"/>
      <c r="AD524" s="223"/>
      <c r="AE524" s="404"/>
      <c r="AF524" s="405"/>
      <c r="AG524" s="205"/>
      <c r="AH524" s="205"/>
      <c r="AI524" s="205"/>
      <c r="AJ524" s="205"/>
      <c r="AK524" s="401"/>
      <c r="AL524" s="401"/>
      <c r="AM524" s="401"/>
    </row>
    <row r="525">
      <c r="A525" s="320"/>
      <c r="B525" s="321"/>
      <c r="C525" s="322"/>
      <c r="D525" s="401"/>
      <c r="E525" s="320"/>
      <c r="F525" s="321"/>
      <c r="G525" s="322"/>
      <c r="H525" s="401"/>
      <c r="I525" s="320"/>
      <c r="J525" s="321"/>
      <c r="K525" s="322"/>
      <c r="L525" s="401"/>
      <c r="M525" s="320"/>
      <c r="N525" s="321"/>
      <c r="O525" s="322"/>
      <c r="P525" s="401"/>
      <c r="Q525" s="203"/>
      <c r="R525" s="223"/>
      <c r="S525" s="404"/>
      <c r="T525" s="405"/>
      <c r="U525" s="203"/>
      <c r="V525" s="223"/>
      <c r="W525" s="404"/>
      <c r="X525" s="405"/>
      <c r="Y525" s="203"/>
      <c r="Z525" s="223"/>
      <c r="AA525" s="404"/>
      <c r="AB525" s="405"/>
      <c r="AC525" s="203"/>
      <c r="AD525" s="223"/>
      <c r="AE525" s="404"/>
      <c r="AF525" s="405"/>
      <c r="AG525" s="205"/>
      <c r="AH525" s="205"/>
      <c r="AI525" s="205"/>
      <c r="AJ525" s="205"/>
      <c r="AK525" s="401"/>
      <c r="AL525" s="401"/>
      <c r="AM525" s="401"/>
    </row>
    <row r="526">
      <c r="A526" s="320"/>
      <c r="B526" s="321"/>
      <c r="C526" s="322"/>
      <c r="D526" s="401"/>
      <c r="E526" s="320"/>
      <c r="F526" s="321"/>
      <c r="G526" s="322"/>
      <c r="H526" s="401"/>
      <c r="I526" s="320"/>
      <c r="J526" s="321"/>
      <c r="K526" s="322"/>
      <c r="L526" s="401"/>
      <c r="M526" s="320"/>
      <c r="N526" s="321"/>
      <c r="O526" s="322"/>
      <c r="P526" s="401"/>
      <c r="Q526" s="203"/>
      <c r="R526" s="223"/>
      <c r="S526" s="404"/>
      <c r="T526" s="405"/>
      <c r="U526" s="203"/>
      <c r="V526" s="223"/>
      <c r="W526" s="404"/>
      <c r="X526" s="405"/>
      <c r="Y526" s="203"/>
      <c r="Z526" s="223"/>
      <c r="AA526" s="404"/>
      <c r="AB526" s="405"/>
      <c r="AC526" s="203"/>
      <c r="AD526" s="223"/>
      <c r="AE526" s="404"/>
      <c r="AF526" s="405"/>
      <c r="AG526" s="205"/>
      <c r="AH526" s="205"/>
      <c r="AI526" s="205"/>
      <c r="AJ526" s="205"/>
      <c r="AK526" s="401"/>
      <c r="AL526" s="401"/>
      <c r="AM526" s="401"/>
    </row>
    <row r="527">
      <c r="A527" s="320"/>
      <c r="B527" s="321"/>
      <c r="C527" s="322"/>
      <c r="D527" s="401"/>
      <c r="E527" s="320"/>
      <c r="F527" s="321"/>
      <c r="G527" s="322"/>
      <c r="H527" s="401"/>
      <c r="I527" s="320"/>
      <c r="J527" s="321"/>
      <c r="K527" s="322"/>
      <c r="L527" s="401"/>
      <c r="M527" s="320"/>
      <c r="N527" s="321"/>
      <c r="O527" s="322"/>
      <c r="P527" s="401"/>
      <c r="Q527" s="203"/>
      <c r="R527" s="223"/>
      <c r="S527" s="404"/>
      <c r="T527" s="405"/>
      <c r="U527" s="203"/>
      <c r="V527" s="223"/>
      <c r="W527" s="404"/>
      <c r="X527" s="405"/>
      <c r="Y527" s="203"/>
      <c r="Z527" s="223"/>
      <c r="AA527" s="404"/>
      <c r="AB527" s="405"/>
      <c r="AC527" s="203"/>
      <c r="AD527" s="223"/>
      <c r="AE527" s="404"/>
      <c r="AF527" s="405"/>
      <c r="AG527" s="205"/>
      <c r="AH527" s="205"/>
      <c r="AI527" s="205"/>
      <c r="AJ527" s="205"/>
      <c r="AK527" s="401"/>
      <c r="AL527" s="401"/>
      <c r="AM527" s="401"/>
    </row>
    <row r="528">
      <c r="A528" s="320"/>
      <c r="B528" s="321"/>
      <c r="C528" s="322"/>
      <c r="D528" s="401"/>
      <c r="E528" s="320"/>
      <c r="F528" s="321"/>
      <c r="G528" s="322"/>
      <c r="H528" s="401"/>
      <c r="I528" s="320"/>
      <c r="J528" s="321"/>
      <c r="K528" s="322"/>
      <c r="L528" s="401"/>
      <c r="M528" s="320"/>
      <c r="N528" s="321"/>
      <c r="O528" s="322"/>
      <c r="P528" s="401"/>
      <c r="Q528" s="203"/>
      <c r="R528" s="223"/>
      <c r="S528" s="404"/>
      <c r="T528" s="405"/>
      <c r="U528" s="203"/>
      <c r="V528" s="223"/>
      <c r="W528" s="404"/>
      <c r="X528" s="405"/>
      <c r="Y528" s="203"/>
      <c r="Z528" s="223"/>
      <c r="AA528" s="404"/>
      <c r="AB528" s="405"/>
      <c r="AC528" s="203"/>
      <c r="AD528" s="223"/>
      <c r="AE528" s="404"/>
      <c r="AF528" s="405"/>
      <c r="AG528" s="205"/>
      <c r="AH528" s="205"/>
      <c r="AI528" s="205"/>
      <c r="AJ528" s="205"/>
      <c r="AK528" s="401"/>
      <c r="AL528" s="401"/>
      <c r="AM528" s="401"/>
    </row>
    <row r="529">
      <c r="A529" s="320"/>
      <c r="B529" s="321"/>
      <c r="C529" s="322"/>
      <c r="D529" s="401"/>
      <c r="E529" s="320"/>
      <c r="F529" s="321"/>
      <c r="G529" s="322"/>
      <c r="H529" s="401"/>
      <c r="I529" s="320"/>
      <c r="J529" s="321"/>
      <c r="K529" s="322"/>
      <c r="L529" s="401"/>
      <c r="M529" s="320"/>
      <c r="N529" s="321"/>
      <c r="O529" s="322"/>
      <c r="P529" s="401"/>
      <c r="Q529" s="203"/>
      <c r="R529" s="223"/>
      <c r="S529" s="404"/>
      <c r="T529" s="405"/>
      <c r="U529" s="203"/>
      <c r="V529" s="223"/>
      <c r="W529" s="404"/>
      <c r="X529" s="405"/>
      <c r="Y529" s="203"/>
      <c r="Z529" s="223"/>
      <c r="AA529" s="404"/>
      <c r="AB529" s="405"/>
      <c r="AC529" s="203"/>
      <c r="AD529" s="223"/>
      <c r="AE529" s="404"/>
      <c r="AF529" s="405"/>
      <c r="AG529" s="205"/>
      <c r="AH529" s="205"/>
      <c r="AI529" s="205"/>
      <c r="AJ529" s="205"/>
      <c r="AK529" s="401"/>
      <c r="AL529" s="401"/>
      <c r="AM529" s="401"/>
    </row>
    <row r="530">
      <c r="A530" s="320"/>
      <c r="B530" s="321"/>
      <c r="C530" s="322"/>
      <c r="D530" s="401"/>
      <c r="E530" s="320"/>
      <c r="F530" s="321"/>
      <c r="G530" s="322"/>
      <c r="H530" s="401"/>
      <c r="I530" s="320"/>
      <c r="J530" s="321"/>
      <c r="K530" s="322"/>
      <c r="L530" s="401"/>
      <c r="M530" s="320"/>
      <c r="N530" s="321"/>
      <c r="O530" s="322"/>
      <c r="P530" s="401"/>
      <c r="Q530" s="203"/>
      <c r="R530" s="223"/>
      <c r="S530" s="404"/>
      <c r="T530" s="405"/>
      <c r="U530" s="203"/>
      <c r="V530" s="223"/>
      <c r="W530" s="404"/>
      <c r="X530" s="405"/>
      <c r="Y530" s="203"/>
      <c r="Z530" s="223"/>
      <c r="AA530" s="404"/>
      <c r="AB530" s="405"/>
      <c r="AC530" s="203"/>
      <c r="AD530" s="223"/>
      <c r="AE530" s="404"/>
      <c r="AF530" s="405"/>
      <c r="AG530" s="205"/>
      <c r="AH530" s="205"/>
      <c r="AI530" s="205"/>
      <c r="AJ530" s="205"/>
      <c r="AK530" s="401"/>
      <c r="AL530" s="401"/>
      <c r="AM530" s="401"/>
    </row>
    <row r="531">
      <c r="A531" s="320"/>
      <c r="B531" s="321"/>
      <c r="C531" s="322"/>
      <c r="D531" s="401"/>
      <c r="E531" s="320"/>
      <c r="F531" s="321"/>
      <c r="G531" s="322"/>
      <c r="H531" s="401"/>
      <c r="I531" s="320"/>
      <c r="J531" s="321"/>
      <c r="K531" s="322"/>
      <c r="L531" s="401"/>
      <c r="M531" s="320"/>
      <c r="N531" s="321"/>
      <c r="O531" s="322"/>
      <c r="P531" s="401"/>
      <c r="Q531" s="203"/>
      <c r="R531" s="223"/>
      <c r="S531" s="404"/>
      <c r="T531" s="405"/>
      <c r="U531" s="203"/>
      <c r="V531" s="223"/>
      <c r="W531" s="404"/>
      <c r="X531" s="405"/>
      <c r="Y531" s="203"/>
      <c r="Z531" s="223"/>
      <c r="AA531" s="404"/>
      <c r="AB531" s="405"/>
      <c r="AC531" s="203"/>
      <c r="AD531" s="223"/>
      <c r="AE531" s="404"/>
      <c r="AF531" s="405"/>
      <c r="AG531" s="205"/>
      <c r="AH531" s="205"/>
      <c r="AI531" s="205"/>
      <c r="AJ531" s="205"/>
      <c r="AK531" s="401"/>
      <c r="AL531" s="401"/>
      <c r="AM531" s="401"/>
    </row>
    <row r="532">
      <c r="A532" s="320"/>
      <c r="B532" s="321"/>
      <c r="C532" s="322"/>
      <c r="D532" s="401"/>
      <c r="E532" s="320"/>
      <c r="F532" s="321"/>
      <c r="G532" s="322"/>
      <c r="H532" s="401"/>
      <c r="I532" s="320"/>
      <c r="J532" s="321"/>
      <c r="K532" s="322"/>
      <c r="L532" s="401"/>
      <c r="M532" s="320"/>
      <c r="N532" s="321"/>
      <c r="O532" s="322"/>
      <c r="P532" s="401"/>
      <c r="Q532" s="203"/>
      <c r="R532" s="223"/>
      <c r="S532" s="404"/>
      <c r="T532" s="405"/>
      <c r="U532" s="203"/>
      <c r="V532" s="223"/>
      <c r="W532" s="404"/>
      <c r="X532" s="405"/>
      <c r="Y532" s="203"/>
      <c r="Z532" s="223"/>
      <c r="AA532" s="404"/>
      <c r="AB532" s="405"/>
      <c r="AC532" s="203"/>
      <c r="AD532" s="223"/>
      <c r="AE532" s="404"/>
      <c r="AF532" s="405"/>
      <c r="AG532" s="205"/>
      <c r="AH532" s="205"/>
      <c r="AI532" s="205"/>
      <c r="AJ532" s="205"/>
      <c r="AK532" s="401"/>
      <c r="AL532" s="401"/>
      <c r="AM532" s="401"/>
    </row>
    <row r="533">
      <c r="A533" s="320"/>
      <c r="B533" s="321"/>
      <c r="C533" s="322"/>
      <c r="D533" s="401"/>
      <c r="E533" s="320"/>
      <c r="F533" s="321"/>
      <c r="G533" s="322"/>
      <c r="H533" s="401"/>
      <c r="I533" s="320"/>
      <c r="J533" s="321"/>
      <c r="K533" s="322"/>
      <c r="L533" s="401"/>
      <c r="M533" s="320"/>
      <c r="N533" s="321"/>
      <c r="O533" s="322"/>
      <c r="P533" s="401"/>
      <c r="Q533" s="203"/>
      <c r="R533" s="223"/>
      <c r="S533" s="404"/>
      <c r="T533" s="405"/>
      <c r="U533" s="203"/>
      <c r="V533" s="223"/>
      <c r="W533" s="404"/>
      <c r="X533" s="405"/>
      <c r="Y533" s="203"/>
      <c r="Z533" s="223"/>
      <c r="AA533" s="404"/>
      <c r="AB533" s="405"/>
      <c r="AC533" s="203"/>
      <c r="AD533" s="223"/>
      <c r="AE533" s="404"/>
      <c r="AF533" s="405"/>
      <c r="AG533" s="205"/>
      <c r="AH533" s="205"/>
      <c r="AI533" s="205"/>
      <c r="AJ533" s="205"/>
      <c r="AK533" s="401"/>
      <c r="AL533" s="401"/>
      <c r="AM533" s="401"/>
    </row>
    <row r="534">
      <c r="A534" s="320"/>
      <c r="B534" s="321"/>
      <c r="C534" s="322"/>
      <c r="D534" s="401"/>
      <c r="E534" s="320"/>
      <c r="F534" s="321"/>
      <c r="G534" s="322"/>
      <c r="H534" s="401"/>
      <c r="I534" s="320"/>
      <c r="J534" s="321"/>
      <c r="K534" s="322"/>
      <c r="L534" s="401"/>
      <c r="M534" s="320"/>
      <c r="N534" s="321"/>
      <c r="O534" s="322"/>
      <c r="P534" s="401"/>
      <c r="Q534" s="203"/>
      <c r="R534" s="223"/>
      <c r="S534" s="404"/>
      <c r="T534" s="405"/>
      <c r="U534" s="203"/>
      <c r="V534" s="223"/>
      <c r="W534" s="404"/>
      <c r="X534" s="405"/>
      <c r="Y534" s="203"/>
      <c r="Z534" s="223"/>
      <c r="AA534" s="404"/>
      <c r="AB534" s="405"/>
      <c r="AC534" s="203"/>
      <c r="AD534" s="223"/>
      <c r="AE534" s="404"/>
      <c r="AF534" s="405"/>
      <c r="AG534" s="205"/>
      <c r="AH534" s="205"/>
      <c r="AI534" s="205"/>
      <c r="AJ534" s="205"/>
      <c r="AK534" s="401"/>
      <c r="AL534" s="401"/>
      <c r="AM534" s="401"/>
    </row>
    <row r="535">
      <c r="A535" s="320"/>
      <c r="B535" s="321"/>
      <c r="C535" s="322"/>
      <c r="D535" s="401"/>
      <c r="E535" s="320"/>
      <c r="F535" s="321"/>
      <c r="G535" s="322"/>
      <c r="H535" s="401"/>
      <c r="I535" s="320"/>
      <c r="J535" s="321"/>
      <c r="K535" s="322"/>
      <c r="L535" s="401"/>
      <c r="M535" s="320"/>
      <c r="N535" s="321"/>
      <c r="O535" s="322"/>
      <c r="P535" s="401"/>
      <c r="Q535" s="203"/>
      <c r="R535" s="223"/>
      <c r="S535" s="404"/>
      <c r="T535" s="405"/>
      <c r="U535" s="203"/>
      <c r="V535" s="223"/>
      <c r="W535" s="404"/>
      <c r="X535" s="405"/>
      <c r="Y535" s="203"/>
      <c r="Z535" s="223"/>
      <c r="AA535" s="404"/>
      <c r="AB535" s="405"/>
      <c r="AC535" s="203"/>
      <c r="AD535" s="223"/>
      <c r="AE535" s="404"/>
      <c r="AF535" s="405"/>
      <c r="AG535" s="205"/>
      <c r="AH535" s="205"/>
      <c r="AI535" s="205"/>
      <c r="AJ535" s="205"/>
      <c r="AK535" s="401"/>
      <c r="AL535" s="401"/>
      <c r="AM535" s="401"/>
    </row>
    <row r="536">
      <c r="A536" s="320"/>
      <c r="B536" s="321"/>
      <c r="C536" s="322"/>
      <c r="D536" s="401"/>
      <c r="E536" s="320"/>
      <c r="F536" s="321"/>
      <c r="G536" s="322"/>
      <c r="H536" s="401"/>
      <c r="I536" s="320"/>
      <c r="J536" s="321"/>
      <c r="K536" s="322"/>
      <c r="L536" s="401"/>
      <c r="M536" s="320"/>
      <c r="N536" s="321"/>
      <c r="O536" s="322"/>
      <c r="P536" s="401"/>
      <c r="Q536" s="203"/>
      <c r="R536" s="223"/>
      <c r="S536" s="404"/>
      <c r="T536" s="405"/>
      <c r="U536" s="203"/>
      <c r="V536" s="223"/>
      <c r="W536" s="404"/>
      <c r="X536" s="405"/>
      <c r="Y536" s="203"/>
      <c r="Z536" s="223"/>
      <c r="AA536" s="404"/>
      <c r="AB536" s="405"/>
      <c r="AC536" s="203"/>
      <c r="AD536" s="223"/>
      <c r="AE536" s="404"/>
      <c r="AF536" s="405"/>
      <c r="AG536" s="205"/>
      <c r="AH536" s="205"/>
      <c r="AI536" s="205"/>
      <c r="AJ536" s="205"/>
      <c r="AK536" s="401"/>
      <c r="AL536" s="401"/>
      <c r="AM536" s="401"/>
    </row>
    <row r="537">
      <c r="A537" s="320"/>
      <c r="B537" s="321"/>
      <c r="C537" s="322"/>
      <c r="D537" s="401"/>
      <c r="E537" s="320"/>
      <c r="F537" s="321"/>
      <c r="G537" s="322"/>
      <c r="H537" s="401"/>
      <c r="I537" s="320"/>
      <c r="J537" s="321"/>
      <c r="K537" s="322"/>
      <c r="L537" s="401"/>
      <c r="M537" s="320"/>
      <c r="N537" s="321"/>
      <c r="O537" s="322"/>
      <c r="P537" s="401"/>
      <c r="Q537" s="203"/>
      <c r="R537" s="223"/>
      <c r="S537" s="404"/>
      <c r="T537" s="405"/>
      <c r="U537" s="203"/>
      <c r="V537" s="223"/>
      <c r="W537" s="404"/>
      <c r="X537" s="405"/>
      <c r="Y537" s="203"/>
      <c r="Z537" s="223"/>
      <c r="AA537" s="404"/>
      <c r="AB537" s="405"/>
      <c r="AC537" s="203"/>
      <c r="AD537" s="223"/>
      <c r="AE537" s="404"/>
      <c r="AF537" s="405"/>
      <c r="AG537" s="205"/>
      <c r="AH537" s="205"/>
      <c r="AI537" s="205"/>
      <c r="AJ537" s="205"/>
      <c r="AK537" s="401"/>
      <c r="AL537" s="401"/>
      <c r="AM537" s="401"/>
    </row>
    <row r="538">
      <c r="A538" s="320"/>
      <c r="B538" s="321"/>
      <c r="C538" s="322"/>
      <c r="D538" s="401"/>
      <c r="E538" s="320"/>
      <c r="F538" s="321"/>
      <c r="G538" s="322"/>
      <c r="H538" s="401"/>
      <c r="I538" s="320"/>
      <c r="J538" s="321"/>
      <c r="K538" s="322"/>
      <c r="L538" s="401"/>
      <c r="M538" s="320"/>
      <c r="N538" s="321"/>
      <c r="O538" s="322"/>
      <c r="P538" s="401"/>
      <c r="Q538" s="203"/>
      <c r="R538" s="223"/>
      <c r="S538" s="404"/>
      <c r="T538" s="405"/>
      <c r="U538" s="203"/>
      <c r="V538" s="223"/>
      <c r="W538" s="404"/>
      <c r="X538" s="405"/>
      <c r="Y538" s="203"/>
      <c r="Z538" s="223"/>
      <c r="AA538" s="404"/>
      <c r="AB538" s="405"/>
      <c r="AC538" s="203"/>
      <c r="AD538" s="223"/>
      <c r="AE538" s="404"/>
      <c r="AF538" s="405"/>
      <c r="AG538" s="205"/>
      <c r="AH538" s="205"/>
      <c r="AI538" s="205"/>
      <c r="AJ538" s="205"/>
      <c r="AK538" s="401"/>
      <c r="AL538" s="401"/>
      <c r="AM538" s="401"/>
    </row>
    <row r="539">
      <c r="A539" s="320"/>
      <c r="B539" s="321"/>
      <c r="C539" s="322"/>
      <c r="D539" s="401"/>
      <c r="E539" s="320"/>
      <c r="F539" s="321"/>
      <c r="G539" s="322"/>
      <c r="H539" s="401"/>
      <c r="I539" s="320"/>
      <c r="J539" s="321"/>
      <c r="K539" s="322"/>
      <c r="L539" s="401"/>
      <c r="M539" s="320"/>
      <c r="N539" s="321"/>
      <c r="O539" s="322"/>
      <c r="P539" s="401"/>
      <c r="Q539" s="203"/>
      <c r="R539" s="223"/>
      <c r="S539" s="404"/>
      <c r="T539" s="405"/>
      <c r="U539" s="203"/>
      <c r="V539" s="223"/>
      <c r="W539" s="404"/>
      <c r="X539" s="405"/>
      <c r="Y539" s="203"/>
      <c r="Z539" s="223"/>
      <c r="AA539" s="404"/>
      <c r="AB539" s="405"/>
      <c r="AC539" s="203"/>
      <c r="AD539" s="223"/>
      <c r="AE539" s="404"/>
      <c r="AF539" s="405"/>
      <c r="AG539" s="205"/>
      <c r="AH539" s="205"/>
      <c r="AI539" s="205"/>
      <c r="AJ539" s="205"/>
      <c r="AK539" s="401"/>
      <c r="AL539" s="401"/>
      <c r="AM539" s="401"/>
    </row>
    <row r="540">
      <c r="A540" s="320"/>
      <c r="B540" s="321"/>
      <c r="C540" s="322"/>
      <c r="D540" s="401"/>
      <c r="E540" s="320"/>
      <c r="F540" s="321"/>
      <c r="G540" s="322"/>
      <c r="H540" s="401"/>
      <c r="I540" s="320"/>
      <c r="J540" s="321"/>
      <c r="K540" s="322"/>
      <c r="L540" s="401"/>
      <c r="M540" s="320"/>
      <c r="N540" s="321"/>
      <c r="O540" s="322"/>
      <c r="P540" s="401"/>
      <c r="Q540" s="203"/>
      <c r="R540" s="223"/>
      <c r="S540" s="404"/>
      <c r="T540" s="405"/>
      <c r="U540" s="203"/>
      <c r="V540" s="223"/>
      <c r="W540" s="404"/>
      <c r="X540" s="405"/>
      <c r="Y540" s="203"/>
      <c r="Z540" s="223"/>
      <c r="AA540" s="404"/>
      <c r="AB540" s="405"/>
      <c r="AC540" s="203"/>
      <c r="AD540" s="223"/>
      <c r="AE540" s="404"/>
      <c r="AF540" s="405"/>
      <c r="AG540" s="205"/>
      <c r="AH540" s="205"/>
      <c r="AI540" s="205"/>
      <c r="AJ540" s="205"/>
      <c r="AK540" s="401"/>
      <c r="AL540" s="401"/>
      <c r="AM540" s="401"/>
    </row>
    <row r="541">
      <c r="A541" s="320"/>
      <c r="B541" s="321"/>
      <c r="C541" s="322"/>
      <c r="D541" s="401"/>
      <c r="E541" s="320"/>
      <c r="F541" s="321"/>
      <c r="G541" s="322"/>
      <c r="H541" s="401"/>
      <c r="I541" s="320"/>
      <c r="J541" s="321"/>
      <c r="K541" s="322"/>
      <c r="L541" s="401"/>
      <c r="M541" s="320"/>
      <c r="N541" s="321"/>
      <c r="O541" s="322"/>
      <c r="P541" s="401"/>
      <c r="Q541" s="203"/>
      <c r="R541" s="223"/>
      <c r="S541" s="404"/>
      <c r="T541" s="405"/>
      <c r="U541" s="203"/>
      <c r="V541" s="223"/>
      <c r="W541" s="404"/>
      <c r="X541" s="405"/>
      <c r="Y541" s="203"/>
      <c r="Z541" s="223"/>
      <c r="AA541" s="404"/>
      <c r="AB541" s="405"/>
      <c r="AC541" s="203"/>
      <c r="AD541" s="223"/>
      <c r="AE541" s="404"/>
      <c r="AF541" s="405"/>
      <c r="AG541" s="205"/>
      <c r="AH541" s="205"/>
      <c r="AI541" s="205"/>
      <c r="AJ541" s="205"/>
      <c r="AK541" s="401"/>
      <c r="AL541" s="401"/>
      <c r="AM541" s="401"/>
    </row>
    <row r="542">
      <c r="A542" s="320"/>
      <c r="B542" s="321"/>
      <c r="C542" s="322"/>
      <c r="D542" s="401"/>
      <c r="E542" s="320"/>
      <c r="F542" s="321"/>
      <c r="G542" s="322"/>
      <c r="H542" s="401"/>
      <c r="I542" s="320"/>
      <c r="J542" s="321"/>
      <c r="K542" s="322"/>
      <c r="L542" s="401"/>
      <c r="M542" s="320"/>
      <c r="N542" s="321"/>
      <c r="O542" s="322"/>
      <c r="P542" s="401"/>
      <c r="Q542" s="203"/>
      <c r="R542" s="223"/>
      <c r="S542" s="404"/>
      <c r="T542" s="405"/>
      <c r="U542" s="203"/>
      <c r="V542" s="223"/>
      <c r="W542" s="404"/>
      <c r="X542" s="405"/>
      <c r="Y542" s="203"/>
      <c r="Z542" s="223"/>
      <c r="AA542" s="404"/>
      <c r="AB542" s="405"/>
      <c r="AC542" s="203"/>
      <c r="AD542" s="223"/>
      <c r="AE542" s="404"/>
      <c r="AF542" s="405"/>
      <c r="AG542" s="205"/>
      <c r="AH542" s="205"/>
      <c r="AI542" s="205"/>
      <c r="AJ542" s="205"/>
      <c r="AK542" s="401"/>
      <c r="AL542" s="401"/>
      <c r="AM542" s="401"/>
    </row>
    <row r="543">
      <c r="A543" s="320"/>
      <c r="B543" s="321"/>
      <c r="C543" s="322"/>
      <c r="D543" s="401"/>
      <c r="E543" s="320"/>
      <c r="F543" s="321"/>
      <c r="G543" s="322"/>
      <c r="H543" s="401"/>
      <c r="I543" s="320"/>
      <c r="J543" s="321"/>
      <c r="K543" s="322"/>
      <c r="L543" s="401"/>
      <c r="M543" s="320"/>
      <c r="N543" s="321"/>
      <c r="O543" s="322"/>
      <c r="P543" s="401"/>
      <c r="Q543" s="203"/>
      <c r="R543" s="223"/>
      <c r="S543" s="404"/>
      <c r="T543" s="405"/>
      <c r="U543" s="203"/>
      <c r="V543" s="223"/>
      <c r="W543" s="404"/>
      <c r="X543" s="405"/>
      <c r="Y543" s="203"/>
      <c r="Z543" s="223"/>
      <c r="AA543" s="404"/>
      <c r="AB543" s="405"/>
      <c r="AC543" s="203"/>
      <c r="AD543" s="223"/>
      <c r="AE543" s="404"/>
      <c r="AF543" s="405"/>
      <c r="AG543" s="205"/>
      <c r="AH543" s="205"/>
      <c r="AI543" s="205"/>
      <c r="AJ543" s="205"/>
      <c r="AK543" s="401"/>
      <c r="AL543" s="401"/>
      <c r="AM543" s="401"/>
    </row>
    <row r="544">
      <c r="A544" s="320"/>
      <c r="B544" s="321"/>
      <c r="C544" s="322"/>
      <c r="D544" s="401"/>
      <c r="E544" s="320"/>
      <c r="F544" s="321"/>
      <c r="G544" s="322"/>
      <c r="H544" s="401"/>
      <c r="I544" s="320"/>
      <c r="J544" s="321"/>
      <c r="K544" s="322"/>
      <c r="L544" s="401"/>
      <c r="M544" s="320"/>
      <c r="N544" s="321"/>
      <c r="O544" s="322"/>
      <c r="P544" s="401"/>
      <c r="Q544" s="203"/>
      <c r="R544" s="223"/>
      <c r="S544" s="404"/>
      <c r="T544" s="405"/>
      <c r="U544" s="203"/>
      <c r="V544" s="223"/>
      <c r="W544" s="404"/>
      <c r="X544" s="405"/>
      <c r="Y544" s="203"/>
      <c r="Z544" s="223"/>
      <c r="AA544" s="404"/>
      <c r="AB544" s="405"/>
      <c r="AC544" s="203"/>
      <c r="AD544" s="223"/>
      <c r="AE544" s="404"/>
      <c r="AF544" s="405"/>
      <c r="AG544" s="205"/>
      <c r="AH544" s="205"/>
      <c r="AI544" s="205"/>
      <c r="AJ544" s="205"/>
      <c r="AK544" s="401"/>
      <c r="AL544" s="401"/>
      <c r="AM544" s="401"/>
    </row>
    <row r="545">
      <c r="A545" s="320"/>
      <c r="B545" s="321"/>
      <c r="C545" s="322"/>
      <c r="D545" s="401"/>
      <c r="E545" s="320"/>
      <c r="F545" s="321"/>
      <c r="G545" s="322"/>
      <c r="H545" s="401"/>
      <c r="I545" s="320"/>
      <c r="J545" s="321"/>
      <c r="K545" s="322"/>
      <c r="L545" s="401"/>
      <c r="M545" s="320"/>
      <c r="N545" s="321"/>
      <c r="O545" s="322"/>
      <c r="P545" s="401"/>
      <c r="Q545" s="203"/>
      <c r="R545" s="223"/>
      <c r="S545" s="404"/>
      <c r="T545" s="405"/>
      <c r="U545" s="203"/>
      <c r="V545" s="223"/>
      <c r="W545" s="404"/>
      <c r="X545" s="405"/>
      <c r="Y545" s="203"/>
      <c r="Z545" s="223"/>
      <c r="AA545" s="404"/>
      <c r="AB545" s="405"/>
      <c r="AC545" s="203"/>
      <c r="AD545" s="223"/>
      <c r="AE545" s="404"/>
      <c r="AF545" s="405"/>
      <c r="AG545" s="205"/>
      <c r="AH545" s="205"/>
      <c r="AI545" s="205"/>
      <c r="AJ545" s="205"/>
      <c r="AK545" s="401"/>
      <c r="AL545" s="401"/>
      <c r="AM545" s="401"/>
    </row>
    <row r="546">
      <c r="A546" s="320"/>
      <c r="B546" s="321"/>
      <c r="C546" s="322"/>
      <c r="D546" s="401"/>
      <c r="E546" s="320"/>
      <c r="F546" s="321"/>
      <c r="G546" s="322"/>
      <c r="H546" s="401"/>
      <c r="I546" s="320"/>
      <c r="J546" s="321"/>
      <c r="K546" s="322"/>
      <c r="L546" s="401"/>
      <c r="M546" s="320"/>
      <c r="N546" s="321"/>
      <c r="O546" s="322"/>
      <c r="P546" s="401"/>
      <c r="Q546" s="203"/>
      <c r="R546" s="223"/>
      <c r="S546" s="404"/>
      <c r="T546" s="405"/>
      <c r="U546" s="203"/>
      <c r="V546" s="223"/>
      <c r="W546" s="404"/>
      <c r="X546" s="405"/>
      <c r="Y546" s="203"/>
      <c r="Z546" s="223"/>
      <c r="AA546" s="404"/>
      <c r="AB546" s="405"/>
      <c r="AC546" s="203"/>
      <c r="AD546" s="223"/>
      <c r="AE546" s="404"/>
      <c r="AF546" s="405"/>
      <c r="AG546" s="205"/>
      <c r="AH546" s="205"/>
      <c r="AI546" s="205"/>
      <c r="AJ546" s="205"/>
      <c r="AK546" s="401"/>
      <c r="AL546" s="401"/>
      <c r="AM546" s="401"/>
    </row>
    <row r="547">
      <c r="A547" s="320"/>
      <c r="B547" s="321"/>
      <c r="C547" s="322"/>
      <c r="D547" s="401"/>
      <c r="E547" s="320"/>
      <c r="F547" s="321"/>
      <c r="G547" s="322"/>
      <c r="H547" s="401"/>
      <c r="I547" s="320"/>
      <c r="J547" s="321"/>
      <c r="K547" s="322"/>
      <c r="L547" s="401"/>
      <c r="M547" s="320"/>
      <c r="N547" s="321"/>
      <c r="O547" s="322"/>
      <c r="P547" s="401"/>
      <c r="Q547" s="203"/>
      <c r="R547" s="223"/>
      <c r="S547" s="404"/>
      <c r="T547" s="405"/>
      <c r="U547" s="203"/>
      <c r="V547" s="223"/>
      <c r="W547" s="404"/>
      <c r="X547" s="405"/>
      <c r="Y547" s="203"/>
      <c r="Z547" s="223"/>
      <c r="AA547" s="404"/>
      <c r="AB547" s="405"/>
      <c r="AC547" s="203"/>
      <c r="AD547" s="223"/>
      <c r="AE547" s="404"/>
      <c r="AF547" s="405"/>
      <c r="AG547" s="205"/>
      <c r="AH547" s="205"/>
      <c r="AI547" s="205"/>
      <c r="AJ547" s="205"/>
      <c r="AK547" s="401"/>
      <c r="AL547" s="401"/>
      <c r="AM547" s="401"/>
    </row>
    <row r="548">
      <c r="A548" s="320"/>
      <c r="B548" s="321"/>
      <c r="C548" s="322"/>
      <c r="D548" s="401"/>
      <c r="E548" s="320"/>
      <c r="F548" s="321"/>
      <c r="G548" s="322"/>
      <c r="H548" s="401"/>
      <c r="I548" s="320"/>
      <c r="J548" s="321"/>
      <c r="K548" s="322"/>
      <c r="L548" s="401"/>
      <c r="M548" s="320"/>
      <c r="N548" s="321"/>
      <c r="O548" s="322"/>
      <c r="P548" s="401"/>
      <c r="Q548" s="203"/>
      <c r="R548" s="223"/>
      <c r="S548" s="404"/>
      <c r="T548" s="405"/>
      <c r="U548" s="203"/>
      <c r="V548" s="223"/>
      <c r="W548" s="404"/>
      <c r="X548" s="405"/>
      <c r="Y548" s="203"/>
      <c r="Z548" s="223"/>
      <c r="AA548" s="404"/>
      <c r="AB548" s="405"/>
      <c r="AC548" s="203"/>
      <c r="AD548" s="223"/>
      <c r="AE548" s="404"/>
      <c r="AF548" s="405"/>
      <c r="AG548" s="205"/>
      <c r="AH548" s="205"/>
      <c r="AI548" s="205"/>
      <c r="AJ548" s="205"/>
      <c r="AK548" s="401"/>
      <c r="AL548" s="401"/>
      <c r="AM548" s="401"/>
    </row>
    <row r="549">
      <c r="A549" s="320"/>
      <c r="B549" s="321"/>
      <c r="C549" s="322"/>
      <c r="D549" s="401"/>
      <c r="E549" s="320"/>
      <c r="F549" s="321"/>
      <c r="G549" s="322"/>
      <c r="H549" s="401"/>
      <c r="I549" s="320"/>
      <c r="J549" s="321"/>
      <c r="K549" s="322"/>
      <c r="L549" s="401"/>
      <c r="M549" s="320"/>
      <c r="N549" s="321"/>
      <c r="O549" s="322"/>
      <c r="P549" s="401"/>
      <c r="Q549" s="203"/>
      <c r="R549" s="223"/>
      <c r="S549" s="404"/>
      <c r="T549" s="405"/>
      <c r="U549" s="203"/>
      <c r="V549" s="223"/>
      <c r="W549" s="404"/>
      <c r="X549" s="405"/>
      <c r="Y549" s="203"/>
      <c r="Z549" s="223"/>
      <c r="AA549" s="404"/>
      <c r="AB549" s="405"/>
      <c r="AC549" s="203"/>
      <c r="AD549" s="223"/>
      <c r="AE549" s="404"/>
      <c r="AF549" s="405"/>
      <c r="AG549" s="205"/>
      <c r="AH549" s="205"/>
      <c r="AI549" s="205"/>
      <c r="AJ549" s="205"/>
      <c r="AK549" s="401"/>
      <c r="AL549" s="401"/>
      <c r="AM549" s="401"/>
    </row>
    <row r="550">
      <c r="A550" s="320"/>
      <c r="B550" s="321"/>
      <c r="C550" s="322"/>
      <c r="D550" s="401"/>
      <c r="E550" s="320"/>
      <c r="F550" s="321"/>
      <c r="G550" s="322"/>
      <c r="H550" s="401"/>
      <c r="I550" s="320"/>
      <c r="J550" s="321"/>
      <c r="K550" s="322"/>
      <c r="L550" s="401"/>
      <c r="M550" s="320"/>
      <c r="N550" s="321"/>
      <c r="O550" s="322"/>
      <c r="P550" s="401"/>
      <c r="Q550" s="203"/>
      <c r="R550" s="223"/>
      <c r="S550" s="404"/>
      <c r="T550" s="405"/>
      <c r="U550" s="203"/>
      <c r="V550" s="223"/>
      <c r="W550" s="404"/>
      <c r="X550" s="405"/>
      <c r="Y550" s="203"/>
      <c r="Z550" s="223"/>
      <c r="AA550" s="404"/>
      <c r="AB550" s="405"/>
      <c r="AC550" s="203"/>
      <c r="AD550" s="223"/>
      <c r="AE550" s="404"/>
      <c r="AF550" s="405"/>
      <c r="AG550" s="205"/>
      <c r="AH550" s="205"/>
      <c r="AI550" s="205"/>
      <c r="AJ550" s="205"/>
      <c r="AK550" s="401"/>
      <c r="AL550" s="401"/>
      <c r="AM550" s="401"/>
    </row>
    <row r="551">
      <c r="A551" s="320"/>
      <c r="B551" s="321"/>
      <c r="C551" s="322"/>
      <c r="D551" s="401"/>
      <c r="E551" s="320"/>
      <c r="F551" s="321"/>
      <c r="G551" s="322"/>
      <c r="H551" s="401"/>
      <c r="I551" s="320"/>
      <c r="J551" s="321"/>
      <c r="K551" s="322"/>
      <c r="L551" s="401"/>
      <c r="M551" s="320"/>
      <c r="N551" s="321"/>
      <c r="O551" s="322"/>
      <c r="P551" s="401"/>
      <c r="Q551" s="203"/>
      <c r="R551" s="223"/>
      <c r="S551" s="404"/>
      <c r="T551" s="405"/>
      <c r="U551" s="203"/>
      <c r="V551" s="223"/>
      <c r="W551" s="404"/>
      <c r="X551" s="405"/>
      <c r="Y551" s="203"/>
      <c r="Z551" s="223"/>
      <c r="AA551" s="404"/>
      <c r="AB551" s="405"/>
      <c r="AC551" s="203"/>
      <c r="AD551" s="223"/>
      <c r="AE551" s="404"/>
      <c r="AF551" s="405"/>
      <c r="AG551" s="205"/>
      <c r="AH551" s="205"/>
      <c r="AI551" s="205"/>
      <c r="AJ551" s="205"/>
      <c r="AK551" s="401"/>
      <c r="AL551" s="401"/>
      <c r="AM551" s="401"/>
    </row>
    <row r="552">
      <c r="A552" s="320"/>
      <c r="B552" s="321"/>
      <c r="C552" s="322"/>
      <c r="D552" s="401"/>
      <c r="E552" s="320"/>
      <c r="F552" s="321"/>
      <c r="G552" s="322"/>
      <c r="H552" s="401"/>
      <c r="I552" s="320"/>
      <c r="J552" s="321"/>
      <c r="K552" s="322"/>
      <c r="L552" s="401"/>
      <c r="M552" s="320"/>
      <c r="N552" s="321"/>
      <c r="O552" s="322"/>
      <c r="P552" s="401"/>
      <c r="Q552" s="203"/>
      <c r="R552" s="223"/>
      <c r="S552" s="404"/>
      <c r="T552" s="405"/>
      <c r="U552" s="203"/>
      <c r="V552" s="223"/>
      <c r="W552" s="404"/>
      <c r="X552" s="405"/>
      <c r="Y552" s="203"/>
      <c r="Z552" s="223"/>
      <c r="AA552" s="404"/>
      <c r="AB552" s="405"/>
      <c r="AC552" s="203"/>
      <c r="AD552" s="223"/>
      <c r="AE552" s="404"/>
      <c r="AF552" s="405"/>
      <c r="AG552" s="205"/>
      <c r="AH552" s="205"/>
      <c r="AI552" s="205"/>
      <c r="AJ552" s="205"/>
      <c r="AK552" s="401"/>
      <c r="AL552" s="401"/>
      <c r="AM552" s="401"/>
    </row>
    <row r="553">
      <c r="A553" s="320"/>
      <c r="B553" s="321"/>
      <c r="C553" s="322"/>
      <c r="D553" s="401"/>
      <c r="E553" s="320"/>
      <c r="F553" s="321"/>
      <c r="G553" s="322"/>
      <c r="H553" s="401"/>
      <c r="I553" s="320"/>
      <c r="J553" s="321"/>
      <c r="K553" s="322"/>
      <c r="L553" s="401"/>
      <c r="M553" s="320"/>
      <c r="N553" s="321"/>
      <c r="O553" s="322"/>
      <c r="P553" s="401"/>
      <c r="Q553" s="203"/>
      <c r="R553" s="223"/>
      <c r="S553" s="404"/>
      <c r="T553" s="405"/>
      <c r="U553" s="203"/>
      <c r="V553" s="223"/>
      <c r="W553" s="404"/>
      <c r="X553" s="405"/>
      <c r="Y553" s="203"/>
      <c r="Z553" s="223"/>
      <c r="AA553" s="404"/>
      <c r="AB553" s="405"/>
      <c r="AC553" s="203"/>
      <c r="AD553" s="223"/>
      <c r="AE553" s="404"/>
      <c r="AF553" s="405"/>
      <c r="AG553" s="205"/>
      <c r="AH553" s="205"/>
      <c r="AI553" s="205"/>
      <c r="AJ553" s="205"/>
      <c r="AK553" s="401"/>
      <c r="AL553" s="401"/>
      <c r="AM553" s="401"/>
    </row>
    <row r="554">
      <c r="A554" s="320"/>
      <c r="B554" s="321"/>
      <c r="C554" s="322"/>
      <c r="D554" s="401"/>
      <c r="E554" s="320"/>
      <c r="F554" s="321"/>
      <c r="G554" s="322"/>
      <c r="H554" s="401"/>
      <c r="I554" s="320"/>
      <c r="J554" s="321"/>
      <c r="K554" s="322"/>
      <c r="L554" s="401"/>
      <c r="M554" s="320"/>
      <c r="N554" s="321"/>
      <c r="O554" s="322"/>
      <c r="P554" s="401"/>
      <c r="Q554" s="203"/>
      <c r="R554" s="223"/>
      <c r="S554" s="404"/>
      <c r="T554" s="405"/>
      <c r="U554" s="203"/>
      <c r="V554" s="223"/>
      <c r="W554" s="404"/>
      <c r="X554" s="405"/>
      <c r="Y554" s="203"/>
      <c r="Z554" s="223"/>
      <c r="AA554" s="404"/>
      <c r="AB554" s="405"/>
      <c r="AC554" s="203"/>
      <c r="AD554" s="223"/>
      <c r="AE554" s="404"/>
      <c r="AF554" s="405"/>
      <c r="AG554" s="205"/>
      <c r="AH554" s="205"/>
      <c r="AI554" s="205"/>
      <c r="AJ554" s="205"/>
      <c r="AK554" s="401"/>
      <c r="AL554" s="401"/>
      <c r="AM554" s="401"/>
    </row>
    <row r="555">
      <c r="A555" s="320"/>
      <c r="B555" s="321"/>
      <c r="C555" s="322"/>
      <c r="D555" s="401"/>
      <c r="E555" s="320"/>
      <c r="F555" s="321"/>
      <c r="G555" s="322"/>
      <c r="H555" s="401"/>
      <c r="I555" s="320"/>
      <c r="J555" s="321"/>
      <c r="K555" s="322"/>
      <c r="L555" s="401"/>
      <c r="M555" s="320"/>
      <c r="N555" s="321"/>
      <c r="O555" s="322"/>
      <c r="P555" s="401"/>
      <c r="Q555" s="203"/>
      <c r="R555" s="223"/>
      <c r="S555" s="404"/>
      <c r="T555" s="405"/>
      <c r="U555" s="203"/>
      <c r="V555" s="223"/>
      <c r="W555" s="404"/>
      <c r="X555" s="405"/>
      <c r="Y555" s="203"/>
      <c r="Z555" s="223"/>
      <c r="AA555" s="404"/>
      <c r="AB555" s="405"/>
      <c r="AC555" s="203"/>
      <c r="AD555" s="223"/>
      <c r="AE555" s="404"/>
      <c r="AF555" s="405"/>
      <c r="AG555" s="205"/>
      <c r="AH555" s="205"/>
      <c r="AI555" s="205"/>
      <c r="AJ555" s="205"/>
      <c r="AK555" s="401"/>
      <c r="AL555" s="401"/>
      <c r="AM555" s="401"/>
    </row>
    <row r="556">
      <c r="A556" s="320"/>
      <c r="B556" s="321"/>
      <c r="C556" s="322"/>
      <c r="D556" s="401"/>
      <c r="E556" s="320"/>
      <c r="F556" s="321"/>
      <c r="G556" s="322"/>
      <c r="H556" s="401"/>
      <c r="I556" s="320"/>
      <c r="J556" s="321"/>
      <c r="K556" s="322"/>
      <c r="L556" s="401"/>
      <c r="M556" s="320"/>
      <c r="N556" s="321"/>
      <c r="O556" s="322"/>
      <c r="P556" s="401"/>
      <c r="Q556" s="203"/>
      <c r="R556" s="223"/>
      <c r="S556" s="404"/>
      <c r="T556" s="405"/>
      <c r="U556" s="203"/>
      <c r="V556" s="223"/>
      <c r="W556" s="404"/>
      <c r="X556" s="405"/>
      <c r="Y556" s="203"/>
      <c r="Z556" s="223"/>
      <c r="AA556" s="404"/>
      <c r="AB556" s="405"/>
      <c r="AC556" s="203"/>
      <c r="AD556" s="223"/>
      <c r="AE556" s="404"/>
      <c r="AF556" s="405"/>
      <c r="AG556" s="205"/>
      <c r="AH556" s="205"/>
      <c r="AI556" s="205"/>
      <c r="AJ556" s="205"/>
      <c r="AK556" s="401"/>
      <c r="AL556" s="401"/>
      <c r="AM556" s="401"/>
    </row>
    <row r="557">
      <c r="A557" s="320"/>
      <c r="B557" s="321"/>
      <c r="C557" s="322"/>
      <c r="D557" s="401"/>
      <c r="E557" s="320"/>
      <c r="F557" s="321"/>
      <c r="G557" s="322"/>
      <c r="H557" s="401"/>
      <c r="I557" s="320"/>
      <c r="J557" s="321"/>
      <c r="K557" s="322"/>
      <c r="L557" s="401"/>
      <c r="M557" s="320"/>
      <c r="N557" s="321"/>
      <c r="O557" s="322"/>
      <c r="P557" s="401"/>
      <c r="Q557" s="203"/>
      <c r="R557" s="223"/>
      <c r="S557" s="404"/>
      <c r="T557" s="405"/>
      <c r="U557" s="203"/>
      <c r="V557" s="223"/>
      <c r="W557" s="404"/>
      <c r="X557" s="405"/>
      <c r="Y557" s="203"/>
      <c r="Z557" s="223"/>
      <c r="AA557" s="404"/>
      <c r="AB557" s="405"/>
      <c r="AC557" s="203"/>
      <c r="AD557" s="223"/>
      <c r="AE557" s="404"/>
      <c r="AF557" s="405"/>
      <c r="AG557" s="205"/>
      <c r="AH557" s="205"/>
      <c r="AI557" s="205"/>
      <c r="AJ557" s="205"/>
      <c r="AK557" s="401"/>
      <c r="AL557" s="401"/>
      <c r="AM557" s="401"/>
    </row>
    <row r="558">
      <c r="A558" s="320"/>
      <c r="B558" s="321"/>
      <c r="C558" s="322"/>
      <c r="D558" s="401"/>
      <c r="E558" s="320"/>
      <c r="F558" s="321"/>
      <c r="G558" s="322"/>
      <c r="H558" s="401"/>
      <c r="I558" s="320"/>
      <c r="J558" s="321"/>
      <c r="K558" s="322"/>
      <c r="L558" s="401"/>
      <c r="M558" s="320"/>
      <c r="N558" s="321"/>
      <c r="O558" s="322"/>
      <c r="P558" s="401"/>
      <c r="Q558" s="203"/>
      <c r="R558" s="223"/>
      <c r="S558" s="404"/>
      <c r="T558" s="405"/>
      <c r="U558" s="203"/>
      <c r="V558" s="223"/>
      <c r="W558" s="404"/>
      <c r="X558" s="405"/>
      <c r="Y558" s="203"/>
      <c r="Z558" s="223"/>
      <c r="AA558" s="404"/>
      <c r="AB558" s="405"/>
      <c r="AC558" s="203"/>
      <c r="AD558" s="223"/>
      <c r="AE558" s="404"/>
      <c r="AF558" s="405"/>
      <c r="AG558" s="205"/>
      <c r="AH558" s="205"/>
      <c r="AI558" s="205"/>
      <c r="AJ558" s="205"/>
      <c r="AK558" s="401"/>
      <c r="AL558" s="401"/>
      <c r="AM558" s="401"/>
    </row>
    <row r="559">
      <c r="A559" s="320"/>
      <c r="B559" s="321"/>
      <c r="C559" s="322"/>
      <c r="D559" s="401"/>
      <c r="E559" s="320"/>
      <c r="F559" s="321"/>
      <c r="G559" s="322"/>
      <c r="H559" s="401"/>
      <c r="I559" s="320"/>
      <c r="J559" s="321"/>
      <c r="K559" s="322"/>
      <c r="L559" s="401"/>
      <c r="M559" s="320"/>
      <c r="N559" s="321"/>
      <c r="O559" s="322"/>
      <c r="P559" s="401"/>
      <c r="Q559" s="203"/>
      <c r="R559" s="223"/>
      <c r="S559" s="404"/>
      <c r="T559" s="405"/>
      <c r="U559" s="203"/>
      <c r="V559" s="223"/>
      <c r="W559" s="404"/>
      <c r="X559" s="405"/>
      <c r="Y559" s="203"/>
      <c r="Z559" s="223"/>
      <c r="AA559" s="404"/>
      <c r="AB559" s="405"/>
      <c r="AC559" s="203"/>
      <c r="AD559" s="223"/>
      <c r="AE559" s="404"/>
      <c r="AF559" s="405"/>
      <c r="AG559" s="205"/>
      <c r="AH559" s="205"/>
      <c r="AI559" s="205"/>
      <c r="AJ559" s="205"/>
      <c r="AK559" s="401"/>
      <c r="AL559" s="401"/>
      <c r="AM559" s="401"/>
    </row>
    <row r="560">
      <c r="A560" s="320"/>
      <c r="B560" s="321"/>
      <c r="C560" s="322"/>
      <c r="D560" s="401"/>
      <c r="E560" s="320"/>
      <c r="F560" s="321"/>
      <c r="G560" s="322"/>
      <c r="H560" s="401"/>
      <c r="I560" s="320"/>
      <c r="J560" s="321"/>
      <c r="K560" s="322"/>
      <c r="L560" s="401"/>
      <c r="M560" s="320"/>
      <c r="N560" s="321"/>
      <c r="O560" s="322"/>
      <c r="P560" s="401"/>
      <c r="Q560" s="203"/>
      <c r="R560" s="223"/>
      <c r="S560" s="404"/>
      <c r="T560" s="405"/>
      <c r="U560" s="203"/>
      <c r="V560" s="223"/>
      <c r="W560" s="404"/>
      <c r="X560" s="405"/>
      <c r="Y560" s="203"/>
      <c r="Z560" s="223"/>
      <c r="AA560" s="404"/>
      <c r="AB560" s="405"/>
      <c r="AC560" s="203"/>
      <c r="AD560" s="223"/>
      <c r="AE560" s="404"/>
      <c r="AF560" s="405"/>
      <c r="AG560" s="205"/>
      <c r="AH560" s="205"/>
      <c r="AI560" s="205"/>
      <c r="AJ560" s="205"/>
      <c r="AK560" s="401"/>
      <c r="AL560" s="401"/>
      <c r="AM560" s="401"/>
    </row>
    <row r="561">
      <c r="A561" s="320"/>
      <c r="B561" s="321"/>
      <c r="C561" s="322"/>
      <c r="D561" s="401"/>
      <c r="E561" s="320"/>
      <c r="F561" s="321"/>
      <c r="G561" s="322"/>
      <c r="H561" s="401"/>
      <c r="I561" s="320"/>
      <c r="J561" s="321"/>
      <c r="K561" s="322"/>
      <c r="L561" s="401"/>
      <c r="M561" s="320"/>
      <c r="N561" s="321"/>
      <c r="O561" s="322"/>
      <c r="P561" s="401"/>
      <c r="Q561" s="203"/>
      <c r="R561" s="223"/>
      <c r="S561" s="404"/>
      <c r="T561" s="405"/>
      <c r="U561" s="203"/>
      <c r="V561" s="223"/>
      <c r="W561" s="404"/>
      <c r="X561" s="405"/>
      <c r="Y561" s="203"/>
      <c r="Z561" s="223"/>
      <c r="AA561" s="404"/>
      <c r="AB561" s="405"/>
      <c r="AC561" s="203"/>
      <c r="AD561" s="223"/>
      <c r="AE561" s="404"/>
      <c r="AF561" s="405"/>
      <c r="AG561" s="205"/>
      <c r="AH561" s="205"/>
      <c r="AI561" s="205"/>
      <c r="AJ561" s="205"/>
      <c r="AK561" s="401"/>
      <c r="AL561" s="401"/>
      <c r="AM561" s="401"/>
    </row>
    <row r="562">
      <c r="A562" s="320"/>
      <c r="B562" s="321"/>
      <c r="C562" s="322"/>
      <c r="D562" s="401"/>
      <c r="E562" s="320"/>
      <c r="F562" s="321"/>
      <c r="G562" s="322"/>
      <c r="H562" s="401"/>
      <c r="I562" s="320"/>
      <c r="J562" s="321"/>
      <c r="K562" s="322"/>
      <c r="L562" s="401"/>
      <c r="M562" s="320"/>
      <c r="N562" s="321"/>
      <c r="O562" s="322"/>
      <c r="P562" s="401"/>
      <c r="Q562" s="203"/>
      <c r="R562" s="223"/>
      <c r="S562" s="404"/>
      <c r="T562" s="405"/>
      <c r="U562" s="203"/>
      <c r="V562" s="223"/>
      <c r="W562" s="404"/>
      <c r="X562" s="405"/>
      <c r="Y562" s="203"/>
      <c r="Z562" s="223"/>
      <c r="AA562" s="404"/>
      <c r="AB562" s="405"/>
      <c r="AC562" s="203"/>
      <c r="AD562" s="223"/>
      <c r="AE562" s="404"/>
      <c r="AF562" s="405"/>
      <c r="AG562" s="205"/>
      <c r="AH562" s="205"/>
      <c r="AI562" s="205"/>
      <c r="AJ562" s="205"/>
      <c r="AK562" s="401"/>
      <c r="AL562" s="401"/>
      <c r="AM562" s="401"/>
    </row>
    <row r="563">
      <c r="A563" s="320"/>
      <c r="B563" s="321"/>
      <c r="C563" s="322"/>
      <c r="D563" s="401"/>
      <c r="E563" s="320"/>
      <c r="F563" s="321"/>
      <c r="G563" s="322"/>
      <c r="H563" s="401"/>
      <c r="I563" s="320"/>
      <c r="J563" s="321"/>
      <c r="K563" s="322"/>
      <c r="L563" s="401"/>
      <c r="M563" s="320"/>
      <c r="N563" s="321"/>
      <c r="O563" s="322"/>
      <c r="P563" s="401"/>
      <c r="Q563" s="203"/>
      <c r="R563" s="223"/>
      <c r="S563" s="404"/>
      <c r="T563" s="405"/>
      <c r="U563" s="203"/>
      <c r="V563" s="223"/>
      <c r="W563" s="404"/>
      <c r="X563" s="405"/>
      <c r="Y563" s="203"/>
      <c r="Z563" s="223"/>
      <c r="AA563" s="404"/>
      <c r="AB563" s="405"/>
      <c r="AC563" s="203"/>
      <c r="AD563" s="223"/>
      <c r="AE563" s="404"/>
      <c r="AF563" s="405"/>
      <c r="AG563" s="205"/>
      <c r="AH563" s="205"/>
      <c r="AI563" s="205"/>
      <c r="AJ563" s="205"/>
      <c r="AK563" s="401"/>
      <c r="AL563" s="401"/>
      <c r="AM563" s="401"/>
    </row>
    <row r="564">
      <c r="A564" s="320"/>
      <c r="B564" s="321"/>
      <c r="C564" s="322"/>
      <c r="D564" s="401"/>
      <c r="E564" s="320"/>
      <c r="F564" s="321"/>
      <c r="G564" s="322"/>
      <c r="H564" s="401"/>
      <c r="I564" s="320"/>
      <c r="J564" s="321"/>
      <c r="K564" s="322"/>
      <c r="L564" s="401"/>
      <c r="M564" s="320"/>
      <c r="N564" s="321"/>
      <c r="O564" s="322"/>
      <c r="P564" s="401"/>
      <c r="Q564" s="203"/>
      <c r="R564" s="223"/>
      <c r="S564" s="404"/>
      <c r="T564" s="405"/>
      <c r="U564" s="203"/>
      <c r="V564" s="223"/>
      <c r="W564" s="404"/>
      <c r="X564" s="405"/>
      <c r="Y564" s="203"/>
      <c r="Z564" s="223"/>
      <c r="AA564" s="404"/>
      <c r="AB564" s="405"/>
      <c r="AC564" s="203"/>
      <c r="AD564" s="223"/>
      <c r="AE564" s="404"/>
      <c r="AF564" s="405"/>
      <c r="AG564" s="205"/>
      <c r="AH564" s="205"/>
      <c r="AI564" s="205"/>
      <c r="AJ564" s="205"/>
      <c r="AK564" s="401"/>
      <c r="AL564" s="401"/>
      <c r="AM564" s="401"/>
    </row>
    <row r="565">
      <c r="A565" s="320"/>
      <c r="B565" s="321"/>
      <c r="C565" s="322"/>
      <c r="D565" s="401"/>
      <c r="E565" s="320"/>
      <c r="F565" s="321"/>
      <c r="G565" s="322"/>
      <c r="H565" s="401"/>
      <c r="I565" s="320"/>
      <c r="J565" s="321"/>
      <c r="K565" s="322"/>
      <c r="L565" s="401"/>
      <c r="M565" s="320"/>
      <c r="N565" s="321"/>
      <c r="O565" s="322"/>
      <c r="P565" s="401"/>
      <c r="Q565" s="203"/>
      <c r="R565" s="223"/>
      <c r="S565" s="404"/>
      <c r="T565" s="405"/>
      <c r="U565" s="203"/>
      <c r="V565" s="223"/>
      <c r="W565" s="404"/>
      <c r="X565" s="405"/>
      <c r="Y565" s="203"/>
      <c r="Z565" s="223"/>
      <c r="AA565" s="404"/>
      <c r="AB565" s="405"/>
      <c r="AC565" s="203"/>
      <c r="AD565" s="223"/>
      <c r="AE565" s="404"/>
      <c r="AF565" s="405"/>
      <c r="AG565" s="205"/>
      <c r="AH565" s="205"/>
      <c r="AI565" s="205"/>
      <c r="AJ565" s="205"/>
      <c r="AK565" s="401"/>
      <c r="AL565" s="401"/>
      <c r="AM565" s="401"/>
    </row>
    <row r="566">
      <c r="A566" s="320"/>
      <c r="B566" s="321"/>
      <c r="C566" s="322"/>
      <c r="D566" s="401"/>
      <c r="E566" s="320"/>
      <c r="F566" s="321"/>
      <c r="G566" s="322"/>
      <c r="H566" s="401"/>
      <c r="I566" s="320"/>
      <c r="J566" s="321"/>
      <c r="K566" s="322"/>
      <c r="L566" s="401"/>
      <c r="M566" s="320"/>
      <c r="N566" s="321"/>
      <c r="O566" s="322"/>
      <c r="P566" s="401"/>
      <c r="Q566" s="203"/>
      <c r="R566" s="223"/>
      <c r="S566" s="404"/>
      <c r="T566" s="405"/>
      <c r="U566" s="203"/>
      <c r="V566" s="223"/>
      <c r="W566" s="404"/>
      <c r="X566" s="405"/>
      <c r="Y566" s="203"/>
      <c r="Z566" s="223"/>
      <c r="AA566" s="404"/>
      <c r="AB566" s="405"/>
      <c r="AC566" s="203"/>
      <c r="AD566" s="223"/>
      <c r="AE566" s="404"/>
      <c r="AF566" s="405"/>
      <c r="AG566" s="205"/>
      <c r="AH566" s="205"/>
      <c r="AI566" s="205"/>
      <c r="AJ566" s="205"/>
      <c r="AK566" s="401"/>
      <c r="AL566" s="401"/>
      <c r="AM566" s="401"/>
    </row>
    <row r="567">
      <c r="A567" s="320"/>
      <c r="B567" s="321"/>
      <c r="C567" s="322"/>
      <c r="D567" s="401"/>
      <c r="E567" s="320"/>
      <c r="F567" s="321"/>
      <c r="G567" s="322"/>
      <c r="H567" s="401"/>
      <c r="I567" s="320"/>
      <c r="J567" s="321"/>
      <c r="K567" s="322"/>
      <c r="L567" s="401"/>
      <c r="M567" s="320"/>
      <c r="N567" s="321"/>
      <c r="O567" s="322"/>
      <c r="P567" s="401"/>
      <c r="Q567" s="203"/>
      <c r="R567" s="223"/>
      <c r="S567" s="404"/>
      <c r="T567" s="405"/>
      <c r="U567" s="203"/>
      <c r="V567" s="223"/>
      <c r="W567" s="404"/>
      <c r="X567" s="405"/>
      <c r="Y567" s="203"/>
      <c r="Z567" s="223"/>
      <c r="AA567" s="404"/>
      <c r="AB567" s="405"/>
      <c r="AC567" s="203"/>
      <c r="AD567" s="223"/>
      <c r="AE567" s="404"/>
      <c r="AF567" s="405"/>
      <c r="AG567" s="205"/>
      <c r="AH567" s="205"/>
      <c r="AI567" s="205"/>
      <c r="AJ567" s="205"/>
      <c r="AK567" s="401"/>
      <c r="AL567" s="401"/>
      <c r="AM567" s="401"/>
    </row>
    <row r="568">
      <c r="A568" s="320"/>
      <c r="B568" s="321"/>
      <c r="C568" s="322"/>
      <c r="D568" s="401"/>
      <c r="E568" s="320"/>
      <c r="F568" s="321"/>
      <c r="G568" s="322"/>
      <c r="H568" s="401"/>
      <c r="I568" s="320"/>
      <c r="J568" s="321"/>
      <c r="K568" s="322"/>
      <c r="L568" s="401"/>
      <c r="M568" s="320"/>
      <c r="N568" s="321"/>
      <c r="O568" s="322"/>
      <c r="P568" s="401"/>
      <c r="Q568" s="203"/>
      <c r="R568" s="223"/>
      <c r="S568" s="404"/>
      <c r="T568" s="405"/>
      <c r="U568" s="203"/>
      <c r="V568" s="223"/>
      <c r="W568" s="404"/>
      <c r="X568" s="405"/>
      <c r="Y568" s="203"/>
      <c r="Z568" s="223"/>
      <c r="AA568" s="404"/>
      <c r="AB568" s="405"/>
      <c r="AC568" s="203"/>
      <c r="AD568" s="223"/>
      <c r="AE568" s="404"/>
      <c r="AF568" s="405"/>
      <c r="AG568" s="205"/>
      <c r="AH568" s="205"/>
      <c r="AI568" s="205"/>
      <c r="AJ568" s="205"/>
      <c r="AK568" s="401"/>
      <c r="AL568" s="401"/>
      <c r="AM568" s="401"/>
    </row>
    <row r="569">
      <c r="A569" s="320"/>
      <c r="B569" s="321"/>
      <c r="C569" s="322"/>
      <c r="D569" s="401"/>
      <c r="E569" s="320"/>
      <c r="F569" s="321"/>
      <c r="G569" s="322"/>
      <c r="H569" s="401"/>
      <c r="I569" s="320"/>
      <c r="J569" s="321"/>
      <c r="K569" s="322"/>
      <c r="L569" s="401"/>
      <c r="M569" s="320"/>
      <c r="N569" s="321"/>
      <c r="O569" s="322"/>
      <c r="P569" s="401"/>
      <c r="Q569" s="203"/>
      <c r="R569" s="223"/>
      <c r="S569" s="404"/>
      <c r="T569" s="405"/>
      <c r="U569" s="203"/>
      <c r="V569" s="223"/>
      <c r="W569" s="404"/>
      <c r="X569" s="405"/>
      <c r="Y569" s="203"/>
      <c r="Z569" s="223"/>
      <c r="AA569" s="404"/>
      <c r="AB569" s="405"/>
      <c r="AC569" s="203"/>
      <c r="AD569" s="223"/>
      <c r="AE569" s="404"/>
      <c r="AF569" s="405"/>
      <c r="AG569" s="205"/>
      <c r="AH569" s="205"/>
      <c r="AI569" s="205"/>
      <c r="AJ569" s="205"/>
      <c r="AK569" s="401"/>
      <c r="AL569" s="401"/>
      <c r="AM569" s="401"/>
    </row>
    <row r="570">
      <c r="A570" s="320"/>
      <c r="B570" s="321"/>
      <c r="C570" s="322"/>
      <c r="D570" s="401"/>
      <c r="E570" s="320"/>
      <c r="F570" s="321"/>
      <c r="G570" s="322"/>
      <c r="H570" s="401"/>
      <c r="I570" s="320"/>
      <c r="J570" s="321"/>
      <c r="K570" s="322"/>
      <c r="L570" s="401"/>
      <c r="M570" s="320"/>
      <c r="N570" s="321"/>
      <c r="O570" s="322"/>
      <c r="P570" s="401"/>
      <c r="Q570" s="203"/>
      <c r="R570" s="223"/>
      <c r="S570" s="404"/>
      <c r="T570" s="405"/>
      <c r="U570" s="203"/>
      <c r="V570" s="223"/>
      <c r="W570" s="404"/>
      <c r="X570" s="405"/>
      <c r="Y570" s="203"/>
      <c r="Z570" s="223"/>
      <c r="AA570" s="404"/>
      <c r="AB570" s="405"/>
      <c r="AC570" s="203"/>
      <c r="AD570" s="223"/>
      <c r="AE570" s="404"/>
      <c r="AF570" s="405"/>
      <c r="AG570" s="205"/>
      <c r="AH570" s="205"/>
      <c r="AI570" s="205"/>
      <c r="AJ570" s="205"/>
      <c r="AK570" s="401"/>
      <c r="AL570" s="401"/>
      <c r="AM570" s="401"/>
    </row>
    <row r="571">
      <c r="A571" s="320"/>
      <c r="B571" s="321"/>
      <c r="C571" s="322"/>
      <c r="D571" s="401"/>
      <c r="E571" s="320"/>
      <c r="F571" s="321"/>
      <c r="G571" s="322"/>
      <c r="H571" s="401"/>
      <c r="I571" s="320"/>
      <c r="J571" s="321"/>
      <c r="K571" s="322"/>
      <c r="L571" s="401"/>
      <c r="M571" s="320"/>
      <c r="N571" s="321"/>
      <c r="O571" s="322"/>
      <c r="P571" s="401"/>
      <c r="Q571" s="203"/>
      <c r="R571" s="223"/>
      <c r="S571" s="404"/>
      <c r="T571" s="405"/>
      <c r="U571" s="203"/>
      <c r="V571" s="223"/>
      <c r="W571" s="404"/>
      <c r="X571" s="405"/>
      <c r="Y571" s="203"/>
      <c r="Z571" s="223"/>
      <c r="AA571" s="404"/>
      <c r="AB571" s="405"/>
      <c r="AC571" s="203"/>
      <c r="AD571" s="223"/>
      <c r="AE571" s="404"/>
      <c r="AF571" s="405"/>
      <c r="AG571" s="205"/>
      <c r="AH571" s="205"/>
      <c r="AI571" s="205"/>
      <c r="AJ571" s="205"/>
      <c r="AK571" s="401"/>
      <c r="AL571" s="401"/>
      <c r="AM571" s="401"/>
    </row>
    <row r="572">
      <c r="A572" s="320"/>
      <c r="B572" s="321"/>
      <c r="C572" s="322"/>
      <c r="D572" s="401"/>
      <c r="E572" s="320"/>
      <c r="F572" s="321"/>
      <c r="G572" s="322"/>
      <c r="H572" s="401"/>
      <c r="I572" s="320"/>
      <c r="J572" s="321"/>
      <c r="K572" s="322"/>
      <c r="L572" s="401"/>
      <c r="M572" s="320"/>
      <c r="N572" s="321"/>
      <c r="O572" s="322"/>
      <c r="P572" s="401"/>
      <c r="Q572" s="203"/>
      <c r="R572" s="223"/>
      <c r="S572" s="404"/>
      <c r="T572" s="405"/>
      <c r="U572" s="203"/>
      <c r="V572" s="223"/>
      <c r="W572" s="404"/>
      <c r="X572" s="405"/>
      <c r="Y572" s="203"/>
      <c r="Z572" s="223"/>
      <c r="AA572" s="404"/>
      <c r="AB572" s="405"/>
      <c r="AC572" s="203"/>
      <c r="AD572" s="223"/>
      <c r="AE572" s="404"/>
      <c r="AF572" s="405"/>
      <c r="AG572" s="205"/>
      <c r="AH572" s="205"/>
      <c r="AI572" s="205"/>
      <c r="AJ572" s="205"/>
      <c r="AK572" s="401"/>
      <c r="AL572" s="401"/>
      <c r="AM572" s="401"/>
    </row>
    <row r="573">
      <c r="A573" s="320"/>
      <c r="B573" s="321"/>
      <c r="C573" s="322"/>
      <c r="D573" s="401"/>
      <c r="E573" s="320"/>
      <c r="F573" s="321"/>
      <c r="G573" s="322"/>
      <c r="H573" s="401"/>
      <c r="I573" s="320"/>
      <c r="J573" s="321"/>
      <c r="K573" s="322"/>
      <c r="L573" s="401"/>
      <c r="M573" s="320"/>
      <c r="N573" s="321"/>
      <c r="O573" s="322"/>
      <c r="P573" s="401"/>
      <c r="Q573" s="203"/>
      <c r="R573" s="223"/>
      <c r="S573" s="404"/>
      <c r="T573" s="405"/>
      <c r="U573" s="203"/>
      <c r="V573" s="223"/>
      <c r="W573" s="404"/>
      <c r="X573" s="405"/>
      <c r="Y573" s="203"/>
      <c r="Z573" s="223"/>
      <c r="AA573" s="404"/>
      <c r="AB573" s="405"/>
      <c r="AC573" s="203"/>
      <c r="AD573" s="223"/>
      <c r="AE573" s="404"/>
      <c r="AF573" s="405"/>
      <c r="AG573" s="205"/>
      <c r="AH573" s="205"/>
      <c r="AI573" s="205"/>
      <c r="AJ573" s="205"/>
      <c r="AK573" s="401"/>
      <c r="AL573" s="401"/>
      <c r="AM573" s="401"/>
    </row>
    <row r="574">
      <c r="A574" s="320"/>
      <c r="B574" s="321"/>
      <c r="C574" s="322"/>
      <c r="D574" s="401"/>
      <c r="E574" s="320"/>
      <c r="F574" s="321"/>
      <c r="G574" s="322"/>
      <c r="H574" s="401"/>
      <c r="I574" s="320"/>
      <c r="J574" s="321"/>
      <c r="K574" s="322"/>
      <c r="L574" s="401"/>
      <c r="M574" s="320"/>
      <c r="N574" s="321"/>
      <c r="O574" s="322"/>
      <c r="P574" s="401"/>
      <c r="Q574" s="203"/>
      <c r="R574" s="223"/>
      <c r="S574" s="404"/>
      <c r="T574" s="405"/>
      <c r="U574" s="203"/>
      <c r="V574" s="223"/>
      <c r="W574" s="404"/>
      <c r="X574" s="405"/>
      <c r="Y574" s="203"/>
      <c r="Z574" s="223"/>
      <c r="AA574" s="404"/>
      <c r="AB574" s="405"/>
      <c r="AC574" s="203"/>
      <c r="AD574" s="223"/>
      <c r="AE574" s="404"/>
      <c r="AF574" s="405"/>
      <c r="AG574" s="205"/>
      <c r="AH574" s="205"/>
      <c r="AI574" s="205"/>
      <c r="AJ574" s="205"/>
      <c r="AK574" s="401"/>
      <c r="AL574" s="401"/>
      <c r="AM574" s="401"/>
    </row>
    <row r="575">
      <c r="A575" s="320"/>
      <c r="B575" s="321"/>
      <c r="C575" s="322"/>
      <c r="D575" s="401"/>
      <c r="E575" s="320"/>
      <c r="F575" s="321"/>
      <c r="G575" s="322"/>
      <c r="H575" s="401"/>
      <c r="I575" s="320"/>
      <c r="J575" s="321"/>
      <c r="K575" s="322"/>
      <c r="L575" s="401"/>
      <c r="M575" s="320"/>
      <c r="N575" s="321"/>
      <c r="O575" s="322"/>
      <c r="P575" s="401"/>
      <c r="Q575" s="203"/>
      <c r="R575" s="223"/>
      <c r="S575" s="404"/>
      <c r="T575" s="405"/>
      <c r="U575" s="203"/>
      <c r="V575" s="223"/>
      <c r="W575" s="404"/>
      <c r="X575" s="405"/>
      <c r="Y575" s="203"/>
      <c r="Z575" s="223"/>
      <c r="AA575" s="404"/>
      <c r="AB575" s="405"/>
      <c r="AC575" s="203"/>
      <c r="AD575" s="223"/>
      <c r="AE575" s="404"/>
      <c r="AF575" s="405"/>
      <c r="AG575" s="205"/>
      <c r="AH575" s="205"/>
      <c r="AI575" s="205"/>
      <c r="AJ575" s="205"/>
      <c r="AK575" s="401"/>
      <c r="AL575" s="401"/>
      <c r="AM575" s="401"/>
    </row>
    <row r="576">
      <c r="A576" s="320"/>
      <c r="B576" s="321"/>
      <c r="C576" s="322"/>
      <c r="D576" s="401"/>
      <c r="E576" s="320"/>
      <c r="F576" s="321"/>
      <c r="G576" s="322"/>
      <c r="H576" s="401"/>
      <c r="I576" s="320"/>
      <c r="J576" s="321"/>
      <c r="K576" s="322"/>
      <c r="L576" s="401"/>
      <c r="M576" s="320"/>
      <c r="N576" s="321"/>
      <c r="O576" s="322"/>
      <c r="P576" s="401"/>
      <c r="Q576" s="203"/>
      <c r="R576" s="223"/>
      <c r="S576" s="404"/>
      <c r="T576" s="405"/>
      <c r="U576" s="203"/>
      <c r="V576" s="223"/>
      <c r="W576" s="404"/>
      <c r="X576" s="405"/>
      <c r="Y576" s="203"/>
      <c r="Z576" s="223"/>
      <c r="AA576" s="404"/>
      <c r="AB576" s="405"/>
      <c r="AC576" s="203"/>
      <c r="AD576" s="223"/>
      <c r="AE576" s="404"/>
      <c r="AF576" s="405"/>
      <c r="AG576" s="205"/>
      <c r="AH576" s="205"/>
      <c r="AI576" s="205"/>
      <c r="AJ576" s="205"/>
      <c r="AK576" s="401"/>
      <c r="AL576" s="401"/>
      <c r="AM576" s="401"/>
    </row>
    <row r="577">
      <c r="A577" s="320"/>
      <c r="B577" s="321"/>
      <c r="C577" s="322"/>
      <c r="D577" s="401"/>
      <c r="E577" s="320"/>
      <c r="F577" s="321"/>
      <c r="G577" s="322"/>
      <c r="H577" s="401"/>
      <c r="I577" s="320"/>
      <c r="J577" s="321"/>
      <c r="K577" s="322"/>
      <c r="L577" s="401"/>
      <c r="M577" s="320"/>
      <c r="N577" s="321"/>
      <c r="O577" s="322"/>
      <c r="P577" s="401"/>
      <c r="Q577" s="203"/>
      <c r="R577" s="223"/>
      <c r="S577" s="404"/>
      <c r="T577" s="405"/>
      <c r="U577" s="203"/>
      <c r="V577" s="223"/>
      <c r="W577" s="404"/>
      <c r="X577" s="405"/>
      <c r="Y577" s="203"/>
      <c r="Z577" s="223"/>
      <c r="AA577" s="404"/>
      <c r="AB577" s="405"/>
      <c r="AC577" s="203"/>
      <c r="AD577" s="223"/>
      <c r="AE577" s="404"/>
      <c r="AF577" s="405"/>
      <c r="AG577" s="205"/>
      <c r="AH577" s="205"/>
      <c r="AI577" s="205"/>
      <c r="AJ577" s="205"/>
      <c r="AK577" s="401"/>
      <c r="AL577" s="401"/>
      <c r="AM577" s="401"/>
    </row>
    <row r="578">
      <c r="A578" s="320"/>
      <c r="B578" s="321"/>
      <c r="C578" s="322"/>
      <c r="D578" s="401"/>
      <c r="E578" s="320"/>
      <c r="F578" s="321"/>
      <c r="G578" s="322"/>
      <c r="H578" s="401"/>
      <c r="I578" s="320"/>
      <c r="J578" s="321"/>
      <c r="K578" s="322"/>
      <c r="L578" s="401"/>
      <c r="M578" s="320"/>
      <c r="N578" s="321"/>
      <c r="O578" s="322"/>
      <c r="P578" s="401"/>
      <c r="Q578" s="203"/>
      <c r="R578" s="223"/>
      <c r="S578" s="404"/>
      <c r="T578" s="405"/>
      <c r="U578" s="203"/>
      <c r="V578" s="223"/>
      <c r="W578" s="404"/>
      <c r="X578" s="405"/>
      <c r="Y578" s="203"/>
      <c r="Z578" s="223"/>
      <c r="AA578" s="404"/>
      <c r="AB578" s="405"/>
      <c r="AC578" s="203"/>
      <c r="AD578" s="223"/>
      <c r="AE578" s="404"/>
      <c r="AF578" s="405"/>
      <c r="AG578" s="205"/>
      <c r="AH578" s="205"/>
      <c r="AI578" s="205"/>
      <c r="AJ578" s="205"/>
      <c r="AK578" s="401"/>
      <c r="AL578" s="401"/>
      <c r="AM578" s="401"/>
    </row>
    <row r="579">
      <c r="A579" s="320"/>
      <c r="B579" s="321"/>
      <c r="C579" s="322"/>
      <c r="D579" s="401"/>
      <c r="E579" s="320"/>
      <c r="F579" s="321"/>
      <c r="G579" s="322"/>
      <c r="H579" s="401"/>
      <c r="I579" s="320"/>
      <c r="J579" s="321"/>
      <c r="K579" s="322"/>
      <c r="L579" s="401"/>
      <c r="M579" s="320"/>
      <c r="N579" s="321"/>
      <c r="O579" s="322"/>
      <c r="P579" s="401"/>
      <c r="Q579" s="203"/>
      <c r="R579" s="223"/>
      <c r="S579" s="404"/>
      <c r="T579" s="405"/>
      <c r="U579" s="203"/>
      <c r="V579" s="223"/>
      <c r="W579" s="404"/>
      <c r="X579" s="405"/>
      <c r="Y579" s="203"/>
      <c r="Z579" s="223"/>
      <c r="AA579" s="404"/>
      <c r="AB579" s="405"/>
      <c r="AC579" s="203"/>
      <c r="AD579" s="223"/>
      <c r="AE579" s="404"/>
      <c r="AF579" s="405"/>
      <c r="AG579" s="205"/>
      <c r="AH579" s="205"/>
      <c r="AI579" s="205"/>
      <c r="AJ579" s="205"/>
      <c r="AK579" s="401"/>
      <c r="AL579" s="401"/>
      <c r="AM579" s="401"/>
    </row>
    <row r="580">
      <c r="A580" s="320"/>
      <c r="B580" s="321"/>
      <c r="C580" s="322"/>
      <c r="D580" s="401"/>
      <c r="E580" s="320"/>
      <c r="F580" s="321"/>
      <c r="G580" s="322"/>
      <c r="H580" s="401"/>
      <c r="I580" s="320"/>
      <c r="J580" s="321"/>
      <c r="K580" s="322"/>
      <c r="L580" s="401"/>
      <c r="M580" s="320"/>
      <c r="N580" s="321"/>
      <c r="O580" s="322"/>
      <c r="P580" s="401"/>
      <c r="Q580" s="203"/>
      <c r="R580" s="223"/>
      <c r="S580" s="404"/>
      <c r="T580" s="405"/>
      <c r="U580" s="203"/>
      <c r="V580" s="223"/>
      <c r="W580" s="404"/>
      <c r="X580" s="405"/>
      <c r="Y580" s="203"/>
      <c r="Z580" s="223"/>
      <c r="AA580" s="404"/>
      <c r="AB580" s="405"/>
      <c r="AC580" s="203"/>
      <c r="AD580" s="223"/>
      <c r="AE580" s="404"/>
      <c r="AF580" s="405"/>
      <c r="AG580" s="205"/>
      <c r="AH580" s="205"/>
      <c r="AI580" s="205"/>
      <c r="AJ580" s="205"/>
      <c r="AK580" s="401"/>
      <c r="AL580" s="401"/>
      <c r="AM580" s="401"/>
    </row>
    <row r="581">
      <c r="A581" s="320"/>
      <c r="B581" s="321"/>
      <c r="C581" s="322"/>
      <c r="D581" s="401"/>
      <c r="E581" s="320"/>
      <c r="F581" s="321"/>
      <c r="G581" s="322"/>
      <c r="H581" s="401"/>
      <c r="I581" s="320"/>
      <c r="J581" s="321"/>
      <c r="K581" s="322"/>
      <c r="L581" s="401"/>
      <c r="M581" s="320"/>
      <c r="N581" s="321"/>
      <c r="O581" s="322"/>
      <c r="P581" s="401"/>
      <c r="Q581" s="203"/>
      <c r="R581" s="223"/>
      <c r="S581" s="404"/>
      <c r="T581" s="405"/>
      <c r="U581" s="203"/>
      <c r="V581" s="223"/>
      <c r="W581" s="404"/>
      <c r="X581" s="405"/>
      <c r="Y581" s="203"/>
      <c r="Z581" s="223"/>
      <c r="AA581" s="404"/>
      <c r="AB581" s="405"/>
      <c r="AC581" s="203"/>
      <c r="AD581" s="223"/>
      <c r="AE581" s="404"/>
      <c r="AF581" s="405"/>
      <c r="AG581" s="205"/>
      <c r="AH581" s="205"/>
      <c r="AI581" s="205"/>
      <c r="AJ581" s="205"/>
      <c r="AK581" s="401"/>
      <c r="AL581" s="401"/>
      <c r="AM581" s="401"/>
    </row>
    <row r="582">
      <c r="A582" s="320"/>
      <c r="B582" s="321"/>
      <c r="C582" s="322"/>
      <c r="D582" s="401"/>
      <c r="E582" s="320"/>
      <c r="F582" s="321"/>
      <c r="G582" s="322"/>
      <c r="H582" s="401"/>
      <c r="I582" s="320"/>
      <c r="J582" s="321"/>
      <c r="K582" s="322"/>
      <c r="L582" s="401"/>
      <c r="M582" s="320"/>
      <c r="N582" s="321"/>
      <c r="O582" s="322"/>
      <c r="P582" s="401"/>
      <c r="Q582" s="203"/>
      <c r="R582" s="223"/>
      <c r="S582" s="404"/>
      <c r="T582" s="405"/>
      <c r="U582" s="203"/>
      <c r="V582" s="223"/>
      <c r="W582" s="404"/>
      <c r="X582" s="405"/>
      <c r="Y582" s="203"/>
      <c r="Z582" s="223"/>
      <c r="AA582" s="404"/>
      <c r="AB582" s="405"/>
      <c r="AC582" s="203"/>
      <c r="AD582" s="223"/>
      <c r="AE582" s="404"/>
      <c r="AF582" s="405"/>
      <c r="AG582" s="205"/>
      <c r="AH582" s="205"/>
      <c r="AI582" s="205"/>
      <c r="AJ582" s="205"/>
      <c r="AK582" s="401"/>
      <c r="AL582" s="401"/>
      <c r="AM582" s="401"/>
    </row>
    <row r="583">
      <c r="A583" s="320"/>
      <c r="B583" s="321"/>
      <c r="C583" s="322"/>
      <c r="D583" s="401"/>
      <c r="E583" s="320"/>
      <c r="F583" s="321"/>
      <c r="G583" s="322"/>
      <c r="H583" s="401"/>
      <c r="I583" s="320"/>
      <c r="J583" s="321"/>
      <c r="K583" s="322"/>
      <c r="L583" s="401"/>
      <c r="M583" s="320"/>
      <c r="N583" s="321"/>
      <c r="O583" s="322"/>
      <c r="P583" s="401"/>
      <c r="Q583" s="203"/>
      <c r="R583" s="223"/>
      <c r="S583" s="404"/>
      <c r="T583" s="405"/>
      <c r="U583" s="203"/>
      <c r="V583" s="223"/>
      <c r="W583" s="404"/>
      <c r="X583" s="405"/>
      <c r="Y583" s="203"/>
      <c r="Z583" s="223"/>
      <c r="AA583" s="404"/>
      <c r="AB583" s="405"/>
      <c r="AC583" s="203"/>
      <c r="AD583" s="223"/>
      <c r="AE583" s="404"/>
      <c r="AF583" s="405"/>
      <c r="AG583" s="205"/>
      <c r="AH583" s="205"/>
      <c r="AI583" s="205"/>
      <c r="AJ583" s="205"/>
      <c r="AK583" s="401"/>
      <c r="AL583" s="401"/>
      <c r="AM583" s="401"/>
    </row>
    <row r="584">
      <c r="A584" s="320"/>
      <c r="B584" s="321"/>
      <c r="C584" s="322"/>
      <c r="D584" s="401"/>
      <c r="E584" s="320"/>
      <c r="F584" s="321"/>
      <c r="G584" s="322"/>
      <c r="H584" s="401"/>
      <c r="I584" s="320"/>
      <c r="J584" s="321"/>
      <c r="K584" s="322"/>
      <c r="L584" s="401"/>
      <c r="M584" s="320"/>
      <c r="N584" s="321"/>
      <c r="O584" s="322"/>
      <c r="P584" s="401"/>
      <c r="Q584" s="203"/>
      <c r="R584" s="223"/>
      <c r="S584" s="404"/>
      <c r="T584" s="405"/>
      <c r="U584" s="203"/>
      <c r="V584" s="223"/>
      <c r="W584" s="404"/>
      <c r="X584" s="405"/>
      <c r="Y584" s="203"/>
      <c r="Z584" s="223"/>
      <c r="AA584" s="404"/>
      <c r="AB584" s="405"/>
      <c r="AC584" s="203"/>
      <c r="AD584" s="223"/>
      <c r="AE584" s="404"/>
      <c r="AF584" s="405"/>
      <c r="AG584" s="205"/>
      <c r="AH584" s="205"/>
      <c r="AI584" s="205"/>
      <c r="AJ584" s="205"/>
      <c r="AK584" s="401"/>
      <c r="AL584" s="401"/>
      <c r="AM584" s="401"/>
    </row>
    <row r="585">
      <c r="A585" s="320"/>
      <c r="B585" s="321"/>
      <c r="C585" s="322"/>
      <c r="D585" s="401"/>
      <c r="E585" s="320"/>
      <c r="F585" s="321"/>
      <c r="G585" s="322"/>
      <c r="H585" s="401"/>
      <c r="I585" s="320"/>
      <c r="J585" s="321"/>
      <c r="K585" s="322"/>
      <c r="L585" s="401"/>
      <c r="M585" s="320"/>
      <c r="N585" s="321"/>
      <c r="O585" s="322"/>
      <c r="P585" s="401"/>
      <c r="Q585" s="203"/>
      <c r="R585" s="223"/>
      <c r="S585" s="404"/>
      <c r="T585" s="405"/>
      <c r="U585" s="203"/>
      <c r="V585" s="223"/>
      <c r="W585" s="404"/>
      <c r="X585" s="405"/>
      <c r="Y585" s="203"/>
      <c r="Z585" s="223"/>
      <c r="AA585" s="404"/>
      <c r="AB585" s="405"/>
      <c r="AC585" s="203"/>
      <c r="AD585" s="223"/>
      <c r="AE585" s="404"/>
      <c r="AF585" s="405"/>
      <c r="AG585" s="205"/>
      <c r="AH585" s="205"/>
      <c r="AI585" s="205"/>
      <c r="AJ585" s="205"/>
      <c r="AK585" s="401"/>
      <c r="AL585" s="401"/>
      <c r="AM585" s="401"/>
    </row>
    <row r="586">
      <c r="A586" s="320"/>
      <c r="B586" s="321"/>
      <c r="C586" s="322"/>
      <c r="D586" s="401"/>
      <c r="E586" s="320"/>
      <c r="F586" s="321"/>
      <c r="G586" s="322"/>
      <c r="H586" s="401"/>
      <c r="I586" s="320"/>
      <c r="J586" s="321"/>
      <c r="K586" s="322"/>
      <c r="L586" s="401"/>
      <c r="M586" s="320"/>
      <c r="N586" s="321"/>
      <c r="O586" s="322"/>
      <c r="P586" s="401"/>
      <c r="Q586" s="203"/>
      <c r="R586" s="223"/>
      <c r="S586" s="404"/>
      <c r="T586" s="405"/>
      <c r="U586" s="203"/>
      <c r="V586" s="223"/>
      <c r="W586" s="404"/>
      <c r="X586" s="405"/>
      <c r="Y586" s="203"/>
      <c r="Z586" s="223"/>
      <c r="AA586" s="404"/>
      <c r="AB586" s="405"/>
      <c r="AC586" s="203"/>
      <c r="AD586" s="223"/>
      <c r="AE586" s="404"/>
      <c r="AF586" s="405"/>
      <c r="AG586" s="205"/>
      <c r="AH586" s="205"/>
      <c r="AI586" s="205"/>
      <c r="AJ586" s="205"/>
      <c r="AK586" s="401"/>
      <c r="AL586" s="401"/>
      <c r="AM586" s="401"/>
    </row>
    <row r="587">
      <c r="A587" s="320"/>
      <c r="B587" s="321"/>
      <c r="C587" s="322"/>
      <c r="D587" s="401"/>
      <c r="E587" s="320"/>
      <c r="F587" s="321"/>
      <c r="G587" s="322"/>
      <c r="H587" s="401"/>
      <c r="I587" s="320"/>
      <c r="J587" s="321"/>
      <c r="K587" s="322"/>
      <c r="L587" s="401"/>
      <c r="M587" s="320"/>
      <c r="N587" s="321"/>
      <c r="O587" s="322"/>
      <c r="P587" s="401"/>
      <c r="Q587" s="203"/>
      <c r="R587" s="223"/>
      <c r="S587" s="404"/>
      <c r="T587" s="405"/>
      <c r="U587" s="203"/>
      <c r="V587" s="223"/>
      <c r="W587" s="404"/>
      <c r="X587" s="405"/>
      <c r="Y587" s="203"/>
      <c r="Z587" s="223"/>
      <c r="AA587" s="404"/>
      <c r="AB587" s="405"/>
      <c r="AC587" s="203"/>
      <c r="AD587" s="223"/>
      <c r="AE587" s="404"/>
      <c r="AF587" s="405"/>
      <c r="AG587" s="205"/>
      <c r="AH587" s="205"/>
      <c r="AI587" s="205"/>
      <c r="AJ587" s="205"/>
      <c r="AK587" s="401"/>
      <c r="AL587" s="401"/>
      <c r="AM587" s="401"/>
    </row>
    <row r="588">
      <c r="A588" s="320"/>
      <c r="B588" s="321"/>
      <c r="C588" s="322"/>
      <c r="D588" s="401"/>
      <c r="E588" s="320"/>
      <c r="F588" s="321"/>
      <c r="G588" s="322"/>
      <c r="H588" s="401"/>
      <c r="I588" s="320"/>
      <c r="J588" s="321"/>
      <c r="K588" s="322"/>
      <c r="L588" s="401"/>
      <c r="M588" s="320"/>
      <c r="N588" s="321"/>
      <c r="O588" s="322"/>
      <c r="P588" s="401"/>
      <c r="Q588" s="203"/>
      <c r="R588" s="223"/>
      <c r="S588" s="404"/>
      <c r="T588" s="405"/>
      <c r="U588" s="203"/>
      <c r="V588" s="223"/>
      <c r="W588" s="404"/>
      <c r="X588" s="405"/>
      <c r="Y588" s="203"/>
      <c r="Z588" s="223"/>
      <c r="AA588" s="404"/>
      <c r="AB588" s="405"/>
      <c r="AC588" s="203"/>
      <c r="AD588" s="223"/>
      <c r="AE588" s="404"/>
      <c r="AF588" s="405"/>
      <c r="AG588" s="205"/>
      <c r="AH588" s="205"/>
      <c r="AI588" s="205"/>
      <c r="AJ588" s="205"/>
      <c r="AK588" s="401"/>
      <c r="AL588" s="401"/>
      <c r="AM588" s="401"/>
    </row>
    <row r="589">
      <c r="A589" s="320"/>
      <c r="B589" s="321"/>
      <c r="C589" s="322"/>
      <c r="D589" s="401"/>
      <c r="E589" s="320"/>
      <c r="F589" s="321"/>
      <c r="G589" s="322"/>
      <c r="H589" s="401"/>
      <c r="I589" s="320"/>
      <c r="J589" s="321"/>
      <c r="K589" s="322"/>
      <c r="L589" s="401"/>
      <c r="M589" s="320"/>
      <c r="N589" s="321"/>
      <c r="O589" s="322"/>
      <c r="P589" s="401"/>
      <c r="Q589" s="203"/>
      <c r="R589" s="223"/>
      <c r="S589" s="404"/>
      <c r="T589" s="405"/>
      <c r="U589" s="203"/>
      <c r="V589" s="223"/>
      <c r="W589" s="404"/>
      <c r="X589" s="405"/>
      <c r="Y589" s="203"/>
      <c r="Z589" s="223"/>
      <c r="AA589" s="404"/>
      <c r="AB589" s="405"/>
      <c r="AC589" s="203"/>
      <c r="AD589" s="223"/>
      <c r="AE589" s="404"/>
      <c r="AF589" s="405"/>
      <c r="AG589" s="205"/>
      <c r="AH589" s="205"/>
      <c r="AI589" s="205"/>
      <c r="AJ589" s="205"/>
      <c r="AK589" s="401"/>
      <c r="AL589" s="401"/>
      <c r="AM589" s="401"/>
    </row>
    <row r="590">
      <c r="A590" s="320"/>
      <c r="B590" s="321"/>
      <c r="C590" s="322"/>
      <c r="D590" s="401"/>
      <c r="E590" s="320"/>
      <c r="F590" s="321"/>
      <c r="G590" s="322"/>
      <c r="H590" s="401"/>
      <c r="I590" s="320"/>
      <c r="J590" s="321"/>
      <c r="K590" s="322"/>
      <c r="L590" s="401"/>
      <c r="M590" s="320"/>
      <c r="N590" s="321"/>
      <c r="O590" s="322"/>
      <c r="P590" s="401"/>
      <c r="Q590" s="203"/>
      <c r="R590" s="223"/>
      <c r="S590" s="404"/>
      <c r="T590" s="405"/>
      <c r="U590" s="203"/>
      <c r="V590" s="223"/>
      <c r="W590" s="404"/>
      <c r="X590" s="405"/>
      <c r="Y590" s="203"/>
      <c r="Z590" s="223"/>
      <c r="AA590" s="404"/>
      <c r="AB590" s="405"/>
      <c r="AC590" s="203"/>
      <c r="AD590" s="223"/>
      <c r="AE590" s="404"/>
      <c r="AF590" s="405"/>
      <c r="AG590" s="205"/>
      <c r="AH590" s="205"/>
      <c r="AI590" s="205"/>
      <c r="AJ590" s="205"/>
      <c r="AK590" s="401"/>
      <c r="AL590" s="401"/>
      <c r="AM590" s="401"/>
    </row>
    <row r="591">
      <c r="A591" s="320"/>
      <c r="B591" s="321"/>
      <c r="C591" s="322"/>
      <c r="D591" s="401"/>
      <c r="E591" s="320"/>
      <c r="F591" s="321"/>
      <c r="G591" s="322"/>
      <c r="H591" s="401"/>
      <c r="I591" s="320"/>
      <c r="J591" s="321"/>
      <c r="K591" s="322"/>
      <c r="L591" s="401"/>
      <c r="M591" s="320"/>
      <c r="N591" s="321"/>
      <c r="O591" s="322"/>
      <c r="P591" s="401"/>
      <c r="Q591" s="203"/>
      <c r="R591" s="223"/>
      <c r="S591" s="404"/>
      <c r="T591" s="405"/>
      <c r="U591" s="203"/>
      <c r="V591" s="223"/>
      <c r="W591" s="404"/>
      <c r="X591" s="405"/>
      <c r="Y591" s="203"/>
      <c r="Z591" s="223"/>
      <c r="AA591" s="404"/>
      <c r="AB591" s="405"/>
      <c r="AC591" s="203"/>
      <c r="AD591" s="223"/>
      <c r="AE591" s="404"/>
      <c r="AF591" s="405"/>
      <c r="AG591" s="205"/>
      <c r="AH591" s="205"/>
      <c r="AI591" s="205"/>
      <c r="AJ591" s="205"/>
      <c r="AK591" s="401"/>
      <c r="AL591" s="401"/>
      <c r="AM591" s="401"/>
    </row>
    <row r="592">
      <c r="A592" s="320"/>
      <c r="B592" s="321"/>
      <c r="C592" s="322"/>
      <c r="D592" s="401"/>
      <c r="E592" s="320"/>
      <c r="F592" s="321"/>
      <c r="G592" s="322"/>
      <c r="H592" s="401"/>
      <c r="I592" s="320"/>
      <c r="J592" s="321"/>
      <c r="K592" s="322"/>
      <c r="L592" s="401"/>
      <c r="M592" s="320"/>
      <c r="N592" s="321"/>
      <c r="O592" s="322"/>
      <c r="P592" s="401"/>
      <c r="Q592" s="203"/>
      <c r="R592" s="223"/>
      <c r="S592" s="404"/>
      <c r="T592" s="405"/>
      <c r="U592" s="203"/>
      <c r="V592" s="223"/>
      <c r="W592" s="404"/>
      <c r="X592" s="405"/>
      <c r="Y592" s="203"/>
      <c r="Z592" s="223"/>
      <c r="AA592" s="404"/>
      <c r="AB592" s="405"/>
      <c r="AC592" s="203"/>
      <c r="AD592" s="223"/>
      <c r="AE592" s="404"/>
      <c r="AF592" s="405"/>
      <c r="AG592" s="205"/>
      <c r="AH592" s="205"/>
      <c r="AI592" s="205"/>
      <c r="AJ592" s="205"/>
      <c r="AK592" s="401"/>
      <c r="AL592" s="401"/>
      <c r="AM592" s="401"/>
    </row>
    <row r="593">
      <c r="A593" s="320"/>
      <c r="B593" s="321"/>
      <c r="C593" s="322"/>
      <c r="D593" s="401"/>
      <c r="E593" s="320"/>
      <c r="F593" s="321"/>
      <c r="G593" s="322"/>
      <c r="H593" s="401"/>
      <c r="I593" s="320"/>
      <c r="J593" s="321"/>
      <c r="K593" s="322"/>
      <c r="L593" s="401"/>
      <c r="M593" s="320"/>
      <c r="N593" s="321"/>
      <c r="O593" s="322"/>
      <c r="P593" s="401"/>
      <c r="Q593" s="203"/>
      <c r="R593" s="223"/>
      <c r="S593" s="404"/>
      <c r="T593" s="405"/>
      <c r="U593" s="203"/>
      <c r="V593" s="223"/>
      <c r="W593" s="404"/>
      <c r="X593" s="405"/>
      <c r="Y593" s="203"/>
      <c r="Z593" s="223"/>
      <c r="AA593" s="404"/>
      <c r="AB593" s="405"/>
      <c r="AC593" s="203"/>
      <c r="AD593" s="223"/>
      <c r="AE593" s="404"/>
      <c r="AF593" s="405"/>
      <c r="AG593" s="205"/>
      <c r="AH593" s="205"/>
      <c r="AI593" s="205"/>
      <c r="AJ593" s="205"/>
      <c r="AK593" s="401"/>
      <c r="AL593" s="401"/>
      <c r="AM593" s="401"/>
    </row>
    <row r="594">
      <c r="A594" s="320"/>
      <c r="B594" s="321"/>
      <c r="C594" s="322"/>
      <c r="D594" s="401"/>
      <c r="E594" s="320"/>
      <c r="F594" s="321"/>
      <c r="G594" s="322"/>
      <c r="H594" s="401"/>
      <c r="I594" s="320"/>
      <c r="J594" s="321"/>
      <c r="K594" s="322"/>
      <c r="L594" s="401"/>
      <c r="M594" s="320"/>
      <c r="N594" s="321"/>
      <c r="O594" s="322"/>
      <c r="P594" s="401"/>
      <c r="Q594" s="203"/>
      <c r="R594" s="223"/>
      <c r="S594" s="404"/>
      <c r="T594" s="405"/>
      <c r="U594" s="203"/>
      <c r="V594" s="223"/>
      <c r="W594" s="404"/>
      <c r="X594" s="405"/>
      <c r="Y594" s="203"/>
      <c r="Z594" s="223"/>
      <c r="AA594" s="404"/>
      <c r="AB594" s="405"/>
      <c r="AC594" s="203"/>
      <c r="AD594" s="223"/>
      <c r="AE594" s="404"/>
      <c r="AF594" s="405"/>
      <c r="AG594" s="205"/>
      <c r="AH594" s="205"/>
      <c r="AI594" s="205"/>
      <c r="AJ594" s="205"/>
      <c r="AK594" s="401"/>
      <c r="AL594" s="401"/>
      <c r="AM594" s="401"/>
    </row>
    <row r="595">
      <c r="A595" s="320"/>
      <c r="B595" s="321"/>
      <c r="C595" s="322"/>
      <c r="D595" s="401"/>
      <c r="E595" s="320"/>
      <c r="F595" s="321"/>
      <c r="G595" s="322"/>
      <c r="H595" s="401"/>
      <c r="I595" s="320"/>
      <c r="J595" s="321"/>
      <c r="K595" s="322"/>
      <c r="L595" s="401"/>
      <c r="M595" s="320"/>
      <c r="N595" s="321"/>
      <c r="O595" s="322"/>
      <c r="P595" s="401"/>
      <c r="Q595" s="203"/>
      <c r="R595" s="223"/>
      <c r="S595" s="404"/>
      <c r="T595" s="405"/>
      <c r="U595" s="203"/>
      <c r="V595" s="223"/>
      <c r="W595" s="404"/>
      <c r="X595" s="405"/>
      <c r="Y595" s="203"/>
      <c r="Z595" s="223"/>
      <c r="AA595" s="404"/>
      <c r="AB595" s="405"/>
      <c r="AC595" s="203"/>
      <c r="AD595" s="223"/>
      <c r="AE595" s="404"/>
      <c r="AF595" s="405"/>
      <c r="AG595" s="205"/>
      <c r="AH595" s="205"/>
      <c r="AI595" s="205"/>
      <c r="AJ595" s="205"/>
      <c r="AK595" s="401"/>
      <c r="AL595" s="401"/>
      <c r="AM595" s="401"/>
    </row>
    <row r="596">
      <c r="A596" s="320"/>
      <c r="B596" s="321"/>
      <c r="C596" s="322"/>
      <c r="D596" s="401"/>
      <c r="E596" s="320"/>
      <c r="F596" s="321"/>
      <c r="G596" s="322"/>
      <c r="H596" s="401"/>
      <c r="I596" s="320"/>
      <c r="J596" s="321"/>
      <c r="K596" s="322"/>
      <c r="L596" s="401"/>
      <c r="M596" s="320"/>
      <c r="N596" s="321"/>
      <c r="O596" s="322"/>
      <c r="P596" s="401"/>
      <c r="Q596" s="203"/>
      <c r="R596" s="223"/>
      <c r="S596" s="404"/>
      <c r="T596" s="405"/>
      <c r="U596" s="203"/>
      <c r="V596" s="223"/>
      <c r="W596" s="404"/>
      <c r="X596" s="405"/>
      <c r="Y596" s="203"/>
      <c r="Z596" s="223"/>
      <c r="AA596" s="404"/>
      <c r="AB596" s="405"/>
      <c r="AC596" s="203"/>
      <c r="AD596" s="223"/>
      <c r="AE596" s="404"/>
      <c r="AF596" s="405"/>
      <c r="AG596" s="205"/>
      <c r="AH596" s="205"/>
      <c r="AI596" s="205"/>
      <c r="AJ596" s="205"/>
      <c r="AK596" s="401"/>
      <c r="AL596" s="401"/>
      <c r="AM596" s="401"/>
    </row>
    <row r="597">
      <c r="A597" s="320"/>
      <c r="B597" s="321"/>
      <c r="C597" s="322"/>
      <c r="D597" s="401"/>
      <c r="E597" s="320"/>
      <c r="F597" s="321"/>
      <c r="G597" s="322"/>
      <c r="H597" s="401"/>
      <c r="I597" s="320"/>
      <c r="J597" s="321"/>
      <c r="K597" s="322"/>
      <c r="L597" s="401"/>
      <c r="M597" s="320"/>
      <c r="N597" s="321"/>
      <c r="O597" s="322"/>
      <c r="P597" s="401"/>
      <c r="Q597" s="203"/>
      <c r="R597" s="223"/>
      <c r="S597" s="404"/>
      <c r="T597" s="405"/>
      <c r="U597" s="203"/>
      <c r="V597" s="223"/>
      <c r="W597" s="404"/>
      <c r="X597" s="405"/>
      <c r="Y597" s="203"/>
      <c r="Z597" s="223"/>
      <c r="AA597" s="404"/>
      <c r="AB597" s="405"/>
      <c r="AC597" s="203"/>
      <c r="AD597" s="223"/>
      <c r="AE597" s="404"/>
      <c r="AF597" s="405"/>
      <c r="AG597" s="205"/>
      <c r="AH597" s="205"/>
      <c r="AI597" s="205"/>
      <c r="AJ597" s="205"/>
      <c r="AK597" s="401"/>
      <c r="AL597" s="401"/>
      <c r="AM597" s="401"/>
    </row>
    <row r="598">
      <c r="A598" s="320"/>
      <c r="B598" s="321"/>
      <c r="C598" s="322"/>
      <c r="D598" s="401"/>
      <c r="E598" s="320"/>
      <c r="F598" s="321"/>
      <c r="G598" s="322"/>
      <c r="H598" s="401"/>
      <c r="I598" s="320"/>
      <c r="J598" s="321"/>
      <c r="K598" s="322"/>
      <c r="L598" s="401"/>
      <c r="M598" s="320"/>
      <c r="N598" s="321"/>
      <c r="O598" s="322"/>
      <c r="P598" s="401"/>
      <c r="Q598" s="203"/>
      <c r="R598" s="223"/>
      <c r="S598" s="404"/>
      <c r="T598" s="405"/>
      <c r="U598" s="203"/>
      <c r="V598" s="223"/>
      <c r="W598" s="404"/>
      <c r="X598" s="405"/>
      <c r="Y598" s="203"/>
      <c r="Z598" s="223"/>
      <c r="AA598" s="404"/>
      <c r="AB598" s="405"/>
      <c r="AC598" s="203"/>
      <c r="AD598" s="223"/>
      <c r="AE598" s="404"/>
      <c r="AF598" s="405"/>
      <c r="AG598" s="205"/>
      <c r="AH598" s="205"/>
      <c r="AI598" s="205"/>
      <c r="AJ598" s="205"/>
      <c r="AK598" s="401"/>
      <c r="AL598" s="401"/>
      <c r="AM598" s="401"/>
    </row>
    <row r="599">
      <c r="A599" s="320"/>
      <c r="B599" s="321"/>
      <c r="C599" s="322"/>
      <c r="D599" s="401"/>
      <c r="E599" s="320"/>
      <c r="F599" s="321"/>
      <c r="G599" s="322"/>
      <c r="H599" s="401"/>
      <c r="I599" s="320"/>
      <c r="J599" s="321"/>
      <c r="K599" s="322"/>
      <c r="L599" s="401"/>
      <c r="M599" s="320"/>
      <c r="N599" s="321"/>
      <c r="O599" s="322"/>
      <c r="P599" s="401"/>
      <c r="Q599" s="203"/>
      <c r="R599" s="223"/>
      <c r="S599" s="404"/>
      <c r="T599" s="405"/>
      <c r="U599" s="203"/>
      <c r="V599" s="223"/>
      <c r="W599" s="404"/>
      <c r="X599" s="405"/>
      <c r="Y599" s="203"/>
      <c r="Z599" s="223"/>
      <c r="AA599" s="404"/>
      <c r="AB599" s="405"/>
      <c r="AC599" s="203"/>
      <c r="AD599" s="223"/>
      <c r="AE599" s="404"/>
      <c r="AF599" s="405"/>
      <c r="AG599" s="205"/>
      <c r="AH599" s="205"/>
      <c r="AI599" s="205"/>
      <c r="AJ599" s="205"/>
      <c r="AK599" s="401"/>
      <c r="AL599" s="401"/>
      <c r="AM599" s="401"/>
    </row>
    <row r="600">
      <c r="A600" s="320"/>
      <c r="B600" s="321"/>
      <c r="C600" s="322"/>
      <c r="D600" s="401"/>
      <c r="E600" s="320"/>
      <c r="F600" s="321"/>
      <c r="G600" s="322"/>
      <c r="H600" s="401"/>
      <c r="I600" s="320"/>
      <c r="J600" s="321"/>
      <c r="K600" s="322"/>
      <c r="L600" s="401"/>
      <c r="M600" s="320"/>
      <c r="N600" s="321"/>
      <c r="O600" s="322"/>
      <c r="P600" s="401"/>
      <c r="Q600" s="203"/>
      <c r="R600" s="223"/>
      <c r="S600" s="404"/>
      <c r="T600" s="405"/>
      <c r="U600" s="203"/>
      <c r="V600" s="223"/>
      <c r="W600" s="404"/>
      <c r="X600" s="405"/>
      <c r="Y600" s="203"/>
      <c r="Z600" s="223"/>
      <c r="AA600" s="404"/>
      <c r="AB600" s="405"/>
      <c r="AC600" s="203"/>
      <c r="AD600" s="223"/>
      <c r="AE600" s="404"/>
      <c r="AF600" s="405"/>
      <c r="AG600" s="205"/>
      <c r="AH600" s="205"/>
      <c r="AI600" s="205"/>
      <c r="AJ600" s="205"/>
      <c r="AK600" s="401"/>
      <c r="AL600" s="401"/>
      <c r="AM600" s="401"/>
    </row>
    <row r="601">
      <c r="A601" s="320"/>
      <c r="B601" s="321"/>
      <c r="C601" s="322"/>
      <c r="D601" s="401"/>
      <c r="E601" s="320"/>
      <c r="F601" s="321"/>
      <c r="G601" s="322"/>
      <c r="H601" s="401"/>
      <c r="I601" s="320"/>
      <c r="J601" s="321"/>
      <c r="K601" s="322"/>
      <c r="L601" s="401"/>
      <c r="M601" s="320"/>
      <c r="N601" s="321"/>
      <c r="O601" s="322"/>
      <c r="P601" s="401"/>
      <c r="Q601" s="203"/>
      <c r="R601" s="223"/>
      <c r="S601" s="404"/>
      <c r="T601" s="405"/>
      <c r="U601" s="203"/>
      <c r="V601" s="223"/>
      <c r="W601" s="404"/>
      <c r="X601" s="405"/>
      <c r="Y601" s="203"/>
      <c r="Z601" s="223"/>
      <c r="AA601" s="404"/>
      <c r="AB601" s="405"/>
      <c r="AC601" s="203"/>
      <c r="AD601" s="223"/>
      <c r="AE601" s="404"/>
      <c r="AF601" s="405"/>
      <c r="AG601" s="205"/>
      <c r="AH601" s="205"/>
      <c r="AI601" s="205"/>
      <c r="AJ601" s="205"/>
      <c r="AK601" s="401"/>
      <c r="AL601" s="401"/>
      <c r="AM601" s="401"/>
    </row>
    <row r="602">
      <c r="A602" s="320"/>
      <c r="B602" s="321"/>
      <c r="C602" s="322"/>
      <c r="D602" s="401"/>
      <c r="E602" s="320"/>
      <c r="F602" s="321"/>
      <c r="G602" s="322"/>
      <c r="H602" s="401"/>
      <c r="I602" s="320"/>
      <c r="J602" s="321"/>
      <c r="K602" s="322"/>
      <c r="L602" s="401"/>
      <c r="M602" s="320"/>
      <c r="N602" s="321"/>
      <c r="O602" s="322"/>
      <c r="P602" s="401"/>
      <c r="Q602" s="203"/>
      <c r="R602" s="223"/>
      <c r="S602" s="404"/>
      <c r="T602" s="405"/>
      <c r="U602" s="203"/>
      <c r="V602" s="223"/>
      <c r="W602" s="404"/>
      <c r="X602" s="405"/>
      <c r="Y602" s="203"/>
      <c r="Z602" s="223"/>
      <c r="AA602" s="404"/>
      <c r="AB602" s="405"/>
      <c r="AC602" s="203"/>
      <c r="AD602" s="223"/>
      <c r="AE602" s="404"/>
      <c r="AF602" s="405"/>
      <c r="AG602" s="205"/>
      <c r="AH602" s="205"/>
      <c r="AI602" s="205"/>
      <c r="AJ602" s="205"/>
      <c r="AK602" s="401"/>
      <c r="AL602" s="401"/>
      <c r="AM602" s="401"/>
    </row>
    <row r="603">
      <c r="A603" s="320"/>
      <c r="B603" s="321"/>
      <c r="C603" s="322"/>
      <c r="D603" s="401"/>
      <c r="E603" s="320"/>
      <c r="F603" s="321"/>
      <c r="G603" s="322"/>
      <c r="H603" s="401"/>
      <c r="I603" s="320"/>
      <c r="J603" s="321"/>
      <c r="K603" s="322"/>
      <c r="L603" s="401"/>
      <c r="M603" s="320"/>
      <c r="N603" s="321"/>
      <c r="O603" s="322"/>
      <c r="P603" s="401"/>
      <c r="Q603" s="203"/>
      <c r="R603" s="223"/>
      <c r="S603" s="404"/>
      <c r="T603" s="405"/>
      <c r="U603" s="203"/>
      <c r="V603" s="223"/>
      <c r="W603" s="404"/>
      <c r="X603" s="405"/>
      <c r="Y603" s="203"/>
      <c r="Z603" s="223"/>
      <c r="AA603" s="404"/>
      <c r="AB603" s="405"/>
      <c r="AC603" s="203"/>
      <c r="AD603" s="223"/>
      <c r="AE603" s="404"/>
      <c r="AF603" s="405"/>
      <c r="AG603" s="205"/>
      <c r="AH603" s="205"/>
      <c r="AI603" s="205"/>
      <c r="AJ603" s="205"/>
      <c r="AK603" s="401"/>
      <c r="AL603" s="401"/>
      <c r="AM603" s="401"/>
    </row>
    <row r="604">
      <c r="A604" s="320"/>
      <c r="B604" s="321"/>
      <c r="C604" s="322"/>
      <c r="D604" s="401"/>
      <c r="E604" s="320"/>
      <c r="F604" s="321"/>
      <c r="G604" s="322"/>
      <c r="H604" s="401"/>
      <c r="I604" s="320"/>
      <c r="J604" s="321"/>
      <c r="K604" s="322"/>
      <c r="L604" s="401"/>
      <c r="M604" s="320"/>
      <c r="N604" s="321"/>
      <c r="O604" s="322"/>
      <c r="P604" s="401"/>
      <c r="Q604" s="203"/>
      <c r="R604" s="223"/>
      <c r="S604" s="404"/>
      <c r="T604" s="405"/>
      <c r="U604" s="203"/>
      <c r="V604" s="223"/>
      <c r="W604" s="404"/>
      <c r="X604" s="405"/>
      <c r="Y604" s="203"/>
      <c r="Z604" s="223"/>
      <c r="AA604" s="404"/>
      <c r="AB604" s="405"/>
      <c r="AC604" s="203"/>
      <c r="AD604" s="223"/>
      <c r="AE604" s="404"/>
      <c r="AF604" s="405"/>
      <c r="AG604" s="205"/>
      <c r="AH604" s="205"/>
      <c r="AI604" s="205"/>
      <c r="AJ604" s="205"/>
      <c r="AK604" s="401"/>
      <c r="AL604" s="401"/>
      <c r="AM604" s="401"/>
    </row>
    <row r="605">
      <c r="A605" s="320"/>
      <c r="B605" s="321"/>
      <c r="C605" s="322"/>
      <c r="D605" s="401"/>
      <c r="E605" s="320"/>
      <c r="F605" s="321"/>
      <c r="G605" s="322"/>
      <c r="H605" s="401"/>
      <c r="I605" s="320"/>
      <c r="J605" s="321"/>
      <c r="K605" s="322"/>
      <c r="L605" s="401"/>
      <c r="M605" s="320"/>
      <c r="N605" s="321"/>
      <c r="O605" s="322"/>
      <c r="P605" s="401"/>
      <c r="Q605" s="203"/>
      <c r="R605" s="223"/>
      <c r="S605" s="404"/>
      <c r="T605" s="405"/>
      <c r="U605" s="203"/>
      <c r="V605" s="223"/>
      <c r="W605" s="404"/>
      <c r="X605" s="405"/>
      <c r="Y605" s="203"/>
      <c r="Z605" s="223"/>
      <c r="AA605" s="404"/>
      <c r="AB605" s="405"/>
      <c r="AC605" s="203"/>
      <c r="AD605" s="223"/>
      <c r="AE605" s="404"/>
      <c r="AF605" s="405"/>
      <c r="AG605" s="205"/>
      <c r="AH605" s="205"/>
      <c r="AI605" s="205"/>
      <c r="AJ605" s="205"/>
      <c r="AK605" s="401"/>
      <c r="AL605" s="401"/>
      <c r="AM605" s="401"/>
    </row>
    <row r="606">
      <c r="A606" s="320"/>
      <c r="B606" s="321"/>
      <c r="C606" s="322"/>
      <c r="D606" s="401"/>
      <c r="E606" s="320"/>
      <c r="F606" s="321"/>
      <c r="G606" s="322"/>
      <c r="H606" s="401"/>
      <c r="I606" s="320"/>
      <c r="J606" s="321"/>
      <c r="K606" s="322"/>
      <c r="L606" s="401"/>
      <c r="M606" s="320"/>
      <c r="N606" s="321"/>
      <c r="O606" s="322"/>
      <c r="P606" s="401"/>
      <c r="Q606" s="203"/>
      <c r="R606" s="223"/>
      <c r="S606" s="404"/>
      <c r="T606" s="405"/>
      <c r="U606" s="203"/>
      <c r="V606" s="223"/>
      <c r="W606" s="404"/>
      <c r="X606" s="405"/>
      <c r="Y606" s="203"/>
      <c r="Z606" s="223"/>
      <c r="AA606" s="404"/>
      <c r="AB606" s="405"/>
      <c r="AC606" s="203"/>
      <c r="AD606" s="223"/>
      <c r="AE606" s="404"/>
      <c r="AF606" s="405"/>
      <c r="AG606" s="205"/>
      <c r="AH606" s="205"/>
      <c r="AI606" s="205"/>
      <c r="AJ606" s="205"/>
      <c r="AK606" s="401"/>
      <c r="AL606" s="401"/>
      <c r="AM606" s="401"/>
    </row>
    <row r="607">
      <c r="A607" s="320"/>
      <c r="B607" s="321"/>
      <c r="C607" s="322"/>
      <c r="D607" s="401"/>
      <c r="E607" s="320"/>
      <c r="F607" s="321"/>
      <c r="G607" s="322"/>
      <c r="H607" s="401"/>
      <c r="I607" s="320"/>
      <c r="J607" s="321"/>
      <c r="K607" s="322"/>
      <c r="L607" s="401"/>
      <c r="M607" s="320"/>
      <c r="N607" s="321"/>
      <c r="O607" s="322"/>
      <c r="P607" s="401"/>
      <c r="Q607" s="203"/>
      <c r="R607" s="223"/>
      <c r="S607" s="404"/>
      <c r="T607" s="405"/>
      <c r="U607" s="203"/>
      <c r="V607" s="223"/>
      <c r="W607" s="404"/>
      <c r="X607" s="405"/>
      <c r="Y607" s="203"/>
      <c r="Z607" s="223"/>
      <c r="AA607" s="404"/>
      <c r="AB607" s="405"/>
      <c r="AC607" s="203"/>
      <c r="AD607" s="223"/>
      <c r="AE607" s="404"/>
      <c r="AF607" s="405"/>
      <c r="AG607" s="205"/>
      <c r="AH607" s="205"/>
      <c r="AI607" s="205"/>
      <c r="AJ607" s="205"/>
      <c r="AK607" s="401"/>
      <c r="AL607" s="401"/>
      <c r="AM607" s="401"/>
    </row>
    <row r="608">
      <c r="A608" s="320"/>
      <c r="B608" s="321"/>
      <c r="C608" s="322"/>
      <c r="D608" s="401"/>
      <c r="E608" s="320"/>
      <c r="F608" s="321"/>
      <c r="G608" s="322"/>
      <c r="H608" s="401"/>
      <c r="I608" s="320"/>
      <c r="J608" s="321"/>
      <c r="K608" s="322"/>
      <c r="L608" s="401"/>
      <c r="M608" s="320"/>
      <c r="N608" s="321"/>
      <c r="O608" s="322"/>
      <c r="P608" s="401"/>
      <c r="Q608" s="203"/>
      <c r="R608" s="223"/>
      <c r="S608" s="404"/>
      <c r="T608" s="405"/>
      <c r="U608" s="203"/>
      <c r="V608" s="223"/>
      <c r="W608" s="404"/>
      <c r="X608" s="405"/>
      <c r="Y608" s="203"/>
      <c r="Z608" s="223"/>
      <c r="AA608" s="404"/>
      <c r="AB608" s="405"/>
      <c r="AC608" s="203"/>
      <c r="AD608" s="223"/>
      <c r="AE608" s="404"/>
      <c r="AF608" s="405"/>
      <c r="AG608" s="205"/>
      <c r="AH608" s="205"/>
      <c r="AI608" s="205"/>
      <c r="AJ608" s="205"/>
      <c r="AK608" s="401"/>
      <c r="AL608" s="401"/>
      <c r="AM608" s="401"/>
    </row>
    <row r="609">
      <c r="A609" s="320"/>
      <c r="B609" s="321"/>
      <c r="C609" s="322"/>
      <c r="D609" s="401"/>
      <c r="E609" s="320"/>
      <c r="F609" s="321"/>
      <c r="G609" s="322"/>
      <c r="H609" s="401"/>
      <c r="I609" s="320"/>
      <c r="J609" s="321"/>
      <c r="K609" s="322"/>
      <c r="L609" s="401"/>
      <c r="M609" s="320"/>
      <c r="N609" s="321"/>
      <c r="O609" s="322"/>
      <c r="P609" s="401"/>
      <c r="Q609" s="203"/>
      <c r="R609" s="223"/>
      <c r="S609" s="404"/>
      <c r="T609" s="405"/>
      <c r="U609" s="203"/>
      <c r="V609" s="223"/>
      <c r="W609" s="404"/>
      <c r="X609" s="405"/>
      <c r="Y609" s="203"/>
      <c r="Z609" s="223"/>
      <c r="AA609" s="404"/>
      <c r="AB609" s="405"/>
      <c r="AC609" s="203"/>
      <c r="AD609" s="223"/>
      <c r="AE609" s="404"/>
      <c r="AF609" s="405"/>
      <c r="AG609" s="205"/>
      <c r="AH609" s="205"/>
      <c r="AI609" s="205"/>
      <c r="AJ609" s="205"/>
      <c r="AK609" s="401"/>
      <c r="AL609" s="401"/>
      <c r="AM609" s="401"/>
    </row>
    <row r="610">
      <c r="A610" s="320"/>
      <c r="B610" s="321"/>
      <c r="C610" s="322"/>
      <c r="D610" s="401"/>
      <c r="E610" s="320"/>
      <c r="F610" s="321"/>
      <c r="G610" s="322"/>
      <c r="H610" s="401"/>
      <c r="I610" s="320"/>
      <c r="J610" s="321"/>
      <c r="K610" s="322"/>
      <c r="L610" s="401"/>
      <c r="M610" s="320"/>
      <c r="N610" s="321"/>
      <c r="O610" s="322"/>
      <c r="P610" s="401"/>
      <c r="Q610" s="203"/>
      <c r="R610" s="223"/>
      <c r="S610" s="404"/>
      <c r="T610" s="405"/>
      <c r="U610" s="203"/>
      <c r="V610" s="223"/>
      <c r="W610" s="404"/>
      <c r="X610" s="405"/>
      <c r="Y610" s="203"/>
      <c r="Z610" s="223"/>
      <c r="AA610" s="404"/>
      <c r="AB610" s="405"/>
      <c r="AC610" s="203"/>
      <c r="AD610" s="223"/>
      <c r="AE610" s="404"/>
      <c r="AF610" s="405"/>
      <c r="AG610" s="205"/>
      <c r="AH610" s="205"/>
      <c r="AI610" s="205"/>
      <c r="AJ610" s="205"/>
      <c r="AK610" s="401"/>
      <c r="AL610" s="401"/>
      <c r="AM610" s="401"/>
    </row>
    <row r="611">
      <c r="A611" s="320"/>
      <c r="B611" s="321"/>
      <c r="C611" s="322"/>
      <c r="D611" s="401"/>
      <c r="E611" s="320"/>
      <c r="F611" s="321"/>
      <c r="G611" s="322"/>
      <c r="H611" s="401"/>
      <c r="I611" s="320"/>
      <c r="J611" s="321"/>
      <c r="K611" s="322"/>
      <c r="L611" s="401"/>
      <c r="M611" s="320"/>
      <c r="N611" s="321"/>
      <c r="O611" s="322"/>
      <c r="P611" s="401"/>
      <c r="Q611" s="203"/>
      <c r="R611" s="223"/>
      <c r="S611" s="404"/>
      <c r="T611" s="405"/>
      <c r="U611" s="203"/>
      <c r="V611" s="223"/>
      <c r="W611" s="404"/>
      <c r="X611" s="405"/>
      <c r="Y611" s="203"/>
      <c r="Z611" s="223"/>
      <c r="AA611" s="404"/>
      <c r="AB611" s="405"/>
      <c r="AC611" s="203"/>
      <c r="AD611" s="223"/>
      <c r="AE611" s="404"/>
      <c r="AF611" s="405"/>
      <c r="AG611" s="205"/>
      <c r="AH611" s="205"/>
      <c r="AI611" s="205"/>
      <c r="AJ611" s="205"/>
      <c r="AK611" s="401"/>
      <c r="AL611" s="401"/>
      <c r="AM611" s="401"/>
    </row>
    <row r="612">
      <c r="A612" s="320"/>
      <c r="B612" s="321"/>
      <c r="C612" s="322"/>
      <c r="D612" s="401"/>
      <c r="E612" s="320"/>
      <c r="F612" s="321"/>
      <c r="G612" s="322"/>
      <c r="H612" s="401"/>
      <c r="I612" s="320"/>
      <c r="J612" s="321"/>
      <c r="K612" s="322"/>
      <c r="L612" s="401"/>
      <c r="M612" s="320"/>
      <c r="N612" s="321"/>
      <c r="O612" s="322"/>
      <c r="P612" s="401"/>
      <c r="Q612" s="203"/>
      <c r="R612" s="223"/>
      <c r="S612" s="404"/>
      <c r="T612" s="405"/>
      <c r="U612" s="203"/>
      <c r="V612" s="223"/>
      <c r="W612" s="404"/>
      <c r="X612" s="405"/>
      <c r="Y612" s="203"/>
      <c r="Z612" s="223"/>
      <c r="AA612" s="404"/>
      <c r="AB612" s="405"/>
      <c r="AC612" s="203"/>
      <c r="AD612" s="223"/>
      <c r="AE612" s="404"/>
      <c r="AF612" s="405"/>
      <c r="AG612" s="205"/>
      <c r="AH612" s="205"/>
      <c r="AI612" s="205"/>
      <c r="AJ612" s="205"/>
      <c r="AK612" s="401"/>
      <c r="AL612" s="401"/>
      <c r="AM612" s="401"/>
    </row>
    <row r="613">
      <c r="A613" s="320"/>
      <c r="B613" s="321"/>
      <c r="C613" s="322"/>
      <c r="D613" s="401"/>
      <c r="E613" s="320"/>
      <c r="F613" s="321"/>
      <c r="G613" s="322"/>
      <c r="H613" s="401"/>
      <c r="I613" s="320"/>
      <c r="J613" s="321"/>
      <c r="K613" s="322"/>
      <c r="L613" s="401"/>
      <c r="M613" s="320"/>
      <c r="N613" s="321"/>
      <c r="O613" s="322"/>
      <c r="P613" s="401"/>
      <c r="Q613" s="203"/>
      <c r="R613" s="223"/>
      <c r="S613" s="404"/>
      <c r="T613" s="405"/>
      <c r="U613" s="203"/>
      <c r="V613" s="223"/>
      <c r="W613" s="404"/>
      <c r="X613" s="405"/>
      <c r="Y613" s="203"/>
      <c r="Z613" s="223"/>
      <c r="AA613" s="404"/>
      <c r="AB613" s="405"/>
      <c r="AC613" s="203"/>
      <c r="AD613" s="223"/>
      <c r="AE613" s="404"/>
      <c r="AF613" s="405"/>
      <c r="AG613" s="205"/>
      <c r="AH613" s="205"/>
      <c r="AI613" s="205"/>
      <c r="AJ613" s="205"/>
      <c r="AK613" s="401"/>
      <c r="AL613" s="401"/>
      <c r="AM613" s="401"/>
    </row>
    <row r="614">
      <c r="A614" s="320"/>
      <c r="B614" s="321"/>
      <c r="C614" s="322"/>
      <c r="D614" s="401"/>
      <c r="E614" s="320"/>
      <c r="F614" s="321"/>
      <c r="G614" s="322"/>
      <c r="H614" s="401"/>
      <c r="I614" s="320"/>
      <c r="J614" s="321"/>
      <c r="K614" s="322"/>
      <c r="L614" s="401"/>
      <c r="M614" s="320"/>
      <c r="N614" s="321"/>
      <c r="O614" s="322"/>
      <c r="P614" s="401"/>
      <c r="Q614" s="203"/>
      <c r="R614" s="223"/>
      <c r="S614" s="404"/>
      <c r="T614" s="405"/>
      <c r="U614" s="203"/>
      <c r="V614" s="223"/>
      <c r="W614" s="404"/>
      <c r="X614" s="405"/>
      <c r="Y614" s="203"/>
      <c r="Z614" s="223"/>
      <c r="AA614" s="404"/>
      <c r="AB614" s="405"/>
      <c r="AC614" s="203"/>
      <c r="AD614" s="223"/>
      <c r="AE614" s="404"/>
      <c r="AF614" s="405"/>
      <c r="AG614" s="205"/>
      <c r="AH614" s="205"/>
      <c r="AI614" s="205"/>
      <c r="AJ614" s="205"/>
      <c r="AK614" s="401"/>
      <c r="AL614" s="401"/>
      <c r="AM614" s="401"/>
    </row>
    <row r="615">
      <c r="A615" s="320"/>
      <c r="B615" s="321"/>
      <c r="C615" s="322"/>
      <c r="D615" s="401"/>
      <c r="E615" s="320"/>
      <c r="F615" s="321"/>
      <c r="G615" s="322"/>
      <c r="H615" s="401"/>
      <c r="I615" s="320"/>
      <c r="J615" s="321"/>
      <c r="K615" s="322"/>
      <c r="L615" s="401"/>
      <c r="M615" s="320"/>
      <c r="N615" s="321"/>
      <c r="O615" s="322"/>
      <c r="P615" s="401"/>
      <c r="Q615" s="203"/>
      <c r="R615" s="223"/>
      <c r="S615" s="404"/>
      <c r="T615" s="405"/>
      <c r="U615" s="203"/>
      <c r="V615" s="223"/>
      <c r="W615" s="404"/>
      <c r="X615" s="405"/>
      <c r="Y615" s="203"/>
      <c r="Z615" s="223"/>
      <c r="AA615" s="404"/>
      <c r="AB615" s="405"/>
      <c r="AC615" s="203"/>
      <c r="AD615" s="223"/>
      <c r="AE615" s="404"/>
      <c r="AF615" s="405"/>
      <c r="AG615" s="205"/>
      <c r="AH615" s="205"/>
      <c r="AI615" s="205"/>
      <c r="AJ615" s="205"/>
      <c r="AK615" s="401"/>
      <c r="AL615" s="401"/>
      <c r="AM615" s="401"/>
    </row>
    <row r="616">
      <c r="A616" s="320"/>
      <c r="B616" s="321"/>
      <c r="C616" s="322"/>
      <c r="D616" s="401"/>
      <c r="E616" s="320"/>
      <c r="F616" s="321"/>
      <c r="G616" s="322"/>
      <c r="H616" s="401"/>
      <c r="I616" s="320"/>
      <c r="J616" s="321"/>
      <c r="K616" s="322"/>
      <c r="L616" s="401"/>
      <c r="M616" s="320"/>
      <c r="N616" s="321"/>
      <c r="O616" s="322"/>
      <c r="P616" s="401"/>
      <c r="Q616" s="203"/>
      <c r="R616" s="223"/>
      <c r="S616" s="404"/>
      <c r="T616" s="405"/>
      <c r="U616" s="203"/>
      <c r="V616" s="223"/>
      <c r="W616" s="404"/>
      <c r="X616" s="405"/>
      <c r="Y616" s="203"/>
      <c r="Z616" s="223"/>
      <c r="AA616" s="404"/>
      <c r="AB616" s="405"/>
      <c r="AC616" s="203"/>
      <c r="AD616" s="223"/>
      <c r="AE616" s="404"/>
      <c r="AF616" s="405"/>
      <c r="AG616" s="205"/>
      <c r="AH616" s="205"/>
      <c r="AI616" s="205"/>
      <c r="AJ616" s="205"/>
      <c r="AK616" s="401"/>
      <c r="AL616" s="401"/>
      <c r="AM616" s="401"/>
    </row>
    <row r="617">
      <c r="A617" s="320"/>
      <c r="B617" s="321"/>
      <c r="C617" s="322"/>
      <c r="D617" s="401"/>
      <c r="E617" s="320"/>
      <c r="F617" s="321"/>
      <c r="G617" s="322"/>
      <c r="H617" s="401"/>
      <c r="I617" s="320"/>
      <c r="J617" s="321"/>
      <c r="K617" s="322"/>
      <c r="L617" s="401"/>
      <c r="M617" s="320"/>
      <c r="N617" s="321"/>
      <c r="O617" s="322"/>
      <c r="P617" s="401"/>
      <c r="Q617" s="203"/>
      <c r="R617" s="223"/>
      <c r="S617" s="404"/>
      <c r="T617" s="405"/>
      <c r="U617" s="203"/>
      <c r="V617" s="223"/>
      <c r="W617" s="404"/>
      <c r="X617" s="405"/>
      <c r="Y617" s="203"/>
      <c r="Z617" s="223"/>
      <c r="AA617" s="404"/>
      <c r="AB617" s="405"/>
      <c r="AC617" s="203"/>
      <c r="AD617" s="223"/>
      <c r="AE617" s="404"/>
      <c r="AF617" s="405"/>
      <c r="AG617" s="205"/>
      <c r="AH617" s="205"/>
      <c r="AI617" s="205"/>
      <c r="AJ617" s="205"/>
      <c r="AK617" s="401"/>
      <c r="AL617" s="401"/>
      <c r="AM617" s="401"/>
    </row>
    <row r="618">
      <c r="A618" s="320"/>
      <c r="B618" s="321"/>
      <c r="C618" s="322"/>
      <c r="D618" s="401"/>
      <c r="E618" s="320"/>
      <c r="F618" s="321"/>
      <c r="G618" s="322"/>
      <c r="H618" s="401"/>
      <c r="I618" s="320"/>
      <c r="J618" s="321"/>
      <c r="K618" s="322"/>
      <c r="L618" s="401"/>
      <c r="M618" s="320"/>
      <c r="N618" s="321"/>
      <c r="O618" s="322"/>
      <c r="P618" s="401"/>
      <c r="Q618" s="203"/>
      <c r="R618" s="223"/>
      <c r="S618" s="404"/>
      <c r="T618" s="405"/>
      <c r="U618" s="203"/>
      <c r="V618" s="223"/>
      <c r="W618" s="404"/>
      <c r="X618" s="405"/>
      <c r="Y618" s="203"/>
      <c r="Z618" s="223"/>
      <c r="AA618" s="404"/>
      <c r="AB618" s="405"/>
      <c r="AC618" s="203"/>
      <c r="AD618" s="223"/>
      <c r="AE618" s="404"/>
      <c r="AF618" s="405"/>
      <c r="AG618" s="205"/>
      <c r="AH618" s="205"/>
      <c r="AI618" s="205"/>
      <c r="AJ618" s="205"/>
      <c r="AK618" s="401"/>
      <c r="AL618" s="401"/>
      <c r="AM618" s="401"/>
    </row>
    <row r="619">
      <c r="A619" s="320"/>
      <c r="B619" s="321"/>
      <c r="C619" s="322"/>
      <c r="D619" s="401"/>
      <c r="E619" s="320"/>
      <c r="F619" s="321"/>
      <c r="G619" s="322"/>
      <c r="H619" s="401"/>
      <c r="I619" s="320"/>
      <c r="J619" s="321"/>
      <c r="K619" s="322"/>
      <c r="L619" s="401"/>
      <c r="M619" s="320"/>
      <c r="N619" s="321"/>
      <c r="O619" s="322"/>
      <c r="P619" s="401"/>
      <c r="Q619" s="203"/>
      <c r="R619" s="223"/>
      <c r="S619" s="404"/>
      <c r="T619" s="405"/>
      <c r="U619" s="203"/>
      <c r="V619" s="223"/>
      <c r="W619" s="404"/>
      <c r="X619" s="405"/>
      <c r="Y619" s="203"/>
      <c r="Z619" s="223"/>
      <c r="AA619" s="404"/>
      <c r="AB619" s="405"/>
      <c r="AC619" s="203"/>
      <c r="AD619" s="223"/>
      <c r="AE619" s="404"/>
      <c r="AF619" s="405"/>
      <c r="AG619" s="205"/>
      <c r="AH619" s="205"/>
      <c r="AI619" s="205"/>
      <c r="AJ619" s="205"/>
      <c r="AK619" s="401"/>
      <c r="AL619" s="401"/>
      <c r="AM619" s="401"/>
    </row>
    <row r="620">
      <c r="A620" s="320"/>
      <c r="B620" s="321"/>
      <c r="C620" s="322"/>
      <c r="D620" s="401"/>
      <c r="E620" s="320"/>
      <c r="F620" s="321"/>
      <c r="G620" s="322"/>
      <c r="H620" s="401"/>
      <c r="I620" s="320"/>
      <c r="J620" s="321"/>
      <c r="K620" s="322"/>
      <c r="L620" s="401"/>
      <c r="M620" s="320"/>
      <c r="N620" s="321"/>
      <c r="O620" s="322"/>
      <c r="P620" s="401"/>
      <c r="Q620" s="203"/>
      <c r="R620" s="223"/>
      <c r="S620" s="404"/>
      <c r="T620" s="405"/>
      <c r="U620" s="203"/>
      <c r="V620" s="223"/>
      <c r="W620" s="404"/>
      <c r="X620" s="405"/>
      <c r="Y620" s="203"/>
      <c r="Z620" s="223"/>
      <c r="AA620" s="404"/>
      <c r="AB620" s="405"/>
      <c r="AC620" s="203"/>
      <c r="AD620" s="223"/>
      <c r="AE620" s="404"/>
      <c r="AF620" s="405"/>
      <c r="AG620" s="205"/>
      <c r="AH620" s="205"/>
      <c r="AI620" s="205"/>
      <c r="AJ620" s="205"/>
      <c r="AK620" s="401"/>
      <c r="AL620" s="401"/>
      <c r="AM620" s="401"/>
    </row>
    <row r="621">
      <c r="A621" s="320"/>
      <c r="B621" s="321"/>
      <c r="C621" s="322"/>
      <c r="D621" s="401"/>
      <c r="E621" s="320"/>
      <c r="F621" s="321"/>
      <c r="G621" s="322"/>
      <c r="H621" s="401"/>
      <c r="I621" s="320"/>
      <c r="J621" s="321"/>
      <c r="K621" s="322"/>
      <c r="L621" s="401"/>
      <c r="M621" s="320"/>
      <c r="N621" s="321"/>
      <c r="O621" s="322"/>
      <c r="P621" s="401"/>
      <c r="Q621" s="203"/>
      <c r="R621" s="223"/>
      <c r="S621" s="404"/>
      <c r="T621" s="405"/>
      <c r="U621" s="203"/>
      <c r="V621" s="223"/>
      <c r="W621" s="404"/>
      <c r="X621" s="405"/>
      <c r="Y621" s="203"/>
      <c r="Z621" s="223"/>
      <c r="AA621" s="404"/>
      <c r="AB621" s="405"/>
      <c r="AC621" s="203"/>
      <c r="AD621" s="223"/>
      <c r="AE621" s="404"/>
      <c r="AF621" s="405"/>
      <c r="AG621" s="205"/>
      <c r="AH621" s="205"/>
      <c r="AI621" s="205"/>
      <c r="AJ621" s="205"/>
      <c r="AK621" s="401"/>
      <c r="AL621" s="401"/>
      <c r="AM621" s="401"/>
    </row>
    <row r="622">
      <c r="A622" s="320"/>
      <c r="B622" s="321"/>
      <c r="C622" s="322"/>
      <c r="D622" s="401"/>
      <c r="E622" s="320"/>
      <c r="F622" s="321"/>
      <c r="G622" s="322"/>
      <c r="H622" s="401"/>
      <c r="I622" s="320"/>
      <c r="J622" s="321"/>
      <c r="K622" s="322"/>
      <c r="L622" s="401"/>
      <c r="M622" s="320"/>
      <c r="N622" s="321"/>
      <c r="O622" s="322"/>
      <c r="P622" s="401"/>
      <c r="Q622" s="203"/>
      <c r="R622" s="223"/>
      <c r="S622" s="404"/>
      <c r="T622" s="405"/>
      <c r="U622" s="203"/>
      <c r="V622" s="223"/>
      <c r="W622" s="404"/>
      <c r="X622" s="405"/>
      <c r="Y622" s="203"/>
      <c r="Z622" s="223"/>
      <c r="AA622" s="404"/>
      <c r="AB622" s="405"/>
      <c r="AC622" s="203"/>
      <c r="AD622" s="223"/>
      <c r="AE622" s="404"/>
      <c r="AF622" s="405"/>
      <c r="AG622" s="205"/>
      <c r="AH622" s="205"/>
      <c r="AI622" s="205"/>
      <c r="AJ622" s="205"/>
      <c r="AK622" s="401"/>
      <c r="AL622" s="401"/>
      <c r="AM622" s="401"/>
    </row>
    <row r="623">
      <c r="A623" s="320"/>
      <c r="B623" s="321"/>
      <c r="C623" s="322"/>
      <c r="D623" s="401"/>
      <c r="E623" s="320"/>
      <c r="F623" s="321"/>
      <c r="G623" s="322"/>
      <c r="H623" s="401"/>
      <c r="I623" s="320"/>
      <c r="J623" s="321"/>
      <c r="K623" s="322"/>
      <c r="L623" s="401"/>
      <c r="M623" s="320"/>
      <c r="N623" s="321"/>
      <c r="O623" s="322"/>
      <c r="P623" s="401"/>
      <c r="Q623" s="203"/>
      <c r="R623" s="223"/>
      <c r="S623" s="404"/>
      <c r="T623" s="405"/>
      <c r="U623" s="203"/>
      <c r="V623" s="223"/>
      <c r="W623" s="404"/>
      <c r="X623" s="405"/>
      <c r="Y623" s="203"/>
      <c r="Z623" s="223"/>
      <c r="AA623" s="404"/>
      <c r="AB623" s="405"/>
      <c r="AC623" s="203"/>
      <c r="AD623" s="223"/>
      <c r="AE623" s="404"/>
      <c r="AF623" s="405"/>
      <c r="AG623" s="205"/>
      <c r="AH623" s="205"/>
      <c r="AI623" s="205"/>
      <c r="AJ623" s="205"/>
      <c r="AK623" s="401"/>
      <c r="AL623" s="401"/>
      <c r="AM623" s="401"/>
    </row>
    <row r="624">
      <c r="A624" s="320"/>
      <c r="B624" s="321"/>
      <c r="C624" s="322"/>
      <c r="D624" s="401"/>
      <c r="E624" s="320"/>
      <c r="F624" s="321"/>
      <c r="G624" s="322"/>
      <c r="H624" s="401"/>
      <c r="I624" s="320"/>
      <c r="J624" s="321"/>
      <c r="K624" s="322"/>
      <c r="L624" s="401"/>
      <c r="M624" s="320"/>
      <c r="N624" s="321"/>
      <c r="O624" s="322"/>
      <c r="P624" s="401"/>
      <c r="Q624" s="203"/>
      <c r="R624" s="223"/>
      <c r="S624" s="404"/>
      <c r="T624" s="405"/>
      <c r="U624" s="203"/>
      <c r="V624" s="223"/>
      <c r="W624" s="404"/>
      <c r="X624" s="405"/>
      <c r="Y624" s="203"/>
      <c r="Z624" s="223"/>
      <c r="AA624" s="404"/>
      <c r="AB624" s="405"/>
      <c r="AC624" s="203"/>
      <c r="AD624" s="223"/>
      <c r="AE624" s="404"/>
      <c r="AF624" s="405"/>
      <c r="AG624" s="205"/>
      <c r="AH624" s="205"/>
      <c r="AI624" s="205"/>
      <c r="AJ624" s="205"/>
      <c r="AK624" s="401"/>
      <c r="AL624" s="401"/>
      <c r="AM624" s="401"/>
    </row>
    <row r="625">
      <c r="A625" s="320"/>
      <c r="B625" s="321"/>
      <c r="C625" s="322"/>
      <c r="D625" s="401"/>
      <c r="E625" s="320"/>
      <c r="F625" s="321"/>
      <c r="G625" s="322"/>
      <c r="H625" s="401"/>
      <c r="I625" s="320"/>
      <c r="J625" s="321"/>
      <c r="K625" s="322"/>
      <c r="L625" s="401"/>
      <c r="M625" s="320"/>
      <c r="N625" s="321"/>
      <c r="O625" s="322"/>
      <c r="P625" s="401"/>
      <c r="Q625" s="203"/>
      <c r="R625" s="223"/>
      <c r="S625" s="404"/>
      <c r="T625" s="405"/>
      <c r="U625" s="203"/>
      <c r="V625" s="223"/>
      <c r="W625" s="404"/>
      <c r="X625" s="405"/>
      <c r="Y625" s="203"/>
      <c r="Z625" s="223"/>
      <c r="AA625" s="404"/>
      <c r="AB625" s="405"/>
      <c r="AC625" s="203"/>
      <c r="AD625" s="223"/>
      <c r="AE625" s="404"/>
      <c r="AF625" s="405"/>
      <c r="AG625" s="205"/>
      <c r="AH625" s="205"/>
      <c r="AI625" s="205"/>
      <c r="AJ625" s="205"/>
      <c r="AK625" s="401"/>
      <c r="AL625" s="401"/>
      <c r="AM625" s="401"/>
    </row>
    <row r="626">
      <c r="A626" s="320"/>
      <c r="B626" s="321"/>
      <c r="C626" s="322"/>
      <c r="D626" s="401"/>
      <c r="E626" s="320"/>
      <c r="F626" s="321"/>
      <c r="G626" s="322"/>
      <c r="H626" s="401"/>
      <c r="I626" s="320"/>
      <c r="J626" s="321"/>
      <c r="K626" s="322"/>
      <c r="L626" s="401"/>
      <c r="M626" s="320"/>
      <c r="N626" s="321"/>
      <c r="O626" s="322"/>
      <c r="P626" s="401"/>
      <c r="Q626" s="203"/>
      <c r="R626" s="223"/>
      <c r="S626" s="404"/>
      <c r="T626" s="405"/>
      <c r="U626" s="203"/>
      <c r="V626" s="223"/>
      <c r="W626" s="404"/>
      <c r="X626" s="405"/>
      <c r="Y626" s="203"/>
      <c r="Z626" s="223"/>
      <c r="AA626" s="404"/>
      <c r="AB626" s="405"/>
      <c r="AC626" s="203"/>
      <c r="AD626" s="223"/>
      <c r="AE626" s="404"/>
      <c r="AF626" s="405"/>
      <c r="AG626" s="205"/>
      <c r="AH626" s="205"/>
      <c r="AI626" s="205"/>
      <c r="AJ626" s="205"/>
      <c r="AK626" s="401"/>
      <c r="AL626" s="401"/>
      <c r="AM626" s="401"/>
    </row>
    <row r="627">
      <c r="A627" s="320"/>
      <c r="B627" s="321"/>
      <c r="C627" s="322"/>
      <c r="D627" s="401"/>
      <c r="E627" s="320"/>
      <c r="F627" s="321"/>
      <c r="G627" s="322"/>
      <c r="H627" s="401"/>
      <c r="I627" s="320"/>
      <c r="J627" s="321"/>
      <c r="K627" s="322"/>
      <c r="L627" s="401"/>
      <c r="M627" s="320"/>
      <c r="N627" s="321"/>
      <c r="O627" s="322"/>
      <c r="P627" s="401"/>
      <c r="Q627" s="203"/>
      <c r="R627" s="223"/>
      <c r="S627" s="404"/>
      <c r="T627" s="405"/>
      <c r="U627" s="203"/>
      <c r="V627" s="223"/>
      <c r="W627" s="404"/>
      <c r="X627" s="405"/>
      <c r="Y627" s="203"/>
      <c r="Z627" s="223"/>
      <c r="AA627" s="404"/>
      <c r="AB627" s="405"/>
      <c r="AC627" s="203"/>
      <c r="AD627" s="223"/>
      <c r="AE627" s="404"/>
      <c r="AF627" s="405"/>
      <c r="AG627" s="205"/>
      <c r="AH627" s="205"/>
      <c r="AI627" s="205"/>
      <c r="AJ627" s="205"/>
      <c r="AK627" s="401"/>
      <c r="AL627" s="401"/>
      <c r="AM627" s="401"/>
    </row>
    <row r="628">
      <c r="A628" s="320"/>
      <c r="B628" s="321"/>
      <c r="C628" s="322"/>
      <c r="D628" s="401"/>
      <c r="E628" s="320"/>
      <c r="F628" s="321"/>
      <c r="G628" s="322"/>
      <c r="H628" s="401"/>
      <c r="I628" s="320"/>
      <c r="J628" s="321"/>
      <c r="K628" s="322"/>
      <c r="L628" s="401"/>
      <c r="M628" s="320"/>
      <c r="N628" s="321"/>
      <c r="O628" s="322"/>
      <c r="P628" s="401"/>
      <c r="Q628" s="203"/>
      <c r="R628" s="223"/>
      <c r="S628" s="404"/>
      <c r="T628" s="405"/>
      <c r="U628" s="203"/>
      <c r="V628" s="223"/>
      <c r="W628" s="404"/>
      <c r="X628" s="405"/>
      <c r="Y628" s="203"/>
      <c r="Z628" s="223"/>
      <c r="AA628" s="404"/>
      <c r="AB628" s="405"/>
      <c r="AC628" s="203"/>
      <c r="AD628" s="223"/>
      <c r="AE628" s="404"/>
      <c r="AF628" s="405"/>
      <c r="AG628" s="205"/>
      <c r="AH628" s="205"/>
      <c r="AI628" s="205"/>
      <c r="AJ628" s="205"/>
      <c r="AK628" s="401"/>
      <c r="AL628" s="401"/>
      <c r="AM628" s="401"/>
    </row>
    <row r="629">
      <c r="A629" s="320"/>
      <c r="B629" s="321"/>
      <c r="C629" s="322"/>
      <c r="D629" s="401"/>
      <c r="E629" s="320"/>
      <c r="F629" s="321"/>
      <c r="G629" s="322"/>
      <c r="H629" s="401"/>
      <c r="I629" s="320"/>
      <c r="J629" s="321"/>
      <c r="K629" s="322"/>
      <c r="L629" s="401"/>
      <c r="M629" s="320"/>
      <c r="N629" s="321"/>
      <c r="O629" s="322"/>
      <c r="P629" s="401"/>
      <c r="Q629" s="203"/>
      <c r="R629" s="223"/>
      <c r="S629" s="404"/>
      <c r="T629" s="405"/>
      <c r="U629" s="203"/>
      <c r="V629" s="223"/>
      <c r="W629" s="404"/>
      <c r="X629" s="405"/>
      <c r="Y629" s="203"/>
      <c r="Z629" s="223"/>
      <c r="AA629" s="404"/>
      <c r="AB629" s="405"/>
      <c r="AC629" s="203"/>
      <c r="AD629" s="223"/>
      <c r="AE629" s="404"/>
      <c r="AF629" s="405"/>
      <c r="AG629" s="205"/>
      <c r="AH629" s="205"/>
      <c r="AI629" s="205"/>
      <c r="AJ629" s="205"/>
      <c r="AK629" s="401"/>
      <c r="AL629" s="401"/>
      <c r="AM629" s="401"/>
    </row>
    <row r="630">
      <c r="A630" s="320"/>
      <c r="B630" s="321"/>
      <c r="C630" s="322"/>
      <c r="D630" s="401"/>
      <c r="E630" s="320"/>
      <c r="F630" s="321"/>
      <c r="G630" s="322"/>
      <c r="H630" s="401"/>
      <c r="I630" s="320"/>
      <c r="J630" s="321"/>
      <c r="K630" s="322"/>
      <c r="L630" s="401"/>
      <c r="M630" s="320"/>
      <c r="N630" s="321"/>
      <c r="O630" s="322"/>
      <c r="P630" s="401"/>
      <c r="Q630" s="203"/>
      <c r="R630" s="223"/>
      <c r="S630" s="404"/>
      <c r="T630" s="405"/>
      <c r="U630" s="203"/>
      <c r="V630" s="223"/>
      <c r="W630" s="404"/>
      <c r="X630" s="405"/>
      <c r="Y630" s="203"/>
      <c r="Z630" s="223"/>
      <c r="AA630" s="404"/>
      <c r="AB630" s="405"/>
      <c r="AC630" s="203"/>
      <c r="AD630" s="223"/>
      <c r="AE630" s="404"/>
      <c r="AF630" s="405"/>
      <c r="AG630" s="205"/>
      <c r="AH630" s="205"/>
      <c r="AI630" s="205"/>
      <c r="AJ630" s="205"/>
      <c r="AK630" s="401"/>
      <c r="AL630" s="401"/>
      <c r="AM630" s="401"/>
    </row>
    <row r="631">
      <c r="A631" s="320"/>
      <c r="B631" s="321"/>
      <c r="C631" s="322"/>
      <c r="D631" s="401"/>
      <c r="E631" s="320"/>
      <c r="F631" s="321"/>
      <c r="G631" s="322"/>
      <c r="H631" s="401"/>
      <c r="I631" s="320"/>
      <c r="J631" s="321"/>
      <c r="K631" s="322"/>
      <c r="L631" s="401"/>
      <c r="M631" s="320"/>
      <c r="N631" s="321"/>
      <c r="O631" s="322"/>
      <c r="P631" s="401"/>
      <c r="Q631" s="203"/>
      <c r="R631" s="223"/>
      <c r="S631" s="404"/>
      <c r="T631" s="405"/>
      <c r="U631" s="203"/>
      <c r="V631" s="223"/>
      <c r="W631" s="404"/>
      <c r="X631" s="405"/>
      <c r="Y631" s="203"/>
      <c r="Z631" s="223"/>
      <c r="AA631" s="404"/>
      <c r="AB631" s="405"/>
      <c r="AC631" s="203"/>
      <c r="AD631" s="223"/>
      <c r="AE631" s="404"/>
      <c r="AF631" s="405"/>
      <c r="AG631" s="205"/>
      <c r="AH631" s="205"/>
      <c r="AI631" s="205"/>
      <c r="AJ631" s="205"/>
      <c r="AK631" s="401"/>
      <c r="AL631" s="401"/>
      <c r="AM631" s="401"/>
    </row>
    <row r="632">
      <c r="A632" s="320"/>
      <c r="B632" s="321"/>
      <c r="C632" s="322"/>
      <c r="D632" s="401"/>
      <c r="E632" s="320"/>
      <c r="F632" s="321"/>
      <c r="G632" s="322"/>
      <c r="H632" s="401"/>
      <c r="I632" s="320"/>
      <c r="J632" s="321"/>
      <c r="K632" s="322"/>
      <c r="L632" s="401"/>
      <c r="M632" s="320"/>
      <c r="N632" s="321"/>
      <c r="O632" s="322"/>
      <c r="P632" s="401"/>
      <c r="Q632" s="203"/>
      <c r="R632" s="223"/>
      <c r="S632" s="404"/>
      <c r="T632" s="405"/>
      <c r="U632" s="203"/>
      <c r="V632" s="223"/>
      <c r="W632" s="404"/>
      <c r="X632" s="405"/>
      <c r="Y632" s="203"/>
      <c r="Z632" s="223"/>
      <c r="AA632" s="404"/>
      <c r="AB632" s="405"/>
      <c r="AC632" s="203"/>
      <c r="AD632" s="223"/>
      <c r="AE632" s="404"/>
      <c r="AF632" s="405"/>
      <c r="AG632" s="205"/>
      <c r="AH632" s="205"/>
      <c r="AI632" s="205"/>
      <c r="AJ632" s="205"/>
      <c r="AK632" s="401"/>
      <c r="AL632" s="401"/>
      <c r="AM632" s="401"/>
    </row>
    <row r="633">
      <c r="A633" s="320"/>
      <c r="B633" s="321"/>
      <c r="C633" s="322"/>
      <c r="D633" s="401"/>
      <c r="E633" s="320"/>
      <c r="F633" s="321"/>
      <c r="G633" s="322"/>
      <c r="H633" s="401"/>
      <c r="I633" s="320"/>
      <c r="J633" s="321"/>
      <c r="K633" s="322"/>
      <c r="L633" s="401"/>
      <c r="M633" s="320"/>
      <c r="N633" s="321"/>
      <c r="O633" s="322"/>
      <c r="P633" s="401"/>
      <c r="Q633" s="203"/>
      <c r="R633" s="223"/>
      <c r="S633" s="404"/>
      <c r="T633" s="405"/>
      <c r="U633" s="203"/>
      <c r="V633" s="223"/>
      <c r="W633" s="404"/>
      <c r="X633" s="405"/>
      <c r="Y633" s="203"/>
      <c r="Z633" s="223"/>
      <c r="AA633" s="404"/>
      <c r="AB633" s="405"/>
      <c r="AC633" s="203"/>
      <c r="AD633" s="223"/>
      <c r="AE633" s="404"/>
      <c r="AF633" s="405"/>
      <c r="AG633" s="205"/>
      <c r="AH633" s="205"/>
      <c r="AI633" s="205"/>
      <c r="AJ633" s="205"/>
      <c r="AK633" s="401"/>
      <c r="AL633" s="401"/>
      <c r="AM633" s="401"/>
    </row>
    <row r="634">
      <c r="A634" s="320"/>
      <c r="B634" s="321"/>
      <c r="C634" s="322"/>
      <c r="D634" s="401"/>
      <c r="E634" s="320"/>
      <c r="F634" s="321"/>
      <c r="G634" s="322"/>
      <c r="H634" s="401"/>
      <c r="I634" s="320"/>
      <c r="J634" s="321"/>
      <c r="K634" s="322"/>
      <c r="L634" s="401"/>
      <c r="M634" s="320"/>
      <c r="N634" s="321"/>
      <c r="O634" s="322"/>
      <c r="P634" s="401"/>
      <c r="Q634" s="203"/>
      <c r="R634" s="223"/>
      <c r="S634" s="404"/>
      <c r="T634" s="405"/>
      <c r="U634" s="203"/>
      <c r="V634" s="223"/>
      <c r="W634" s="404"/>
      <c r="X634" s="405"/>
      <c r="Y634" s="203"/>
      <c r="Z634" s="223"/>
      <c r="AA634" s="404"/>
      <c r="AB634" s="405"/>
      <c r="AC634" s="203"/>
      <c r="AD634" s="223"/>
      <c r="AE634" s="404"/>
      <c r="AF634" s="405"/>
      <c r="AG634" s="205"/>
      <c r="AH634" s="205"/>
      <c r="AI634" s="205"/>
      <c r="AJ634" s="205"/>
      <c r="AK634" s="401"/>
      <c r="AL634" s="401"/>
      <c r="AM634" s="401"/>
    </row>
    <row r="635">
      <c r="A635" s="320"/>
      <c r="B635" s="321"/>
      <c r="C635" s="322"/>
      <c r="D635" s="401"/>
      <c r="E635" s="320"/>
      <c r="F635" s="321"/>
      <c r="G635" s="322"/>
      <c r="H635" s="401"/>
      <c r="I635" s="320"/>
      <c r="J635" s="321"/>
      <c r="K635" s="322"/>
      <c r="L635" s="401"/>
      <c r="M635" s="320"/>
      <c r="N635" s="321"/>
      <c r="O635" s="322"/>
      <c r="P635" s="401"/>
      <c r="Q635" s="203"/>
      <c r="R635" s="223"/>
      <c r="S635" s="404"/>
      <c r="T635" s="405"/>
      <c r="U635" s="203"/>
      <c r="V635" s="223"/>
      <c r="W635" s="404"/>
      <c r="X635" s="405"/>
      <c r="Y635" s="203"/>
      <c r="Z635" s="223"/>
      <c r="AA635" s="404"/>
      <c r="AB635" s="405"/>
      <c r="AC635" s="203"/>
      <c r="AD635" s="223"/>
      <c r="AE635" s="404"/>
      <c r="AF635" s="405"/>
      <c r="AG635" s="205"/>
      <c r="AH635" s="205"/>
      <c r="AI635" s="205"/>
      <c r="AJ635" s="205"/>
      <c r="AK635" s="401"/>
      <c r="AL635" s="401"/>
      <c r="AM635" s="401"/>
    </row>
    <row r="636">
      <c r="A636" s="320"/>
      <c r="B636" s="321"/>
      <c r="C636" s="322"/>
      <c r="D636" s="401"/>
      <c r="E636" s="320"/>
      <c r="F636" s="321"/>
      <c r="G636" s="322"/>
      <c r="H636" s="401"/>
      <c r="I636" s="320"/>
      <c r="J636" s="321"/>
      <c r="K636" s="322"/>
      <c r="L636" s="401"/>
      <c r="M636" s="320"/>
      <c r="N636" s="321"/>
      <c r="O636" s="322"/>
      <c r="P636" s="401"/>
      <c r="Q636" s="203"/>
      <c r="R636" s="223"/>
      <c r="S636" s="404"/>
      <c r="T636" s="405"/>
      <c r="U636" s="203"/>
      <c r="V636" s="223"/>
      <c r="W636" s="404"/>
      <c r="X636" s="405"/>
      <c r="Y636" s="203"/>
      <c r="Z636" s="223"/>
      <c r="AA636" s="404"/>
      <c r="AB636" s="405"/>
      <c r="AC636" s="203"/>
      <c r="AD636" s="223"/>
      <c r="AE636" s="404"/>
      <c r="AF636" s="405"/>
      <c r="AG636" s="205"/>
      <c r="AH636" s="205"/>
      <c r="AI636" s="205"/>
      <c r="AJ636" s="205"/>
      <c r="AK636" s="401"/>
      <c r="AL636" s="401"/>
      <c r="AM636" s="401"/>
    </row>
    <row r="637">
      <c r="A637" s="320"/>
      <c r="B637" s="321"/>
      <c r="C637" s="322"/>
      <c r="D637" s="401"/>
      <c r="E637" s="320"/>
      <c r="F637" s="321"/>
      <c r="G637" s="322"/>
      <c r="H637" s="401"/>
      <c r="I637" s="320"/>
      <c r="J637" s="321"/>
      <c r="K637" s="322"/>
      <c r="L637" s="401"/>
      <c r="M637" s="320"/>
      <c r="N637" s="321"/>
      <c r="O637" s="322"/>
      <c r="P637" s="401"/>
      <c r="Q637" s="203"/>
      <c r="R637" s="223"/>
      <c r="S637" s="404"/>
      <c r="T637" s="405"/>
      <c r="U637" s="203"/>
      <c r="V637" s="223"/>
      <c r="W637" s="404"/>
      <c r="X637" s="405"/>
      <c r="Y637" s="203"/>
      <c r="Z637" s="223"/>
      <c r="AA637" s="404"/>
      <c r="AB637" s="405"/>
      <c r="AC637" s="203"/>
      <c r="AD637" s="223"/>
      <c r="AE637" s="404"/>
      <c r="AF637" s="405"/>
      <c r="AG637" s="205"/>
      <c r="AH637" s="205"/>
      <c r="AI637" s="205"/>
      <c r="AJ637" s="205"/>
      <c r="AK637" s="401"/>
      <c r="AL637" s="401"/>
      <c r="AM637" s="401"/>
    </row>
    <row r="638">
      <c r="A638" s="320"/>
      <c r="B638" s="321"/>
      <c r="C638" s="322"/>
      <c r="D638" s="401"/>
      <c r="E638" s="320"/>
      <c r="F638" s="321"/>
      <c r="G638" s="322"/>
      <c r="H638" s="401"/>
      <c r="I638" s="320"/>
      <c r="J638" s="321"/>
      <c r="K638" s="322"/>
      <c r="L638" s="401"/>
      <c r="M638" s="320"/>
      <c r="N638" s="321"/>
      <c r="O638" s="322"/>
      <c r="P638" s="401"/>
      <c r="Q638" s="203"/>
      <c r="R638" s="223"/>
      <c r="S638" s="404"/>
      <c r="T638" s="405"/>
      <c r="U638" s="203"/>
      <c r="V638" s="223"/>
      <c r="W638" s="404"/>
      <c r="X638" s="405"/>
      <c r="Y638" s="203"/>
      <c r="Z638" s="223"/>
      <c r="AA638" s="404"/>
      <c r="AB638" s="405"/>
      <c r="AC638" s="203"/>
      <c r="AD638" s="223"/>
      <c r="AE638" s="404"/>
      <c r="AF638" s="405"/>
      <c r="AG638" s="205"/>
      <c r="AH638" s="205"/>
      <c r="AI638" s="205"/>
      <c r="AJ638" s="205"/>
      <c r="AK638" s="401"/>
      <c r="AL638" s="401"/>
      <c r="AM638" s="401"/>
    </row>
    <row r="639">
      <c r="A639" s="320"/>
      <c r="B639" s="321"/>
      <c r="C639" s="322"/>
      <c r="D639" s="401"/>
      <c r="E639" s="320"/>
      <c r="F639" s="321"/>
      <c r="G639" s="322"/>
      <c r="H639" s="401"/>
      <c r="I639" s="320"/>
      <c r="J639" s="321"/>
      <c r="K639" s="322"/>
      <c r="L639" s="401"/>
      <c r="M639" s="320"/>
      <c r="N639" s="321"/>
      <c r="O639" s="322"/>
      <c r="P639" s="401"/>
      <c r="Q639" s="203"/>
      <c r="R639" s="223"/>
      <c r="S639" s="404"/>
      <c r="T639" s="405"/>
      <c r="U639" s="203"/>
      <c r="V639" s="223"/>
      <c r="W639" s="404"/>
      <c r="X639" s="405"/>
      <c r="Y639" s="203"/>
      <c r="Z639" s="223"/>
      <c r="AA639" s="404"/>
      <c r="AB639" s="405"/>
      <c r="AC639" s="203"/>
      <c r="AD639" s="223"/>
      <c r="AE639" s="404"/>
      <c r="AF639" s="405"/>
      <c r="AG639" s="205"/>
      <c r="AH639" s="205"/>
      <c r="AI639" s="205"/>
      <c r="AJ639" s="205"/>
      <c r="AK639" s="401"/>
      <c r="AL639" s="401"/>
      <c r="AM639" s="401"/>
    </row>
    <row r="640">
      <c r="A640" s="320"/>
      <c r="B640" s="321"/>
      <c r="C640" s="322"/>
      <c r="D640" s="401"/>
      <c r="E640" s="320"/>
      <c r="F640" s="321"/>
      <c r="G640" s="322"/>
      <c r="H640" s="401"/>
      <c r="I640" s="320"/>
      <c r="J640" s="321"/>
      <c r="K640" s="322"/>
      <c r="L640" s="401"/>
      <c r="M640" s="320"/>
      <c r="N640" s="321"/>
      <c r="O640" s="322"/>
      <c r="P640" s="401"/>
      <c r="Q640" s="203"/>
      <c r="R640" s="223"/>
      <c r="S640" s="404"/>
      <c r="T640" s="405"/>
      <c r="U640" s="203"/>
      <c r="V640" s="223"/>
      <c r="W640" s="404"/>
      <c r="X640" s="405"/>
      <c r="Y640" s="203"/>
      <c r="Z640" s="223"/>
      <c r="AA640" s="404"/>
      <c r="AB640" s="405"/>
      <c r="AC640" s="203"/>
      <c r="AD640" s="223"/>
      <c r="AE640" s="404"/>
      <c r="AF640" s="405"/>
      <c r="AG640" s="205"/>
      <c r="AH640" s="205"/>
      <c r="AI640" s="205"/>
      <c r="AJ640" s="205"/>
      <c r="AK640" s="401"/>
      <c r="AL640" s="401"/>
      <c r="AM640" s="401"/>
    </row>
    <row r="641">
      <c r="A641" s="320"/>
      <c r="B641" s="321"/>
      <c r="C641" s="322"/>
      <c r="D641" s="401"/>
      <c r="E641" s="320"/>
      <c r="F641" s="321"/>
      <c r="G641" s="322"/>
      <c r="H641" s="401"/>
      <c r="I641" s="320"/>
      <c r="J641" s="321"/>
      <c r="K641" s="322"/>
      <c r="L641" s="401"/>
      <c r="M641" s="320"/>
      <c r="N641" s="321"/>
      <c r="O641" s="322"/>
      <c r="P641" s="401"/>
      <c r="Q641" s="203"/>
      <c r="R641" s="223"/>
      <c r="S641" s="404"/>
      <c r="T641" s="405"/>
      <c r="U641" s="203"/>
      <c r="V641" s="223"/>
      <c r="W641" s="404"/>
      <c r="X641" s="405"/>
      <c r="Y641" s="203"/>
      <c r="Z641" s="223"/>
      <c r="AA641" s="404"/>
      <c r="AB641" s="405"/>
      <c r="AC641" s="203"/>
      <c r="AD641" s="223"/>
      <c r="AE641" s="404"/>
      <c r="AF641" s="405"/>
      <c r="AG641" s="205"/>
      <c r="AH641" s="205"/>
      <c r="AI641" s="205"/>
      <c r="AJ641" s="205"/>
      <c r="AK641" s="401"/>
      <c r="AL641" s="401"/>
      <c r="AM641" s="401"/>
    </row>
    <row r="642">
      <c r="A642" s="320"/>
      <c r="B642" s="321"/>
      <c r="C642" s="322"/>
      <c r="D642" s="401"/>
      <c r="E642" s="320"/>
      <c r="F642" s="321"/>
      <c r="G642" s="322"/>
      <c r="H642" s="401"/>
      <c r="I642" s="320"/>
      <c r="J642" s="321"/>
      <c r="K642" s="322"/>
      <c r="L642" s="401"/>
      <c r="M642" s="320"/>
      <c r="N642" s="321"/>
      <c r="O642" s="322"/>
      <c r="P642" s="401"/>
      <c r="Q642" s="203"/>
      <c r="R642" s="223"/>
      <c r="S642" s="404"/>
      <c r="T642" s="405"/>
      <c r="U642" s="203"/>
      <c r="V642" s="223"/>
      <c r="W642" s="404"/>
      <c r="X642" s="405"/>
      <c r="Y642" s="203"/>
      <c r="Z642" s="223"/>
      <c r="AA642" s="404"/>
      <c r="AB642" s="405"/>
      <c r="AC642" s="203"/>
      <c r="AD642" s="223"/>
      <c r="AE642" s="404"/>
      <c r="AF642" s="405"/>
      <c r="AG642" s="205"/>
      <c r="AH642" s="205"/>
      <c r="AI642" s="205"/>
      <c r="AJ642" s="205"/>
      <c r="AK642" s="401"/>
      <c r="AL642" s="401"/>
      <c r="AM642" s="401"/>
    </row>
    <row r="643">
      <c r="A643" s="320"/>
      <c r="B643" s="321"/>
      <c r="C643" s="322"/>
      <c r="D643" s="401"/>
      <c r="E643" s="320"/>
      <c r="F643" s="321"/>
      <c r="G643" s="322"/>
      <c r="H643" s="401"/>
      <c r="I643" s="320"/>
      <c r="J643" s="321"/>
      <c r="K643" s="322"/>
      <c r="L643" s="401"/>
      <c r="M643" s="320"/>
      <c r="N643" s="321"/>
      <c r="O643" s="322"/>
      <c r="P643" s="401"/>
      <c r="Q643" s="203"/>
      <c r="R643" s="223"/>
      <c r="S643" s="404"/>
      <c r="T643" s="405"/>
      <c r="U643" s="203"/>
      <c r="V643" s="223"/>
      <c r="W643" s="404"/>
      <c r="X643" s="405"/>
      <c r="Y643" s="203"/>
      <c r="Z643" s="223"/>
      <c r="AA643" s="404"/>
      <c r="AB643" s="405"/>
      <c r="AC643" s="203"/>
      <c r="AD643" s="223"/>
      <c r="AE643" s="404"/>
      <c r="AF643" s="405"/>
      <c r="AG643" s="205"/>
      <c r="AH643" s="205"/>
      <c r="AI643" s="205"/>
      <c r="AJ643" s="205"/>
      <c r="AK643" s="401"/>
      <c r="AL643" s="401"/>
      <c r="AM643" s="401"/>
    </row>
    <row r="644">
      <c r="A644" s="320"/>
      <c r="B644" s="321"/>
      <c r="C644" s="322"/>
      <c r="D644" s="401"/>
      <c r="E644" s="320"/>
      <c r="F644" s="321"/>
      <c r="G644" s="322"/>
      <c r="H644" s="401"/>
      <c r="I644" s="320"/>
      <c r="J644" s="321"/>
      <c r="K644" s="322"/>
      <c r="L644" s="401"/>
      <c r="M644" s="320"/>
      <c r="N644" s="321"/>
      <c r="O644" s="322"/>
      <c r="P644" s="401"/>
      <c r="Q644" s="203"/>
      <c r="R644" s="223"/>
      <c r="S644" s="404"/>
      <c r="T644" s="405"/>
      <c r="U644" s="203"/>
      <c r="V644" s="223"/>
      <c r="W644" s="404"/>
      <c r="X644" s="405"/>
      <c r="Y644" s="203"/>
      <c r="Z644" s="223"/>
      <c r="AA644" s="404"/>
      <c r="AB644" s="405"/>
      <c r="AC644" s="203"/>
      <c r="AD644" s="223"/>
      <c r="AE644" s="404"/>
      <c r="AF644" s="405"/>
      <c r="AG644" s="205"/>
      <c r="AH644" s="205"/>
      <c r="AI644" s="205"/>
      <c r="AJ644" s="205"/>
      <c r="AK644" s="401"/>
      <c r="AL644" s="401"/>
      <c r="AM644" s="401"/>
    </row>
    <row r="645">
      <c r="A645" s="320"/>
      <c r="B645" s="321"/>
      <c r="C645" s="322"/>
      <c r="D645" s="401"/>
      <c r="E645" s="320"/>
      <c r="F645" s="321"/>
      <c r="G645" s="322"/>
      <c r="H645" s="401"/>
      <c r="I645" s="320"/>
      <c r="J645" s="321"/>
      <c r="K645" s="322"/>
      <c r="L645" s="401"/>
      <c r="M645" s="320"/>
      <c r="N645" s="321"/>
      <c r="O645" s="322"/>
      <c r="P645" s="401"/>
      <c r="Q645" s="203"/>
      <c r="R645" s="223"/>
      <c r="S645" s="404"/>
      <c r="T645" s="405"/>
      <c r="U645" s="203"/>
      <c r="V645" s="223"/>
      <c r="W645" s="404"/>
      <c r="X645" s="405"/>
      <c r="Y645" s="203"/>
      <c r="Z645" s="223"/>
      <c r="AA645" s="404"/>
      <c r="AB645" s="405"/>
      <c r="AC645" s="203"/>
      <c r="AD645" s="223"/>
      <c r="AE645" s="404"/>
      <c r="AF645" s="405"/>
      <c r="AG645" s="205"/>
      <c r="AH645" s="205"/>
      <c r="AI645" s="205"/>
      <c r="AJ645" s="205"/>
      <c r="AK645" s="401"/>
      <c r="AL645" s="401"/>
      <c r="AM645" s="401"/>
    </row>
    <row r="646">
      <c r="A646" s="320"/>
      <c r="B646" s="321"/>
      <c r="C646" s="322"/>
      <c r="D646" s="401"/>
      <c r="E646" s="320"/>
      <c r="F646" s="321"/>
      <c r="G646" s="322"/>
      <c r="H646" s="401"/>
      <c r="I646" s="320"/>
      <c r="J646" s="321"/>
      <c r="K646" s="322"/>
      <c r="L646" s="401"/>
      <c r="M646" s="320"/>
      <c r="N646" s="321"/>
      <c r="O646" s="322"/>
      <c r="P646" s="401"/>
      <c r="Q646" s="203"/>
      <c r="R646" s="223"/>
      <c r="S646" s="404"/>
      <c r="T646" s="405"/>
      <c r="U646" s="203"/>
      <c r="V646" s="223"/>
      <c r="W646" s="404"/>
      <c r="X646" s="405"/>
      <c r="Y646" s="203"/>
      <c r="Z646" s="223"/>
      <c r="AA646" s="404"/>
      <c r="AB646" s="405"/>
      <c r="AC646" s="203"/>
      <c r="AD646" s="223"/>
      <c r="AE646" s="404"/>
      <c r="AF646" s="405"/>
      <c r="AG646" s="205"/>
      <c r="AH646" s="205"/>
      <c r="AI646" s="205"/>
      <c r="AJ646" s="205"/>
      <c r="AK646" s="401"/>
      <c r="AL646" s="401"/>
      <c r="AM646" s="401"/>
    </row>
    <row r="647">
      <c r="A647" s="320"/>
      <c r="B647" s="321"/>
      <c r="C647" s="322"/>
      <c r="D647" s="401"/>
      <c r="E647" s="320"/>
      <c r="F647" s="321"/>
      <c r="G647" s="322"/>
      <c r="H647" s="401"/>
      <c r="I647" s="320"/>
      <c r="J647" s="321"/>
      <c r="K647" s="322"/>
      <c r="L647" s="401"/>
      <c r="M647" s="320"/>
      <c r="N647" s="321"/>
      <c r="O647" s="322"/>
      <c r="P647" s="401"/>
      <c r="Q647" s="203"/>
      <c r="R647" s="223"/>
      <c r="S647" s="404"/>
      <c r="T647" s="405"/>
      <c r="U647" s="203"/>
      <c r="V647" s="223"/>
      <c r="W647" s="404"/>
      <c r="X647" s="405"/>
      <c r="Y647" s="203"/>
      <c r="Z647" s="223"/>
      <c r="AA647" s="404"/>
      <c r="AB647" s="405"/>
      <c r="AC647" s="203"/>
      <c r="AD647" s="223"/>
      <c r="AE647" s="404"/>
      <c r="AF647" s="405"/>
      <c r="AG647" s="205"/>
      <c r="AH647" s="205"/>
      <c r="AI647" s="205"/>
      <c r="AJ647" s="205"/>
      <c r="AK647" s="401"/>
      <c r="AL647" s="401"/>
      <c r="AM647" s="401"/>
    </row>
    <row r="648">
      <c r="A648" s="320"/>
      <c r="B648" s="321"/>
      <c r="C648" s="322"/>
      <c r="D648" s="401"/>
      <c r="E648" s="320"/>
      <c r="F648" s="321"/>
      <c r="G648" s="322"/>
      <c r="H648" s="401"/>
      <c r="I648" s="320"/>
      <c r="J648" s="321"/>
      <c r="K648" s="322"/>
      <c r="L648" s="401"/>
      <c r="M648" s="320"/>
      <c r="N648" s="321"/>
      <c r="O648" s="322"/>
      <c r="P648" s="401"/>
      <c r="Q648" s="203"/>
      <c r="R648" s="223"/>
      <c r="S648" s="404"/>
      <c r="T648" s="405"/>
      <c r="U648" s="203"/>
      <c r="V648" s="223"/>
      <c r="W648" s="404"/>
      <c r="X648" s="405"/>
      <c r="Y648" s="203"/>
      <c r="Z648" s="223"/>
      <c r="AA648" s="404"/>
      <c r="AB648" s="405"/>
      <c r="AC648" s="203"/>
      <c r="AD648" s="223"/>
      <c r="AE648" s="404"/>
      <c r="AF648" s="405"/>
      <c r="AG648" s="205"/>
      <c r="AH648" s="205"/>
      <c r="AI648" s="205"/>
      <c r="AJ648" s="205"/>
      <c r="AK648" s="401"/>
      <c r="AL648" s="401"/>
      <c r="AM648" s="401"/>
    </row>
    <row r="649">
      <c r="A649" s="320"/>
      <c r="B649" s="321"/>
      <c r="C649" s="322"/>
      <c r="D649" s="401"/>
      <c r="E649" s="320"/>
      <c r="F649" s="321"/>
      <c r="G649" s="322"/>
      <c r="H649" s="401"/>
      <c r="I649" s="320"/>
      <c r="J649" s="321"/>
      <c r="K649" s="322"/>
      <c r="L649" s="401"/>
      <c r="M649" s="320"/>
      <c r="N649" s="321"/>
      <c r="O649" s="322"/>
      <c r="P649" s="401"/>
      <c r="Q649" s="203"/>
      <c r="R649" s="223"/>
      <c r="S649" s="404"/>
      <c r="T649" s="405"/>
      <c r="U649" s="203"/>
      <c r="V649" s="223"/>
      <c r="W649" s="404"/>
      <c r="X649" s="405"/>
      <c r="Y649" s="203"/>
      <c r="Z649" s="223"/>
      <c r="AA649" s="404"/>
      <c r="AB649" s="405"/>
      <c r="AC649" s="203"/>
      <c r="AD649" s="223"/>
      <c r="AE649" s="404"/>
      <c r="AF649" s="405"/>
      <c r="AG649" s="205"/>
      <c r="AH649" s="205"/>
      <c r="AI649" s="205"/>
      <c r="AJ649" s="205"/>
      <c r="AK649" s="401"/>
      <c r="AL649" s="401"/>
      <c r="AM649" s="401"/>
    </row>
    <row r="650">
      <c r="A650" s="320"/>
      <c r="B650" s="321"/>
      <c r="C650" s="322"/>
      <c r="D650" s="401"/>
      <c r="E650" s="320"/>
      <c r="F650" s="321"/>
      <c r="G650" s="322"/>
      <c r="H650" s="401"/>
      <c r="I650" s="320"/>
      <c r="J650" s="321"/>
      <c r="K650" s="322"/>
      <c r="L650" s="401"/>
      <c r="M650" s="320"/>
      <c r="N650" s="321"/>
      <c r="O650" s="322"/>
      <c r="P650" s="401"/>
      <c r="Q650" s="203"/>
      <c r="R650" s="223"/>
      <c r="S650" s="404"/>
      <c r="T650" s="405"/>
      <c r="U650" s="203"/>
      <c r="V650" s="223"/>
      <c r="W650" s="404"/>
      <c r="X650" s="405"/>
      <c r="Y650" s="203"/>
      <c r="Z650" s="223"/>
      <c r="AA650" s="404"/>
      <c r="AB650" s="405"/>
      <c r="AC650" s="203"/>
      <c r="AD650" s="223"/>
      <c r="AE650" s="404"/>
      <c r="AF650" s="405"/>
      <c r="AG650" s="205"/>
      <c r="AH650" s="205"/>
      <c r="AI650" s="205"/>
      <c r="AJ650" s="205"/>
      <c r="AK650" s="401"/>
      <c r="AL650" s="401"/>
      <c r="AM650" s="401"/>
    </row>
    <row r="651">
      <c r="A651" s="320"/>
      <c r="B651" s="321"/>
      <c r="C651" s="322"/>
      <c r="D651" s="401"/>
      <c r="E651" s="320"/>
      <c r="F651" s="321"/>
      <c r="G651" s="322"/>
      <c r="H651" s="401"/>
      <c r="I651" s="320"/>
      <c r="J651" s="321"/>
      <c r="K651" s="322"/>
      <c r="L651" s="401"/>
      <c r="M651" s="320"/>
      <c r="N651" s="321"/>
      <c r="O651" s="322"/>
      <c r="P651" s="401"/>
      <c r="Q651" s="203"/>
      <c r="R651" s="223"/>
      <c r="S651" s="404"/>
      <c r="T651" s="405"/>
      <c r="U651" s="203"/>
      <c r="V651" s="223"/>
      <c r="W651" s="404"/>
      <c r="X651" s="405"/>
      <c r="Y651" s="203"/>
      <c r="Z651" s="223"/>
      <c r="AA651" s="404"/>
      <c r="AB651" s="405"/>
      <c r="AC651" s="203"/>
      <c r="AD651" s="223"/>
      <c r="AE651" s="404"/>
      <c r="AF651" s="405"/>
      <c r="AG651" s="205"/>
      <c r="AH651" s="205"/>
      <c r="AI651" s="205"/>
      <c r="AJ651" s="205"/>
      <c r="AK651" s="401"/>
      <c r="AL651" s="401"/>
      <c r="AM651" s="401"/>
    </row>
    <row r="652">
      <c r="A652" s="320"/>
      <c r="B652" s="321"/>
      <c r="C652" s="322"/>
      <c r="D652" s="401"/>
      <c r="E652" s="320"/>
      <c r="F652" s="321"/>
      <c r="G652" s="322"/>
      <c r="H652" s="401"/>
      <c r="I652" s="320"/>
      <c r="J652" s="321"/>
      <c r="K652" s="322"/>
      <c r="L652" s="401"/>
      <c r="M652" s="320"/>
      <c r="N652" s="321"/>
      <c r="O652" s="322"/>
      <c r="P652" s="401"/>
      <c r="Q652" s="203"/>
      <c r="R652" s="223"/>
      <c r="S652" s="404"/>
      <c r="T652" s="405"/>
      <c r="U652" s="203"/>
      <c r="V652" s="223"/>
      <c r="W652" s="404"/>
      <c r="X652" s="405"/>
      <c r="Y652" s="203"/>
      <c r="Z652" s="223"/>
      <c r="AA652" s="404"/>
      <c r="AB652" s="405"/>
      <c r="AC652" s="203"/>
      <c r="AD652" s="223"/>
      <c r="AE652" s="404"/>
      <c r="AF652" s="405"/>
      <c r="AG652" s="205"/>
      <c r="AH652" s="205"/>
      <c r="AI652" s="205"/>
      <c r="AJ652" s="205"/>
      <c r="AK652" s="401"/>
      <c r="AL652" s="401"/>
      <c r="AM652" s="401"/>
    </row>
    <row r="653">
      <c r="A653" s="320"/>
      <c r="B653" s="321"/>
      <c r="C653" s="322"/>
      <c r="D653" s="401"/>
      <c r="E653" s="320"/>
      <c r="F653" s="321"/>
      <c r="G653" s="322"/>
      <c r="H653" s="401"/>
      <c r="I653" s="320"/>
      <c r="J653" s="321"/>
      <c r="K653" s="322"/>
      <c r="L653" s="401"/>
      <c r="M653" s="320"/>
      <c r="N653" s="321"/>
      <c r="O653" s="322"/>
      <c r="P653" s="401"/>
      <c r="Q653" s="203"/>
      <c r="R653" s="223"/>
      <c r="S653" s="404"/>
      <c r="T653" s="405"/>
      <c r="U653" s="203"/>
      <c r="V653" s="223"/>
      <c r="W653" s="404"/>
      <c r="X653" s="405"/>
      <c r="Y653" s="203"/>
      <c r="Z653" s="223"/>
      <c r="AA653" s="404"/>
      <c r="AB653" s="405"/>
      <c r="AC653" s="203"/>
      <c r="AD653" s="223"/>
      <c r="AE653" s="404"/>
      <c r="AF653" s="405"/>
      <c r="AG653" s="205"/>
      <c r="AH653" s="205"/>
      <c r="AI653" s="205"/>
      <c r="AJ653" s="205"/>
      <c r="AK653" s="401"/>
      <c r="AL653" s="401"/>
      <c r="AM653" s="401"/>
    </row>
    <row r="654">
      <c r="A654" s="320"/>
      <c r="B654" s="321"/>
      <c r="C654" s="322"/>
      <c r="D654" s="401"/>
      <c r="E654" s="320"/>
      <c r="F654" s="321"/>
      <c r="G654" s="322"/>
      <c r="H654" s="401"/>
      <c r="I654" s="320"/>
      <c r="J654" s="321"/>
      <c r="K654" s="322"/>
      <c r="L654" s="401"/>
      <c r="M654" s="320"/>
      <c r="N654" s="321"/>
      <c r="O654" s="322"/>
      <c r="P654" s="401"/>
      <c r="Q654" s="203"/>
      <c r="R654" s="223"/>
      <c r="S654" s="404"/>
      <c r="T654" s="405"/>
      <c r="U654" s="203"/>
      <c r="V654" s="223"/>
      <c r="W654" s="404"/>
      <c r="X654" s="405"/>
      <c r="Y654" s="203"/>
      <c r="Z654" s="223"/>
      <c r="AA654" s="404"/>
      <c r="AB654" s="405"/>
      <c r="AC654" s="203"/>
      <c r="AD654" s="223"/>
      <c r="AE654" s="404"/>
      <c r="AF654" s="405"/>
      <c r="AG654" s="205"/>
      <c r="AH654" s="205"/>
      <c r="AI654" s="205"/>
      <c r="AJ654" s="205"/>
      <c r="AK654" s="401"/>
      <c r="AL654" s="401"/>
      <c r="AM654" s="401"/>
    </row>
    <row r="655">
      <c r="A655" s="320"/>
      <c r="B655" s="321"/>
      <c r="C655" s="322"/>
      <c r="D655" s="401"/>
      <c r="E655" s="320"/>
      <c r="F655" s="321"/>
      <c r="G655" s="322"/>
      <c r="H655" s="401"/>
      <c r="I655" s="320"/>
      <c r="J655" s="321"/>
      <c r="K655" s="322"/>
      <c r="L655" s="401"/>
      <c r="M655" s="320"/>
      <c r="N655" s="321"/>
      <c r="O655" s="322"/>
      <c r="P655" s="401"/>
      <c r="Q655" s="203"/>
      <c r="R655" s="223"/>
      <c r="S655" s="404"/>
      <c r="T655" s="405"/>
      <c r="U655" s="203"/>
      <c r="V655" s="223"/>
      <c r="W655" s="404"/>
      <c r="X655" s="405"/>
      <c r="Y655" s="203"/>
      <c r="Z655" s="223"/>
      <c r="AA655" s="404"/>
      <c r="AB655" s="405"/>
      <c r="AC655" s="203"/>
      <c r="AD655" s="223"/>
      <c r="AE655" s="404"/>
      <c r="AF655" s="405"/>
      <c r="AG655" s="205"/>
      <c r="AH655" s="205"/>
      <c r="AI655" s="205"/>
      <c r="AJ655" s="205"/>
      <c r="AK655" s="401"/>
      <c r="AL655" s="401"/>
      <c r="AM655" s="401"/>
    </row>
    <row r="656">
      <c r="A656" s="320"/>
      <c r="B656" s="321"/>
      <c r="C656" s="322"/>
      <c r="D656" s="401"/>
      <c r="E656" s="320"/>
      <c r="F656" s="321"/>
      <c r="G656" s="322"/>
      <c r="H656" s="401"/>
      <c r="I656" s="320"/>
      <c r="J656" s="321"/>
      <c r="K656" s="322"/>
      <c r="L656" s="401"/>
      <c r="M656" s="320"/>
      <c r="N656" s="321"/>
      <c r="O656" s="322"/>
      <c r="P656" s="401"/>
      <c r="Q656" s="203"/>
      <c r="R656" s="223"/>
      <c r="S656" s="404"/>
      <c r="T656" s="405"/>
      <c r="U656" s="203"/>
      <c r="V656" s="223"/>
      <c r="W656" s="404"/>
      <c r="X656" s="405"/>
      <c r="Y656" s="203"/>
      <c r="Z656" s="223"/>
      <c r="AA656" s="404"/>
      <c r="AB656" s="405"/>
      <c r="AC656" s="203"/>
      <c r="AD656" s="223"/>
      <c r="AE656" s="404"/>
      <c r="AF656" s="405"/>
      <c r="AG656" s="205"/>
      <c r="AH656" s="205"/>
      <c r="AI656" s="205"/>
      <c r="AJ656" s="205"/>
      <c r="AK656" s="401"/>
      <c r="AL656" s="401"/>
      <c r="AM656" s="401"/>
    </row>
    <row r="657">
      <c r="A657" s="320"/>
      <c r="B657" s="321"/>
      <c r="C657" s="322"/>
      <c r="D657" s="401"/>
      <c r="E657" s="320"/>
      <c r="F657" s="321"/>
      <c r="G657" s="322"/>
      <c r="H657" s="401"/>
      <c r="I657" s="320"/>
      <c r="J657" s="321"/>
      <c r="K657" s="322"/>
      <c r="L657" s="401"/>
      <c r="M657" s="320"/>
      <c r="N657" s="321"/>
      <c r="O657" s="322"/>
      <c r="P657" s="401"/>
      <c r="Q657" s="203"/>
      <c r="R657" s="223"/>
      <c r="S657" s="404"/>
      <c r="T657" s="405"/>
      <c r="U657" s="203"/>
      <c r="V657" s="223"/>
      <c r="W657" s="404"/>
      <c r="X657" s="405"/>
      <c r="Y657" s="203"/>
      <c r="Z657" s="223"/>
      <c r="AA657" s="404"/>
      <c r="AB657" s="405"/>
      <c r="AC657" s="203"/>
      <c r="AD657" s="223"/>
      <c r="AE657" s="404"/>
      <c r="AF657" s="405"/>
      <c r="AG657" s="205"/>
      <c r="AH657" s="205"/>
      <c r="AI657" s="205"/>
      <c r="AJ657" s="205"/>
      <c r="AK657" s="401"/>
      <c r="AL657" s="401"/>
      <c r="AM657" s="401"/>
    </row>
    <row r="658">
      <c r="A658" s="320"/>
      <c r="B658" s="321"/>
      <c r="C658" s="322"/>
      <c r="D658" s="401"/>
      <c r="E658" s="320"/>
      <c r="F658" s="321"/>
      <c r="G658" s="322"/>
      <c r="H658" s="401"/>
      <c r="I658" s="320"/>
      <c r="J658" s="321"/>
      <c r="K658" s="322"/>
      <c r="L658" s="401"/>
      <c r="M658" s="320"/>
      <c r="N658" s="321"/>
      <c r="O658" s="322"/>
      <c r="P658" s="401"/>
      <c r="Q658" s="203"/>
      <c r="R658" s="223"/>
      <c r="S658" s="404"/>
      <c r="T658" s="405"/>
      <c r="U658" s="203"/>
      <c r="V658" s="223"/>
      <c r="W658" s="404"/>
      <c r="X658" s="405"/>
      <c r="Y658" s="203"/>
      <c r="Z658" s="223"/>
      <c r="AA658" s="404"/>
      <c r="AB658" s="405"/>
      <c r="AC658" s="203"/>
      <c r="AD658" s="223"/>
      <c r="AE658" s="404"/>
      <c r="AF658" s="405"/>
      <c r="AG658" s="205"/>
      <c r="AH658" s="205"/>
      <c r="AI658" s="205"/>
      <c r="AJ658" s="205"/>
      <c r="AK658" s="401"/>
      <c r="AL658" s="401"/>
      <c r="AM658" s="401"/>
    </row>
    <row r="659">
      <c r="A659" s="320"/>
      <c r="B659" s="321"/>
      <c r="C659" s="322"/>
      <c r="D659" s="401"/>
      <c r="E659" s="320"/>
      <c r="F659" s="321"/>
      <c r="G659" s="322"/>
      <c r="H659" s="401"/>
      <c r="I659" s="320"/>
      <c r="J659" s="321"/>
      <c r="K659" s="322"/>
      <c r="L659" s="401"/>
      <c r="M659" s="320"/>
      <c r="N659" s="321"/>
      <c r="O659" s="322"/>
      <c r="P659" s="401"/>
      <c r="Q659" s="203"/>
      <c r="R659" s="223"/>
      <c r="S659" s="404"/>
      <c r="T659" s="405"/>
      <c r="U659" s="203"/>
      <c r="V659" s="223"/>
      <c r="W659" s="404"/>
      <c r="X659" s="405"/>
      <c r="Y659" s="203"/>
      <c r="Z659" s="223"/>
      <c r="AA659" s="404"/>
      <c r="AB659" s="405"/>
      <c r="AC659" s="203"/>
      <c r="AD659" s="223"/>
      <c r="AE659" s="404"/>
      <c r="AF659" s="405"/>
      <c r="AG659" s="205"/>
      <c r="AH659" s="205"/>
      <c r="AI659" s="205"/>
      <c r="AJ659" s="205"/>
      <c r="AK659" s="401"/>
      <c r="AL659" s="401"/>
      <c r="AM659" s="401"/>
    </row>
    <row r="660">
      <c r="A660" s="320"/>
      <c r="B660" s="321"/>
      <c r="C660" s="322"/>
      <c r="D660" s="401"/>
      <c r="E660" s="320"/>
      <c r="F660" s="321"/>
      <c r="G660" s="322"/>
      <c r="H660" s="401"/>
      <c r="I660" s="320"/>
      <c r="J660" s="321"/>
      <c r="K660" s="322"/>
      <c r="L660" s="401"/>
      <c r="M660" s="320"/>
      <c r="N660" s="321"/>
      <c r="O660" s="322"/>
      <c r="P660" s="401"/>
      <c r="Q660" s="203"/>
      <c r="R660" s="223"/>
      <c r="S660" s="404"/>
      <c r="T660" s="405"/>
      <c r="U660" s="203"/>
      <c r="V660" s="223"/>
      <c r="W660" s="404"/>
      <c r="X660" s="405"/>
      <c r="Y660" s="203"/>
      <c r="Z660" s="223"/>
      <c r="AA660" s="404"/>
      <c r="AB660" s="405"/>
      <c r="AC660" s="203"/>
      <c r="AD660" s="223"/>
      <c r="AE660" s="404"/>
      <c r="AF660" s="405"/>
      <c r="AG660" s="205"/>
      <c r="AH660" s="205"/>
      <c r="AI660" s="205"/>
      <c r="AJ660" s="205"/>
      <c r="AK660" s="401"/>
      <c r="AL660" s="401"/>
      <c r="AM660" s="401"/>
    </row>
    <row r="661">
      <c r="A661" s="320"/>
      <c r="B661" s="321"/>
      <c r="C661" s="322"/>
      <c r="D661" s="401"/>
      <c r="E661" s="320"/>
      <c r="F661" s="321"/>
      <c r="G661" s="322"/>
      <c r="H661" s="401"/>
      <c r="I661" s="320"/>
      <c r="J661" s="321"/>
      <c r="K661" s="322"/>
      <c r="L661" s="401"/>
      <c r="M661" s="320"/>
      <c r="N661" s="321"/>
      <c r="O661" s="322"/>
      <c r="P661" s="401"/>
      <c r="Q661" s="203"/>
      <c r="R661" s="223"/>
      <c r="S661" s="404"/>
      <c r="T661" s="405"/>
      <c r="U661" s="203"/>
      <c r="V661" s="223"/>
      <c r="W661" s="404"/>
      <c r="X661" s="405"/>
      <c r="Y661" s="203"/>
      <c r="Z661" s="223"/>
      <c r="AA661" s="404"/>
      <c r="AB661" s="405"/>
      <c r="AC661" s="203"/>
      <c r="AD661" s="223"/>
      <c r="AE661" s="404"/>
      <c r="AF661" s="405"/>
      <c r="AG661" s="205"/>
      <c r="AH661" s="205"/>
      <c r="AI661" s="205"/>
      <c r="AJ661" s="205"/>
      <c r="AK661" s="401"/>
      <c r="AL661" s="401"/>
      <c r="AM661" s="401"/>
    </row>
    <row r="662">
      <c r="A662" s="320"/>
      <c r="B662" s="321"/>
      <c r="C662" s="322"/>
      <c r="D662" s="401"/>
      <c r="E662" s="320"/>
      <c r="F662" s="321"/>
      <c r="G662" s="322"/>
      <c r="H662" s="401"/>
      <c r="I662" s="320"/>
      <c r="J662" s="321"/>
      <c r="K662" s="322"/>
      <c r="L662" s="401"/>
      <c r="M662" s="320"/>
      <c r="N662" s="321"/>
      <c r="O662" s="322"/>
      <c r="P662" s="401"/>
      <c r="Q662" s="203"/>
      <c r="R662" s="223"/>
      <c r="S662" s="404"/>
      <c r="T662" s="405"/>
      <c r="U662" s="203"/>
      <c r="V662" s="223"/>
      <c r="W662" s="404"/>
      <c r="X662" s="405"/>
      <c r="Y662" s="203"/>
      <c r="Z662" s="223"/>
      <c r="AA662" s="404"/>
      <c r="AB662" s="405"/>
      <c r="AC662" s="203"/>
      <c r="AD662" s="223"/>
      <c r="AE662" s="404"/>
      <c r="AF662" s="405"/>
      <c r="AG662" s="205"/>
      <c r="AH662" s="205"/>
      <c r="AI662" s="205"/>
      <c r="AJ662" s="205"/>
      <c r="AK662" s="401"/>
      <c r="AL662" s="401"/>
      <c r="AM662" s="401"/>
    </row>
    <row r="663">
      <c r="A663" s="320"/>
      <c r="B663" s="321"/>
      <c r="C663" s="322"/>
      <c r="D663" s="401"/>
      <c r="E663" s="320"/>
      <c r="F663" s="321"/>
      <c r="G663" s="322"/>
      <c r="H663" s="401"/>
      <c r="I663" s="320"/>
      <c r="J663" s="321"/>
      <c r="K663" s="322"/>
      <c r="L663" s="401"/>
      <c r="M663" s="320"/>
      <c r="N663" s="321"/>
      <c r="O663" s="322"/>
      <c r="P663" s="401"/>
      <c r="Q663" s="203"/>
      <c r="R663" s="223"/>
      <c r="S663" s="404"/>
      <c r="T663" s="405"/>
      <c r="U663" s="203"/>
      <c r="V663" s="223"/>
      <c r="W663" s="404"/>
      <c r="X663" s="405"/>
      <c r="Y663" s="203"/>
      <c r="Z663" s="223"/>
      <c r="AA663" s="404"/>
      <c r="AB663" s="405"/>
      <c r="AC663" s="203"/>
      <c r="AD663" s="223"/>
      <c r="AE663" s="404"/>
      <c r="AF663" s="405"/>
      <c r="AG663" s="205"/>
      <c r="AH663" s="205"/>
      <c r="AI663" s="205"/>
      <c r="AJ663" s="205"/>
      <c r="AK663" s="401"/>
      <c r="AL663" s="401"/>
      <c r="AM663" s="401"/>
    </row>
    <row r="664">
      <c r="A664" s="320"/>
      <c r="B664" s="321"/>
      <c r="C664" s="322"/>
      <c r="D664" s="401"/>
      <c r="E664" s="320"/>
      <c r="F664" s="321"/>
      <c r="G664" s="322"/>
      <c r="H664" s="401"/>
      <c r="I664" s="320"/>
      <c r="J664" s="321"/>
      <c r="K664" s="322"/>
      <c r="L664" s="401"/>
      <c r="M664" s="320"/>
      <c r="N664" s="321"/>
      <c r="O664" s="322"/>
      <c r="P664" s="401"/>
      <c r="Q664" s="203"/>
      <c r="R664" s="223"/>
      <c r="S664" s="404"/>
      <c r="T664" s="405"/>
      <c r="U664" s="203"/>
      <c r="V664" s="223"/>
      <c r="W664" s="404"/>
      <c r="X664" s="405"/>
      <c r="Y664" s="203"/>
      <c r="Z664" s="223"/>
      <c r="AA664" s="404"/>
      <c r="AB664" s="405"/>
      <c r="AC664" s="203"/>
      <c r="AD664" s="223"/>
      <c r="AE664" s="404"/>
      <c r="AF664" s="405"/>
      <c r="AG664" s="205"/>
      <c r="AH664" s="205"/>
      <c r="AI664" s="205"/>
      <c r="AJ664" s="205"/>
      <c r="AK664" s="401"/>
      <c r="AL664" s="401"/>
      <c r="AM664" s="401"/>
    </row>
    <row r="665">
      <c r="A665" s="320"/>
      <c r="B665" s="321"/>
      <c r="C665" s="322"/>
      <c r="D665" s="401"/>
      <c r="E665" s="320"/>
      <c r="F665" s="321"/>
      <c r="G665" s="322"/>
      <c r="H665" s="401"/>
      <c r="I665" s="320"/>
      <c r="J665" s="321"/>
      <c r="K665" s="322"/>
      <c r="L665" s="401"/>
      <c r="M665" s="320"/>
      <c r="N665" s="321"/>
      <c r="O665" s="322"/>
      <c r="P665" s="401"/>
      <c r="Q665" s="203"/>
      <c r="R665" s="223"/>
      <c r="S665" s="404"/>
      <c r="T665" s="405"/>
      <c r="U665" s="203"/>
      <c r="V665" s="223"/>
      <c r="W665" s="404"/>
      <c r="X665" s="405"/>
      <c r="Y665" s="203"/>
      <c r="Z665" s="223"/>
      <c r="AA665" s="404"/>
      <c r="AB665" s="405"/>
      <c r="AC665" s="203"/>
      <c r="AD665" s="223"/>
      <c r="AE665" s="404"/>
      <c r="AF665" s="405"/>
      <c r="AG665" s="205"/>
      <c r="AH665" s="205"/>
      <c r="AI665" s="205"/>
      <c r="AJ665" s="205"/>
      <c r="AK665" s="401"/>
      <c r="AL665" s="401"/>
      <c r="AM665" s="401"/>
    </row>
    <row r="666">
      <c r="A666" s="320"/>
      <c r="B666" s="321"/>
      <c r="C666" s="322"/>
      <c r="D666" s="401"/>
      <c r="E666" s="320"/>
      <c r="F666" s="321"/>
      <c r="G666" s="322"/>
      <c r="H666" s="401"/>
      <c r="I666" s="320"/>
      <c r="J666" s="321"/>
      <c r="K666" s="322"/>
      <c r="L666" s="401"/>
      <c r="M666" s="320"/>
      <c r="N666" s="321"/>
      <c r="O666" s="322"/>
      <c r="P666" s="401"/>
      <c r="Q666" s="203"/>
      <c r="R666" s="223"/>
      <c r="S666" s="404"/>
      <c r="T666" s="405"/>
      <c r="U666" s="203"/>
      <c r="V666" s="223"/>
      <c r="W666" s="404"/>
      <c r="X666" s="405"/>
      <c r="Y666" s="203"/>
      <c r="Z666" s="223"/>
      <c r="AA666" s="404"/>
      <c r="AB666" s="405"/>
      <c r="AC666" s="203"/>
      <c r="AD666" s="223"/>
      <c r="AE666" s="404"/>
      <c r="AF666" s="405"/>
      <c r="AG666" s="205"/>
      <c r="AH666" s="205"/>
      <c r="AI666" s="205"/>
      <c r="AJ666" s="205"/>
      <c r="AK666" s="401"/>
      <c r="AL666" s="401"/>
      <c r="AM666" s="401"/>
    </row>
    <row r="667">
      <c r="A667" s="320"/>
      <c r="B667" s="321"/>
      <c r="C667" s="322"/>
      <c r="D667" s="401"/>
      <c r="E667" s="320"/>
      <c r="F667" s="321"/>
      <c r="G667" s="322"/>
      <c r="H667" s="401"/>
      <c r="I667" s="320"/>
      <c r="J667" s="321"/>
      <c r="K667" s="322"/>
      <c r="L667" s="401"/>
      <c r="M667" s="320"/>
      <c r="N667" s="321"/>
      <c r="O667" s="322"/>
      <c r="P667" s="401"/>
      <c r="Q667" s="203"/>
      <c r="R667" s="223"/>
      <c r="S667" s="404"/>
      <c r="T667" s="405"/>
      <c r="U667" s="203"/>
      <c r="V667" s="223"/>
      <c r="W667" s="404"/>
      <c r="X667" s="405"/>
      <c r="Y667" s="203"/>
      <c r="Z667" s="223"/>
      <c r="AA667" s="404"/>
      <c r="AB667" s="405"/>
      <c r="AC667" s="203"/>
      <c r="AD667" s="223"/>
      <c r="AE667" s="404"/>
      <c r="AF667" s="405"/>
      <c r="AG667" s="205"/>
      <c r="AH667" s="205"/>
      <c r="AI667" s="205"/>
      <c r="AJ667" s="205"/>
      <c r="AK667" s="401"/>
      <c r="AL667" s="401"/>
      <c r="AM667" s="401"/>
    </row>
    <row r="668">
      <c r="A668" s="320"/>
      <c r="B668" s="321"/>
      <c r="C668" s="322"/>
      <c r="D668" s="401"/>
      <c r="E668" s="320"/>
      <c r="F668" s="321"/>
      <c r="G668" s="322"/>
      <c r="H668" s="401"/>
      <c r="I668" s="320"/>
      <c r="J668" s="321"/>
      <c r="K668" s="322"/>
      <c r="L668" s="401"/>
      <c r="M668" s="320"/>
      <c r="N668" s="321"/>
      <c r="O668" s="322"/>
      <c r="P668" s="401"/>
      <c r="Q668" s="203"/>
      <c r="R668" s="223"/>
      <c r="S668" s="404"/>
      <c r="T668" s="405"/>
      <c r="U668" s="203"/>
      <c r="V668" s="223"/>
      <c r="W668" s="404"/>
      <c r="X668" s="405"/>
      <c r="Y668" s="203"/>
      <c r="Z668" s="223"/>
      <c r="AA668" s="404"/>
      <c r="AB668" s="405"/>
      <c r="AC668" s="203"/>
      <c r="AD668" s="223"/>
      <c r="AE668" s="404"/>
      <c r="AF668" s="405"/>
      <c r="AG668" s="205"/>
      <c r="AH668" s="205"/>
      <c r="AI668" s="205"/>
      <c r="AJ668" s="205"/>
      <c r="AK668" s="401"/>
      <c r="AL668" s="401"/>
      <c r="AM668" s="401"/>
    </row>
    <row r="669">
      <c r="A669" s="320"/>
      <c r="B669" s="321"/>
      <c r="C669" s="322"/>
      <c r="D669" s="401"/>
      <c r="E669" s="320"/>
      <c r="F669" s="321"/>
      <c r="G669" s="322"/>
      <c r="H669" s="401"/>
      <c r="I669" s="320"/>
      <c r="J669" s="321"/>
      <c r="K669" s="322"/>
      <c r="L669" s="401"/>
      <c r="M669" s="320"/>
      <c r="N669" s="321"/>
      <c r="O669" s="322"/>
      <c r="P669" s="401"/>
      <c r="Q669" s="203"/>
      <c r="R669" s="223"/>
      <c r="S669" s="404"/>
      <c r="T669" s="405"/>
      <c r="U669" s="203"/>
      <c r="V669" s="223"/>
      <c r="W669" s="404"/>
      <c r="X669" s="405"/>
      <c r="Y669" s="203"/>
      <c r="Z669" s="223"/>
      <c r="AA669" s="404"/>
      <c r="AB669" s="405"/>
      <c r="AC669" s="203"/>
      <c r="AD669" s="223"/>
      <c r="AE669" s="404"/>
      <c r="AF669" s="405"/>
      <c r="AG669" s="205"/>
      <c r="AH669" s="205"/>
      <c r="AI669" s="205"/>
      <c r="AJ669" s="205"/>
      <c r="AK669" s="401"/>
      <c r="AL669" s="401"/>
      <c r="AM669" s="401"/>
    </row>
    <row r="670">
      <c r="A670" s="320"/>
      <c r="B670" s="321"/>
      <c r="C670" s="322"/>
      <c r="D670" s="401"/>
      <c r="E670" s="320"/>
      <c r="F670" s="321"/>
      <c r="G670" s="322"/>
      <c r="H670" s="401"/>
      <c r="I670" s="320"/>
      <c r="J670" s="321"/>
      <c r="K670" s="322"/>
      <c r="L670" s="401"/>
      <c r="M670" s="320"/>
      <c r="N670" s="321"/>
      <c r="O670" s="322"/>
      <c r="P670" s="401"/>
      <c r="Q670" s="203"/>
      <c r="R670" s="223"/>
      <c r="S670" s="404"/>
      <c r="T670" s="405"/>
      <c r="U670" s="203"/>
      <c r="V670" s="223"/>
      <c r="W670" s="404"/>
      <c r="X670" s="405"/>
      <c r="Y670" s="203"/>
      <c r="Z670" s="223"/>
      <c r="AA670" s="404"/>
      <c r="AB670" s="405"/>
      <c r="AC670" s="203"/>
      <c r="AD670" s="223"/>
      <c r="AE670" s="404"/>
      <c r="AF670" s="405"/>
      <c r="AG670" s="205"/>
      <c r="AH670" s="205"/>
      <c r="AI670" s="205"/>
      <c r="AJ670" s="205"/>
      <c r="AK670" s="401"/>
      <c r="AL670" s="401"/>
      <c r="AM670" s="401"/>
    </row>
    <row r="671">
      <c r="A671" s="320"/>
      <c r="B671" s="321"/>
      <c r="C671" s="322"/>
      <c r="D671" s="401"/>
      <c r="E671" s="320"/>
      <c r="F671" s="321"/>
      <c r="G671" s="322"/>
      <c r="H671" s="401"/>
      <c r="I671" s="320"/>
      <c r="J671" s="321"/>
      <c r="K671" s="322"/>
      <c r="L671" s="401"/>
      <c r="M671" s="320"/>
      <c r="N671" s="321"/>
      <c r="O671" s="322"/>
      <c r="P671" s="401"/>
      <c r="Q671" s="203"/>
      <c r="R671" s="223"/>
      <c r="S671" s="404"/>
      <c r="T671" s="405"/>
      <c r="U671" s="203"/>
      <c r="V671" s="223"/>
      <c r="W671" s="404"/>
      <c r="X671" s="405"/>
      <c r="Y671" s="203"/>
      <c r="Z671" s="223"/>
      <c r="AA671" s="404"/>
      <c r="AB671" s="405"/>
      <c r="AC671" s="203"/>
      <c r="AD671" s="223"/>
      <c r="AE671" s="404"/>
      <c r="AF671" s="405"/>
      <c r="AG671" s="205"/>
      <c r="AH671" s="205"/>
      <c r="AI671" s="205"/>
      <c r="AJ671" s="205"/>
      <c r="AK671" s="401"/>
      <c r="AL671" s="401"/>
      <c r="AM671" s="401"/>
    </row>
    <row r="672">
      <c r="A672" s="320"/>
      <c r="B672" s="321"/>
      <c r="C672" s="322"/>
      <c r="D672" s="401"/>
      <c r="E672" s="320"/>
      <c r="F672" s="321"/>
      <c r="G672" s="322"/>
      <c r="H672" s="401"/>
      <c r="I672" s="320"/>
      <c r="J672" s="321"/>
      <c r="K672" s="322"/>
      <c r="L672" s="401"/>
      <c r="M672" s="320"/>
      <c r="N672" s="321"/>
      <c r="O672" s="322"/>
      <c r="P672" s="401"/>
      <c r="Q672" s="203"/>
      <c r="R672" s="223"/>
      <c r="S672" s="404"/>
      <c r="T672" s="405"/>
      <c r="U672" s="203"/>
      <c r="V672" s="223"/>
      <c r="W672" s="404"/>
      <c r="X672" s="405"/>
      <c r="Y672" s="203"/>
      <c r="Z672" s="223"/>
      <c r="AA672" s="404"/>
      <c r="AB672" s="405"/>
      <c r="AC672" s="203"/>
      <c r="AD672" s="223"/>
      <c r="AE672" s="404"/>
      <c r="AF672" s="405"/>
      <c r="AG672" s="205"/>
      <c r="AH672" s="205"/>
      <c r="AI672" s="205"/>
      <c r="AJ672" s="205"/>
      <c r="AK672" s="401"/>
      <c r="AL672" s="401"/>
      <c r="AM672" s="401"/>
    </row>
    <row r="673">
      <c r="A673" s="320"/>
      <c r="B673" s="321"/>
      <c r="C673" s="322"/>
      <c r="D673" s="401"/>
      <c r="E673" s="320"/>
      <c r="F673" s="321"/>
      <c r="G673" s="322"/>
      <c r="H673" s="401"/>
      <c r="I673" s="320"/>
      <c r="J673" s="321"/>
      <c r="K673" s="322"/>
      <c r="L673" s="401"/>
      <c r="M673" s="320"/>
      <c r="N673" s="321"/>
      <c r="O673" s="322"/>
      <c r="P673" s="401"/>
      <c r="Q673" s="203"/>
      <c r="R673" s="223"/>
      <c r="S673" s="404"/>
      <c r="T673" s="405"/>
      <c r="U673" s="203"/>
      <c r="V673" s="223"/>
      <c r="W673" s="404"/>
      <c r="X673" s="405"/>
      <c r="Y673" s="203"/>
      <c r="Z673" s="223"/>
      <c r="AA673" s="404"/>
      <c r="AB673" s="405"/>
      <c r="AC673" s="203"/>
      <c r="AD673" s="223"/>
      <c r="AE673" s="404"/>
      <c r="AF673" s="405"/>
      <c r="AG673" s="205"/>
      <c r="AH673" s="205"/>
      <c r="AI673" s="205"/>
      <c r="AJ673" s="205"/>
      <c r="AK673" s="401"/>
      <c r="AL673" s="401"/>
      <c r="AM673" s="401"/>
    </row>
    <row r="674">
      <c r="A674" s="320"/>
      <c r="B674" s="321"/>
      <c r="C674" s="322"/>
      <c r="D674" s="401"/>
      <c r="E674" s="320"/>
      <c r="F674" s="321"/>
      <c r="G674" s="322"/>
      <c r="H674" s="401"/>
      <c r="I674" s="320"/>
      <c r="J674" s="321"/>
      <c r="K674" s="322"/>
      <c r="L674" s="401"/>
      <c r="M674" s="320"/>
      <c r="N674" s="321"/>
      <c r="O674" s="322"/>
      <c r="P674" s="401"/>
      <c r="Q674" s="203"/>
      <c r="R674" s="223"/>
      <c r="S674" s="404"/>
      <c r="T674" s="405"/>
      <c r="U674" s="203"/>
      <c r="V674" s="223"/>
      <c r="W674" s="404"/>
      <c r="X674" s="405"/>
      <c r="Y674" s="203"/>
      <c r="Z674" s="223"/>
      <c r="AA674" s="404"/>
      <c r="AB674" s="405"/>
      <c r="AC674" s="203"/>
      <c r="AD674" s="223"/>
      <c r="AE674" s="404"/>
      <c r="AF674" s="405"/>
      <c r="AG674" s="205"/>
      <c r="AH674" s="205"/>
      <c r="AI674" s="205"/>
      <c r="AJ674" s="205"/>
      <c r="AK674" s="401"/>
      <c r="AL674" s="401"/>
      <c r="AM674" s="401"/>
    </row>
    <row r="675">
      <c r="A675" s="320"/>
      <c r="B675" s="321"/>
      <c r="C675" s="322"/>
      <c r="D675" s="401"/>
      <c r="E675" s="320"/>
      <c r="F675" s="321"/>
      <c r="G675" s="322"/>
      <c r="H675" s="401"/>
      <c r="I675" s="320"/>
      <c r="J675" s="321"/>
      <c r="K675" s="322"/>
      <c r="L675" s="401"/>
      <c r="M675" s="320"/>
      <c r="N675" s="321"/>
      <c r="O675" s="322"/>
      <c r="P675" s="401"/>
      <c r="Q675" s="203"/>
      <c r="R675" s="223"/>
      <c r="S675" s="404"/>
      <c r="T675" s="405"/>
      <c r="U675" s="203"/>
      <c r="V675" s="223"/>
      <c r="W675" s="404"/>
      <c r="X675" s="405"/>
      <c r="Y675" s="203"/>
      <c r="Z675" s="223"/>
      <c r="AA675" s="404"/>
      <c r="AB675" s="405"/>
      <c r="AC675" s="203"/>
      <c r="AD675" s="223"/>
      <c r="AE675" s="404"/>
      <c r="AF675" s="405"/>
      <c r="AG675" s="205"/>
      <c r="AH675" s="205"/>
      <c r="AI675" s="205"/>
      <c r="AJ675" s="205"/>
      <c r="AK675" s="401"/>
      <c r="AL675" s="401"/>
      <c r="AM675" s="401"/>
    </row>
    <row r="676">
      <c r="A676" s="320"/>
      <c r="B676" s="321"/>
      <c r="C676" s="322"/>
      <c r="D676" s="401"/>
      <c r="E676" s="320"/>
      <c r="F676" s="321"/>
      <c r="G676" s="322"/>
      <c r="H676" s="401"/>
      <c r="I676" s="320"/>
      <c r="J676" s="321"/>
      <c r="K676" s="322"/>
      <c r="L676" s="401"/>
      <c r="M676" s="320"/>
      <c r="N676" s="321"/>
      <c r="O676" s="322"/>
      <c r="P676" s="401"/>
      <c r="Q676" s="203"/>
      <c r="R676" s="223"/>
      <c r="S676" s="404"/>
      <c r="T676" s="405"/>
      <c r="U676" s="203"/>
      <c r="V676" s="223"/>
      <c r="W676" s="404"/>
      <c r="X676" s="405"/>
      <c r="Y676" s="203"/>
      <c r="Z676" s="223"/>
      <c r="AA676" s="404"/>
      <c r="AB676" s="405"/>
      <c r="AC676" s="203"/>
      <c r="AD676" s="223"/>
      <c r="AE676" s="404"/>
      <c r="AF676" s="405"/>
      <c r="AG676" s="205"/>
      <c r="AH676" s="205"/>
      <c r="AI676" s="205"/>
      <c r="AJ676" s="205"/>
      <c r="AK676" s="401"/>
      <c r="AL676" s="401"/>
      <c r="AM676" s="401"/>
    </row>
    <row r="677">
      <c r="A677" s="320"/>
      <c r="B677" s="321"/>
      <c r="C677" s="322"/>
      <c r="D677" s="401"/>
      <c r="E677" s="320"/>
      <c r="F677" s="321"/>
      <c r="G677" s="322"/>
      <c r="H677" s="401"/>
      <c r="I677" s="320"/>
      <c r="J677" s="321"/>
      <c r="K677" s="322"/>
      <c r="L677" s="401"/>
      <c r="M677" s="320"/>
      <c r="N677" s="321"/>
      <c r="O677" s="322"/>
      <c r="P677" s="401"/>
      <c r="Q677" s="203"/>
      <c r="R677" s="223"/>
      <c r="S677" s="404"/>
      <c r="T677" s="405"/>
      <c r="U677" s="203"/>
      <c r="V677" s="223"/>
      <c r="W677" s="404"/>
      <c r="X677" s="405"/>
      <c r="Y677" s="203"/>
      <c r="Z677" s="223"/>
      <c r="AA677" s="404"/>
      <c r="AB677" s="405"/>
      <c r="AC677" s="203"/>
      <c r="AD677" s="223"/>
      <c r="AE677" s="404"/>
      <c r="AF677" s="405"/>
      <c r="AG677" s="205"/>
      <c r="AH677" s="205"/>
      <c r="AI677" s="205"/>
      <c r="AJ677" s="205"/>
      <c r="AK677" s="401"/>
      <c r="AL677" s="401"/>
      <c r="AM677" s="401"/>
    </row>
    <row r="678">
      <c r="A678" s="320"/>
      <c r="B678" s="321"/>
      <c r="C678" s="322"/>
      <c r="D678" s="401"/>
      <c r="E678" s="320"/>
      <c r="F678" s="321"/>
      <c r="G678" s="322"/>
      <c r="H678" s="401"/>
      <c r="I678" s="320"/>
      <c r="J678" s="321"/>
      <c r="K678" s="322"/>
      <c r="L678" s="401"/>
      <c r="M678" s="320"/>
      <c r="N678" s="321"/>
      <c r="O678" s="322"/>
      <c r="P678" s="401"/>
      <c r="Q678" s="203"/>
      <c r="R678" s="223"/>
      <c r="S678" s="404"/>
      <c r="T678" s="405"/>
      <c r="U678" s="203"/>
      <c r="V678" s="223"/>
      <c r="W678" s="404"/>
      <c r="X678" s="405"/>
      <c r="Y678" s="203"/>
      <c r="Z678" s="223"/>
      <c r="AA678" s="404"/>
      <c r="AB678" s="405"/>
      <c r="AC678" s="203"/>
      <c r="AD678" s="223"/>
      <c r="AE678" s="404"/>
      <c r="AF678" s="405"/>
      <c r="AG678" s="205"/>
      <c r="AH678" s="205"/>
      <c r="AI678" s="205"/>
      <c r="AJ678" s="205"/>
      <c r="AK678" s="401"/>
      <c r="AL678" s="401"/>
      <c r="AM678" s="401"/>
    </row>
    <row r="679">
      <c r="A679" s="320"/>
      <c r="B679" s="321"/>
      <c r="C679" s="322"/>
      <c r="D679" s="401"/>
      <c r="E679" s="320"/>
      <c r="F679" s="321"/>
      <c r="G679" s="322"/>
      <c r="H679" s="401"/>
      <c r="I679" s="320"/>
      <c r="J679" s="321"/>
      <c r="K679" s="322"/>
      <c r="L679" s="401"/>
      <c r="M679" s="320"/>
      <c r="N679" s="321"/>
      <c r="O679" s="322"/>
      <c r="P679" s="401"/>
      <c r="Q679" s="203"/>
      <c r="R679" s="223"/>
      <c r="S679" s="404"/>
      <c r="T679" s="405"/>
      <c r="U679" s="203"/>
      <c r="V679" s="223"/>
      <c r="W679" s="404"/>
      <c r="X679" s="405"/>
      <c r="Y679" s="203"/>
      <c r="Z679" s="223"/>
      <c r="AA679" s="404"/>
      <c r="AB679" s="405"/>
      <c r="AC679" s="203"/>
      <c r="AD679" s="223"/>
      <c r="AE679" s="404"/>
      <c r="AF679" s="405"/>
      <c r="AG679" s="205"/>
      <c r="AH679" s="205"/>
      <c r="AI679" s="205"/>
      <c r="AJ679" s="205"/>
      <c r="AK679" s="401"/>
      <c r="AL679" s="401"/>
      <c r="AM679" s="401"/>
    </row>
    <row r="680">
      <c r="A680" s="320"/>
      <c r="B680" s="321"/>
      <c r="C680" s="322"/>
      <c r="D680" s="401"/>
      <c r="E680" s="320"/>
      <c r="F680" s="321"/>
      <c r="G680" s="322"/>
      <c r="H680" s="401"/>
      <c r="I680" s="320"/>
      <c r="J680" s="321"/>
      <c r="K680" s="322"/>
      <c r="L680" s="401"/>
      <c r="M680" s="320"/>
      <c r="N680" s="321"/>
      <c r="O680" s="322"/>
      <c r="P680" s="401"/>
      <c r="Q680" s="203"/>
      <c r="R680" s="223"/>
      <c r="S680" s="404"/>
      <c r="T680" s="405"/>
      <c r="U680" s="203"/>
      <c r="V680" s="223"/>
      <c r="W680" s="404"/>
      <c r="X680" s="405"/>
      <c r="Y680" s="203"/>
      <c r="Z680" s="223"/>
      <c r="AA680" s="404"/>
      <c r="AB680" s="405"/>
      <c r="AC680" s="203"/>
      <c r="AD680" s="223"/>
      <c r="AE680" s="404"/>
      <c r="AF680" s="405"/>
      <c r="AG680" s="205"/>
      <c r="AH680" s="205"/>
      <c r="AI680" s="205"/>
      <c r="AJ680" s="205"/>
      <c r="AK680" s="401"/>
      <c r="AL680" s="401"/>
      <c r="AM680" s="401"/>
    </row>
    <row r="681">
      <c r="A681" s="320"/>
      <c r="B681" s="321"/>
      <c r="C681" s="322"/>
      <c r="D681" s="401"/>
      <c r="E681" s="320"/>
      <c r="F681" s="321"/>
      <c r="G681" s="322"/>
      <c r="H681" s="401"/>
      <c r="I681" s="320"/>
      <c r="J681" s="321"/>
      <c r="K681" s="322"/>
      <c r="L681" s="401"/>
      <c r="M681" s="320"/>
      <c r="N681" s="321"/>
      <c r="O681" s="322"/>
      <c r="P681" s="401"/>
      <c r="Q681" s="203"/>
      <c r="R681" s="223"/>
      <c r="S681" s="404"/>
      <c r="T681" s="405"/>
      <c r="U681" s="203"/>
      <c r="V681" s="223"/>
      <c r="W681" s="404"/>
      <c r="X681" s="405"/>
      <c r="Y681" s="203"/>
      <c r="Z681" s="223"/>
      <c r="AA681" s="404"/>
      <c r="AB681" s="405"/>
      <c r="AC681" s="203"/>
      <c r="AD681" s="223"/>
      <c r="AE681" s="404"/>
      <c r="AF681" s="405"/>
      <c r="AG681" s="205"/>
      <c r="AH681" s="205"/>
      <c r="AI681" s="205"/>
      <c r="AJ681" s="205"/>
      <c r="AK681" s="401"/>
      <c r="AL681" s="401"/>
      <c r="AM681" s="401"/>
    </row>
    <row r="682">
      <c r="A682" s="320"/>
      <c r="B682" s="321"/>
      <c r="C682" s="322"/>
      <c r="D682" s="401"/>
      <c r="E682" s="320"/>
      <c r="F682" s="321"/>
      <c r="G682" s="322"/>
      <c r="H682" s="401"/>
      <c r="I682" s="320"/>
      <c r="J682" s="321"/>
      <c r="K682" s="322"/>
      <c r="L682" s="401"/>
      <c r="M682" s="320"/>
      <c r="N682" s="321"/>
      <c r="O682" s="322"/>
      <c r="P682" s="401"/>
      <c r="Q682" s="203"/>
      <c r="R682" s="223"/>
      <c r="S682" s="404"/>
      <c r="T682" s="405"/>
      <c r="U682" s="203"/>
      <c r="V682" s="223"/>
      <c r="W682" s="404"/>
      <c r="X682" s="405"/>
      <c r="Y682" s="203"/>
      <c r="Z682" s="223"/>
      <c r="AA682" s="404"/>
      <c r="AB682" s="405"/>
      <c r="AC682" s="203"/>
      <c r="AD682" s="223"/>
      <c r="AE682" s="404"/>
      <c r="AF682" s="405"/>
      <c r="AG682" s="205"/>
      <c r="AH682" s="205"/>
      <c r="AI682" s="205"/>
      <c r="AJ682" s="205"/>
      <c r="AK682" s="401"/>
      <c r="AL682" s="401"/>
      <c r="AM682" s="401"/>
    </row>
    <row r="683">
      <c r="A683" s="320"/>
      <c r="B683" s="321"/>
      <c r="C683" s="322"/>
      <c r="D683" s="401"/>
      <c r="E683" s="320"/>
      <c r="F683" s="321"/>
      <c r="G683" s="322"/>
      <c r="H683" s="401"/>
      <c r="I683" s="320"/>
      <c r="J683" s="321"/>
      <c r="K683" s="322"/>
      <c r="L683" s="401"/>
      <c r="M683" s="320"/>
      <c r="N683" s="321"/>
      <c r="O683" s="322"/>
      <c r="P683" s="401"/>
      <c r="Q683" s="203"/>
      <c r="R683" s="223"/>
      <c r="S683" s="404"/>
      <c r="T683" s="405"/>
      <c r="U683" s="203"/>
      <c r="V683" s="223"/>
      <c r="W683" s="404"/>
      <c r="X683" s="405"/>
      <c r="Y683" s="203"/>
      <c r="Z683" s="223"/>
      <c r="AA683" s="404"/>
      <c r="AB683" s="405"/>
      <c r="AC683" s="203"/>
      <c r="AD683" s="223"/>
      <c r="AE683" s="404"/>
      <c r="AF683" s="405"/>
      <c r="AG683" s="205"/>
      <c r="AH683" s="205"/>
      <c r="AI683" s="205"/>
      <c r="AJ683" s="205"/>
      <c r="AK683" s="401"/>
      <c r="AL683" s="401"/>
      <c r="AM683" s="401"/>
    </row>
    <row r="684">
      <c r="A684" s="320"/>
      <c r="B684" s="321"/>
      <c r="C684" s="322"/>
      <c r="D684" s="401"/>
      <c r="E684" s="320"/>
      <c r="F684" s="321"/>
      <c r="G684" s="322"/>
      <c r="H684" s="401"/>
      <c r="I684" s="320"/>
      <c r="J684" s="321"/>
      <c r="K684" s="322"/>
      <c r="L684" s="401"/>
      <c r="M684" s="320"/>
      <c r="N684" s="321"/>
      <c r="O684" s="322"/>
      <c r="P684" s="401"/>
      <c r="Q684" s="203"/>
      <c r="R684" s="223"/>
      <c r="S684" s="404"/>
      <c r="T684" s="405"/>
      <c r="U684" s="203"/>
      <c r="V684" s="223"/>
      <c r="W684" s="404"/>
      <c r="X684" s="405"/>
      <c r="Y684" s="203"/>
      <c r="Z684" s="223"/>
      <c r="AA684" s="404"/>
      <c r="AB684" s="405"/>
      <c r="AC684" s="203"/>
      <c r="AD684" s="223"/>
      <c r="AE684" s="404"/>
      <c r="AF684" s="405"/>
      <c r="AG684" s="205"/>
      <c r="AH684" s="205"/>
      <c r="AI684" s="205"/>
      <c r="AJ684" s="205"/>
      <c r="AK684" s="401"/>
      <c r="AL684" s="401"/>
      <c r="AM684" s="401"/>
    </row>
    <row r="685">
      <c r="A685" s="320"/>
      <c r="B685" s="321"/>
      <c r="C685" s="322"/>
      <c r="D685" s="401"/>
      <c r="E685" s="320"/>
      <c r="F685" s="321"/>
      <c r="G685" s="322"/>
      <c r="H685" s="401"/>
      <c r="I685" s="320"/>
      <c r="J685" s="321"/>
      <c r="K685" s="322"/>
      <c r="L685" s="401"/>
      <c r="M685" s="320"/>
      <c r="N685" s="321"/>
      <c r="O685" s="322"/>
      <c r="P685" s="401"/>
      <c r="Q685" s="203"/>
      <c r="R685" s="223"/>
      <c r="S685" s="404"/>
      <c r="T685" s="405"/>
      <c r="U685" s="203"/>
      <c r="V685" s="223"/>
      <c r="W685" s="404"/>
      <c r="X685" s="405"/>
      <c r="Y685" s="203"/>
      <c r="Z685" s="223"/>
      <c r="AA685" s="404"/>
      <c r="AB685" s="405"/>
      <c r="AC685" s="203"/>
      <c r="AD685" s="223"/>
      <c r="AE685" s="404"/>
      <c r="AF685" s="405"/>
      <c r="AG685" s="205"/>
      <c r="AH685" s="205"/>
      <c r="AI685" s="205"/>
      <c r="AJ685" s="205"/>
      <c r="AK685" s="401"/>
      <c r="AL685" s="401"/>
      <c r="AM685" s="401"/>
    </row>
    <row r="686">
      <c r="A686" s="320"/>
      <c r="B686" s="321"/>
      <c r="C686" s="322"/>
      <c r="D686" s="401"/>
      <c r="E686" s="320"/>
      <c r="F686" s="321"/>
      <c r="G686" s="322"/>
      <c r="H686" s="401"/>
      <c r="I686" s="320"/>
      <c r="J686" s="321"/>
      <c r="K686" s="322"/>
      <c r="L686" s="401"/>
      <c r="M686" s="320"/>
      <c r="N686" s="321"/>
      <c r="O686" s="322"/>
      <c r="P686" s="401"/>
      <c r="Q686" s="203"/>
      <c r="R686" s="223"/>
      <c r="S686" s="404"/>
      <c r="T686" s="405"/>
      <c r="U686" s="203"/>
      <c r="V686" s="223"/>
      <c r="W686" s="404"/>
      <c r="X686" s="405"/>
      <c r="Y686" s="203"/>
      <c r="Z686" s="223"/>
      <c r="AA686" s="404"/>
      <c r="AB686" s="405"/>
      <c r="AC686" s="203"/>
      <c r="AD686" s="223"/>
      <c r="AE686" s="404"/>
      <c r="AF686" s="405"/>
      <c r="AG686" s="205"/>
      <c r="AH686" s="205"/>
      <c r="AI686" s="205"/>
      <c r="AJ686" s="205"/>
      <c r="AK686" s="401"/>
      <c r="AL686" s="401"/>
      <c r="AM686" s="401"/>
    </row>
    <row r="687">
      <c r="A687" s="320"/>
      <c r="B687" s="321"/>
      <c r="C687" s="322"/>
      <c r="D687" s="401"/>
      <c r="E687" s="320"/>
      <c r="F687" s="321"/>
      <c r="G687" s="322"/>
      <c r="H687" s="401"/>
      <c r="I687" s="320"/>
      <c r="J687" s="321"/>
      <c r="K687" s="322"/>
      <c r="L687" s="401"/>
      <c r="M687" s="320"/>
      <c r="N687" s="321"/>
      <c r="O687" s="322"/>
      <c r="P687" s="401"/>
      <c r="Q687" s="203"/>
      <c r="R687" s="223"/>
      <c r="S687" s="404"/>
      <c r="T687" s="405"/>
      <c r="U687" s="203"/>
      <c r="V687" s="223"/>
      <c r="W687" s="404"/>
      <c r="X687" s="405"/>
      <c r="Y687" s="203"/>
      <c r="Z687" s="223"/>
      <c r="AA687" s="404"/>
      <c r="AB687" s="405"/>
      <c r="AC687" s="203"/>
      <c r="AD687" s="223"/>
      <c r="AE687" s="404"/>
      <c r="AF687" s="405"/>
      <c r="AG687" s="205"/>
      <c r="AH687" s="205"/>
      <c r="AI687" s="205"/>
      <c r="AJ687" s="205"/>
      <c r="AK687" s="401"/>
      <c r="AL687" s="401"/>
      <c r="AM687" s="401"/>
    </row>
    <row r="688">
      <c r="A688" s="320"/>
      <c r="B688" s="321"/>
      <c r="C688" s="322"/>
      <c r="D688" s="401"/>
      <c r="E688" s="320"/>
      <c r="F688" s="321"/>
      <c r="G688" s="322"/>
      <c r="H688" s="401"/>
      <c r="I688" s="320"/>
      <c r="J688" s="321"/>
      <c r="K688" s="322"/>
      <c r="L688" s="401"/>
      <c r="M688" s="320"/>
      <c r="N688" s="321"/>
      <c r="O688" s="322"/>
      <c r="P688" s="401"/>
      <c r="Q688" s="203"/>
      <c r="R688" s="223"/>
      <c r="S688" s="404"/>
      <c r="T688" s="405"/>
      <c r="U688" s="203"/>
      <c r="V688" s="223"/>
      <c r="W688" s="404"/>
      <c r="X688" s="405"/>
      <c r="Y688" s="203"/>
      <c r="Z688" s="223"/>
      <c r="AA688" s="404"/>
      <c r="AB688" s="405"/>
      <c r="AC688" s="203"/>
      <c r="AD688" s="223"/>
      <c r="AE688" s="404"/>
      <c r="AF688" s="405"/>
      <c r="AG688" s="205"/>
      <c r="AH688" s="205"/>
      <c r="AI688" s="205"/>
      <c r="AJ688" s="205"/>
      <c r="AK688" s="401"/>
      <c r="AL688" s="401"/>
      <c r="AM688" s="401"/>
    </row>
    <row r="689">
      <c r="A689" s="320"/>
      <c r="B689" s="321"/>
      <c r="C689" s="322"/>
      <c r="D689" s="401"/>
      <c r="E689" s="320"/>
      <c r="F689" s="321"/>
      <c r="G689" s="322"/>
      <c r="H689" s="401"/>
      <c r="I689" s="320"/>
      <c r="J689" s="321"/>
      <c r="K689" s="322"/>
      <c r="L689" s="401"/>
      <c r="M689" s="320"/>
      <c r="N689" s="321"/>
      <c r="O689" s="322"/>
      <c r="P689" s="401"/>
      <c r="Q689" s="203"/>
      <c r="R689" s="223"/>
      <c r="S689" s="404"/>
      <c r="T689" s="405"/>
      <c r="U689" s="203"/>
      <c r="V689" s="223"/>
      <c r="W689" s="404"/>
      <c r="X689" s="405"/>
      <c r="Y689" s="203"/>
      <c r="Z689" s="223"/>
      <c r="AA689" s="404"/>
      <c r="AB689" s="405"/>
      <c r="AC689" s="203"/>
      <c r="AD689" s="223"/>
      <c r="AE689" s="404"/>
      <c r="AF689" s="405"/>
      <c r="AG689" s="205"/>
      <c r="AH689" s="205"/>
      <c r="AI689" s="205"/>
      <c r="AJ689" s="205"/>
      <c r="AK689" s="401"/>
      <c r="AL689" s="401"/>
      <c r="AM689" s="401"/>
    </row>
    <row r="690">
      <c r="A690" s="320"/>
      <c r="B690" s="321"/>
      <c r="C690" s="322"/>
      <c r="D690" s="401"/>
      <c r="E690" s="320"/>
      <c r="F690" s="321"/>
      <c r="G690" s="322"/>
      <c r="H690" s="401"/>
      <c r="I690" s="320"/>
      <c r="J690" s="321"/>
      <c r="K690" s="322"/>
      <c r="L690" s="401"/>
      <c r="M690" s="320"/>
      <c r="N690" s="321"/>
      <c r="O690" s="322"/>
      <c r="P690" s="401"/>
      <c r="Q690" s="203"/>
      <c r="R690" s="223"/>
      <c r="S690" s="404"/>
      <c r="T690" s="405"/>
      <c r="U690" s="203"/>
      <c r="V690" s="223"/>
      <c r="W690" s="404"/>
      <c r="X690" s="405"/>
      <c r="Y690" s="203"/>
      <c r="Z690" s="223"/>
      <c r="AA690" s="404"/>
      <c r="AB690" s="405"/>
      <c r="AC690" s="203"/>
      <c r="AD690" s="223"/>
      <c r="AE690" s="404"/>
      <c r="AF690" s="405"/>
      <c r="AG690" s="205"/>
      <c r="AH690" s="205"/>
      <c r="AI690" s="205"/>
      <c r="AJ690" s="205"/>
      <c r="AK690" s="401"/>
      <c r="AL690" s="401"/>
      <c r="AM690" s="401"/>
    </row>
    <row r="691">
      <c r="A691" s="320"/>
      <c r="B691" s="321"/>
      <c r="C691" s="322"/>
      <c r="D691" s="401"/>
      <c r="E691" s="320"/>
      <c r="F691" s="321"/>
      <c r="G691" s="322"/>
      <c r="H691" s="401"/>
      <c r="I691" s="320"/>
      <c r="J691" s="321"/>
      <c r="K691" s="322"/>
      <c r="L691" s="401"/>
      <c r="M691" s="320"/>
      <c r="N691" s="321"/>
      <c r="O691" s="322"/>
      <c r="P691" s="401"/>
      <c r="Q691" s="203"/>
      <c r="R691" s="223"/>
      <c r="S691" s="404"/>
      <c r="T691" s="405"/>
      <c r="U691" s="203"/>
      <c r="V691" s="223"/>
      <c r="W691" s="404"/>
      <c r="X691" s="405"/>
      <c r="Y691" s="203"/>
      <c r="Z691" s="223"/>
      <c r="AA691" s="404"/>
      <c r="AB691" s="405"/>
      <c r="AC691" s="203"/>
      <c r="AD691" s="223"/>
      <c r="AE691" s="404"/>
      <c r="AF691" s="405"/>
      <c r="AG691" s="205"/>
      <c r="AH691" s="205"/>
      <c r="AI691" s="205"/>
      <c r="AJ691" s="205"/>
      <c r="AK691" s="401"/>
      <c r="AL691" s="401"/>
      <c r="AM691" s="401"/>
    </row>
    <row r="692">
      <c r="A692" s="320"/>
      <c r="B692" s="321"/>
      <c r="C692" s="322"/>
      <c r="D692" s="401"/>
      <c r="E692" s="320"/>
      <c r="F692" s="321"/>
      <c r="G692" s="322"/>
      <c r="H692" s="401"/>
      <c r="I692" s="320"/>
      <c r="J692" s="321"/>
      <c r="K692" s="322"/>
      <c r="L692" s="401"/>
      <c r="M692" s="320"/>
      <c r="N692" s="321"/>
      <c r="O692" s="322"/>
      <c r="P692" s="401"/>
      <c r="Q692" s="203"/>
      <c r="R692" s="223"/>
      <c r="S692" s="404"/>
      <c r="T692" s="405"/>
      <c r="U692" s="203"/>
      <c r="V692" s="223"/>
      <c r="W692" s="404"/>
      <c r="X692" s="405"/>
      <c r="Y692" s="203"/>
      <c r="Z692" s="223"/>
      <c r="AA692" s="404"/>
      <c r="AB692" s="405"/>
      <c r="AC692" s="203"/>
      <c r="AD692" s="223"/>
      <c r="AE692" s="404"/>
      <c r="AF692" s="405"/>
      <c r="AG692" s="205"/>
      <c r="AH692" s="205"/>
      <c r="AI692" s="205"/>
      <c r="AJ692" s="205"/>
      <c r="AK692" s="401"/>
      <c r="AL692" s="401"/>
      <c r="AM692" s="401"/>
    </row>
    <row r="693">
      <c r="A693" s="320"/>
      <c r="B693" s="321"/>
      <c r="C693" s="322"/>
      <c r="D693" s="401"/>
      <c r="E693" s="320"/>
      <c r="F693" s="321"/>
      <c r="G693" s="322"/>
      <c r="H693" s="401"/>
      <c r="I693" s="320"/>
      <c r="J693" s="321"/>
      <c r="K693" s="322"/>
      <c r="L693" s="401"/>
      <c r="M693" s="320"/>
      <c r="N693" s="321"/>
      <c r="O693" s="322"/>
      <c r="P693" s="401"/>
      <c r="Q693" s="203"/>
      <c r="R693" s="223"/>
      <c r="S693" s="404"/>
      <c r="T693" s="405"/>
      <c r="U693" s="203"/>
      <c r="V693" s="223"/>
      <c r="W693" s="404"/>
      <c r="X693" s="405"/>
      <c r="Y693" s="203"/>
      <c r="Z693" s="223"/>
      <c r="AA693" s="404"/>
      <c r="AB693" s="405"/>
      <c r="AC693" s="203"/>
      <c r="AD693" s="223"/>
      <c r="AE693" s="404"/>
      <c r="AF693" s="405"/>
      <c r="AG693" s="205"/>
      <c r="AH693" s="205"/>
      <c r="AI693" s="205"/>
      <c r="AJ693" s="205"/>
      <c r="AK693" s="401"/>
      <c r="AL693" s="401"/>
      <c r="AM693" s="401"/>
    </row>
    <row r="694">
      <c r="A694" s="320"/>
      <c r="B694" s="321"/>
      <c r="C694" s="322"/>
      <c r="D694" s="401"/>
      <c r="E694" s="320"/>
      <c r="F694" s="321"/>
      <c r="G694" s="322"/>
      <c r="H694" s="401"/>
      <c r="I694" s="320"/>
      <c r="J694" s="321"/>
      <c r="K694" s="322"/>
      <c r="L694" s="401"/>
      <c r="M694" s="320"/>
      <c r="N694" s="321"/>
      <c r="O694" s="322"/>
      <c r="P694" s="401"/>
      <c r="Q694" s="203"/>
      <c r="R694" s="223"/>
      <c r="S694" s="404"/>
      <c r="T694" s="405"/>
      <c r="U694" s="203"/>
      <c r="V694" s="223"/>
      <c r="W694" s="404"/>
      <c r="X694" s="405"/>
      <c r="Y694" s="203"/>
      <c r="Z694" s="223"/>
      <c r="AA694" s="404"/>
      <c r="AB694" s="405"/>
      <c r="AC694" s="203"/>
      <c r="AD694" s="223"/>
      <c r="AE694" s="404"/>
      <c r="AF694" s="405"/>
      <c r="AG694" s="205"/>
      <c r="AH694" s="205"/>
      <c r="AI694" s="205"/>
      <c r="AJ694" s="205"/>
      <c r="AK694" s="401"/>
      <c r="AL694" s="401"/>
      <c r="AM694" s="401"/>
    </row>
    <row r="695">
      <c r="A695" s="320"/>
      <c r="B695" s="321"/>
      <c r="C695" s="322"/>
      <c r="D695" s="401"/>
      <c r="E695" s="320"/>
      <c r="F695" s="321"/>
      <c r="G695" s="322"/>
      <c r="H695" s="401"/>
      <c r="I695" s="320"/>
      <c r="J695" s="321"/>
      <c r="K695" s="322"/>
      <c r="L695" s="401"/>
      <c r="M695" s="320"/>
      <c r="N695" s="321"/>
      <c r="O695" s="322"/>
      <c r="P695" s="401"/>
      <c r="Q695" s="203"/>
      <c r="R695" s="223"/>
      <c r="S695" s="404"/>
      <c r="T695" s="405"/>
      <c r="U695" s="203"/>
      <c r="V695" s="223"/>
      <c r="W695" s="404"/>
      <c r="X695" s="405"/>
      <c r="Y695" s="203"/>
      <c r="Z695" s="223"/>
      <c r="AA695" s="404"/>
      <c r="AB695" s="405"/>
      <c r="AC695" s="203"/>
      <c r="AD695" s="223"/>
      <c r="AE695" s="404"/>
      <c r="AF695" s="405"/>
      <c r="AG695" s="205"/>
      <c r="AH695" s="205"/>
      <c r="AI695" s="205"/>
      <c r="AJ695" s="205"/>
      <c r="AK695" s="401"/>
      <c r="AL695" s="401"/>
      <c r="AM695" s="401"/>
    </row>
    <row r="696">
      <c r="A696" s="320"/>
      <c r="B696" s="321"/>
      <c r="C696" s="322"/>
      <c r="D696" s="401"/>
      <c r="E696" s="320"/>
      <c r="F696" s="321"/>
      <c r="G696" s="322"/>
      <c r="H696" s="401"/>
      <c r="I696" s="320"/>
      <c r="J696" s="321"/>
      <c r="K696" s="322"/>
      <c r="L696" s="401"/>
      <c r="M696" s="320"/>
      <c r="N696" s="321"/>
      <c r="O696" s="322"/>
      <c r="P696" s="401"/>
      <c r="Q696" s="203"/>
      <c r="R696" s="223"/>
      <c r="S696" s="404"/>
      <c r="T696" s="405"/>
      <c r="U696" s="203"/>
      <c r="V696" s="223"/>
      <c r="W696" s="404"/>
      <c r="X696" s="405"/>
      <c r="Y696" s="203"/>
      <c r="Z696" s="223"/>
      <c r="AA696" s="404"/>
      <c r="AB696" s="405"/>
      <c r="AC696" s="203"/>
      <c r="AD696" s="223"/>
      <c r="AE696" s="404"/>
      <c r="AF696" s="405"/>
      <c r="AG696" s="205"/>
      <c r="AH696" s="205"/>
      <c r="AI696" s="205"/>
      <c r="AJ696" s="205"/>
      <c r="AK696" s="401"/>
      <c r="AL696" s="401"/>
      <c r="AM696" s="401"/>
    </row>
    <row r="697">
      <c r="A697" s="320"/>
      <c r="B697" s="321"/>
      <c r="C697" s="322"/>
      <c r="D697" s="401"/>
      <c r="E697" s="320"/>
      <c r="F697" s="321"/>
      <c r="G697" s="322"/>
      <c r="H697" s="401"/>
      <c r="I697" s="320"/>
      <c r="J697" s="321"/>
      <c r="K697" s="322"/>
      <c r="L697" s="401"/>
      <c r="M697" s="320"/>
      <c r="N697" s="321"/>
      <c r="O697" s="322"/>
      <c r="P697" s="401"/>
      <c r="Q697" s="203"/>
      <c r="R697" s="223"/>
      <c r="S697" s="404"/>
      <c r="T697" s="405"/>
      <c r="U697" s="203"/>
      <c r="V697" s="223"/>
      <c r="W697" s="404"/>
      <c r="X697" s="405"/>
      <c r="Y697" s="203"/>
      <c r="Z697" s="223"/>
      <c r="AA697" s="404"/>
      <c r="AB697" s="405"/>
      <c r="AC697" s="203"/>
      <c r="AD697" s="223"/>
      <c r="AE697" s="404"/>
      <c r="AF697" s="405"/>
      <c r="AG697" s="205"/>
      <c r="AH697" s="205"/>
      <c r="AI697" s="205"/>
      <c r="AJ697" s="205"/>
      <c r="AK697" s="401"/>
      <c r="AL697" s="401"/>
      <c r="AM697" s="401"/>
    </row>
    <row r="698">
      <c r="A698" s="320"/>
      <c r="B698" s="321"/>
      <c r="C698" s="322"/>
      <c r="D698" s="401"/>
      <c r="E698" s="320"/>
      <c r="F698" s="321"/>
      <c r="G698" s="322"/>
      <c r="H698" s="401"/>
      <c r="I698" s="320"/>
      <c r="J698" s="321"/>
      <c r="K698" s="322"/>
      <c r="L698" s="401"/>
      <c r="M698" s="320"/>
      <c r="N698" s="321"/>
      <c r="O698" s="322"/>
      <c r="P698" s="401"/>
      <c r="Q698" s="203"/>
      <c r="R698" s="223"/>
      <c r="S698" s="404"/>
      <c r="T698" s="405"/>
      <c r="U698" s="203"/>
      <c r="V698" s="223"/>
      <c r="W698" s="404"/>
      <c r="X698" s="405"/>
      <c r="Y698" s="203"/>
      <c r="Z698" s="223"/>
      <c r="AA698" s="404"/>
      <c r="AB698" s="405"/>
      <c r="AC698" s="203"/>
      <c r="AD698" s="223"/>
      <c r="AE698" s="404"/>
      <c r="AF698" s="405"/>
      <c r="AG698" s="205"/>
      <c r="AH698" s="205"/>
      <c r="AI698" s="205"/>
      <c r="AJ698" s="205"/>
      <c r="AK698" s="401"/>
      <c r="AL698" s="401"/>
      <c r="AM698" s="401"/>
    </row>
    <row r="699">
      <c r="A699" s="320"/>
      <c r="B699" s="321"/>
      <c r="C699" s="322"/>
      <c r="D699" s="401"/>
      <c r="E699" s="320"/>
      <c r="F699" s="321"/>
      <c r="G699" s="322"/>
      <c r="H699" s="401"/>
      <c r="I699" s="320"/>
      <c r="J699" s="321"/>
      <c r="K699" s="322"/>
      <c r="L699" s="401"/>
      <c r="M699" s="320"/>
      <c r="N699" s="321"/>
      <c r="O699" s="322"/>
      <c r="P699" s="401"/>
      <c r="Q699" s="203"/>
      <c r="R699" s="223"/>
      <c r="S699" s="404"/>
      <c r="T699" s="405"/>
      <c r="U699" s="203"/>
      <c r="V699" s="223"/>
      <c r="W699" s="404"/>
      <c r="X699" s="405"/>
      <c r="Y699" s="203"/>
      <c r="Z699" s="223"/>
      <c r="AA699" s="404"/>
      <c r="AB699" s="405"/>
      <c r="AC699" s="203"/>
      <c r="AD699" s="223"/>
      <c r="AE699" s="404"/>
      <c r="AF699" s="405"/>
      <c r="AG699" s="205"/>
      <c r="AH699" s="205"/>
      <c r="AI699" s="205"/>
      <c r="AJ699" s="205"/>
      <c r="AK699" s="401"/>
      <c r="AL699" s="401"/>
      <c r="AM699" s="401"/>
    </row>
    <row r="700">
      <c r="A700" s="320"/>
      <c r="B700" s="321"/>
      <c r="C700" s="322"/>
      <c r="D700" s="401"/>
      <c r="E700" s="320"/>
      <c r="F700" s="321"/>
      <c r="G700" s="322"/>
      <c r="H700" s="401"/>
      <c r="I700" s="320"/>
      <c r="J700" s="321"/>
      <c r="K700" s="322"/>
      <c r="L700" s="401"/>
      <c r="M700" s="320"/>
      <c r="N700" s="321"/>
      <c r="O700" s="322"/>
      <c r="P700" s="401"/>
      <c r="Q700" s="203"/>
      <c r="R700" s="223"/>
      <c r="S700" s="404"/>
      <c r="T700" s="405"/>
      <c r="U700" s="203"/>
      <c r="V700" s="223"/>
      <c r="W700" s="404"/>
      <c r="X700" s="405"/>
      <c r="Y700" s="203"/>
      <c r="Z700" s="223"/>
      <c r="AA700" s="404"/>
      <c r="AB700" s="405"/>
      <c r="AC700" s="203"/>
      <c r="AD700" s="223"/>
      <c r="AE700" s="404"/>
      <c r="AF700" s="405"/>
      <c r="AG700" s="205"/>
      <c r="AH700" s="205"/>
      <c r="AI700" s="205"/>
      <c r="AJ700" s="205"/>
      <c r="AK700" s="401"/>
      <c r="AL700" s="401"/>
      <c r="AM700" s="401"/>
    </row>
    <row r="701">
      <c r="A701" s="320"/>
      <c r="B701" s="321"/>
      <c r="C701" s="322"/>
      <c r="D701" s="401"/>
      <c r="E701" s="320"/>
      <c r="F701" s="321"/>
      <c r="G701" s="322"/>
      <c r="H701" s="401"/>
      <c r="I701" s="320"/>
      <c r="J701" s="321"/>
      <c r="K701" s="322"/>
      <c r="L701" s="401"/>
      <c r="M701" s="320"/>
      <c r="N701" s="321"/>
      <c r="O701" s="322"/>
      <c r="P701" s="401"/>
      <c r="Q701" s="203"/>
      <c r="R701" s="223"/>
      <c r="S701" s="404"/>
      <c r="T701" s="405"/>
      <c r="U701" s="203"/>
      <c r="V701" s="223"/>
      <c r="W701" s="404"/>
      <c r="X701" s="405"/>
      <c r="Y701" s="203"/>
      <c r="Z701" s="223"/>
      <c r="AA701" s="404"/>
      <c r="AB701" s="405"/>
      <c r="AC701" s="203"/>
      <c r="AD701" s="223"/>
      <c r="AE701" s="404"/>
      <c r="AF701" s="405"/>
      <c r="AG701" s="205"/>
      <c r="AH701" s="205"/>
      <c r="AI701" s="205"/>
      <c r="AJ701" s="205"/>
      <c r="AK701" s="401"/>
      <c r="AL701" s="401"/>
      <c r="AM701" s="401"/>
    </row>
    <row r="702">
      <c r="A702" s="320"/>
      <c r="B702" s="321"/>
      <c r="C702" s="322"/>
      <c r="D702" s="401"/>
      <c r="E702" s="320"/>
      <c r="F702" s="321"/>
      <c r="G702" s="322"/>
      <c r="H702" s="401"/>
      <c r="I702" s="320"/>
      <c r="J702" s="321"/>
      <c r="K702" s="322"/>
      <c r="L702" s="401"/>
      <c r="M702" s="320"/>
      <c r="N702" s="321"/>
      <c r="O702" s="322"/>
      <c r="P702" s="401"/>
      <c r="Q702" s="203"/>
      <c r="R702" s="223"/>
      <c r="S702" s="404"/>
      <c r="T702" s="405"/>
      <c r="U702" s="203"/>
      <c r="V702" s="223"/>
      <c r="W702" s="404"/>
      <c r="X702" s="405"/>
      <c r="Y702" s="203"/>
      <c r="Z702" s="223"/>
      <c r="AA702" s="404"/>
      <c r="AB702" s="405"/>
      <c r="AC702" s="203"/>
      <c r="AD702" s="223"/>
      <c r="AE702" s="404"/>
      <c r="AF702" s="405"/>
      <c r="AG702" s="205"/>
      <c r="AH702" s="205"/>
      <c r="AI702" s="205"/>
      <c r="AJ702" s="205"/>
      <c r="AK702" s="401"/>
      <c r="AL702" s="401"/>
      <c r="AM702" s="401"/>
    </row>
    <row r="703">
      <c r="A703" s="320"/>
      <c r="B703" s="321"/>
      <c r="C703" s="322"/>
      <c r="D703" s="401"/>
      <c r="E703" s="320"/>
      <c r="F703" s="321"/>
      <c r="G703" s="322"/>
      <c r="H703" s="401"/>
      <c r="I703" s="320"/>
      <c r="J703" s="321"/>
      <c r="K703" s="322"/>
      <c r="L703" s="401"/>
      <c r="M703" s="320"/>
      <c r="N703" s="321"/>
      <c r="O703" s="322"/>
      <c r="P703" s="401"/>
      <c r="Q703" s="203"/>
      <c r="R703" s="223"/>
      <c r="S703" s="404"/>
      <c r="T703" s="405"/>
      <c r="U703" s="203"/>
      <c r="V703" s="223"/>
      <c r="W703" s="404"/>
      <c r="X703" s="405"/>
      <c r="Y703" s="203"/>
      <c r="Z703" s="223"/>
      <c r="AA703" s="404"/>
      <c r="AB703" s="405"/>
      <c r="AC703" s="203"/>
      <c r="AD703" s="223"/>
      <c r="AE703" s="404"/>
      <c r="AF703" s="405"/>
      <c r="AG703" s="205"/>
      <c r="AH703" s="205"/>
      <c r="AI703" s="205"/>
      <c r="AJ703" s="205"/>
      <c r="AK703" s="401"/>
      <c r="AL703" s="401"/>
      <c r="AM703" s="401"/>
    </row>
    <row r="704">
      <c r="A704" s="320"/>
      <c r="B704" s="321"/>
      <c r="C704" s="322"/>
      <c r="D704" s="401"/>
      <c r="E704" s="320"/>
      <c r="F704" s="321"/>
      <c r="G704" s="322"/>
      <c r="H704" s="401"/>
      <c r="I704" s="320"/>
      <c r="J704" s="321"/>
      <c r="K704" s="322"/>
      <c r="L704" s="401"/>
      <c r="M704" s="320"/>
      <c r="N704" s="321"/>
      <c r="O704" s="322"/>
      <c r="P704" s="401"/>
      <c r="Q704" s="203"/>
      <c r="R704" s="223"/>
      <c r="S704" s="404"/>
      <c r="T704" s="405"/>
      <c r="U704" s="203"/>
      <c r="V704" s="223"/>
      <c r="W704" s="404"/>
      <c r="X704" s="405"/>
      <c r="Y704" s="203"/>
      <c r="Z704" s="223"/>
      <c r="AA704" s="404"/>
      <c r="AB704" s="405"/>
      <c r="AC704" s="203"/>
      <c r="AD704" s="223"/>
      <c r="AE704" s="404"/>
      <c r="AF704" s="405"/>
      <c r="AG704" s="205"/>
      <c r="AH704" s="205"/>
      <c r="AI704" s="205"/>
      <c r="AJ704" s="205"/>
      <c r="AK704" s="401"/>
      <c r="AL704" s="401"/>
      <c r="AM704" s="401"/>
    </row>
    <row r="705">
      <c r="A705" s="320"/>
      <c r="B705" s="321"/>
      <c r="C705" s="322"/>
      <c r="D705" s="401"/>
      <c r="E705" s="320"/>
      <c r="F705" s="321"/>
      <c r="G705" s="322"/>
      <c r="H705" s="401"/>
      <c r="I705" s="320"/>
      <c r="J705" s="321"/>
      <c r="K705" s="322"/>
      <c r="L705" s="401"/>
      <c r="M705" s="320"/>
      <c r="N705" s="321"/>
      <c r="O705" s="322"/>
      <c r="P705" s="401"/>
      <c r="Q705" s="203"/>
      <c r="R705" s="223"/>
      <c r="S705" s="404"/>
      <c r="T705" s="405"/>
      <c r="U705" s="203"/>
      <c r="V705" s="223"/>
      <c r="W705" s="404"/>
      <c r="X705" s="405"/>
      <c r="Y705" s="203"/>
      <c r="Z705" s="223"/>
      <c r="AA705" s="404"/>
      <c r="AB705" s="405"/>
      <c r="AC705" s="203"/>
      <c r="AD705" s="223"/>
      <c r="AE705" s="404"/>
      <c r="AF705" s="405"/>
      <c r="AG705" s="205"/>
      <c r="AH705" s="205"/>
      <c r="AI705" s="205"/>
      <c r="AJ705" s="205"/>
      <c r="AK705" s="401"/>
      <c r="AL705" s="401"/>
      <c r="AM705" s="401"/>
    </row>
    <row r="706">
      <c r="A706" s="320"/>
      <c r="B706" s="321"/>
      <c r="C706" s="322"/>
      <c r="D706" s="401"/>
      <c r="E706" s="320"/>
      <c r="F706" s="321"/>
      <c r="G706" s="322"/>
      <c r="H706" s="401"/>
      <c r="I706" s="320"/>
      <c r="J706" s="321"/>
      <c r="K706" s="322"/>
      <c r="L706" s="401"/>
      <c r="M706" s="320"/>
      <c r="N706" s="321"/>
      <c r="O706" s="322"/>
      <c r="P706" s="401"/>
      <c r="Q706" s="203"/>
      <c r="R706" s="223"/>
      <c r="S706" s="404"/>
      <c r="T706" s="405"/>
      <c r="U706" s="203"/>
      <c r="V706" s="223"/>
      <c r="W706" s="404"/>
      <c r="X706" s="405"/>
      <c r="Y706" s="203"/>
      <c r="Z706" s="223"/>
      <c r="AA706" s="404"/>
      <c r="AB706" s="405"/>
      <c r="AC706" s="203"/>
      <c r="AD706" s="223"/>
      <c r="AE706" s="404"/>
      <c r="AF706" s="405"/>
      <c r="AG706" s="205"/>
      <c r="AH706" s="205"/>
      <c r="AI706" s="205"/>
      <c r="AJ706" s="205"/>
      <c r="AK706" s="401"/>
      <c r="AL706" s="401"/>
      <c r="AM706" s="401"/>
    </row>
    <row r="707">
      <c r="A707" s="320"/>
      <c r="B707" s="321"/>
      <c r="C707" s="322"/>
      <c r="D707" s="401"/>
      <c r="E707" s="320"/>
      <c r="F707" s="321"/>
      <c r="G707" s="322"/>
      <c r="H707" s="401"/>
      <c r="I707" s="320"/>
      <c r="J707" s="321"/>
      <c r="K707" s="322"/>
      <c r="L707" s="401"/>
      <c r="M707" s="320"/>
      <c r="N707" s="321"/>
      <c r="O707" s="322"/>
      <c r="P707" s="401"/>
      <c r="Q707" s="203"/>
      <c r="R707" s="223"/>
      <c r="S707" s="404"/>
      <c r="T707" s="405"/>
      <c r="U707" s="203"/>
      <c r="V707" s="223"/>
      <c r="W707" s="404"/>
      <c r="X707" s="405"/>
      <c r="Y707" s="203"/>
      <c r="Z707" s="223"/>
      <c r="AA707" s="404"/>
      <c r="AB707" s="405"/>
      <c r="AC707" s="203"/>
      <c r="AD707" s="223"/>
      <c r="AE707" s="404"/>
      <c r="AF707" s="405"/>
      <c r="AG707" s="205"/>
      <c r="AH707" s="205"/>
      <c r="AI707" s="205"/>
      <c r="AJ707" s="205"/>
      <c r="AK707" s="401"/>
      <c r="AL707" s="401"/>
      <c r="AM707" s="401"/>
    </row>
    <row r="708">
      <c r="A708" s="320"/>
      <c r="B708" s="321"/>
      <c r="C708" s="322"/>
      <c r="D708" s="401"/>
      <c r="E708" s="320"/>
      <c r="F708" s="321"/>
      <c r="G708" s="322"/>
      <c r="H708" s="401"/>
      <c r="I708" s="320"/>
      <c r="J708" s="321"/>
      <c r="K708" s="322"/>
      <c r="L708" s="401"/>
      <c r="M708" s="320"/>
      <c r="N708" s="321"/>
      <c r="O708" s="322"/>
      <c r="P708" s="401"/>
      <c r="Q708" s="203"/>
      <c r="R708" s="223"/>
      <c r="S708" s="404"/>
      <c r="T708" s="405"/>
      <c r="U708" s="203"/>
      <c r="V708" s="223"/>
      <c r="W708" s="404"/>
      <c r="X708" s="405"/>
      <c r="Y708" s="203"/>
      <c r="Z708" s="223"/>
      <c r="AA708" s="404"/>
      <c r="AB708" s="405"/>
      <c r="AC708" s="203"/>
      <c r="AD708" s="223"/>
      <c r="AE708" s="404"/>
      <c r="AF708" s="405"/>
      <c r="AG708" s="205"/>
      <c r="AH708" s="205"/>
      <c r="AI708" s="205"/>
      <c r="AJ708" s="205"/>
      <c r="AK708" s="401"/>
      <c r="AL708" s="401"/>
      <c r="AM708" s="401"/>
    </row>
    <row r="709">
      <c r="A709" s="320"/>
      <c r="B709" s="321"/>
      <c r="C709" s="322"/>
      <c r="D709" s="401"/>
      <c r="E709" s="320"/>
      <c r="F709" s="321"/>
      <c r="G709" s="322"/>
      <c r="H709" s="401"/>
      <c r="I709" s="320"/>
      <c r="J709" s="321"/>
      <c r="K709" s="322"/>
      <c r="L709" s="401"/>
      <c r="M709" s="320"/>
      <c r="N709" s="321"/>
      <c r="O709" s="322"/>
      <c r="P709" s="401"/>
      <c r="Q709" s="203"/>
      <c r="R709" s="223"/>
      <c r="S709" s="404"/>
      <c r="T709" s="405"/>
      <c r="U709" s="203"/>
      <c r="V709" s="223"/>
      <c r="W709" s="404"/>
      <c r="X709" s="405"/>
      <c r="Y709" s="203"/>
      <c r="Z709" s="223"/>
      <c r="AA709" s="404"/>
      <c r="AB709" s="405"/>
      <c r="AC709" s="203"/>
      <c r="AD709" s="223"/>
      <c r="AE709" s="404"/>
      <c r="AF709" s="405"/>
      <c r="AG709" s="205"/>
      <c r="AH709" s="205"/>
      <c r="AI709" s="205"/>
      <c r="AJ709" s="205"/>
      <c r="AK709" s="401"/>
      <c r="AL709" s="401"/>
      <c r="AM709" s="401"/>
    </row>
    <row r="710">
      <c r="A710" s="320"/>
      <c r="B710" s="321"/>
      <c r="C710" s="322"/>
      <c r="D710" s="401"/>
      <c r="E710" s="320"/>
      <c r="F710" s="321"/>
      <c r="G710" s="322"/>
      <c r="H710" s="401"/>
      <c r="I710" s="320"/>
      <c r="J710" s="321"/>
      <c r="K710" s="322"/>
      <c r="L710" s="401"/>
      <c r="M710" s="320"/>
      <c r="N710" s="321"/>
      <c r="O710" s="322"/>
      <c r="P710" s="401"/>
      <c r="Q710" s="203"/>
      <c r="R710" s="223"/>
      <c r="S710" s="404"/>
      <c r="T710" s="405"/>
      <c r="U710" s="203"/>
      <c r="V710" s="223"/>
      <c r="W710" s="404"/>
      <c r="X710" s="405"/>
      <c r="Y710" s="203"/>
      <c r="Z710" s="223"/>
      <c r="AA710" s="404"/>
      <c r="AB710" s="405"/>
      <c r="AC710" s="203"/>
      <c r="AD710" s="223"/>
      <c r="AE710" s="404"/>
      <c r="AF710" s="405"/>
      <c r="AG710" s="205"/>
      <c r="AH710" s="205"/>
      <c r="AI710" s="205"/>
      <c r="AJ710" s="205"/>
      <c r="AK710" s="401"/>
      <c r="AL710" s="401"/>
      <c r="AM710" s="401"/>
    </row>
    <row r="711">
      <c r="A711" s="320"/>
      <c r="B711" s="321"/>
      <c r="C711" s="322"/>
      <c r="D711" s="401"/>
      <c r="E711" s="320"/>
      <c r="F711" s="321"/>
      <c r="G711" s="322"/>
      <c r="H711" s="401"/>
      <c r="I711" s="320"/>
      <c r="J711" s="321"/>
      <c r="K711" s="322"/>
      <c r="L711" s="401"/>
      <c r="M711" s="320"/>
      <c r="N711" s="321"/>
      <c r="O711" s="322"/>
      <c r="P711" s="401"/>
      <c r="Q711" s="203"/>
      <c r="R711" s="223"/>
      <c r="S711" s="404"/>
      <c r="T711" s="405"/>
      <c r="U711" s="203"/>
      <c r="V711" s="223"/>
      <c r="W711" s="404"/>
      <c r="X711" s="405"/>
      <c r="Y711" s="203"/>
      <c r="Z711" s="223"/>
      <c r="AA711" s="404"/>
      <c r="AB711" s="405"/>
      <c r="AC711" s="203"/>
      <c r="AD711" s="223"/>
      <c r="AE711" s="404"/>
      <c r="AF711" s="405"/>
      <c r="AG711" s="205"/>
      <c r="AH711" s="205"/>
      <c r="AI711" s="205"/>
      <c r="AJ711" s="205"/>
      <c r="AK711" s="401"/>
      <c r="AL711" s="401"/>
      <c r="AM711" s="401"/>
    </row>
    <row r="712">
      <c r="A712" s="320"/>
      <c r="B712" s="321"/>
      <c r="C712" s="322"/>
      <c r="D712" s="401"/>
      <c r="E712" s="320"/>
      <c r="F712" s="321"/>
      <c r="G712" s="322"/>
      <c r="H712" s="401"/>
      <c r="I712" s="320"/>
      <c r="J712" s="321"/>
      <c r="K712" s="322"/>
      <c r="L712" s="401"/>
      <c r="M712" s="320"/>
      <c r="N712" s="321"/>
      <c r="O712" s="322"/>
      <c r="P712" s="401"/>
      <c r="Q712" s="203"/>
      <c r="R712" s="223"/>
      <c r="S712" s="404"/>
      <c r="T712" s="405"/>
      <c r="U712" s="203"/>
      <c r="V712" s="223"/>
      <c r="W712" s="404"/>
      <c r="X712" s="405"/>
      <c r="Y712" s="203"/>
      <c r="Z712" s="223"/>
      <c r="AA712" s="404"/>
      <c r="AB712" s="405"/>
      <c r="AC712" s="203"/>
      <c r="AD712" s="223"/>
      <c r="AE712" s="404"/>
      <c r="AF712" s="405"/>
      <c r="AG712" s="205"/>
      <c r="AH712" s="205"/>
      <c r="AI712" s="205"/>
      <c r="AJ712" s="205"/>
      <c r="AK712" s="401"/>
      <c r="AL712" s="401"/>
      <c r="AM712" s="401"/>
    </row>
    <row r="713">
      <c r="A713" s="320"/>
      <c r="B713" s="321"/>
      <c r="C713" s="322"/>
      <c r="D713" s="401"/>
      <c r="E713" s="320"/>
      <c r="F713" s="321"/>
      <c r="G713" s="322"/>
      <c r="H713" s="401"/>
      <c r="I713" s="320"/>
      <c r="J713" s="321"/>
      <c r="K713" s="322"/>
      <c r="L713" s="401"/>
      <c r="M713" s="320"/>
      <c r="N713" s="321"/>
      <c r="O713" s="322"/>
      <c r="P713" s="401"/>
      <c r="Q713" s="203"/>
      <c r="R713" s="223"/>
      <c r="S713" s="404"/>
      <c r="T713" s="405"/>
      <c r="U713" s="203"/>
      <c r="V713" s="223"/>
      <c r="W713" s="404"/>
      <c r="X713" s="405"/>
      <c r="Y713" s="203"/>
      <c r="Z713" s="223"/>
      <c r="AA713" s="404"/>
      <c r="AB713" s="405"/>
      <c r="AC713" s="203"/>
      <c r="AD713" s="223"/>
      <c r="AE713" s="404"/>
      <c r="AF713" s="405"/>
      <c r="AG713" s="205"/>
      <c r="AH713" s="205"/>
      <c r="AI713" s="205"/>
      <c r="AJ713" s="205"/>
      <c r="AK713" s="401"/>
      <c r="AL713" s="401"/>
      <c r="AM713" s="401"/>
    </row>
    <row r="714">
      <c r="A714" s="320"/>
      <c r="B714" s="321"/>
      <c r="C714" s="322"/>
      <c r="D714" s="401"/>
      <c r="E714" s="320"/>
      <c r="F714" s="321"/>
      <c r="G714" s="322"/>
      <c r="H714" s="401"/>
      <c r="I714" s="320"/>
      <c r="J714" s="321"/>
      <c r="K714" s="322"/>
      <c r="L714" s="401"/>
      <c r="M714" s="320"/>
      <c r="N714" s="321"/>
      <c r="O714" s="322"/>
      <c r="P714" s="401"/>
      <c r="Q714" s="203"/>
      <c r="R714" s="223"/>
      <c r="S714" s="404"/>
      <c r="T714" s="405"/>
      <c r="U714" s="203"/>
      <c r="V714" s="223"/>
      <c r="W714" s="404"/>
      <c r="X714" s="405"/>
      <c r="Y714" s="203"/>
      <c r="Z714" s="223"/>
      <c r="AA714" s="404"/>
      <c r="AB714" s="405"/>
      <c r="AC714" s="203"/>
      <c r="AD714" s="223"/>
      <c r="AE714" s="404"/>
      <c r="AF714" s="405"/>
      <c r="AG714" s="205"/>
      <c r="AH714" s="205"/>
      <c r="AI714" s="205"/>
      <c r="AJ714" s="205"/>
      <c r="AK714" s="401"/>
      <c r="AL714" s="401"/>
      <c r="AM714" s="401"/>
    </row>
    <row r="715">
      <c r="A715" s="320"/>
      <c r="B715" s="321"/>
      <c r="C715" s="322"/>
      <c r="D715" s="401"/>
      <c r="E715" s="320"/>
      <c r="F715" s="321"/>
      <c r="G715" s="322"/>
      <c r="H715" s="401"/>
      <c r="I715" s="320"/>
      <c r="J715" s="321"/>
      <c r="K715" s="322"/>
      <c r="L715" s="401"/>
      <c r="M715" s="320"/>
      <c r="N715" s="321"/>
      <c r="O715" s="322"/>
      <c r="P715" s="401"/>
      <c r="Q715" s="203"/>
      <c r="R715" s="223"/>
      <c r="S715" s="404"/>
      <c r="T715" s="405"/>
      <c r="U715" s="203"/>
      <c r="V715" s="223"/>
      <c r="W715" s="404"/>
      <c r="X715" s="405"/>
      <c r="Y715" s="203"/>
      <c r="Z715" s="223"/>
      <c r="AA715" s="404"/>
      <c r="AB715" s="405"/>
      <c r="AC715" s="203"/>
      <c r="AD715" s="223"/>
      <c r="AE715" s="404"/>
      <c r="AF715" s="405"/>
      <c r="AG715" s="205"/>
      <c r="AH715" s="205"/>
      <c r="AI715" s="205"/>
      <c r="AJ715" s="205"/>
      <c r="AK715" s="401"/>
      <c r="AL715" s="401"/>
      <c r="AM715" s="401"/>
    </row>
    <row r="716">
      <c r="A716" s="320"/>
      <c r="B716" s="321"/>
      <c r="C716" s="322"/>
      <c r="D716" s="401"/>
      <c r="E716" s="320"/>
      <c r="F716" s="321"/>
      <c r="G716" s="322"/>
      <c r="H716" s="401"/>
      <c r="I716" s="320"/>
      <c r="J716" s="321"/>
      <c r="K716" s="322"/>
      <c r="L716" s="401"/>
      <c r="M716" s="320"/>
      <c r="N716" s="321"/>
      <c r="O716" s="322"/>
      <c r="P716" s="401"/>
      <c r="Q716" s="203"/>
      <c r="R716" s="223"/>
      <c r="S716" s="404"/>
      <c r="T716" s="405"/>
      <c r="U716" s="203"/>
      <c r="V716" s="223"/>
      <c r="W716" s="404"/>
      <c r="X716" s="405"/>
      <c r="Y716" s="203"/>
      <c r="Z716" s="223"/>
      <c r="AA716" s="404"/>
      <c r="AB716" s="405"/>
      <c r="AC716" s="203"/>
      <c r="AD716" s="223"/>
      <c r="AE716" s="404"/>
      <c r="AF716" s="405"/>
      <c r="AG716" s="205"/>
      <c r="AH716" s="205"/>
      <c r="AI716" s="205"/>
      <c r="AJ716" s="205"/>
      <c r="AK716" s="401"/>
      <c r="AL716" s="401"/>
      <c r="AM716" s="401"/>
    </row>
    <row r="717">
      <c r="A717" s="320"/>
      <c r="B717" s="321"/>
      <c r="C717" s="322"/>
      <c r="D717" s="401"/>
      <c r="E717" s="320"/>
      <c r="F717" s="321"/>
      <c r="G717" s="322"/>
      <c r="H717" s="401"/>
      <c r="I717" s="320"/>
      <c r="J717" s="321"/>
      <c r="K717" s="322"/>
      <c r="L717" s="401"/>
      <c r="M717" s="320"/>
      <c r="N717" s="321"/>
      <c r="O717" s="322"/>
      <c r="P717" s="401"/>
      <c r="Q717" s="203"/>
      <c r="R717" s="223"/>
      <c r="S717" s="404"/>
      <c r="T717" s="405"/>
      <c r="U717" s="203"/>
      <c r="V717" s="223"/>
      <c r="W717" s="404"/>
      <c r="X717" s="405"/>
      <c r="Y717" s="203"/>
      <c r="Z717" s="223"/>
      <c r="AA717" s="404"/>
      <c r="AB717" s="405"/>
      <c r="AC717" s="203"/>
      <c r="AD717" s="223"/>
      <c r="AE717" s="404"/>
      <c r="AF717" s="405"/>
      <c r="AG717" s="205"/>
      <c r="AH717" s="205"/>
      <c r="AI717" s="205"/>
      <c r="AJ717" s="205"/>
      <c r="AK717" s="401"/>
      <c r="AL717" s="401"/>
      <c r="AM717" s="401"/>
    </row>
    <row r="718">
      <c r="A718" s="320"/>
      <c r="B718" s="321"/>
      <c r="C718" s="322"/>
      <c r="D718" s="401"/>
      <c r="E718" s="320"/>
      <c r="F718" s="321"/>
      <c r="G718" s="322"/>
      <c r="H718" s="401"/>
      <c r="I718" s="320"/>
      <c r="J718" s="321"/>
      <c r="K718" s="322"/>
      <c r="L718" s="401"/>
      <c r="M718" s="320"/>
      <c r="N718" s="321"/>
      <c r="O718" s="322"/>
      <c r="P718" s="401"/>
      <c r="Q718" s="203"/>
      <c r="R718" s="223"/>
      <c r="S718" s="404"/>
      <c r="T718" s="405"/>
      <c r="U718" s="203"/>
      <c r="V718" s="223"/>
      <c r="W718" s="404"/>
      <c r="X718" s="405"/>
      <c r="Y718" s="203"/>
      <c r="Z718" s="223"/>
      <c r="AA718" s="404"/>
      <c r="AB718" s="405"/>
      <c r="AC718" s="203"/>
      <c r="AD718" s="223"/>
      <c r="AE718" s="404"/>
      <c r="AF718" s="405"/>
      <c r="AG718" s="205"/>
      <c r="AH718" s="205"/>
      <c r="AI718" s="205"/>
      <c r="AJ718" s="205"/>
      <c r="AK718" s="401"/>
      <c r="AL718" s="401"/>
      <c r="AM718" s="401"/>
    </row>
    <row r="719">
      <c r="A719" s="320"/>
      <c r="B719" s="321"/>
      <c r="C719" s="322"/>
      <c r="D719" s="401"/>
      <c r="E719" s="320"/>
      <c r="F719" s="321"/>
      <c r="G719" s="322"/>
      <c r="H719" s="401"/>
      <c r="I719" s="320"/>
      <c r="J719" s="321"/>
      <c r="K719" s="322"/>
      <c r="L719" s="401"/>
      <c r="M719" s="320"/>
      <c r="N719" s="321"/>
      <c r="O719" s="322"/>
      <c r="P719" s="401"/>
      <c r="Q719" s="203"/>
      <c r="R719" s="223"/>
      <c r="S719" s="404"/>
      <c r="T719" s="405"/>
      <c r="U719" s="203"/>
      <c r="V719" s="223"/>
      <c r="W719" s="404"/>
      <c r="X719" s="405"/>
      <c r="Y719" s="203"/>
      <c r="Z719" s="223"/>
      <c r="AA719" s="404"/>
      <c r="AB719" s="405"/>
      <c r="AC719" s="203"/>
      <c r="AD719" s="223"/>
      <c r="AE719" s="404"/>
      <c r="AF719" s="405"/>
      <c r="AG719" s="205"/>
      <c r="AH719" s="205"/>
      <c r="AI719" s="205"/>
      <c r="AJ719" s="205"/>
      <c r="AK719" s="401"/>
      <c r="AL719" s="401"/>
      <c r="AM719" s="401"/>
    </row>
    <row r="720">
      <c r="A720" s="320"/>
      <c r="B720" s="321"/>
      <c r="C720" s="322"/>
      <c r="D720" s="401"/>
      <c r="E720" s="320"/>
      <c r="F720" s="321"/>
      <c r="G720" s="322"/>
      <c r="H720" s="401"/>
      <c r="I720" s="320"/>
      <c r="J720" s="321"/>
      <c r="K720" s="322"/>
      <c r="L720" s="401"/>
      <c r="M720" s="320"/>
      <c r="N720" s="321"/>
      <c r="O720" s="322"/>
      <c r="P720" s="401"/>
      <c r="Q720" s="203"/>
      <c r="R720" s="223"/>
      <c r="S720" s="404"/>
      <c r="T720" s="405"/>
      <c r="U720" s="203"/>
      <c r="V720" s="223"/>
      <c r="W720" s="404"/>
      <c r="X720" s="405"/>
      <c r="Y720" s="203"/>
      <c r="Z720" s="223"/>
      <c r="AA720" s="404"/>
      <c r="AB720" s="405"/>
      <c r="AC720" s="203"/>
      <c r="AD720" s="223"/>
      <c r="AE720" s="404"/>
      <c r="AF720" s="405"/>
      <c r="AG720" s="205"/>
      <c r="AH720" s="205"/>
      <c r="AI720" s="205"/>
      <c r="AJ720" s="205"/>
      <c r="AK720" s="401"/>
      <c r="AL720" s="401"/>
      <c r="AM720" s="401"/>
    </row>
    <row r="721">
      <c r="A721" s="320"/>
      <c r="B721" s="321"/>
      <c r="C721" s="322"/>
      <c r="D721" s="401"/>
      <c r="E721" s="320"/>
      <c r="F721" s="321"/>
      <c r="G721" s="322"/>
      <c r="H721" s="401"/>
      <c r="I721" s="320"/>
      <c r="J721" s="321"/>
      <c r="K721" s="322"/>
      <c r="L721" s="401"/>
      <c r="M721" s="320"/>
      <c r="N721" s="321"/>
      <c r="O721" s="322"/>
      <c r="P721" s="401"/>
      <c r="Q721" s="203"/>
      <c r="R721" s="223"/>
      <c r="S721" s="404"/>
      <c r="T721" s="405"/>
      <c r="U721" s="203"/>
      <c r="V721" s="223"/>
      <c r="W721" s="404"/>
      <c r="X721" s="405"/>
      <c r="Y721" s="203"/>
      <c r="Z721" s="223"/>
      <c r="AA721" s="404"/>
      <c r="AB721" s="405"/>
      <c r="AC721" s="203"/>
      <c r="AD721" s="223"/>
      <c r="AE721" s="404"/>
      <c r="AF721" s="405"/>
      <c r="AG721" s="205"/>
      <c r="AH721" s="205"/>
      <c r="AI721" s="205"/>
      <c r="AJ721" s="205"/>
      <c r="AK721" s="401"/>
      <c r="AL721" s="401"/>
      <c r="AM721" s="401"/>
    </row>
    <row r="722">
      <c r="A722" s="320"/>
      <c r="B722" s="321"/>
      <c r="C722" s="322"/>
      <c r="D722" s="401"/>
      <c r="E722" s="320"/>
      <c r="F722" s="321"/>
      <c r="G722" s="322"/>
      <c r="H722" s="401"/>
      <c r="I722" s="320"/>
      <c r="J722" s="321"/>
      <c r="K722" s="322"/>
      <c r="L722" s="401"/>
      <c r="M722" s="320"/>
      <c r="N722" s="321"/>
      <c r="O722" s="322"/>
      <c r="P722" s="401"/>
      <c r="Q722" s="203"/>
      <c r="R722" s="223"/>
      <c r="S722" s="404"/>
      <c r="T722" s="405"/>
      <c r="U722" s="203"/>
      <c r="V722" s="223"/>
      <c r="W722" s="404"/>
      <c r="X722" s="405"/>
      <c r="Y722" s="203"/>
      <c r="Z722" s="223"/>
      <c r="AA722" s="404"/>
      <c r="AB722" s="405"/>
      <c r="AC722" s="203"/>
      <c r="AD722" s="223"/>
      <c r="AE722" s="404"/>
      <c r="AF722" s="405"/>
      <c r="AG722" s="205"/>
      <c r="AH722" s="205"/>
      <c r="AI722" s="205"/>
      <c r="AJ722" s="205"/>
      <c r="AK722" s="401"/>
      <c r="AL722" s="401"/>
      <c r="AM722" s="401"/>
    </row>
    <row r="723">
      <c r="A723" s="320"/>
      <c r="B723" s="321"/>
      <c r="C723" s="322"/>
      <c r="D723" s="401"/>
      <c r="E723" s="320"/>
      <c r="F723" s="321"/>
      <c r="G723" s="322"/>
      <c r="H723" s="401"/>
      <c r="I723" s="320"/>
      <c r="J723" s="321"/>
      <c r="K723" s="322"/>
      <c r="L723" s="401"/>
      <c r="M723" s="320"/>
      <c r="N723" s="321"/>
      <c r="O723" s="322"/>
      <c r="P723" s="401"/>
      <c r="Q723" s="203"/>
      <c r="R723" s="223"/>
      <c r="S723" s="404"/>
      <c r="T723" s="405"/>
      <c r="U723" s="203"/>
      <c r="V723" s="223"/>
      <c r="W723" s="404"/>
      <c r="X723" s="405"/>
      <c r="Y723" s="203"/>
      <c r="Z723" s="223"/>
      <c r="AA723" s="404"/>
      <c r="AB723" s="405"/>
      <c r="AC723" s="203"/>
      <c r="AD723" s="223"/>
      <c r="AE723" s="404"/>
      <c r="AF723" s="405"/>
      <c r="AG723" s="205"/>
      <c r="AH723" s="205"/>
      <c r="AI723" s="205"/>
      <c r="AJ723" s="205"/>
      <c r="AK723" s="401"/>
      <c r="AL723" s="401"/>
      <c r="AM723" s="401"/>
    </row>
    <row r="724">
      <c r="A724" s="320"/>
      <c r="B724" s="321"/>
      <c r="C724" s="322"/>
      <c r="D724" s="401"/>
      <c r="E724" s="320"/>
      <c r="F724" s="321"/>
      <c r="G724" s="322"/>
      <c r="H724" s="401"/>
      <c r="I724" s="320"/>
      <c r="J724" s="321"/>
      <c r="K724" s="322"/>
      <c r="L724" s="401"/>
      <c r="M724" s="320"/>
      <c r="N724" s="321"/>
      <c r="O724" s="322"/>
      <c r="P724" s="401"/>
      <c r="Q724" s="203"/>
      <c r="R724" s="223"/>
      <c r="S724" s="404"/>
      <c r="T724" s="405"/>
      <c r="U724" s="203"/>
      <c r="V724" s="223"/>
      <c r="W724" s="404"/>
      <c r="X724" s="405"/>
      <c r="Y724" s="203"/>
      <c r="Z724" s="223"/>
      <c r="AA724" s="404"/>
      <c r="AB724" s="405"/>
      <c r="AC724" s="203"/>
      <c r="AD724" s="223"/>
      <c r="AE724" s="404"/>
      <c r="AF724" s="405"/>
      <c r="AG724" s="205"/>
      <c r="AH724" s="205"/>
      <c r="AI724" s="205"/>
      <c r="AJ724" s="205"/>
      <c r="AK724" s="401"/>
      <c r="AL724" s="401"/>
      <c r="AM724" s="401"/>
    </row>
    <row r="725">
      <c r="A725" s="320"/>
      <c r="B725" s="321"/>
      <c r="C725" s="322"/>
      <c r="D725" s="401"/>
      <c r="E725" s="320"/>
      <c r="F725" s="321"/>
      <c r="G725" s="322"/>
      <c r="H725" s="401"/>
      <c r="I725" s="320"/>
      <c r="J725" s="321"/>
      <c r="K725" s="322"/>
      <c r="L725" s="401"/>
      <c r="M725" s="320"/>
      <c r="N725" s="321"/>
      <c r="O725" s="322"/>
      <c r="P725" s="401"/>
      <c r="Q725" s="203"/>
      <c r="R725" s="223"/>
      <c r="S725" s="404"/>
      <c r="T725" s="405"/>
      <c r="U725" s="203"/>
      <c r="V725" s="223"/>
      <c r="W725" s="404"/>
      <c r="X725" s="405"/>
      <c r="Y725" s="203"/>
      <c r="Z725" s="223"/>
      <c r="AA725" s="404"/>
      <c r="AB725" s="405"/>
      <c r="AC725" s="203"/>
      <c r="AD725" s="223"/>
      <c r="AE725" s="404"/>
      <c r="AF725" s="405"/>
      <c r="AG725" s="205"/>
      <c r="AH725" s="205"/>
      <c r="AI725" s="205"/>
      <c r="AJ725" s="205"/>
      <c r="AK725" s="401"/>
      <c r="AL725" s="401"/>
      <c r="AM725" s="401"/>
    </row>
    <row r="726">
      <c r="A726" s="320"/>
      <c r="B726" s="321"/>
      <c r="C726" s="322"/>
      <c r="D726" s="401"/>
      <c r="E726" s="320"/>
      <c r="F726" s="321"/>
      <c r="G726" s="322"/>
      <c r="H726" s="401"/>
      <c r="I726" s="320"/>
      <c r="J726" s="321"/>
      <c r="K726" s="322"/>
      <c r="L726" s="401"/>
      <c r="M726" s="320"/>
      <c r="N726" s="321"/>
      <c r="O726" s="322"/>
      <c r="P726" s="401"/>
      <c r="Q726" s="203"/>
      <c r="R726" s="223"/>
      <c r="S726" s="404"/>
      <c r="T726" s="405"/>
      <c r="U726" s="203"/>
      <c r="V726" s="223"/>
      <c r="W726" s="404"/>
      <c r="X726" s="405"/>
      <c r="Y726" s="203"/>
      <c r="Z726" s="223"/>
      <c r="AA726" s="404"/>
      <c r="AB726" s="405"/>
      <c r="AC726" s="203"/>
      <c r="AD726" s="223"/>
      <c r="AE726" s="404"/>
      <c r="AF726" s="405"/>
      <c r="AG726" s="205"/>
      <c r="AH726" s="205"/>
      <c r="AI726" s="205"/>
      <c r="AJ726" s="205"/>
      <c r="AK726" s="401"/>
      <c r="AL726" s="401"/>
      <c r="AM726" s="401"/>
    </row>
    <row r="727">
      <c r="A727" s="320"/>
      <c r="B727" s="321"/>
      <c r="C727" s="322"/>
      <c r="D727" s="401"/>
      <c r="E727" s="320"/>
      <c r="F727" s="321"/>
      <c r="G727" s="322"/>
      <c r="H727" s="401"/>
      <c r="I727" s="320"/>
      <c r="J727" s="321"/>
      <c r="K727" s="322"/>
      <c r="L727" s="401"/>
      <c r="M727" s="320"/>
      <c r="N727" s="321"/>
      <c r="O727" s="322"/>
      <c r="P727" s="401"/>
      <c r="Q727" s="203"/>
      <c r="R727" s="223"/>
      <c r="S727" s="404"/>
      <c r="T727" s="405"/>
      <c r="U727" s="203"/>
      <c r="V727" s="223"/>
      <c r="W727" s="404"/>
      <c r="X727" s="405"/>
      <c r="Y727" s="203"/>
      <c r="Z727" s="223"/>
      <c r="AA727" s="404"/>
      <c r="AB727" s="405"/>
      <c r="AC727" s="203"/>
      <c r="AD727" s="223"/>
      <c r="AE727" s="404"/>
      <c r="AF727" s="405"/>
      <c r="AG727" s="205"/>
      <c r="AH727" s="205"/>
      <c r="AI727" s="205"/>
      <c r="AJ727" s="205"/>
      <c r="AK727" s="401"/>
      <c r="AL727" s="401"/>
      <c r="AM727" s="401"/>
    </row>
    <row r="728">
      <c r="A728" s="320"/>
      <c r="B728" s="321"/>
      <c r="C728" s="322"/>
      <c r="D728" s="401"/>
      <c r="E728" s="320"/>
      <c r="F728" s="321"/>
      <c r="G728" s="322"/>
      <c r="H728" s="401"/>
      <c r="I728" s="320"/>
      <c r="J728" s="321"/>
      <c r="K728" s="322"/>
      <c r="L728" s="401"/>
      <c r="M728" s="320"/>
      <c r="N728" s="321"/>
      <c r="O728" s="322"/>
      <c r="P728" s="401"/>
      <c r="Q728" s="203"/>
      <c r="R728" s="223"/>
      <c r="S728" s="404"/>
      <c r="T728" s="405"/>
      <c r="U728" s="203"/>
      <c r="V728" s="223"/>
      <c r="W728" s="404"/>
      <c r="X728" s="405"/>
      <c r="Y728" s="203"/>
      <c r="Z728" s="223"/>
      <c r="AA728" s="404"/>
      <c r="AB728" s="405"/>
      <c r="AC728" s="203"/>
      <c r="AD728" s="223"/>
      <c r="AE728" s="404"/>
      <c r="AF728" s="405"/>
      <c r="AG728" s="205"/>
      <c r="AH728" s="205"/>
      <c r="AI728" s="205"/>
      <c r="AJ728" s="205"/>
      <c r="AK728" s="401"/>
      <c r="AL728" s="401"/>
      <c r="AM728" s="401"/>
    </row>
    <row r="729">
      <c r="A729" s="320"/>
      <c r="B729" s="321"/>
      <c r="C729" s="322"/>
      <c r="D729" s="401"/>
      <c r="E729" s="320"/>
      <c r="F729" s="321"/>
      <c r="G729" s="322"/>
      <c r="H729" s="401"/>
      <c r="I729" s="320"/>
      <c r="J729" s="321"/>
      <c r="K729" s="322"/>
      <c r="L729" s="401"/>
      <c r="M729" s="320"/>
      <c r="N729" s="321"/>
      <c r="O729" s="322"/>
      <c r="P729" s="401"/>
      <c r="Q729" s="203"/>
      <c r="R729" s="223"/>
      <c r="S729" s="404"/>
      <c r="T729" s="405"/>
      <c r="U729" s="203"/>
      <c r="V729" s="223"/>
      <c r="W729" s="404"/>
      <c r="X729" s="405"/>
      <c r="Y729" s="203"/>
      <c r="Z729" s="223"/>
      <c r="AA729" s="404"/>
      <c r="AB729" s="405"/>
      <c r="AC729" s="203"/>
      <c r="AD729" s="223"/>
      <c r="AE729" s="404"/>
      <c r="AF729" s="405"/>
      <c r="AG729" s="205"/>
      <c r="AH729" s="205"/>
      <c r="AI729" s="205"/>
      <c r="AJ729" s="205"/>
      <c r="AK729" s="401"/>
      <c r="AL729" s="401"/>
      <c r="AM729" s="401"/>
    </row>
    <row r="730">
      <c r="A730" s="320"/>
      <c r="B730" s="321"/>
      <c r="C730" s="322"/>
      <c r="D730" s="401"/>
      <c r="E730" s="320"/>
      <c r="F730" s="321"/>
      <c r="G730" s="322"/>
      <c r="H730" s="401"/>
      <c r="I730" s="320"/>
      <c r="J730" s="321"/>
      <c r="K730" s="322"/>
      <c r="L730" s="401"/>
      <c r="M730" s="320"/>
      <c r="N730" s="321"/>
      <c r="O730" s="322"/>
      <c r="P730" s="401"/>
      <c r="Q730" s="203"/>
      <c r="R730" s="223"/>
      <c r="S730" s="404"/>
      <c r="T730" s="405"/>
      <c r="U730" s="203"/>
      <c r="V730" s="223"/>
      <c r="W730" s="404"/>
      <c r="X730" s="405"/>
      <c r="Y730" s="203"/>
      <c r="Z730" s="223"/>
      <c r="AA730" s="404"/>
      <c r="AB730" s="405"/>
      <c r="AC730" s="203"/>
      <c r="AD730" s="223"/>
      <c r="AE730" s="404"/>
      <c r="AF730" s="405"/>
      <c r="AG730" s="205"/>
      <c r="AH730" s="205"/>
      <c r="AI730" s="205"/>
      <c r="AJ730" s="205"/>
      <c r="AK730" s="401"/>
      <c r="AL730" s="401"/>
      <c r="AM730" s="401"/>
    </row>
    <row r="731">
      <c r="A731" s="320"/>
      <c r="B731" s="321"/>
      <c r="C731" s="322"/>
      <c r="D731" s="401"/>
      <c r="E731" s="320"/>
      <c r="F731" s="321"/>
      <c r="G731" s="322"/>
      <c r="H731" s="401"/>
      <c r="I731" s="320"/>
      <c r="J731" s="321"/>
      <c r="K731" s="322"/>
      <c r="L731" s="401"/>
      <c r="M731" s="320"/>
      <c r="N731" s="321"/>
      <c r="O731" s="322"/>
      <c r="P731" s="401"/>
      <c r="Q731" s="203"/>
      <c r="R731" s="223"/>
      <c r="S731" s="404"/>
      <c r="T731" s="405"/>
      <c r="U731" s="203"/>
      <c r="V731" s="223"/>
      <c r="W731" s="404"/>
      <c r="X731" s="405"/>
      <c r="Y731" s="203"/>
      <c r="Z731" s="223"/>
      <c r="AA731" s="404"/>
      <c r="AB731" s="405"/>
      <c r="AC731" s="203"/>
      <c r="AD731" s="223"/>
      <c r="AE731" s="404"/>
      <c r="AF731" s="405"/>
      <c r="AG731" s="205"/>
      <c r="AH731" s="205"/>
      <c r="AI731" s="205"/>
      <c r="AJ731" s="205"/>
      <c r="AK731" s="401"/>
      <c r="AL731" s="401"/>
      <c r="AM731" s="401"/>
    </row>
    <row r="732">
      <c r="A732" s="320"/>
      <c r="B732" s="321"/>
      <c r="C732" s="322"/>
      <c r="D732" s="401"/>
      <c r="E732" s="320"/>
      <c r="F732" s="321"/>
      <c r="G732" s="322"/>
      <c r="H732" s="401"/>
      <c r="I732" s="320"/>
      <c r="J732" s="321"/>
      <c r="K732" s="322"/>
      <c r="L732" s="401"/>
      <c r="M732" s="320"/>
      <c r="N732" s="321"/>
      <c r="O732" s="322"/>
      <c r="P732" s="401"/>
      <c r="Q732" s="203"/>
      <c r="R732" s="223"/>
      <c r="S732" s="404"/>
      <c r="T732" s="405"/>
      <c r="U732" s="203"/>
      <c r="V732" s="223"/>
      <c r="W732" s="404"/>
      <c r="X732" s="405"/>
      <c r="Y732" s="203"/>
      <c r="Z732" s="223"/>
      <c r="AA732" s="404"/>
      <c r="AB732" s="405"/>
      <c r="AC732" s="203"/>
      <c r="AD732" s="223"/>
      <c r="AE732" s="404"/>
      <c r="AF732" s="405"/>
      <c r="AG732" s="205"/>
      <c r="AH732" s="205"/>
      <c r="AI732" s="205"/>
      <c r="AJ732" s="205"/>
      <c r="AK732" s="401"/>
      <c r="AL732" s="401"/>
      <c r="AM732" s="401"/>
    </row>
    <row r="733">
      <c r="A733" s="320"/>
      <c r="B733" s="321"/>
      <c r="C733" s="322"/>
      <c r="D733" s="401"/>
      <c r="E733" s="320"/>
      <c r="F733" s="321"/>
      <c r="G733" s="322"/>
      <c r="H733" s="401"/>
      <c r="I733" s="320"/>
      <c r="J733" s="321"/>
      <c r="K733" s="322"/>
      <c r="L733" s="401"/>
      <c r="M733" s="320"/>
      <c r="N733" s="321"/>
      <c r="O733" s="322"/>
      <c r="P733" s="401"/>
      <c r="Q733" s="203"/>
      <c r="R733" s="223"/>
      <c r="S733" s="404"/>
      <c r="T733" s="405"/>
      <c r="U733" s="203"/>
      <c r="V733" s="223"/>
      <c r="W733" s="404"/>
      <c r="X733" s="405"/>
      <c r="Y733" s="203"/>
      <c r="Z733" s="223"/>
      <c r="AA733" s="404"/>
      <c r="AB733" s="405"/>
      <c r="AC733" s="203"/>
      <c r="AD733" s="223"/>
      <c r="AE733" s="404"/>
      <c r="AF733" s="405"/>
      <c r="AG733" s="205"/>
      <c r="AH733" s="205"/>
      <c r="AI733" s="205"/>
      <c r="AJ733" s="205"/>
      <c r="AK733" s="401"/>
      <c r="AL733" s="401"/>
      <c r="AM733" s="401"/>
    </row>
    <row r="734">
      <c r="A734" s="320"/>
      <c r="B734" s="321"/>
      <c r="C734" s="322"/>
      <c r="D734" s="401"/>
      <c r="E734" s="320"/>
      <c r="F734" s="321"/>
      <c r="G734" s="322"/>
      <c r="H734" s="401"/>
      <c r="I734" s="320"/>
      <c r="J734" s="321"/>
      <c r="K734" s="322"/>
      <c r="L734" s="401"/>
      <c r="M734" s="320"/>
      <c r="N734" s="321"/>
      <c r="O734" s="322"/>
      <c r="P734" s="401"/>
      <c r="Q734" s="203"/>
      <c r="R734" s="223"/>
      <c r="S734" s="404"/>
      <c r="T734" s="405"/>
      <c r="U734" s="203"/>
      <c r="V734" s="223"/>
      <c r="W734" s="404"/>
      <c r="X734" s="405"/>
      <c r="Y734" s="203"/>
      <c r="Z734" s="223"/>
      <c r="AA734" s="404"/>
      <c r="AB734" s="405"/>
      <c r="AC734" s="203"/>
      <c r="AD734" s="223"/>
      <c r="AE734" s="404"/>
      <c r="AF734" s="405"/>
      <c r="AG734" s="205"/>
      <c r="AH734" s="205"/>
      <c r="AI734" s="205"/>
      <c r="AJ734" s="205"/>
      <c r="AK734" s="401"/>
      <c r="AL734" s="401"/>
      <c r="AM734" s="401"/>
    </row>
    <row r="735">
      <c r="A735" s="320"/>
      <c r="B735" s="321"/>
      <c r="C735" s="322"/>
      <c r="D735" s="401"/>
      <c r="E735" s="320"/>
      <c r="F735" s="321"/>
      <c r="G735" s="322"/>
      <c r="H735" s="401"/>
      <c r="I735" s="320"/>
      <c r="J735" s="321"/>
      <c r="K735" s="322"/>
      <c r="L735" s="401"/>
      <c r="M735" s="320"/>
      <c r="N735" s="321"/>
      <c r="O735" s="322"/>
      <c r="P735" s="401"/>
      <c r="Q735" s="203"/>
      <c r="R735" s="223"/>
      <c r="S735" s="404"/>
      <c r="T735" s="405"/>
      <c r="U735" s="203"/>
      <c r="V735" s="223"/>
      <c r="W735" s="404"/>
      <c r="X735" s="405"/>
      <c r="Y735" s="203"/>
      <c r="Z735" s="223"/>
      <c r="AA735" s="404"/>
      <c r="AB735" s="405"/>
      <c r="AC735" s="203"/>
      <c r="AD735" s="223"/>
      <c r="AE735" s="404"/>
      <c r="AF735" s="405"/>
      <c r="AG735" s="205"/>
      <c r="AH735" s="205"/>
      <c r="AI735" s="205"/>
      <c r="AJ735" s="205"/>
      <c r="AK735" s="401"/>
      <c r="AL735" s="401"/>
      <c r="AM735" s="401"/>
    </row>
    <row r="736">
      <c r="A736" s="320"/>
      <c r="B736" s="321"/>
      <c r="C736" s="322"/>
      <c r="D736" s="401"/>
      <c r="E736" s="320"/>
      <c r="F736" s="321"/>
      <c r="G736" s="322"/>
      <c r="H736" s="401"/>
      <c r="I736" s="320"/>
      <c r="J736" s="321"/>
      <c r="K736" s="322"/>
      <c r="L736" s="401"/>
      <c r="M736" s="320"/>
      <c r="N736" s="321"/>
      <c r="O736" s="322"/>
      <c r="P736" s="401"/>
      <c r="Q736" s="203"/>
      <c r="R736" s="223"/>
      <c r="S736" s="404"/>
      <c r="T736" s="405"/>
      <c r="U736" s="203"/>
      <c r="V736" s="223"/>
      <c r="W736" s="404"/>
      <c r="X736" s="405"/>
      <c r="Y736" s="203"/>
      <c r="Z736" s="223"/>
      <c r="AA736" s="404"/>
      <c r="AB736" s="405"/>
      <c r="AC736" s="203"/>
      <c r="AD736" s="223"/>
      <c r="AE736" s="404"/>
      <c r="AF736" s="405"/>
      <c r="AG736" s="205"/>
      <c r="AH736" s="205"/>
      <c r="AI736" s="205"/>
      <c r="AJ736" s="205"/>
      <c r="AK736" s="401"/>
      <c r="AL736" s="401"/>
      <c r="AM736" s="401"/>
    </row>
    <row r="737">
      <c r="A737" s="320"/>
      <c r="B737" s="321"/>
      <c r="C737" s="322"/>
      <c r="D737" s="401"/>
      <c r="E737" s="320"/>
      <c r="F737" s="321"/>
      <c r="G737" s="322"/>
      <c r="H737" s="401"/>
      <c r="I737" s="320"/>
      <c r="J737" s="321"/>
      <c r="K737" s="322"/>
      <c r="L737" s="401"/>
      <c r="M737" s="320"/>
      <c r="N737" s="321"/>
      <c r="O737" s="322"/>
      <c r="P737" s="401"/>
      <c r="Q737" s="203"/>
      <c r="R737" s="223"/>
      <c r="S737" s="404"/>
      <c r="T737" s="405"/>
      <c r="U737" s="203"/>
      <c r="V737" s="223"/>
      <c r="W737" s="404"/>
      <c r="X737" s="405"/>
      <c r="Y737" s="203"/>
      <c r="Z737" s="223"/>
      <c r="AA737" s="404"/>
      <c r="AB737" s="405"/>
      <c r="AC737" s="203"/>
      <c r="AD737" s="223"/>
      <c r="AE737" s="404"/>
      <c r="AF737" s="405"/>
      <c r="AG737" s="205"/>
      <c r="AH737" s="205"/>
      <c r="AI737" s="205"/>
      <c r="AJ737" s="205"/>
      <c r="AK737" s="401"/>
      <c r="AL737" s="401"/>
      <c r="AM737" s="401"/>
    </row>
    <row r="738">
      <c r="A738" s="320"/>
      <c r="B738" s="321"/>
      <c r="C738" s="322"/>
      <c r="D738" s="401"/>
      <c r="E738" s="320"/>
      <c r="F738" s="321"/>
      <c r="G738" s="322"/>
      <c r="H738" s="401"/>
      <c r="I738" s="320"/>
      <c r="J738" s="321"/>
      <c r="K738" s="322"/>
      <c r="L738" s="401"/>
      <c r="M738" s="320"/>
      <c r="N738" s="321"/>
      <c r="O738" s="322"/>
      <c r="P738" s="401"/>
      <c r="Q738" s="203"/>
      <c r="R738" s="223"/>
      <c r="S738" s="404"/>
      <c r="T738" s="405"/>
      <c r="U738" s="203"/>
      <c r="V738" s="223"/>
      <c r="W738" s="404"/>
      <c r="X738" s="405"/>
      <c r="Y738" s="203"/>
      <c r="Z738" s="223"/>
      <c r="AA738" s="404"/>
      <c r="AB738" s="405"/>
      <c r="AC738" s="203"/>
      <c r="AD738" s="223"/>
      <c r="AE738" s="404"/>
      <c r="AF738" s="405"/>
      <c r="AG738" s="205"/>
      <c r="AH738" s="205"/>
      <c r="AI738" s="205"/>
      <c r="AJ738" s="205"/>
      <c r="AK738" s="401"/>
      <c r="AL738" s="401"/>
      <c r="AM738" s="401"/>
    </row>
    <row r="739">
      <c r="A739" s="320"/>
      <c r="B739" s="321"/>
      <c r="C739" s="322"/>
      <c r="D739" s="401"/>
      <c r="E739" s="320"/>
      <c r="F739" s="321"/>
      <c r="G739" s="322"/>
      <c r="H739" s="401"/>
      <c r="I739" s="320"/>
      <c r="J739" s="321"/>
      <c r="K739" s="322"/>
      <c r="L739" s="401"/>
      <c r="M739" s="320"/>
      <c r="N739" s="321"/>
      <c r="O739" s="322"/>
      <c r="P739" s="401"/>
      <c r="Q739" s="203"/>
      <c r="R739" s="223"/>
      <c r="S739" s="404"/>
      <c r="T739" s="405"/>
      <c r="U739" s="203"/>
      <c r="V739" s="223"/>
      <c r="W739" s="404"/>
      <c r="X739" s="405"/>
      <c r="Y739" s="203"/>
      <c r="Z739" s="223"/>
      <c r="AA739" s="404"/>
      <c r="AB739" s="405"/>
      <c r="AC739" s="203"/>
      <c r="AD739" s="223"/>
      <c r="AE739" s="404"/>
      <c r="AF739" s="405"/>
      <c r="AG739" s="205"/>
      <c r="AH739" s="205"/>
      <c r="AI739" s="205"/>
      <c r="AJ739" s="205"/>
      <c r="AK739" s="401"/>
      <c r="AL739" s="401"/>
      <c r="AM739" s="401"/>
    </row>
    <row r="740">
      <c r="A740" s="320"/>
      <c r="B740" s="321"/>
      <c r="C740" s="322"/>
      <c r="D740" s="401"/>
      <c r="E740" s="320"/>
      <c r="F740" s="321"/>
      <c r="G740" s="322"/>
      <c r="H740" s="401"/>
      <c r="I740" s="320"/>
      <c r="J740" s="321"/>
      <c r="K740" s="322"/>
      <c r="L740" s="401"/>
      <c r="M740" s="320"/>
      <c r="N740" s="321"/>
      <c r="O740" s="322"/>
      <c r="P740" s="401"/>
      <c r="Q740" s="203"/>
      <c r="R740" s="223"/>
      <c r="S740" s="404"/>
      <c r="T740" s="405"/>
      <c r="U740" s="203"/>
      <c r="V740" s="223"/>
      <c r="W740" s="404"/>
      <c r="X740" s="405"/>
      <c r="Y740" s="203"/>
      <c r="Z740" s="223"/>
      <c r="AA740" s="404"/>
      <c r="AB740" s="405"/>
      <c r="AC740" s="203"/>
      <c r="AD740" s="223"/>
      <c r="AE740" s="404"/>
      <c r="AF740" s="405"/>
      <c r="AG740" s="205"/>
      <c r="AH740" s="205"/>
      <c r="AI740" s="205"/>
      <c r="AJ740" s="205"/>
      <c r="AK740" s="401"/>
      <c r="AL740" s="401"/>
      <c r="AM740" s="401"/>
    </row>
    <row r="741">
      <c r="A741" s="320"/>
      <c r="B741" s="321"/>
      <c r="C741" s="322"/>
      <c r="D741" s="401"/>
      <c r="E741" s="320"/>
      <c r="F741" s="321"/>
      <c r="G741" s="322"/>
      <c r="H741" s="401"/>
      <c r="I741" s="320"/>
      <c r="J741" s="321"/>
      <c r="K741" s="322"/>
      <c r="L741" s="401"/>
      <c r="M741" s="320"/>
      <c r="N741" s="321"/>
      <c r="O741" s="322"/>
      <c r="P741" s="401"/>
      <c r="Q741" s="203"/>
      <c r="R741" s="223"/>
      <c r="S741" s="404"/>
      <c r="T741" s="405"/>
      <c r="U741" s="203"/>
      <c r="V741" s="223"/>
      <c r="W741" s="404"/>
      <c r="X741" s="405"/>
      <c r="Y741" s="203"/>
      <c r="Z741" s="223"/>
      <c r="AA741" s="404"/>
      <c r="AB741" s="405"/>
      <c r="AC741" s="203"/>
      <c r="AD741" s="223"/>
      <c r="AE741" s="404"/>
      <c r="AF741" s="405"/>
      <c r="AG741" s="205"/>
      <c r="AH741" s="205"/>
      <c r="AI741" s="205"/>
      <c r="AJ741" s="205"/>
      <c r="AK741" s="401"/>
      <c r="AL741" s="401"/>
      <c r="AM741" s="401"/>
    </row>
    <row r="742">
      <c r="A742" s="320"/>
      <c r="B742" s="321"/>
      <c r="C742" s="322"/>
      <c r="D742" s="401"/>
      <c r="E742" s="320"/>
      <c r="F742" s="321"/>
      <c r="G742" s="322"/>
      <c r="H742" s="401"/>
      <c r="I742" s="320"/>
      <c r="J742" s="321"/>
      <c r="K742" s="322"/>
      <c r="L742" s="401"/>
      <c r="M742" s="320"/>
      <c r="N742" s="321"/>
      <c r="O742" s="322"/>
      <c r="P742" s="401"/>
      <c r="Q742" s="203"/>
      <c r="R742" s="223"/>
      <c r="S742" s="404"/>
      <c r="T742" s="405"/>
      <c r="U742" s="203"/>
      <c r="V742" s="223"/>
      <c r="W742" s="404"/>
      <c r="X742" s="405"/>
      <c r="Y742" s="203"/>
      <c r="Z742" s="223"/>
      <c r="AA742" s="404"/>
      <c r="AB742" s="405"/>
      <c r="AC742" s="203"/>
      <c r="AD742" s="223"/>
      <c r="AE742" s="404"/>
      <c r="AF742" s="405"/>
      <c r="AG742" s="205"/>
      <c r="AH742" s="205"/>
      <c r="AI742" s="205"/>
      <c r="AJ742" s="205"/>
      <c r="AK742" s="401"/>
      <c r="AL742" s="401"/>
      <c r="AM742" s="401"/>
    </row>
    <row r="743">
      <c r="A743" s="320"/>
      <c r="B743" s="321"/>
      <c r="C743" s="322"/>
      <c r="D743" s="401"/>
      <c r="E743" s="320"/>
      <c r="F743" s="321"/>
      <c r="G743" s="322"/>
      <c r="H743" s="401"/>
      <c r="I743" s="320"/>
      <c r="J743" s="321"/>
      <c r="K743" s="322"/>
      <c r="L743" s="401"/>
      <c r="M743" s="320"/>
      <c r="N743" s="321"/>
      <c r="O743" s="322"/>
      <c r="P743" s="401"/>
      <c r="Q743" s="203"/>
      <c r="R743" s="223"/>
      <c r="S743" s="404"/>
      <c r="T743" s="405"/>
      <c r="U743" s="203"/>
      <c r="V743" s="223"/>
      <c r="W743" s="404"/>
      <c r="X743" s="405"/>
      <c r="Y743" s="203"/>
      <c r="Z743" s="223"/>
      <c r="AA743" s="404"/>
      <c r="AB743" s="405"/>
      <c r="AC743" s="203"/>
      <c r="AD743" s="223"/>
      <c r="AE743" s="404"/>
      <c r="AF743" s="405"/>
      <c r="AG743" s="205"/>
      <c r="AH743" s="205"/>
      <c r="AI743" s="205"/>
      <c r="AJ743" s="205"/>
      <c r="AK743" s="401"/>
      <c r="AL743" s="401"/>
      <c r="AM743" s="401"/>
    </row>
    <row r="744">
      <c r="A744" s="320"/>
      <c r="B744" s="321"/>
      <c r="C744" s="322"/>
      <c r="D744" s="401"/>
      <c r="E744" s="320"/>
      <c r="F744" s="321"/>
      <c r="G744" s="322"/>
      <c r="H744" s="401"/>
      <c r="I744" s="320"/>
      <c r="J744" s="321"/>
      <c r="K744" s="322"/>
      <c r="L744" s="401"/>
      <c r="M744" s="320"/>
      <c r="N744" s="321"/>
      <c r="O744" s="322"/>
      <c r="P744" s="401"/>
      <c r="Q744" s="203"/>
      <c r="R744" s="223"/>
      <c r="S744" s="404"/>
      <c r="T744" s="405"/>
      <c r="U744" s="203"/>
      <c r="V744" s="223"/>
      <c r="W744" s="404"/>
      <c r="X744" s="405"/>
      <c r="Y744" s="203"/>
      <c r="Z744" s="223"/>
      <c r="AA744" s="404"/>
      <c r="AB744" s="405"/>
      <c r="AC744" s="203"/>
      <c r="AD744" s="223"/>
      <c r="AE744" s="404"/>
      <c r="AF744" s="405"/>
      <c r="AG744" s="205"/>
      <c r="AH744" s="205"/>
      <c r="AI744" s="205"/>
      <c r="AJ744" s="205"/>
      <c r="AK744" s="401"/>
      <c r="AL744" s="401"/>
      <c r="AM744" s="401"/>
    </row>
    <row r="745">
      <c r="A745" s="320"/>
      <c r="B745" s="321"/>
      <c r="C745" s="322"/>
      <c r="D745" s="401"/>
      <c r="E745" s="320"/>
      <c r="F745" s="321"/>
      <c r="G745" s="322"/>
      <c r="H745" s="401"/>
      <c r="I745" s="320"/>
      <c r="J745" s="321"/>
      <c r="K745" s="322"/>
      <c r="L745" s="401"/>
      <c r="M745" s="320"/>
      <c r="N745" s="321"/>
      <c r="O745" s="322"/>
      <c r="P745" s="401"/>
      <c r="Q745" s="203"/>
      <c r="R745" s="223"/>
      <c r="S745" s="404"/>
      <c r="T745" s="405"/>
      <c r="U745" s="203"/>
      <c r="V745" s="223"/>
      <c r="W745" s="404"/>
      <c r="X745" s="405"/>
      <c r="Y745" s="203"/>
      <c r="Z745" s="223"/>
      <c r="AA745" s="404"/>
      <c r="AB745" s="405"/>
      <c r="AC745" s="203"/>
      <c r="AD745" s="223"/>
      <c r="AE745" s="404"/>
      <c r="AF745" s="405"/>
      <c r="AG745" s="205"/>
      <c r="AH745" s="205"/>
      <c r="AI745" s="205"/>
      <c r="AJ745" s="205"/>
      <c r="AK745" s="401"/>
      <c r="AL745" s="401"/>
      <c r="AM745" s="401"/>
    </row>
    <row r="746">
      <c r="A746" s="320"/>
      <c r="B746" s="321"/>
      <c r="C746" s="322"/>
      <c r="D746" s="401"/>
      <c r="E746" s="320"/>
      <c r="F746" s="321"/>
      <c r="G746" s="322"/>
      <c r="H746" s="401"/>
      <c r="I746" s="320"/>
      <c r="J746" s="321"/>
      <c r="K746" s="322"/>
      <c r="L746" s="401"/>
      <c r="M746" s="320"/>
      <c r="N746" s="321"/>
      <c r="O746" s="322"/>
      <c r="P746" s="401"/>
      <c r="Q746" s="203"/>
      <c r="R746" s="223"/>
      <c r="S746" s="404"/>
      <c r="T746" s="405"/>
      <c r="U746" s="203"/>
      <c r="V746" s="223"/>
      <c r="W746" s="404"/>
      <c r="X746" s="405"/>
      <c r="Y746" s="203"/>
      <c r="Z746" s="223"/>
      <c r="AA746" s="404"/>
      <c r="AB746" s="405"/>
      <c r="AC746" s="203"/>
      <c r="AD746" s="223"/>
      <c r="AE746" s="404"/>
      <c r="AF746" s="405"/>
      <c r="AG746" s="205"/>
      <c r="AH746" s="205"/>
      <c r="AI746" s="205"/>
      <c r="AJ746" s="205"/>
      <c r="AK746" s="401"/>
      <c r="AL746" s="401"/>
      <c r="AM746" s="401"/>
    </row>
    <row r="747">
      <c r="A747" s="320"/>
      <c r="B747" s="321"/>
      <c r="C747" s="322"/>
      <c r="D747" s="401"/>
      <c r="E747" s="320"/>
      <c r="F747" s="321"/>
      <c r="G747" s="322"/>
      <c r="H747" s="401"/>
      <c r="I747" s="320"/>
      <c r="J747" s="321"/>
      <c r="K747" s="322"/>
      <c r="L747" s="401"/>
      <c r="M747" s="320"/>
      <c r="N747" s="321"/>
      <c r="O747" s="322"/>
      <c r="P747" s="401"/>
      <c r="Q747" s="203"/>
      <c r="R747" s="223"/>
      <c r="S747" s="404"/>
      <c r="T747" s="405"/>
      <c r="U747" s="203"/>
      <c r="V747" s="223"/>
      <c r="W747" s="404"/>
      <c r="X747" s="405"/>
      <c r="Y747" s="203"/>
      <c r="Z747" s="223"/>
      <c r="AA747" s="404"/>
      <c r="AB747" s="405"/>
      <c r="AC747" s="203"/>
      <c r="AD747" s="223"/>
      <c r="AE747" s="404"/>
      <c r="AF747" s="405"/>
      <c r="AG747" s="205"/>
      <c r="AH747" s="205"/>
      <c r="AI747" s="205"/>
      <c r="AJ747" s="205"/>
      <c r="AK747" s="401"/>
      <c r="AL747" s="401"/>
      <c r="AM747" s="401"/>
    </row>
    <row r="748">
      <c r="A748" s="320"/>
      <c r="B748" s="321"/>
      <c r="C748" s="322"/>
      <c r="D748" s="401"/>
      <c r="E748" s="320"/>
      <c r="F748" s="321"/>
      <c r="G748" s="322"/>
      <c r="H748" s="401"/>
      <c r="I748" s="320"/>
      <c r="J748" s="321"/>
      <c r="K748" s="322"/>
      <c r="L748" s="401"/>
      <c r="M748" s="320"/>
      <c r="N748" s="321"/>
      <c r="O748" s="322"/>
      <c r="P748" s="401"/>
      <c r="Q748" s="203"/>
      <c r="R748" s="223"/>
      <c r="S748" s="404"/>
      <c r="T748" s="405"/>
      <c r="U748" s="203"/>
      <c r="V748" s="223"/>
      <c r="W748" s="404"/>
      <c r="X748" s="405"/>
      <c r="Y748" s="203"/>
      <c r="Z748" s="223"/>
      <c r="AA748" s="404"/>
      <c r="AB748" s="405"/>
      <c r="AC748" s="203"/>
      <c r="AD748" s="223"/>
      <c r="AE748" s="404"/>
      <c r="AF748" s="405"/>
      <c r="AG748" s="205"/>
      <c r="AH748" s="205"/>
      <c r="AI748" s="205"/>
      <c r="AJ748" s="205"/>
      <c r="AK748" s="401"/>
      <c r="AL748" s="401"/>
      <c r="AM748" s="401"/>
    </row>
    <row r="749">
      <c r="A749" s="320"/>
      <c r="B749" s="321"/>
      <c r="C749" s="322"/>
      <c r="D749" s="401"/>
      <c r="E749" s="320"/>
      <c r="F749" s="321"/>
      <c r="G749" s="322"/>
      <c r="H749" s="401"/>
      <c r="I749" s="320"/>
      <c r="J749" s="321"/>
      <c r="K749" s="322"/>
      <c r="L749" s="401"/>
      <c r="M749" s="320"/>
      <c r="N749" s="321"/>
      <c r="O749" s="322"/>
      <c r="P749" s="401"/>
      <c r="Q749" s="203"/>
      <c r="R749" s="223"/>
      <c r="S749" s="404"/>
      <c r="T749" s="405"/>
      <c r="U749" s="203"/>
      <c r="V749" s="223"/>
      <c r="W749" s="404"/>
      <c r="X749" s="405"/>
      <c r="Y749" s="203"/>
      <c r="Z749" s="223"/>
      <c r="AA749" s="404"/>
      <c r="AB749" s="405"/>
      <c r="AC749" s="203"/>
      <c r="AD749" s="223"/>
      <c r="AE749" s="404"/>
      <c r="AF749" s="405"/>
      <c r="AG749" s="205"/>
      <c r="AH749" s="205"/>
      <c r="AI749" s="205"/>
      <c r="AJ749" s="205"/>
      <c r="AK749" s="401"/>
      <c r="AL749" s="401"/>
      <c r="AM749" s="401"/>
    </row>
    <row r="750">
      <c r="A750" s="320"/>
      <c r="B750" s="321"/>
      <c r="C750" s="322"/>
      <c r="D750" s="401"/>
      <c r="E750" s="320"/>
      <c r="F750" s="321"/>
      <c r="G750" s="322"/>
      <c r="H750" s="401"/>
      <c r="I750" s="320"/>
      <c r="J750" s="321"/>
      <c r="K750" s="322"/>
      <c r="L750" s="401"/>
      <c r="M750" s="320"/>
      <c r="N750" s="321"/>
      <c r="O750" s="322"/>
      <c r="P750" s="401"/>
      <c r="Q750" s="203"/>
      <c r="R750" s="223"/>
      <c r="S750" s="404"/>
      <c r="T750" s="405"/>
      <c r="U750" s="203"/>
      <c r="V750" s="223"/>
      <c r="W750" s="404"/>
      <c r="X750" s="405"/>
      <c r="Y750" s="203"/>
      <c r="Z750" s="223"/>
      <c r="AA750" s="404"/>
      <c r="AB750" s="405"/>
      <c r="AC750" s="203"/>
      <c r="AD750" s="223"/>
      <c r="AE750" s="404"/>
      <c r="AF750" s="405"/>
      <c r="AG750" s="205"/>
      <c r="AH750" s="205"/>
      <c r="AI750" s="205"/>
      <c r="AJ750" s="205"/>
      <c r="AK750" s="401"/>
      <c r="AL750" s="401"/>
      <c r="AM750" s="401"/>
    </row>
    <row r="751">
      <c r="A751" s="320"/>
      <c r="B751" s="321"/>
      <c r="C751" s="322"/>
      <c r="D751" s="401"/>
      <c r="E751" s="320"/>
      <c r="F751" s="321"/>
      <c r="G751" s="322"/>
      <c r="H751" s="401"/>
      <c r="I751" s="320"/>
      <c r="J751" s="321"/>
      <c r="K751" s="322"/>
      <c r="L751" s="401"/>
      <c r="M751" s="320"/>
      <c r="N751" s="321"/>
      <c r="O751" s="322"/>
      <c r="P751" s="401"/>
      <c r="Q751" s="203"/>
      <c r="R751" s="223"/>
      <c r="S751" s="404"/>
      <c r="T751" s="405"/>
      <c r="U751" s="203"/>
      <c r="V751" s="223"/>
      <c r="W751" s="404"/>
      <c r="X751" s="405"/>
      <c r="Y751" s="203"/>
      <c r="Z751" s="223"/>
      <c r="AA751" s="404"/>
      <c r="AB751" s="405"/>
      <c r="AC751" s="203"/>
      <c r="AD751" s="223"/>
      <c r="AE751" s="404"/>
      <c r="AF751" s="405"/>
      <c r="AG751" s="205"/>
      <c r="AH751" s="205"/>
      <c r="AI751" s="205"/>
      <c r="AJ751" s="205"/>
      <c r="AK751" s="401"/>
      <c r="AL751" s="401"/>
      <c r="AM751" s="401"/>
    </row>
    <row r="752">
      <c r="A752" s="320"/>
      <c r="B752" s="321"/>
      <c r="C752" s="322"/>
      <c r="D752" s="401"/>
      <c r="E752" s="320"/>
      <c r="F752" s="321"/>
      <c r="G752" s="322"/>
      <c r="H752" s="401"/>
      <c r="I752" s="320"/>
      <c r="J752" s="321"/>
      <c r="K752" s="322"/>
      <c r="L752" s="401"/>
      <c r="M752" s="320"/>
      <c r="N752" s="321"/>
      <c r="O752" s="322"/>
      <c r="P752" s="401"/>
      <c r="Q752" s="203"/>
      <c r="R752" s="223"/>
      <c r="S752" s="404"/>
      <c r="T752" s="405"/>
      <c r="U752" s="203"/>
      <c r="V752" s="223"/>
      <c r="W752" s="404"/>
      <c r="X752" s="405"/>
      <c r="Y752" s="203"/>
      <c r="Z752" s="223"/>
      <c r="AA752" s="404"/>
      <c r="AB752" s="405"/>
      <c r="AC752" s="203"/>
      <c r="AD752" s="223"/>
      <c r="AE752" s="404"/>
      <c r="AF752" s="405"/>
      <c r="AG752" s="205"/>
      <c r="AH752" s="205"/>
      <c r="AI752" s="205"/>
      <c r="AJ752" s="205"/>
      <c r="AK752" s="401"/>
      <c r="AL752" s="401"/>
      <c r="AM752" s="401"/>
    </row>
    <row r="753">
      <c r="A753" s="320"/>
      <c r="B753" s="321"/>
      <c r="C753" s="322"/>
      <c r="D753" s="401"/>
      <c r="E753" s="320"/>
      <c r="F753" s="321"/>
      <c r="G753" s="322"/>
      <c r="H753" s="401"/>
      <c r="I753" s="320"/>
      <c r="J753" s="321"/>
      <c r="K753" s="322"/>
      <c r="L753" s="401"/>
      <c r="M753" s="320"/>
      <c r="N753" s="321"/>
      <c r="O753" s="322"/>
      <c r="P753" s="401"/>
      <c r="Q753" s="203"/>
      <c r="R753" s="223"/>
      <c r="S753" s="404"/>
      <c r="T753" s="405"/>
      <c r="U753" s="203"/>
      <c r="V753" s="223"/>
      <c r="W753" s="404"/>
      <c r="X753" s="405"/>
      <c r="Y753" s="203"/>
      <c r="Z753" s="223"/>
      <c r="AA753" s="404"/>
      <c r="AB753" s="405"/>
      <c r="AC753" s="203"/>
      <c r="AD753" s="223"/>
      <c r="AE753" s="404"/>
      <c r="AF753" s="405"/>
      <c r="AG753" s="205"/>
      <c r="AH753" s="205"/>
      <c r="AI753" s="205"/>
      <c r="AJ753" s="205"/>
      <c r="AK753" s="401"/>
      <c r="AL753" s="401"/>
      <c r="AM753" s="401"/>
    </row>
    <row r="754">
      <c r="A754" s="320"/>
      <c r="B754" s="321"/>
      <c r="C754" s="322"/>
      <c r="D754" s="401"/>
      <c r="E754" s="320"/>
      <c r="F754" s="321"/>
      <c r="G754" s="322"/>
      <c r="H754" s="401"/>
      <c r="I754" s="320"/>
      <c r="J754" s="321"/>
      <c r="K754" s="322"/>
      <c r="L754" s="401"/>
      <c r="M754" s="320"/>
      <c r="N754" s="321"/>
      <c r="O754" s="322"/>
      <c r="P754" s="401"/>
      <c r="Q754" s="203"/>
      <c r="R754" s="223"/>
      <c r="S754" s="404"/>
      <c r="T754" s="405"/>
      <c r="U754" s="203"/>
      <c r="V754" s="223"/>
      <c r="W754" s="404"/>
      <c r="X754" s="405"/>
      <c r="Y754" s="203"/>
      <c r="Z754" s="223"/>
      <c r="AA754" s="404"/>
      <c r="AB754" s="405"/>
      <c r="AC754" s="203"/>
      <c r="AD754" s="223"/>
      <c r="AE754" s="404"/>
      <c r="AF754" s="405"/>
      <c r="AG754" s="205"/>
      <c r="AH754" s="205"/>
      <c r="AI754" s="205"/>
      <c r="AJ754" s="205"/>
      <c r="AK754" s="401"/>
      <c r="AL754" s="401"/>
      <c r="AM754" s="401"/>
    </row>
    <row r="755">
      <c r="A755" s="320"/>
      <c r="B755" s="321"/>
      <c r="C755" s="322"/>
      <c r="D755" s="401"/>
      <c r="E755" s="320"/>
      <c r="F755" s="321"/>
      <c r="G755" s="322"/>
      <c r="H755" s="401"/>
      <c r="I755" s="320"/>
      <c r="J755" s="321"/>
      <c r="K755" s="322"/>
      <c r="L755" s="401"/>
      <c r="M755" s="320"/>
      <c r="N755" s="321"/>
      <c r="O755" s="322"/>
      <c r="P755" s="401"/>
      <c r="Q755" s="203"/>
      <c r="R755" s="223"/>
      <c r="S755" s="404"/>
      <c r="T755" s="405"/>
      <c r="U755" s="203"/>
      <c r="V755" s="223"/>
      <c r="W755" s="404"/>
      <c r="X755" s="405"/>
      <c r="Y755" s="203"/>
      <c r="Z755" s="223"/>
      <c r="AA755" s="404"/>
      <c r="AB755" s="405"/>
      <c r="AC755" s="203"/>
      <c r="AD755" s="223"/>
      <c r="AE755" s="404"/>
      <c r="AF755" s="405"/>
      <c r="AG755" s="205"/>
      <c r="AH755" s="205"/>
      <c r="AI755" s="205"/>
      <c r="AJ755" s="205"/>
      <c r="AK755" s="401"/>
      <c r="AL755" s="401"/>
      <c r="AM755" s="401"/>
    </row>
    <row r="756">
      <c r="A756" s="320"/>
      <c r="B756" s="321"/>
      <c r="C756" s="322"/>
      <c r="D756" s="401"/>
      <c r="E756" s="320"/>
      <c r="F756" s="321"/>
      <c r="G756" s="322"/>
      <c r="H756" s="401"/>
      <c r="I756" s="320"/>
      <c r="J756" s="321"/>
      <c r="K756" s="322"/>
      <c r="L756" s="401"/>
      <c r="M756" s="320"/>
      <c r="N756" s="321"/>
      <c r="O756" s="322"/>
      <c r="P756" s="401"/>
      <c r="Q756" s="203"/>
      <c r="R756" s="223"/>
      <c r="S756" s="404"/>
      <c r="T756" s="405"/>
      <c r="U756" s="203"/>
      <c r="V756" s="223"/>
      <c r="W756" s="404"/>
      <c r="X756" s="405"/>
      <c r="Y756" s="203"/>
      <c r="Z756" s="223"/>
      <c r="AA756" s="404"/>
      <c r="AB756" s="405"/>
      <c r="AC756" s="203"/>
      <c r="AD756" s="223"/>
      <c r="AE756" s="404"/>
      <c r="AF756" s="405"/>
      <c r="AG756" s="205"/>
      <c r="AH756" s="205"/>
      <c r="AI756" s="205"/>
      <c r="AJ756" s="205"/>
      <c r="AK756" s="401"/>
      <c r="AL756" s="401"/>
      <c r="AM756" s="401"/>
    </row>
    <row r="757">
      <c r="A757" s="320"/>
      <c r="B757" s="321"/>
      <c r="C757" s="322"/>
      <c r="D757" s="401"/>
      <c r="E757" s="320"/>
      <c r="F757" s="321"/>
      <c r="G757" s="322"/>
      <c r="H757" s="401"/>
      <c r="I757" s="320"/>
      <c r="J757" s="321"/>
      <c r="K757" s="322"/>
      <c r="L757" s="401"/>
      <c r="M757" s="320"/>
      <c r="N757" s="321"/>
      <c r="O757" s="322"/>
      <c r="P757" s="401"/>
      <c r="Q757" s="203"/>
      <c r="R757" s="223"/>
      <c r="S757" s="404"/>
      <c r="T757" s="405"/>
      <c r="U757" s="203"/>
      <c r="V757" s="223"/>
      <c r="W757" s="404"/>
      <c r="X757" s="405"/>
      <c r="Y757" s="203"/>
      <c r="Z757" s="223"/>
      <c r="AA757" s="404"/>
      <c r="AB757" s="405"/>
      <c r="AC757" s="203"/>
      <c r="AD757" s="223"/>
      <c r="AE757" s="404"/>
      <c r="AF757" s="405"/>
      <c r="AG757" s="205"/>
      <c r="AH757" s="205"/>
      <c r="AI757" s="205"/>
      <c r="AJ757" s="205"/>
      <c r="AK757" s="401"/>
      <c r="AL757" s="401"/>
      <c r="AM757" s="401"/>
    </row>
    <row r="758">
      <c r="A758" s="320"/>
      <c r="B758" s="321"/>
      <c r="C758" s="322"/>
      <c r="D758" s="401"/>
      <c r="E758" s="320"/>
      <c r="F758" s="321"/>
      <c r="G758" s="322"/>
      <c r="H758" s="401"/>
      <c r="I758" s="320"/>
      <c r="J758" s="321"/>
      <c r="K758" s="322"/>
      <c r="L758" s="401"/>
      <c r="M758" s="320"/>
      <c r="N758" s="321"/>
      <c r="O758" s="322"/>
      <c r="P758" s="401"/>
      <c r="Q758" s="203"/>
      <c r="R758" s="223"/>
      <c r="S758" s="404"/>
      <c r="T758" s="405"/>
      <c r="U758" s="203"/>
      <c r="V758" s="223"/>
      <c r="W758" s="404"/>
      <c r="X758" s="405"/>
      <c r="Y758" s="203"/>
      <c r="Z758" s="223"/>
      <c r="AA758" s="404"/>
      <c r="AB758" s="405"/>
      <c r="AC758" s="203"/>
      <c r="AD758" s="223"/>
      <c r="AE758" s="404"/>
      <c r="AF758" s="405"/>
      <c r="AG758" s="205"/>
      <c r="AH758" s="205"/>
      <c r="AI758" s="205"/>
      <c r="AJ758" s="205"/>
      <c r="AK758" s="401"/>
      <c r="AL758" s="401"/>
      <c r="AM758" s="401"/>
    </row>
    <row r="759">
      <c r="A759" s="320"/>
      <c r="B759" s="321"/>
      <c r="C759" s="322"/>
      <c r="D759" s="401"/>
      <c r="E759" s="320"/>
      <c r="F759" s="321"/>
      <c r="G759" s="322"/>
      <c r="H759" s="401"/>
      <c r="I759" s="320"/>
      <c r="J759" s="321"/>
      <c r="K759" s="322"/>
      <c r="L759" s="401"/>
      <c r="M759" s="320"/>
      <c r="N759" s="321"/>
      <c r="O759" s="322"/>
      <c r="P759" s="401"/>
      <c r="Q759" s="203"/>
      <c r="R759" s="223"/>
      <c r="S759" s="404"/>
      <c r="T759" s="405"/>
      <c r="U759" s="203"/>
      <c r="V759" s="223"/>
      <c r="W759" s="404"/>
      <c r="X759" s="405"/>
      <c r="Y759" s="203"/>
      <c r="Z759" s="223"/>
      <c r="AA759" s="404"/>
      <c r="AB759" s="405"/>
      <c r="AC759" s="203"/>
      <c r="AD759" s="223"/>
      <c r="AE759" s="404"/>
      <c r="AF759" s="405"/>
      <c r="AG759" s="205"/>
      <c r="AH759" s="205"/>
      <c r="AI759" s="205"/>
      <c r="AJ759" s="205"/>
      <c r="AK759" s="401"/>
      <c r="AL759" s="401"/>
      <c r="AM759" s="401"/>
    </row>
    <row r="760">
      <c r="A760" s="320"/>
      <c r="B760" s="321"/>
      <c r="C760" s="322"/>
      <c r="D760" s="401"/>
      <c r="E760" s="320"/>
      <c r="F760" s="321"/>
      <c r="G760" s="322"/>
      <c r="H760" s="401"/>
      <c r="I760" s="320"/>
      <c r="J760" s="321"/>
      <c r="K760" s="322"/>
      <c r="L760" s="401"/>
      <c r="M760" s="320"/>
      <c r="N760" s="321"/>
      <c r="O760" s="322"/>
      <c r="P760" s="401"/>
      <c r="Q760" s="203"/>
      <c r="R760" s="223"/>
      <c r="S760" s="404"/>
      <c r="T760" s="405"/>
      <c r="U760" s="203"/>
      <c r="V760" s="223"/>
      <c r="W760" s="404"/>
      <c r="X760" s="405"/>
      <c r="Y760" s="203"/>
      <c r="Z760" s="223"/>
      <c r="AA760" s="404"/>
      <c r="AB760" s="405"/>
      <c r="AC760" s="203"/>
      <c r="AD760" s="223"/>
      <c r="AE760" s="404"/>
      <c r="AF760" s="405"/>
      <c r="AG760" s="205"/>
      <c r="AH760" s="205"/>
      <c r="AI760" s="205"/>
      <c r="AJ760" s="205"/>
      <c r="AK760" s="401"/>
      <c r="AL760" s="401"/>
      <c r="AM760" s="401"/>
    </row>
    <row r="761">
      <c r="A761" s="320"/>
      <c r="B761" s="321"/>
      <c r="C761" s="322"/>
      <c r="D761" s="401"/>
      <c r="E761" s="320"/>
      <c r="F761" s="321"/>
      <c r="G761" s="322"/>
      <c r="H761" s="401"/>
      <c r="I761" s="320"/>
      <c r="J761" s="321"/>
      <c r="K761" s="322"/>
      <c r="L761" s="401"/>
      <c r="M761" s="320"/>
      <c r="N761" s="321"/>
      <c r="O761" s="322"/>
      <c r="P761" s="401"/>
      <c r="Q761" s="203"/>
      <c r="R761" s="223"/>
      <c r="S761" s="404"/>
      <c r="T761" s="405"/>
      <c r="U761" s="203"/>
      <c r="V761" s="223"/>
      <c r="W761" s="404"/>
      <c r="X761" s="405"/>
      <c r="Y761" s="203"/>
      <c r="Z761" s="223"/>
      <c r="AA761" s="404"/>
      <c r="AB761" s="405"/>
      <c r="AC761" s="203"/>
      <c r="AD761" s="223"/>
      <c r="AE761" s="404"/>
      <c r="AF761" s="405"/>
      <c r="AG761" s="205"/>
      <c r="AH761" s="205"/>
      <c r="AI761" s="205"/>
      <c r="AJ761" s="205"/>
      <c r="AK761" s="401"/>
      <c r="AL761" s="401"/>
      <c r="AM761" s="401"/>
    </row>
    <row r="762">
      <c r="A762" s="320"/>
      <c r="B762" s="321"/>
      <c r="C762" s="322"/>
      <c r="D762" s="401"/>
      <c r="E762" s="320"/>
      <c r="F762" s="321"/>
      <c r="G762" s="322"/>
      <c r="H762" s="401"/>
      <c r="I762" s="320"/>
      <c r="J762" s="321"/>
      <c r="K762" s="322"/>
      <c r="L762" s="401"/>
      <c r="M762" s="320"/>
      <c r="N762" s="321"/>
      <c r="O762" s="322"/>
      <c r="P762" s="401"/>
      <c r="Q762" s="203"/>
      <c r="R762" s="223"/>
      <c r="S762" s="404"/>
      <c r="T762" s="405"/>
      <c r="U762" s="203"/>
      <c r="V762" s="223"/>
      <c r="W762" s="404"/>
      <c r="X762" s="405"/>
      <c r="Y762" s="203"/>
      <c r="Z762" s="223"/>
      <c r="AA762" s="404"/>
      <c r="AB762" s="405"/>
      <c r="AC762" s="203"/>
      <c r="AD762" s="223"/>
      <c r="AE762" s="404"/>
      <c r="AF762" s="405"/>
      <c r="AG762" s="205"/>
      <c r="AH762" s="205"/>
      <c r="AI762" s="205"/>
      <c r="AJ762" s="205"/>
      <c r="AK762" s="401"/>
      <c r="AL762" s="401"/>
      <c r="AM762" s="401"/>
    </row>
    <row r="763">
      <c r="A763" s="320"/>
      <c r="B763" s="321"/>
      <c r="C763" s="322"/>
      <c r="D763" s="401"/>
      <c r="E763" s="320"/>
      <c r="F763" s="321"/>
      <c r="G763" s="322"/>
      <c r="H763" s="401"/>
      <c r="I763" s="320"/>
      <c r="J763" s="321"/>
      <c r="K763" s="322"/>
      <c r="L763" s="401"/>
      <c r="M763" s="320"/>
      <c r="N763" s="321"/>
      <c r="O763" s="322"/>
      <c r="P763" s="401"/>
      <c r="Q763" s="203"/>
      <c r="R763" s="223"/>
      <c r="S763" s="404"/>
      <c r="T763" s="405"/>
      <c r="U763" s="203"/>
      <c r="V763" s="223"/>
      <c r="W763" s="404"/>
      <c r="X763" s="405"/>
      <c r="Y763" s="203"/>
      <c r="Z763" s="223"/>
      <c r="AA763" s="404"/>
      <c r="AB763" s="405"/>
      <c r="AC763" s="203"/>
      <c r="AD763" s="223"/>
      <c r="AE763" s="404"/>
      <c r="AF763" s="405"/>
      <c r="AG763" s="205"/>
      <c r="AH763" s="205"/>
      <c r="AI763" s="205"/>
      <c r="AJ763" s="205"/>
      <c r="AK763" s="401"/>
      <c r="AL763" s="401"/>
      <c r="AM763" s="401"/>
    </row>
    <row r="764">
      <c r="A764" s="320"/>
      <c r="B764" s="321"/>
      <c r="C764" s="322"/>
      <c r="D764" s="401"/>
      <c r="E764" s="320"/>
      <c r="F764" s="321"/>
      <c r="G764" s="322"/>
      <c r="H764" s="401"/>
      <c r="I764" s="320"/>
      <c r="J764" s="321"/>
      <c r="K764" s="322"/>
      <c r="L764" s="401"/>
      <c r="M764" s="320"/>
      <c r="N764" s="321"/>
      <c r="O764" s="322"/>
      <c r="P764" s="401"/>
      <c r="Q764" s="203"/>
      <c r="R764" s="223"/>
      <c r="S764" s="404"/>
      <c r="T764" s="405"/>
      <c r="U764" s="203"/>
      <c r="V764" s="223"/>
      <c r="W764" s="404"/>
      <c r="X764" s="405"/>
      <c r="Y764" s="203"/>
      <c r="Z764" s="223"/>
      <c r="AA764" s="404"/>
      <c r="AB764" s="405"/>
      <c r="AC764" s="203"/>
      <c r="AD764" s="223"/>
      <c r="AE764" s="404"/>
      <c r="AF764" s="405"/>
      <c r="AG764" s="205"/>
      <c r="AH764" s="205"/>
      <c r="AI764" s="205"/>
      <c r="AJ764" s="205"/>
      <c r="AK764" s="401"/>
      <c r="AL764" s="401"/>
      <c r="AM764" s="401"/>
    </row>
    <row r="765">
      <c r="A765" s="320"/>
      <c r="B765" s="321"/>
      <c r="C765" s="322"/>
      <c r="D765" s="401"/>
      <c r="E765" s="320"/>
      <c r="F765" s="321"/>
      <c r="G765" s="322"/>
      <c r="H765" s="401"/>
      <c r="I765" s="320"/>
      <c r="J765" s="321"/>
      <c r="K765" s="322"/>
      <c r="L765" s="401"/>
      <c r="M765" s="320"/>
      <c r="N765" s="321"/>
      <c r="O765" s="322"/>
      <c r="P765" s="401"/>
      <c r="Q765" s="203"/>
      <c r="R765" s="223"/>
      <c r="S765" s="404"/>
      <c r="T765" s="405"/>
      <c r="U765" s="203"/>
      <c r="V765" s="223"/>
      <c r="W765" s="404"/>
      <c r="X765" s="405"/>
      <c r="Y765" s="203"/>
      <c r="Z765" s="223"/>
      <c r="AA765" s="404"/>
      <c r="AB765" s="405"/>
      <c r="AC765" s="203"/>
      <c r="AD765" s="223"/>
      <c r="AE765" s="404"/>
      <c r="AF765" s="405"/>
      <c r="AG765" s="205"/>
      <c r="AH765" s="205"/>
      <c r="AI765" s="205"/>
      <c r="AJ765" s="205"/>
      <c r="AK765" s="401"/>
      <c r="AL765" s="401"/>
      <c r="AM765" s="401"/>
    </row>
    <row r="766">
      <c r="A766" s="320"/>
      <c r="B766" s="321"/>
      <c r="C766" s="322"/>
      <c r="D766" s="401"/>
      <c r="E766" s="320"/>
      <c r="F766" s="321"/>
      <c r="G766" s="322"/>
      <c r="H766" s="401"/>
      <c r="I766" s="320"/>
      <c r="J766" s="321"/>
      <c r="K766" s="322"/>
      <c r="L766" s="401"/>
      <c r="M766" s="320"/>
      <c r="N766" s="321"/>
      <c r="O766" s="322"/>
      <c r="P766" s="401"/>
      <c r="Q766" s="203"/>
      <c r="R766" s="223"/>
      <c r="S766" s="404"/>
      <c r="T766" s="405"/>
      <c r="U766" s="203"/>
      <c r="V766" s="223"/>
      <c r="W766" s="404"/>
      <c r="X766" s="405"/>
      <c r="Y766" s="203"/>
      <c r="Z766" s="223"/>
      <c r="AA766" s="404"/>
      <c r="AB766" s="405"/>
      <c r="AC766" s="203"/>
      <c r="AD766" s="223"/>
      <c r="AE766" s="404"/>
      <c r="AF766" s="405"/>
      <c r="AG766" s="205"/>
      <c r="AH766" s="205"/>
      <c r="AI766" s="205"/>
      <c r="AJ766" s="205"/>
      <c r="AK766" s="401"/>
      <c r="AL766" s="401"/>
      <c r="AM766" s="401"/>
    </row>
    <row r="767">
      <c r="A767" s="320"/>
      <c r="B767" s="321"/>
      <c r="C767" s="322"/>
      <c r="D767" s="401"/>
      <c r="E767" s="320"/>
      <c r="F767" s="321"/>
      <c r="G767" s="322"/>
      <c r="H767" s="401"/>
      <c r="I767" s="320"/>
      <c r="J767" s="321"/>
      <c r="K767" s="322"/>
      <c r="L767" s="401"/>
      <c r="M767" s="320"/>
      <c r="N767" s="321"/>
      <c r="O767" s="322"/>
      <c r="P767" s="401"/>
      <c r="Q767" s="203"/>
      <c r="R767" s="223"/>
      <c r="S767" s="404"/>
      <c r="T767" s="405"/>
      <c r="U767" s="203"/>
      <c r="V767" s="223"/>
      <c r="W767" s="404"/>
      <c r="X767" s="405"/>
      <c r="Y767" s="203"/>
      <c r="Z767" s="223"/>
      <c r="AA767" s="404"/>
      <c r="AB767" s="405"/>
      <c r="AC767" s="203"/>
      <c r="AD767" s="223"/>
      <c r="AE767" s="404"/>
      <c r="AF767" s="405"/>
      <c r="AG767" s="205"/>
      <c r="AH767" s="205"/>
      <c r="AI767" s="205"/>
      <c r="AJ767" s="205"/>
      <c r="AK767" s="401"/>
      <c r="AL767" s="401"/>
      <c r="AM767" s="401"/>
    </row>
    <row r="768">
      <c r="A768" s="320"/>
      <c r="B768" s="321"/>
      <c r="C768" s="322"/>
      <c r="D768" s="401"/>
      <c r="E768" s="320"/>
      <c r="F768" s="321"/>
      <c r="G768" s="322"/>
      <c r="H768" s="401"/>
      <c r="I768" s="320"/>
      <c r="J768" s="321"/>
      <c r="K768" s="322"/>
      <c r="L768" s="401"/>
      <c r="M768" s="320"/>
      <c r="N768" s="321"/>
      <c r="O768" s="322"/>
      <c r="P768" s="401"/>
      <c r="Q768" s="203"/>
      <c r="R768" s="223"/>
      <c r="S768" s="404"/>
      <c r="T768" s="405"/>
      <c r="U768" s="203"/>
      <c r="V768" s="223"/>
      <c r="W768" s="404"/>
      <c r="X768" s="405"/>
      <c r="Y768" s="203"/>
      <c r="Z768" s="223"/>
      <c r="AA768" s="404"/>
      <c r="AB768" s="405"/>
      <c r="AC768" s="203"/>
      <c r="AD768" s="223"/>
      <c r="AE768" s="404"/>
      <c r="AF768" s="405"/>
      <c r="AG768" s="205"/>
      <c r="AH768" s="205"/>
      <c r="AI768" s="205"/>
      <c r="AJ768" s="205"/>
      <c r="AK768" s="401"/>
      <c r="AL768" s="401"/>
      <c r="AM768" s="401"/>
    </row>
    <row r="769">
      <c r="A769" s="320"/>
      <c r="B769" s="321"/>
      <c r="C769" s="322"/>
      <c r="D769" s="401"/>
      <c r="E769" s="320"/>
      <c r="F769" s="321"/>
      <c r="G769" s="322"/>
      <c r="H769" s="401"/>
      <c r="I769" s="320"/>
      <c r="J769" s="321"/>
      <c r="K769" s="322"/>
      <c r="L769" s="401"/>
      <c r="M769" s="320"/>
      <c r="N769" s="321"/>
      <c r="O769" s="322"/>
      <c r="P769" s="401"/>
      <c r="Q769" s="203"/>
      <c r="R769" s="223"/>
      <c r="S769" s="404"/>
      <c r="T769" s="405"/>
      <c r="U769" s="203"/>
      <c r="V769" s="223"/>
      <c r="W769" s="404"/>
      <c r="X769" s="405"/>
      <c r="Y769" s="203"/>
      <c r="Z769" s="223"/>
      <c r="AA769" s="404"/>
      <c r="AB769" s="405"/>
      <c r="AC769" s="203"/>
      <c r="AD769" s="223"/>
      <c r="AE769" s="404"/>
      <c r="AF769" s="405"/>
      <c r="AG769" s="205"/>
      <c r="AH769" s="205"/>
      <c r="AI769" s="205"/>
      <c r="AJ769" s="205"/>
      <c r="AK769" s="401"/>
      <c r="AL769" s="401"/>
      <c r="AM769" s="401"/>
    </row>
    <row r="770">
      <c r="A770" s="320"/>
      <c r="B770" s="321"/>
      <c r="C770" s="322"/>
      <c r="D770" s="401"/>
      <c r="E770" s="320"/>
      <c r="F770" s="321"/>
      <c r="G770" s="322"/>
      <c r="H770" s="401"/>
      <c r="I770" s="320"/>
      <c r="J770" s="321"/>
      <c r="K770" s="322"/>
      <c r="L770" s="401"/>
      <c r="M770" s="320"/>
      <c r="N770" s="321"/>
      <c r="O770" s="322"/>
      <c r="P770" s="401"/>
      <c r="Q770" s="203"/>
      <c r="R770" s="223"/>
      <c r="S770" s="404"/>
      <c r="T770" s="405"/>
      <c r="U770" s="203"/>
      <c r="V770" s="223"/>
      <c r="W770" s="404"/>
      <c r="X770" s="405"/>
      <c r="Y770" s="203"/>
      <c r="Z770" s="223"/>
      <c r="AA770" s="404"/>
      <c r="AB770" s="405"/>
      <c r="AC770" s="203"/>
      <c r="AD770" s="223"/>
      <c r="AE770" s="404"/>
      <c r="AF770" s="405"/>
      <c r="AG770" s="205"/>
      <c r="AH770" s="205"/>
      <c r="AI770" s="205"/>
      <c r="AJ770" s="205"/>
      <c r="AK770" s="401"/>
      <c r="AL770" s="401"/>
      <c r="AM770" s="401"/>
    </row>
    <row r="771">
      <c r="A771" s="320"/>
      <c r="B771" s="321"/>
      <c r="C771" s="322"/>
      <c r="D771" s="401"/>
      <c r="E771" s="320"/>
      <c r="F771" s="321"/>
      <c r="G771" s="322"/>
      <c r="H771" s="401"/>
      <c r="I771" s="320"/>
      <c r="J771" s="321"/>
      <c r="K771" s="322"/>
      <c r="L771" s="401"/>
      <c r="M771" s="320"/>
      <c r="N771" s="321"/>
      <c r="O771" s="322"/>
      <c r="P771" s="401"/>
      <c r="Q771" s="203"/>
      <c r="R771" s="223"/>
      <c r="S771" s="404"/>
      <c r="T771" s="405"/>
      <c r="U771" s="203"/>
      <c r="V771" s="223"/>
      <c r="W771" s="404"/>
      <c r="X771" s="405"/>
      <c r="Y771" s="203"/>
      <c r="Z771" s="223"/>
      <c r="AA771" s="404"/>
      <c r="AB771" s="405"/>
      <c r="AC771" s="203"/>
      <c r="AD771" s="223"/>
      <c r="AE771" s="404"/>
      <c r="AF771" s="405"/>
      <c r="AG771" s="205"/>
      <c r="AH771" s="205"/>
      <c r="AI771" s="205"/>
      <c r="AJ771" s="205"/>
      <c r="AK771" s="401"/>
      <c r="AL771" s="401"/>
      <c r="AM771" s="401"/>
    </row>
    <row r="772">
      <c r="A772" s="320"/>
      <c r="B772" s="321"/>
      <c r="C772" s="322"/>
      <c r="D772" s="401"/>
      <c r="E772" s="320"/>
      <c r="F772" s="321"/>
      <c r="G772" s="322"/>
      <c r="H772" s="401"/>
      <c r="I772" s="320"/>
      <c r="J772" s="321"/>
      <c r="K772" s="322"/>
      <c r="L772" s="401"/>
      <c r="M772" s="320"/>
      <c r="N772" s="321"/>
      <c r="O772" s="322"/>
      <c r="P772" s="401"/>
      <c r="Q772" s="203"/>
      <c r="R772" s="223"/>
      <c r="S772" s="404"/>
      <c r="T772" s="405"/>
      <c r="U772" s="203"/>
      <c r="V772" s="223"/>
      <c r="W772" s="404"/>
      <c r="X772" s="405"/>
      <c r="Y772" s="203"/>
      <c r="Z772" s="223"/>
      <c r="AA772" s="404"/>
      <c r="AB772" s="405"/>
      <c r="AC772" s="203"/>
      <c r="AD772" s="223"/>
      <c r="AE772" s="404"/>
      <c r="AF772" s="405"/>
      <c r="AG772" s="205"/>
      <c r="AH772" s="205"/>
      <c r="AI772" s="205"/>
      <c r="AJ772" s="205"/>
      <c r="AK772" s="401"/>
      <c r="AL772" s="401"/>
      <c r="AM772" s="401"/>
    </row>
    <row r="773">
      <c r="A773" s="320"/>
      <c r="B773" s="321"/>
      <c r="C773" s="322"/>
      <c r="D773" s="401"/>
      <c r="E773" s="320"/>
      <c r="F773" s="321"/>
      <c r="G773" s="322"/>
      <c r="H773" s="401"/>
      <c r="I773" s="320"/>
      <c r="J773" s="321"/>
      <c r="K773" s="322"/>
      <c r="L773" s="401"/>
      <c r="M773" s="320"/>
      <c r="N773" s="321"/>
      <c r="O773" s="322"/>
      <c r="P773" s="401"/>
      <c r="Q773" s="203"/>
      <c r="R773" s="223"/>
      <c r="S773" s="404"/>
      <c r="T773" s="405"/>
      <c r="U773" s="203"/>
      <c r="V773" s="223"/>
      <c r="W773" s="404"/>
      <c r="X773" s="405"/>
      <c r="Y773" s="203"/>
      <c r="Z773" s="223"/>
      <c r="AA773" s="404"/>
      <c r="AB773" s="405"/>
      <c r="AC773" s="203"/>
      <c r="AD773" s="223"/>
      <c r="AE773" s="404"/>
      <c r="AF773" s="405"/>
      <c r="AG773" s="205"/>
      <c r="AH773" s="205"/>
      <c r="AI773" s="205"/>
      <c r="AJ773" s="205"/>
      <c r="AK773" s="401"/>
      <c r="AL773" s="401"/>
      <c r="AM773" s="401"/>
    </row>
    <row r="774">
      <c r="A774" s="320"/>
      <c r="B774" s="321"/>
      <c r="C774" s="322"/>
      <c r="D774" s="401"/>
      <c r="E774" s="320"/>
      <c r="F774" s="321"/>
      <c r="G774" s="322"/>
      <c r="H774" s="401"/>
      <c r="I774" s="320"/>
      <c r="J774" s="321"/>
      <c r="K774" s="322"/>
      <c r="L774" s="401"/>
      <c r="M774" s="320"/>
      <c r="N774" s="321"/>
      <c r="O774" s="322"/>
      <c r="P774" s="401"/>
      <c r="Q774" s="203"/>
      <c r="R774" s="223"/>
      <c r="S774" s="404"/>
      <c r="T774" s="405"/>
      <c r="U774" s="203"/>
      <c r="V774" s="223"/>
      <c r="W774" s="404"/>
      <c r="X774" s="405"/>
      <c r="Y774" s="203"/>
      <c r="Z774" s="223"/>
      <c r="AA774" s="404"/>
      <c r="AB774" s="405"/>
      <c r="AC774" s="203"/>
      <c r="AD774" s="223"/>
      <c r="AE774" s="404"/>
      <c r="AF774" s="405"/>
      <c r="AG774" s="205"/>
      <c r="AH774" s="205"/>
      <c r="AI774" s="205"/>
      <c r="AJ774" s="205"/>
      <c r="AK774" s="401"/>
      <c r="AL774" s="401"/>
      <c r="AM774" s="401"/>
    </row>
    <row r="775">
      <c r="A775" s="320"/>
      <c r="B775" s="321"/>
      <c r="C775" s="322"/>
      <c r="D775" s="401"/>
      <c r="E775" s="320"/>
      <c r="F775" s="321"/>
      <c r="G775" s="322"/>
      <c r="H775" s="401"/>
      <c r="I775" s="320"/>
      <c r="J775" s="321"/>
      <c r="K775" s="322"/>
      <c r="L775" s="401"/>
      <c r="M775" s="320"/>
      <c r="N775" s="321"/>
      <c r="O775" s="322"/>
      <c r="P775" s="401"/>
      <c r="Q775" s="203"/>
      <c r="R775" s="223"/>
      <c r="S775" s="404"/>
      <c r="T775" s="405"/>
      <c r="U775" s="203"/>
      <c r="V775" s="223"/>
      <c r="W775" s="404"/>
      <c r="X775" s="405"/>
      <c r="Y775" s="203"/>
      <c r="Z775" s="223"/>
      <c r="AA775" s="404"/>
      <c r="AB775" s="405"/>
      <c r="AC775" s="203"/>
      <c r="AD775" s="223"/>
      <c r="AE775" s="404"/>
      <c r="AF775" s="405"/>
      <c r="AG775" s="205"/>
      <c r="AH775" s="205"/>
      <c r="AI775" s="205"/>
      <c r="AJ775" s="205"/>
      <c r="AK775" s="401"/>
      <c r="AL775" s="401"/>
      <c r="AM775" s="401"/>
    </row>
    <row r="776">
      <c r="A776" s="320"/>
      <c r="B776" s="321"/>
      <c r="C776" s="322"/>
      <c r="D776" s="401"/>
      <c r="E776" s="320"/>
      <c r="F776" s="321"/>
      <c r="G776" s="322"/>
      <c r="H776" s="401"/>
      <c r="I776" s="320"/>
      <c r="J776" s="321"/>
      <c r="K776" s="322"/>
      <c r="L776" s="401"/>
      <c r="M776" s="320"/>
      <c r="N776" s="321"/>
      <c r="O776" s="322"/>
      <c r="P776" s="401"/>
      <c r="Q776" s="203"/>
      <c r="R776" s="223"/>
      <c r="S776" s="404"/>
      <c r="T776" s="405"/>
      <c r="U776" s="203"/>
      <c r="V776" s="223"/>
      <c r="W776" s="404"/>
      <c r="X776" s="405"/>
      <c r="Y776" s="203"/>
      <c r="Z776" s="223"/>
      <c r="AA776" s="404"/>
      <c r="AB776" s="405"/>
      <c r="AC776" s="203"/>
      <c r="AD776" s="223"/>
      <c r="AE776" s="404"/>
      <c r="AF776" s="405"/>
      <c r="AG776" s="205"/>
      <c r="AH776" s="205"/>
      <c r="AI776" s="205"/>
      <c r="AJ776" s="205"/>
      <c r="AK776" s="401"/>
      <c r="AL776" s="401"/>
      <c r="AM776" s="401"/>
    </row>
    <row r="777">
      <c r="A777" s="320"/>
      <c r="B777" s="321"/>
      <c r="C777" s="322"/>
      <c r="D777" s="401"/>
      <c r="E777" s="320"/>
      <c r="F777" s="321"/>
      <c r="G777" s="322"/>
      <c r="H777" s="401"/>
      <c r="I777" s="320"/>
      <c r="J777" s="321"/>
      <c r="K777" s="322"/>
      <c r="L777" s="401"/>
      <c r="M777" s="320"/>
      <c r="N777" s="321"/>
      <c r="O777" s="322"/>
      <c r="P777" s="401"/>
      <c r="Q777" s="203"/>
      <c r="R777" s="223"/>
      <c r="S777" s="404"/>
      <c r="T777" s="405"/>
      <c r="U777" s="203"/>
      <c r="V777" s="223"/>
      <c r="W777" s="404"/>
      <c r="X777" s="405"/>
      <c r="Y777" s="203"/>
      <c r="Z777" s="223"/>
      <c r="AA777" s="404"/>
      <c r="AB777" s="405"/>
      <c r="AC777" s="203"/>
      <c r="AD777" s="223"/>
      <c r="AE777" s="404"/>
      <c r="AF777" s="405"/>
      <c r="AG777" s="205"/>
      <c r="AH777" s="205"/>
      <c r="AI777" s="205"/>
      <c r="AJ777" s="205"/>
      <c r="AK777" s="401"/>
      <c r="AL777" s="401"/>
      <c r="AM777" s="401"/>
    </row>
    <row r="778">
      <c r="A778" s="320"/>
      <c r="B778" s="321"/>
      <c r="C778" s="322"/>
      <c r="D778" s="401"/>
      <c r="E778" s="320"/>
      <c r="F778" s="321"/>
      <c r="G778" s="322"/>
      <c r="H778" s="401"/>
      <c r="I778" s="320"/>
      <c r="J778" s="321"/>
      <c r="K778" s="322"/>
      <c r="L778" s="401"/>
      <c r="M778" s="320"/>
      <c r="N778" s="321"/>
      <c r="O778" s="322"/>
      <c r="P778" s="401"/>
      <c r="Q778" s="203"/>
      <c r="R778" s="223"/>
      <c r="S778" s="404"/>
      <c r="T778" s="405"/>
      <c r="U778" s="203"/>
      <c r="V778" s="223"/>
      <c r="W778" s="404"/>
      <c r="X778" s="405"/>
      <c r="Y778" s="203"/>
      <c r="Z778" s="223"/>
      <c r="AA778" s="404"/>
      <c r="AB778" s="405"/>
      <c r="AC778" s="203"/>
      <c r="AD778" s="223"/>
      <c r="AE778" s="404"/>
      <c r="AF778" s="405"/>
      <c r="AG778" s="205"/>
      <c r="AH778" s="205"/>
      <c r="AI778" s="205"/>
      <c r="AJ778" s="205"/>
      <c r="AK778" s="401"/>
      <c r="AL778" s="401"/>
      <c r="AM778" s="401"/>
    </row>
    <row r="779">
      <c r="A779" s="320"/>
      <c r="B779" s="321"/>
      <c r="C779" s="322"/>
      <c r="D779" s="401"/>
      <c r="E779" s="320"/>
      <c r="F779" s="321"/>
      <c r="G779" s="322"/>
      <c r="H779" s="401"/>
      <c r="I779" s="320"/>
      <c r="J779" s="321"/>
      <c r="K779" s="322"/>
      <c r="L779" s="401"/>
      <c r="M779" s="320"/>
      <c r="N779" s="321"/>
      <c r="O779" s="322"/>
      <c r="P779" s="401"/>
      <c r="Q779" s="203"/>
      <c r="R779" s="223"/>
      <c r="S779" s="404"/>
      <c r="T779" s="405"/>
      <c r="U779" s="203"/>
      <c r="V779" s="223"/>
      <c r="W779" s="404"/>
      <c r="X779" s="405"/>
      <c r="Y779" s="203"/>
      <c r="Z779" s="223"/>
      <c r="AA779" s="404"/>
      <c r="AB779" s="405"/>
      <c r="AC779" s="203"/>
      <c r="AD779" s="223"/>
      <c r="AE779" s="404"/>
      <c r="AF779" s="405"/>
      <c r="AG779" s="205"/>
      <c r="AH779" s="205"/>
      <c r="AI779" s="205"/>
      <c r="AJ779" s="205"/>
      <c r="AK779" s="401"/>
      <c r="AL779" s="401"/>
      <c r="AM779" s="401"/>
    </row>
    <row r="780">
      <c r="A780" s="320"/>
      <c r="B780" s="321"/>
      <c r="C780" s="322"/>
      <c r="D780" s="401"/>
      <c r="E780" s="320"/>
      <c r="F780" s="321"/>
      <c r="G780" s="322"/>
      <c r="H780" s="401"/>
      <c r="I780" s="320"/>
      <c r="J780" s="321"/>
      <c r="K780" s="322"/>
      <c r="L780" s="401"/>
      <c r="M780" s="320"/>
      <c r="N780" s="321"/>
      <c r="O780" s="322"/>
      <c r="P780" s="401"/>
      <c r="Q780" s="203"/>
      <c r="R780" s="223"/>
      <c r="S780" s="404"/>
      <c r="T780" s="405"/>
      <c r="U780" s="203"/>
      <c r="V780" s="223"/>
      <c r="W780" s="404"/>
      <c r="X780" s="405"/>
      <c r="Y780" s="203"/>
      <c r="Z780" s="223"/>
      <c r="AA780" s="404"/>
      <c r="AB780" s="405"/>
      <c r="AC780" s="203"/>
      <c r="AD780" s="223"/>
      <c r="AE780" s="404"/>
      <c r="AF780" s="405"/>
      <c r="AG780" s="205"/>
      <c r="AH780" s="205"/>
      <c r="AI780" s="205"/>
      <c r="AJ780" s="205"/>
      <c r="AK780" s="401"/>
      <c r="AL780" s="401"/>
      <c r="AM780" s="401"/>
    </row>
    <row r="781">
      <c r="A781" s="320"/>
      <c r="B781" s="321"/>
      <c r="C781" s="322"/>
      <c r="D781" s="401"/>
      <c r="E781" s="320"/>
      <c r="F781" s="321"/>
      <c r="G781" s="322"/>
      <c r="H781" s="401"/>
      <c r="I781" s="320"/>
      <c r="J781" s="321"/>
      <c r="K781" s="322"/>
      <c r="L781" s="401"/>
      <c r="M781" s="320"/>
      <c r="N781" s="321"/>
      <c r="O781" s="322"/>
      <c r="P781" s="401"/>
      <c r="Q781" s="203"/>
      <c r="R781" s="223"/>
      <c r="S781" s="404"/>
      <c r="T781" s="405"/>
      <c r="U781" s="203"/>
      <c r="V781" s="223"/>
      <c r="W781" s="404"/>
      <c r="X781" s="405"/>
      <c r="Y781" s="203"/>
      <c r="Z781" s="223"/>
      <c r="AA781" s="404"/>
      <c r="AB781" s="405"/>
      <c r="AC781" s="203"/>
      <c r="AD781" s="223"/>
      <c r="AE781" s="404"/>
      <c r="AF781" s="405"/>
      <c r="AG781" s="205"/>
      <c r="AH781" s="205"/>
      <c r="AI781" s="205"/>
      <c r="AJ781" s="205"/>
      <c r="AK781" s="401"/>
      <c r="AL781" s="401"/>
      <c r="AM781" s="401"/>
    </row>
    <row r="782">
      <c r="A782" s="320"/>
      <c r="B782" s="321"/>
      <c r="C782" s="322"/>
      <c r="D782" s="401"/>
      <c r="E782" s="320"/>
      <c r="F782" s="321"/>
      <c r="G782" s="322"/>
      <c r="H782" s="401"/>
      <c r="I782" s="320"/>
      <c r="J782" s="321"/>
      <c r="K782" s="322"/>
      <c r="L782" s="401"/>
      <c r="M782" s="320"/>
      <c r="N782" s="321"/>
      <c r="O782" s="322"/>
      <c r="P782" s="401"/>
      <c r="Q782" s="203"/>
      <c r="R782" s="223"/>
      <c r="S782" s="404"/>
      <c r="T782" s="405"/>
      <c r="U782" s="203"/>
      <c r="V782" s="223"/>
      <c r="W782" s="404"/>
      <c r="X782" s="405"/>
      <c r="Y782" s="203"/>
      <c r="Z782" s="223"/>
      <c r="AA782" s="404"/>
      <c r="AB782" s="405"/>
      <c r="AC782" s="203"/>
      <c r="AD782" s="223"/>
      <c r="AE782" s="404"/>
      <c r="AF782" s="405"/>
      <c r="AG782" s="205"/>
      <c r="AH782" s="205"/>
      <c r="AI782" s="205"/>
      <c r="AJ782" s="205"/>
      <c r="AK782" s="401"/>
      <c r="AL782" s="401"/>
      <c r="AM782" s="401"/>
    </row>
    <row r="783">
      <c r="A783" s="320"/>
      <c r="B783" s="321"/>
      <c r="C783" s="322"/>
      <c r="D783" s="401"/>
      <c r="E783" s="320"/>
      <c r="F783" s="321"/>
      <c r="G783" s="322"/>
      <c r="H783" s="401"/>
      <c r="I783" s="320"/>
      <c r="J783" s="321"/>
      <c r="K783" s="322"/>
      <c r="L783" s="401"/>
      <c r="M783" s="320"/>
      <c r="N783" s="321"/>
      <c r="O783" s="322"/>
      <c r="P783" s="401"/>
      <c r="Q783" s="203"/>
      <c r="R783" s="223"/>
      <c r="S783" s="404"/>
      <c r="T783" s="405"/>
      <c r="U783" s="203"/>
      <c r="V783" s="223"/>
      <c r="W783" s="404"/>
      <c r="X783" s="405"/>
      <c r="Y783" s="203"/>
      <c r="Z783" s="223"/>
      <c r="AA783" s="404"/>
      <c r="AB783" s="405"/>
      <c r="AC783" s="203"/>
      <c r="AD783" s="223"/>
      <c r="AE783" s="404"/>
      <c r="AF783" s="405"/>
      <c r="AG783" s="205"/>
      <c r="AH783" s="205"/>
      <c r="AI783" s="205"/>
      <c r="AJ783" s="205"/>
      <c r="AK783" s="401"/>
      <c r="AL783" s="401"/>
      <c r="AM783" s="401"/>
    </row>
    <row r="784">
      <c r="A784" s="320"/>
      <c r="B784" s="321"/>
      <c r="C784" s="322"/>
      <c r="D784" s="401"/>
      <c r="E784" s="320"/>
      <c r="F784" s="321"/>
      <c r="G784" s="322"/>
      <c r="H784" s="401"/>
      <c r="I784" s="320"/>
      <c r="J784" s="321"/>
      <c r="K784" s="322"/>
      <c r="L784" s="401"/>
      <c r="M784" s="320"/>
      <c r="N784" s="321"/>
      <c r="O784" s="322"/>
      <c r="P784" s="401"/>
      <c r="Q784" s="203"/>
      <c r="R784" s="223"/>
      <c r="S784" s="404"/>
      <c r="T784" s="405"/>
      <c r="U784" s="203"/>
      <c r="V784" s="223"/>
      <c r="W784" s="404"/>
      <c r="X784" s="405"/>
      <c r="Y784" s="203"/>
      <c r="Z784" s="223"/>
      <c r="AA784" s="404"/>
      <c r="AB784" s="405"/>
      <c r="AC784" s="203"/>
      <c r="AD784" s="223"/>
      <c r="AE784" s="404"/>
      <c r="AF784" s="405"/>
      <c r="AG784" s="205"/>
      <c r="AH784" s="205"/>
      <c r="AI784" s="205"/>
      <c r="AJ784" s="205"/>
      <c r="AK784" s="401"/>
      <c r="AL784" s="401"/>
      <c r="AM784" s="401"/>
    </row>
    <row r="785">
      <c r="A785" s="320"/>
      <c r="B785" s="321"/>
      <c r="C785" s="322"/>
      <c r="D785" s="401"/>
      <c r="E785" s="320"/>
      <c r="F785" s="321"/>
      <c r="G785" s="322"/>
      <c r="H785" s="401"/>
      <c r="I785" s="320"/>
      <c r="J785" s="321"/>
      <c r="K785" s="322"/>
      <c r="L785" s="401"/>
      <c r="M785" s="320"/>
      <c r="N785" s="321"/>
      <c r="O785" s="322"/>
      <c r="P785" s="401"/>
      <c r="Q785" s="203"/>
      <c r="R785" s="223"/>
      <c r="S785" s="404"/>
      <c r="T785" s="405"/>
      <c r="U785" s="203"/>
      <c r="V785" s="223"/>
      <c r="W785" s="404"/>
      <c r="X785" s="405"/>
      <c r="Y785" s="203"/>
      <c r="Z785" s="223"/>
      <c r="AA785" s="404"/>
      <c r="AB785" s="405"/>
      <c r="AC785" s="203"/>
      <c r="AD785" s="223"/>
      <c r="AE785" s="404"/>
      <c r="AF785" s="405"/>
      <c r="AG785" s="205"/>
      <c r="AH785" s="205"/>
      <c r="AI785" s="205"/>
      <c r="AJ785" s="205"/>
      <c r="AK785" s="401"/>
      <c r="AL785" s="401"/>
      <c r="AM785" s="401"/>
    </row>
    <row r="786">
      <c r="A786" s="320"/>
      <c r="B786" s="321"/>
      <c r="C786" s="322"/>
      <c r="D786" s="401"/>
      <c r="E786" s="320"/>
      <c r="F786" s="321"/>
      <c r="G786" s="322"/>
      <c r="H786" s="401"/>
      <c r="I786" s="320"/>
      <c r="J786" s="321"/>
      <c r="K786" s="322"/>
      <c r="L786" s="401"/>
      <c r="M786" s="320"/>
      <c r="N786" s="321"/>
      <c r="O786" s="322"/>
      <c r="P786" s="401"/>
      <c r="Q786" s="203"/>
      <c r="R786" s="223"/>
      <c r="S786" s="404"/>
      <c r="T786" s="405"/>
      <c r="U786" s="203"/>
      <c r="V786" s="223"/>
      <c r="W786" s="404"/>
      <c r="X786" s="405"/>
      <c r="Y786" s="203"/>
      <c r="Z786" s="223"/>
      <c r="AA786" s="404"/>
      <c r="AB786" s="405"/>
      <c r="AC786" s="203"/>
      <c r="AD786" s="223"/>
      <c r="AE786" s="404"/>
      <c r="AF786" s="405"/>
      <c r="AG786" s="205"/>
      <c r="AH786" s="205"/>
      <c r="AI786" s="205"/>
      <c r="AJ786" s="205"/>
      <c r="AK786" s="401"/>
      <c r="AL786" s="401"/>
      <c r="AM786" s="401"/>
    </row>
    <row r="787">
      <c r="A787" s="320"/>
      <c r="B787" s="321"/>
      <c r="C787" s="322"/>
      <c r="D787" s="401"/>
      <c r="E787" s="320"/>
      <c r="F787" s="321"/>
      <c r="G787" s="322"/>
      <c r="H787" s="401"/>
      <c r="I787" s="320"/>
      <c r="J787" s="321"/>
      <c r="K787" s="322"/>
      <c r="L787" s="401"/>
      <c r="M787" s="320"/>
      <c r="N787" s="321"/>
      <c r="O787" s="322"/>
      <c r="P787" s="401"/>
      <c r="Q787" s="203"/>
      <c r="R787" s="223"/>
      <c r="S787" s="404"/>
      <c r="T787" s="405"/>
      <c r="U787" s="203"/>
      <c r="V787" s="223"/>
      <c r="W787" s="404"/>
      <c r="X787" s="405"/>
      <c r="Y787" s="203"/>
      <c r="Z787" s="223"/>
      <c r="AA787" s="404"/>
      <c r="AB787" s="405"/>
      <c r="AC787" s="203"/>
      <c r="AD787" s="223"/>
      <c r="AE787" s="404"/>
      <c r="AF787" s="405"/>
      <c r="AG787" s="205"/>
      <c r="AH787" s="205"/>
      <c r="AI787" s="205"/>
      <c r="AJ787" s="205"/>
      <c r="AK787" s="401"/>
      <c r="AL787" s="401"/>
      <c r="AM787" s="401"/>
    </row>
    <row r="788">
      <c r="A788" s="320"/>
      <c r="B788" s="321"/>
      <c r="C788" s="322"/>
      <c r="D788" s="401"/>
      <c r="E788" s="320"/>
      <c r="F788" s="321"/>
      <c r="G788" s="322"/>
      <c r="H788" s="401"/>
      <c r="I788" s="320"/>
      <c r="J788" s="321"/>
      <c r="K788" s="322"/>
      <c r="L788" s="401"/>
      <c r="M788" s="320"/>
      <c r="N788" s="321"/>
      <c r="O788" s="322"/>
      <c r="P788" s="401"/>
      <c r="Q788" s="203"/>
      <c r="R788" s="223"/>
      <c r="S788" s="404"/>
      <c r="T788" s="405"/>
      <c r="U788" s="203"/>
      <c r="V788" s="223"/>
      <c r="W788" s="404"/>
      <c r="X788" s="405"/>
      <c r="Y788" s="203"/>
      <c r="Z788" s="223"/>
      <c r="AA788" s="404"/>
      <c r="AB788" s="405"/>
      <c r="AC788" s="203"/>
      <c r="AD788" s="223"/>
      <c r="AE788" s="404"/>
      <c r="AF788" s="405"/>
      <c r="AG788" s="205"/>
      <c r="AH788" s="205"/>
      <c r="AI788" s="205"/>
      <c r="AJ788" s="205"/>
      <c r="AK788" s="401"/>
      <c r="AL788" s="401"/>
      <c r="AM788" s="401"/>
    </row>
    <row r="789">
      <c r="A789" s="320"/>
      <c r="B789" s="321"/>
      <c r="C789" s="322"/>
      <c r="D789" s="401"/>
      <c r="E789" s="320"/>
      <c r="F789" s="321"/>
      <c r="G789" s="322"/>
      <c r="H789" s="401"/>
      <c r="I789" s="320"/>
      <c r="J789" s="321"/>
      <c r="K789" s="322"/>
      <c r="L789" s="401"/>
      <c r="M789" s="320"/>
      <c r="N789" s="321"/>
      <c r="O789" s="322"/>
      <c r="P789" s="401"/>
      <c r="Q789" s="203"/>
      <c r="R789" s="223"/>
      <c r="S789" s="404"/>
      <c r="T789" s="405"/>
      <c r="U789" s="203"/>
      <c r="V789" s="223"/>
      <c r="W789" s="404"/>
      <c r="X789" s="405"/>
      <c r="Y789" s="203"/>
      <c r="Z789" s="223"/>
      <c r="AA789" s="404"/>
      <c r="AB789" s="405"/>
      <c r="AC789" s="203"/>
      <c r="AD789" s="223"/>
      <c r="AE789" s="404"/>
      <c r="AF789" s="405"/>
      <c r="AG789" s="205"/>
      <c r="AH789" s="205"/>
      <c r="AI789" s="205"/>
      <c r="AJ789" s="205"/>
      <c r="AK789" s="401"/>
      <c r="AL789" s="401"/>
      <c r="AM789" s="401"/>
    </row>
    <row r="790">
      <c r="A790" s="320"/>
      <c r="B790" s="321"/>
      <c r="C790" s="322"/>
      <c r="D790" s="401"/>
      <c r="E790" s="320"/>
      <c r="F790" s="321"/>
      <c r="G790" s="322"/>
      <c r="H790" s="401"/>
      <c r="I790" s="320"/>
      <c r="J790" s="321"/>
      <c r="K790" s="322"/>
      <c r="L790" s="401"/>
      <c r="M790" s="320"/>
      <c r="N790" s="321"/>
      <c r="O790" s="322"/>
      <c r="P790" s="401"/>
      <c r="Q790" s="203"/>
      <c r="R790" s="223"/>
      <c r="S790" s="404"/>
      <c r="T790" s="405"/>
      <c r="U790" s="203"/>
      <c r="V790" s="223"/>
      <c r="W790" s="404"/>
      <c r="X790" s="405"/>
      <c r="Y790" s="203"/>
      <c r="Z790" s="223"/>
      <c r="AA790" s="404"/>
      <c r="AB790" s="405"/>
      <c r="AC790" s="203"/>
      <c r="AD790" s="223"/>
      <c r="AE790" s="404"/>
      <c r="AF790" s="405"/>
      <c r="AG790" s="205"/>
      <c r="AH790" s="205"/>
      <c r="AI790" s="205"/>
      <c r="AJ790" s="205"/>
      <c r="AK790" s="401"/>
      <c r="AL790" s="401"/>
      <c r="AM790" s="401"/>
    </row>
    <row r="791">
      <c r="A791" s="320"/>
      <c r="B791" s="321"/>
      <c r="C791" s="322"/>
      <c r="D791" s="401"/>
      <c r="E791" s="320"/>
      <c r="F791" s="321"/>
      <c r="G791" s="322"/>
      <c r="H791" s="401"/>
      <c r="I791" s="320"/>
      <c r="J791" s="321"/>
      <c r="K791" s="322"/>
      <c r="L791" s="401"/>
      <c r="M791" s="320"/>
      <c r="N791" s="321"/>
      <c r="O791" s="322"/>
      <c r="P791" s="401"/>
      <c r="Q791" s="203"/>
      <c r="R791" s="223"/>
      <c r="S791" s="404"/>
      <c r="T791" s="405"/>
      <c r="U791" s="203"/>
      <c r="V791" s="223"/>
      <c r="W791" s="404"/>
      <c r="X791" s="405"/>
      <c r="Y791" s="203"/>
      <c r="Z791" s="223"/>
      <c r="AA791" s="404"/>
      <c r="AB791" s="405"/>
      <c r="AC791" s="203"/>
      <c r="AD791" s="223"/>
      <c r="AE791" s="404"/>
      <c r="AF791" s="405"/>
      <c r="AG791" s="205"/>
      <c r="AH791" s="205"/>
      <c r="AI791" s="205"/>
      <c r="AJ791" s="205"/>
      <c r="AK791" s="401"/>
      <c r="AL791" s="401"/>
      <c r="AM791" s="401"/>
    </row>
    <row r="792">
      <c r="A792" s="320"/>
      <c r="B792" s="321"/>
      <c r="C792" s="322"/>
      <c r="D792" s="401"/>
      <c r="E792" s="320"/>
      <c r="F792" s="321"/>
      <c r="G792" s="322"/>
      <c r="H792" s="401"/>
      <c r="I792" s="320"/>
      <c r="J792" s="321"/>
      <c r="K792" s="322"/>
      <c r="L792" s="401"/>
      <c r="M792" s="320"/>
      <c r="N792" s="321"/>
      <c r="O792" s="322"/>
      <c r="P792" s="401"/>
      <c r="Q792" s="203"/>
      <c r="R792" s="223"/>
      <c r="S792" s="404"/>
      <c r="T792" s="405"/>
      <c r="U792" s="203"/>
      <c r="V792" s="223"/>
      <c r="W792" s="404"/>
      <c r="X792" s="405"/>
      <c r="Y792" s="203"/>
      <c r="Z792" s="223"/>
      <c r="AA792" s="404"/>
      <c r="AB792" s="405"/>
      <c r="AC792" s="203"/>
      <c r="AD792" s="223"/>
      <c r="AE792" s="404"/>
      <c r="AF792" s="405"/>
      <c r="AG792" s="205"/>
      <c r="AH792" s="205"/>
      <c r="AI792" s="205"/>
      <c r="AJ792" s="205"/>
      <c r="AK792" s="401"/>
      <c r="AL792" s="401"/>
      <c r="AM792" s="401"/>
    </row>
    <row r="793">
      <c r="A793" s="320"/>
      <c r="B793" s="321"/>
      <c r="C793" s="322"/>
      <c r="D793" s="401"/>
      <c r="E793" s="320"/>
      <c r="F793" s="321"/>
      <c r="G793" s="322"/>
      <c r="H793" s="401"/>
      <c r="I793" s="320"/>
      <c r="J793" s="321"/>
      <c r="K793" s="322"/>
      <c r="L793" s="401"/>
      <c r="M793" s="320"/>
      <c r="N793" s="321"/>
      <c r="O793" s="322"/>
      <c r="P793" s="401"/>
      <c r="Q793" s="203"/>
      <c r="R793" s="223"/>
      <c r="S793" s="404"/>
      <c r="T793" s="405"/>
      <c r="U793" s="203"/>
      <c r="V793" s="223"/>
      <c r="W793" s="404"/>
      <c r="X793" s="405"/>
      <c r="Y793" s="203"/>
      <c r="Z793" s="223"/>
      <c r="AA793" s="404"/>
      <c r="AB793" s="405"/>
      <c r="AC793" s="203"/>
      <c r="AD793" s="223"/>
      <c r="AE793" s="404"/>
      <c r="AF793" s="405"/>
      <c r="AG793" s="205"/>
      <c r="AH793" s="205"/>
      <c r="AI793" s="205"/>
      <c r="AJ793" s="205"/>
      <c r="AK793" s="401"/>
      <c r="AL793" s="401"/>
      <c r="AM793" s="401"/>
    </row>
    <row r="794">
      <c r="A794" s="320"/>
      <c r="B794" s="321"/>
      <c r="C794" s="322"/>
      <c r="D794" s="401"/>
      <c r="E794" s="320"/>
      <c r="F794" s="321"/>
      <c r="G794" s="322"/>
      <c r="H794" s="401"/>
      <c r="I794" s="320"/>
      <c r="J794" s="321"/>
      <c r="K794" s="322"/>
      <c r="L794" s="401"/>
      <c r="M794" s="320"/>
      <c r="N794" s="321"/>
      <c r="O794" s="322"/>
      <c r="P794" s="401"/>
      <c r="Q794" s="203"/>
      <c r="R794" s="223"/>
      <c r="S794" s="404"/>
      <c r="T794" s="405"/>
      <c r="U794" s="203"/>
      <c r="V794" s="223"/>
      <c r="W794" s="404"/>
      <c r="X794" s="405"/>
      <c r="Y794" s="203"/>
      <c r="Z794" s="223"/>
      <c r="AA794" s="404"/>
      <c r="AB794" s="405"/>
      <c r="AC794" s="203"/>
      <c r="AD794" s="223"/>
      <c r="AE794" s="404"/>
      <c r="AF794" s="405"/>
      <c r="AG794" s="205"/>
      <c r="AH794" s="205"/>
      <c r="AI794" s="205"/>
      <c r="AJ794" s="205"/>
      <c r="AK794" s="401"/>
      <c r="AL794" s="401"/>
      <c r="AM794" s="401"/>
    </row>
    <row r="795">
      <c r="A795" s="320"/>
      <c r="B795" s="321"/>
      <c r="C795" s="322"/>
      <c r="D795" s="401"/>
      <c r="E795" s="320"/>
      <c r="F795" s="321"/>
      <c r="G795" s="322"/>
      <c r="H795" s="401"/>
      <c r="I795" s="320"/>
      <c r="J795" s="321"/>
      <c r="K795" s="322"/>
      <c r="L795" s="401"/>
      <c r="M795" s="320"/>
      <c r="N795" s="321"/>
      <c r="O795" s="322"/>
      <c r="P795" s="401"/>
      <c r="Q795" s="203"/>
      <c r="R795" s="223"/>
      <c r="S795" s="404"/>
      <c r="T795" s="405"/>
      <c r="U795" s="203"/>
      <c r="V795" s="223"/>
      <c r="W795" s="404"/>
      <c r="X795" s="405"/>
      <c r="Y795" s="203"/>
      <c r="Z795" s="223"/>
      <c r="AA795" s="404"/>
      <c r="AB795" s="405"/>
      <c r="AC795" s="203"/>
      <c r="AD795" s="223"/>
      <c r="AE795" s="404"/>
      <c r="AF795" s="405"/>
      <c r="AG795" s="205"/>
      <c r="AH795" s="205"/>
      <c r="AI795" s="205"/>
      <c r="AJ795" s="205"/>
      <c r="AK795" s="401"/>
      <c r="AL795" s="401"/>
      <c r="AM795" s="401"/>
    </row>
    <row r="796">
      <c r="A796" s="320"/>
      <c r="B796" s="321"/>
      <c r="C796" s="322"/>
      <c r="D796" s="401"/>
      <c r="E796" s="320"/>
      <c r="F796" s="321"/>
      <c r="G796" s="322"/>
      <c r="H796" s="401"/>
      <c r="I796" s="320"/>
      <c r="J796" s="321"/>
      <c r="K796" s="322"/>
      <c r="L796" s="401"/>
      <c r="M796" s="320"/>
      <c r="N796" s="321"/>
      <c r="O796" s="322"/>
      <c r="P796" s="401"/>
      <c r="Q796" s="203"/>
      <c r="R796" s="223"/>
      <c r="S796" s="404"/>
      <c r="T796" s="405"/>
      <c r="U796" s="203"/>
      <c r="V796" s="223"/>
      <c r="W796" s="404"/>
      <c r="X796" s="405"/>
      <c r="Y796" s="203"/>
      <c r="Z796" s="223"/>
      <c r="AA796" s="404"/>
      <c r="AB796" s="405"/>
      <c r="AC796" s="203"/>
      <c r="AD796" s="223"/>
      <c r="AE796" s="404"/>
      <c r="AF796" s="405"/>
      <c r="AG796" s="205"/>
      <c r="AH796" s="205"/>
      <c r="AI796" s="205"/>
      <c r="AJ796" s="205"/>
      <c r="AK796" s="401"/>
      <c r="AL796" s="401"/>
      <c r="AM796" s="401"/>
    </row>
    <row r="797">
      <c r="A797" s="320"/>
      <c r="B797" s="321"/>
      <c r="C797" s="322"/>
      <c r="D797" s="401"/>
      <c r="E797" s="320"/>
      <c r="F797" s="321"/>
      <c r="G797" s="322"/>
      <c r="H797" s="401"/>
      <c r="I797" s="320"/>
      <c r="J797" s="321"/>
      <c r="K797" s="322"/>
      <c r="L797" s="401"/>
      <c r="M797" s="320"/>
      <c r="N797" s="321"/>
      <c r="O797" s="322"/>
      <c r="P797" s="401"/>
      <c r="Q797" s="203"/>
      <c r="R797" s="223"/>
      <c r="S797" s="404"/>
      <c r="T797" s="405"/>
      <c r="U797" s="203"/>
      <c r="V797" s="223"/>
      <c r="W797" s="404"/>
      <c r="X797" s="405"/>
      <c r="Y797" s="203"/>
      <c r="Z797" s="223"/>
      <c r="AA797" s="404"/>
      <c r="AB797" s="405"/>
      <c r="AC797" s="203"/>
      <c r="AD797" s="223"/>
      <c r="AE797" s="404"/>
      <c r="AF797" s="405"/>
      <c r="AG797" s="205"/>
      <c r="AH797" s="205"/>
      <c r="AI797" s="205"/>
      <c r="AJ797" s="205"/>
      <c r="AK797" s="401"/>
      <c r="AL797" s="401"/>
      <c r="AM797" s="401"/>
    </row>
    <row r="798">
      <c r="A798" s="320"/>
      <c r="B798" s="321"/>
      <c r="C798" s="322"/>
      <c r="D798" s="401"/>
      <c r="E798" s="320"/>
      <c r="F798" s="321"/>
      <c r="G798" s="322"/>
      <c r="H798" s="401"/>
      <c r="I798" s="320"/>
      <c r="J798" s="321"/>
      <c r="K798" s="322"/>
      <c r="L798" s="401"/>
      <c r="M798" s="320"/>
      <c r="N798" s="321"/>
      <c r="O798" s="322"/>
      <c r="P798" s="401"/>
      <c r="Q798" s="203"/>
      <c r="R798" s="223"/>
      <c r="S798" s="404"/>
      <c r="T798" s="405"/>
      <c r="U798" s="203"/>
      <c r="V798" s="223"/>
      <c r="W798" s="404"/>
      <c r="X798" s="405"/>
      <c r="Y798" s="203"/>
      <c r="Z798" s="223"/>
      <c r="AA798" s="404"/>
      <c r="AB798" s="405"/>
      <c r="AC798" s="203"/>
      <c r="AD798" s="223"/>
      <c r="AE798" s="404"/>
      <c r="AF798" s="405"/>
      <c r="AG798" s="205"/>
      <c r="AH798" s="205"/>
      <c r="AI798" s="205"/>
      <c r="AJ798" s="205"/>
      <c r="AK798" s="401"/>
      <c r="AL798" s="401"/>
      <c r="AM798" s="401"/>
    </row>
    <row r="799">
      <c r="A799" s="320"/>
      <c r="B799" s="321"/>
      <c r="C799" s="322"/>
      <c r="D799" s="401"/>
      <c r="E799" s="320"/>
      <c r="F799" s="321"/>
      <c r="G799" s="322"/>
      <c r="H799" s="401"/>
      <c r="I799" s="320"/>
      <c r="J799" s="321"/>
      <c r="K799" s="322"/>
      <c r="L799" s="401"/>
      <c r="M799" s="320"/>
      <c r="N799" s="321"/>
      <c r="O799" s="322"/>
      <c r="P799" s="401"/>
      <c r="Q799" s="203"/>
      <c r="R799" s="223"/>
      <c r="S799" s="404"/>
      <c r="T799" s="405"/>
      <c r="U799" s="203"/>
      <c r="V799" s="223"/>
      <c r="W799" s="404"/>
      <c r="X799" s="405"/>
      <c r="Y799" s="203"/>
      <c r="Z799" s="223"/>
      <c r="AA799" s="404"/>
      <c r="AB799" s="405"/>
      <c r="AC799" s="203"/>
      <c r="AD799" s="223"/>
      <c r="AE799" s="404"/>
      <c r="AF799" s="405"/>
      <c r="AG799" s="205"/>
      <c r="AH799" s="205"/>
      <c r="AI799" s="205"/>
      <c r="AJ799" s="205"/>
      <c r="AK799" s="401"/>
      <c r="AL799" s="401"/>
      <c r="AM799" s="401"/>
    </row>
    <row r="800">
      <c r="A800" s="320"/>
      <c r="B800" s="321"/>
      <c r="C800" s="322"/>
      <c r="D800" s="401"/>
      <c r="E800" s="320"/>
      <c r="F800" s="321"/>
      <c r="G800" s="322"/>
      <c r="H800" s="401"/>
      <c r="I800" s="320"/>
      <c r="J800" s="321"/>
      <c r="K800" s="322"/>
      <c r="L800" s="401"/>
      <c r="M800" s="320"/>
      <c r="N800" s="321"/>
      <c r="O800" s="322"/>
      <c r="P800" s="401"/>
      <c r="Q800" s="203"/>
      <c r="R800" s="223"/>
      <c r="S800" s="404"/>
      <c r="T800" s="405"/>
      <c r="U800" s="203"/>
      <c r="V800" s="223"/>
      <c r="W800" s="404"/>
      <c r="X800" s="405"/>
      <c r="Y800" s="203"/>
      <c r="Z800" s="223"/>
      <c r="AA800" s="404"/>
      <c r="AB800" s="405"/>
      <c r="AC800" s="203"/>
      <c r="AD800" s="223"/>
      <c r="AE800" s="404"/>
      <c r="AF800" s="405"/>
      <c r="AG800" s="205"/>
      <c r="AH800" s="205"/>
      <c r="AI800" s="205"/>
      <c r="AJ800" s="205"/>
      <c r="AK800" s="401"/>
      <c r="AL800" s="401"/>
      <c r="AM800" s="401"/>
    </row>
    <row r="801">
      <c r="A801" s="320"/>
      <c r="B801" s="321"/>
      <c r="C801" s="322"/>
      <c r="D801" s="401"/>
      <c r="E801" s="320"/>
      <c r="F801" s="321"/>
      <c r="G801" s="322"/>
      <c r="H801" s="401"/>
      <c r="I801" s="320"/>
      <c r="J801" s="321"/>
      <c r="K801" s="322"/>
      <c r="L801" s="401"/>
      <c r="M801" s="320"/>
      <c r="N801" s="321"/>
      <c r="O801" s="322"/>
      <c r="P801" s="401"/>
      <c r="Q801" s="203"/>
      <c r="R801" s="223"/>
      <c r="S801" s="404"/>
      <c r="T801" s="405"/>
      <c r="U801" s="203"/>
      <c r="V801" s="223"/>
      <c r="W801" s="404"/>
      <c r="X801" s="405"/>
      <c r="Y801" s="203"/>
      <c r="Z801" s="223"/>
      <c r="AA801" s="404"/>
      <c r="AB801" s="405"/>
      <c r="AC801" s="203"/>
      <c r="AD801" s="223"/>
      <c r="AE801" s="404"/>
      <c r="AF801" s="405"/>
      <c r="AG801" s="205"/>
      <c r="AH801" s="205"/>
      <c r="AI801" s="205"/>
      <c r="AJ801" s="205"/>
      <c r="AK801" s="401"/>
      <c r="AL801" s="401"/>
      <c r="AM801" s="401"/>
    </row>
    <row r="802">
      <c r="A802" s="320"/>
      <c r="B802" s="321"/>
      <c r="C802" s="322"/>
      <c r="D802" s="401"/>
      <c r="E802" s="320"/>
      <c r="F802" s="321"/>
      <c r="G802" s="322"/>
      <c r="H802" s="401"/>
      <c r="I802" s="320"/>
      <c r="J802" s="321"/>
      <c r="K802" s="322"/>
      <c r="L802" s="401"/>
      <c r="M802" s="320"/>
      <c r="N802" s="321"/>
      <c r="O802" s="322"/>
      <c r="P802" s="401"/>
      <c r="Q802" s="203"/>
      <c r="R802" s="223"/>
      <c r="S802" s="404"/>
      <c r="T802" s="405"/>
      <c r="U802" s="203"/>
      <c r="V802" s="223"/>
      <c r="W802" s="404"/>
      <c r="X802" s="405"/>
      <c r="Y802" s="203"/>
      <c r="Z802" s="223"/>
      <c r="AA802" s="404"/>
      <c r="AB802" s="405"/>
      <c r="AC802" s="203"/>
      <c r="AD802" s="223"/>
      <c r="AE802" s="404"/>
      <c r="AF802" s="405"/>
      <c r="AG802" s="205"/>
      <c r="AH802" s="205"/>
      <c r="AI802" s="205"/>
      <c r="AJ802" s="205"/>
      <c r="AK802" s="401"/>
      <c r="AL802" s="401"/>
      <c r="AM802" s="401"/>
    </row>
    <row r="803">
      <c r="A803" s="320"/>
      <c r="B803" s="321"/>
      <c r="C803" s="322"/>
      <c r="D803" s="401"/>
      <c r="E803" s="320"/>
      <c r="F803" s="321"/>
      <c r="G803" s="322"/>
      <c r="H803" s="401"/>
      <c r="I803" s="320"/>
      <c r="J803" s="321"/>
      <c r="K803" s="322"/>
      <c r="L803" s="401"/>
      <c r="M803" s="320"/>
      <c r="N803" s="321"/>
      <c r="O803" s="322"/>
      <c r="P803" s="401"/>
      <c r="Q803" s="203"/>
      <c r="R803" s="223"/>
      <c r="S803" s="404"/>
      <c r="T803" s="405"/>
      <c r="U803" s="203"/>
      <c r="V803" s="223"/>
      <c r="W803" s="404"/>
      <c r="X803" s="405"/>
      <c r="Y803" s="203"/>
      <c r="Z803" s="223"/>
      <c r="AA803" s="404"/>
      <c r="AB803" s="405"/>
      <c r="AC803" s="203"/>
      <c r="AD803" s="223"/>
      <c r="AE803" s="404"/>
      <c r="AF803" s="405"/>
      <c r="AG803" s="205"/>
      <c r="AH803" s="205"/>
      <c r="AI803" s="205"/>
      <c r="AJ803" s="205"/>
      <c r="AK803" s="401"/>
      <c r="AL803" s="401"/>
      <c r="AM803" s="401"/>
    </row>
    <row r="804">
      <c r="A804" s="320"/>
      <c r="B804" s="321"/>
      <c r="C804" s="322"/>
      <c r="D804" s="401"/>
      <c r="E804" s="320"/>
      <c r="F804" s="321"/>
      <c r="G804" s="322"/>
      <c r="H804" s="401"/>
      <c r="I804" s="320"/>
      <c r="J804" s="321"/>
      <c r="K804" s="322"/>
      <c r="L804" s="401"/>
      <c r="M804" s="320"/>
      <c r="N804" s="321"/>
      <c r="O804" s="322"/>
      <c r="P804" s="401"/>
      <c r="Q804" s="203"/>
      <c r="R804" s="223"/>
      <c r="S804" s="404"/>
      <c r="T804" s="405"/>
      <c r="U804" s="203"/>
      <c r="V804" s="223"/>
      <c r="W804" s="404"/>
      <c r="X804" s="405"/>
      <c r="Y804" s="203"/>
      <c r="Z804" s="223"/>
      <c r="AA804" s="404"/>
      <c r="AB804" s="405"/>
      <c r="AC804" s="203"/>
      <c r="AD804" s="223"/>
      <c r="AE804" s="404"/>
      <c r="AF804" s="405"/>
      <c r="AG804" s="205"/>
      <c r="AH804" s="205"/>
      <c r="AI804" s="205"/>
      <c r="AJ804" s="205"/>
      <c r="AK804" s="401"/>
      <c r="AL804" s="401"/>
      <c r="AM804" s="401"/>
    </row>
    <row r="805">
      <c r="A805" s="320"/>
      <c r="B805" s="321"/>
      <c r="C805" s="322"/>
      <c r="D805" s="401"/>
      <c r="E805" s="320"/>
      <c r="F805" s="321"/>
      <c r="G805" s="322"/>
      <c r="H805" s="401"/>
      <c r="I805" s="320"/>
      <c r="J805" s="321"/>
      <c r="K805" s="322"/>
      <c r="L805" s="401"/>
      <c r="M805" s="320"/>
      <c r="N805" s="321"/>
      <c r="O805" s="322"/>
      <c r="P805" s="401"/>
      <c r="Q805" s="203"/>
      <c r="R805" s="223"/>
      <c r="S805" s="404"/>
      <c r="T805" s="405"/>
      <c r="U805" s="203"/>
      <c r="V805" s="223"/>
      <c r="W805" s="404"/>
      <c r="X805" s="405"/>
      <c r="Y805" s="203"/>
      <c r="Z805" s="223"/>
      <c r="AA805" s="404"/>
      <c r="AB805" s="405"/>
      <c r="AC805" s="203"/>
      <c r="AD805" s="223"/>
      <c r="AE805" s="404"/>
      <c r="AF805" s="405"/>
      <c r="AG805" s="205"/>
      <c r="AH805" s="205"/>
      <c r="AI805" s="205"/>
      <c r="AJ805" s="205"/>
      <c r="AK805" s="401"/>
      <c r="AL805" s="401"/>
      <c r="AM805" s="401"/>
    </row>
    <row r="806">
      <c r="A806" s="320"/>
      <c r="B806" s="321"/>
      <c r="C806" s="322"/>
      <c r="D806" s="401"/>
      <c r="E806" s="320"/>
      <c r="F806" s="321"/>
      <c r="G806" s="322"/>
      <c r="H806" s="401"/>
      <c r="I806" s="320"/>
      <c r="J806" s="321"/>
      <c r="K806" s="322"/>
      <c r="L806" s="401"/>
      <c r="M806" s="320"/>
      <c r="N806" s="321"/>
      <c r="O806" s="322"/>
      <c r="P806" s="401"/>
      <c r="Q806" s="203"/>
      <c r="R806" s="223"/>
      <c r="S806" s="404"/>
      <c r="T806" s="405"/>
      <c r="U806" s="203"/>
      <c r="V806" s="223"/>
      <c r="W806" s="404"/>
      <c r="X806" s="405"/>
      <c r="Y806" s="203"/>
      <c r="Z806" s="223"/>
      <c r="AA806" s="404"/>
      <c r="AB806" s="405"/>
      <c r="AC806" s="203"/>
      <c r="AD806" s="223"/>
      <c r="AE806" s="404"/>
      <c r="AF806" s="405"/>
      <c r="AG806" s="205"/>
      <c r="AH806" s="205"/>
      <c r="AI806" s="205"/>
      <c r="AJ806" s="205"/>
      <c r="AK806" s="401"/>
      <c r="AL806" s="401"/>
      <c r="AM806" s="401"/>
    </row>
    <row r="807">
      <c r="A807" s="320"/>
      <c r="B807" s="321"/>
      <c r="C807" s="322"/>
      <c r="D807" s="401"/>
      <c r="E807" s="320"/>
      <c r="F807" s="321"/>
      <c r="G807" s="322"/>
      <c r="H807" s="401"/>
      <c r="I807" s="320"/>
      <c r="J807" s="321"/>
      <c r="K807" s="322"/>
      <c r="L807" s="401"/>
      <c r="M807" s="320"/>
      <c r="N807" s="321"/>
      <c r="O807" s="322"/>
      <c r="P807" s="401"/>
      <c r="Q807" s="203"/>
      <c r="R807" s="223"/>
      <c r="S807" s="404"/>
      <c r="T807" s="405"/>
      <c r="U807" s="203"/>
      <c r="V807" s="223"/>
      <c r="W807" s="404"/>
      <c r="X807" s="405"/>
      <c r="Y807" s="203"/>
      <c r="Z807" s="223"/>
      <c r="AA807" s="404"/>
      <c r="AB807" s="405"/>
      <c r="AC807" s="203"/>
      <c r="AD807" s="223"/>
      <c r="AE807" s="404"/>
      <c r="AF807" s="405"/>
      <c r="AG807" s="205"/>
      <c r="AH807" s="205"/>
      <c r="AI807" s="205"/>
      <c r="AJ807" s="205"/>
      <c r="AK807" s="401"/>
      <c r="AL807" s="401"/>
      <c r="AM807" s="401"/>
    </row>
    <row r="808">
      <c r="A808" s="320"/>
      <c r="B808" s="321"/>
      <c r="C808" s="322"/>
      <c r="D808" s="401"/>
      <c r="E808" s="320"/>
      <c r="F808" s="321"/>
      <c r="G808" s="322"/>
      <c r="H808" s="401"/>
      <c r="I808" s="320"/>
      <c r="J808" s="321"/>
      <c r="K808" s="322"/>
      <c r="L808" s="401"/>
      <c r="M808" s="320"/>
      <c r="N808" s="321"/>
      <c r="O808" s="322"/>
      <c r="P808" s="401"/>
      <c r="Q808" s="203"/>
      <c r="R808" s="223"/>
      <c r="S808" s="404"/>
      <c r="T808" s="405"/>
      <c r="U808" s="203"/>
      <c r="V808" s="223"/>
      <c r="W808" s="404"/>
      <c r="X808" s="405"/>
      <c r="Y808" s="203"/>
      <c r="Z808" s="223"/>
      <c r="AA808" s="404"/>
      <c r="AB808" s="405"/>
      <c r="AC808" s="203"/>
      <c r="AD808" s="223"/>
      <c r="AE808" s="404"/>
      <c r="AF808" s="405"/>
      <c r="AG808" s="205"/>
      <c r="AH808" s="205"/>
      <c r="AI808" s="205"/>
      <c r="AJ808" s="205"/>
      <c r="AK808" s="401"/>
      <c r="AL808" s="401"/>
      <c r="AM808" s="401"/>
    </row>
    <row r="809">
      <c r="A809" s="320"/>
      <c r="B809" s="321"/>
      <c r="C809" s="322"/>
      <c r="D809" s="401"/>
      <c r="E809" s="320"/>
      <c r="F809" s="321"/>
      <c r="G809" s="322"/>
      <c r="H809" s="401"/>
      <c r="I809" s="320"/>
      <c r="J809" s="321"/>
      <c r="K809" s="322"/>
      <c r="L809" s="401"/>
      <c r="M809" s="320"/>
      <c r="N809" s="321"/>
      <c r="O809" s="322"/>
      <c r="P809" s="401"/>
      <c r="Q809" s="203"/>
      <c r="R809" s="223"/>
      <c r="S809" s="404"/>
      <c r="T809" s="405"/>
      <c r="U809" s="203"/>
      <c r="V809" s="223"/>
      <c r="W809" s="404"/>
      <c r="X809" s="405"/>
      <c r="Y809" s="203"/>
      <c r="Z809" s="223"/>
      <c r="AA809" s="404"/>
      <c r="AB809" s="405"/>
      <c r="AC809" s="203"/>
      <c r="AD809" s="223"/>
      <c r="AE809" s="404"/>
      <c r="AF809" s="405"/>
      <c r="AG809" s="205"/>
      <c r="AH809" s="205"/>
      <c r="AI809" s="205"/>
      <c r="AJ809" s="205"/>
      <c r="AK809" s="401"/>
      <c r="AL809" s="401"/>
      <c r="AM809" s="401"/>
    </row>
    <row r="810">
      <c r="A810" s="320"/>
      <c r="B810" s="321"/>
      <c r="C810" s="322"/>
      <c r="D810" s="401"/>
      <c r="E810" s="320"/>
      <c r="F810" s="321"/>
      <c r="G810" s="322"/>
      <c r="H810" s="401"/>
      <c r="I810" s="320"/>
      <c r="J810" s="321"/>
      <c r="K810" s="322"/>
      <c r="L810" s="401"/>
      <c r="M810" s="320"/>
      <c r="N810" s="321"/>
      <c r="O810" s="322"/>
      <c r="P810" s="401"/>
      <c r="Q810" s="203"/>
      <c r="R810" s="223"/>
      <c r="S810" s="404"/>
      <c r="T810" s="405"/>
      <c r="U810" s="203"/>
      <c r="V810" s="223"/>
      <c r="W810" s="404"/>
      <c r="X810" s="405"/>
      <c r="Y810" s="203"/>
      <c r="Z810" s="223"/>
      <c r="AA810" s="404"/>
      <c r="AB810" s="405"/>
      <c r="AC810" s="203"/>
      <c r="AD810" s="223"/>
      <c r="AE810" s="404"/>
      <c r="AF810" s="405"/>
      <c r="AG810" s="205"/>
      <c r="AH810" s="205"/>
      <c r="AI810" s="205"/>
      <c r="AJ810" s="205"/>
      <c r="AK810" s="401"/>
      <c r="AL810" s="401"/>
      <c r="AM810" s="401"/>
    </row>
    <row r="811">
      <c r="A811" s="320"/>
      <c r="B811" s="321"/>
      <c r="C811" s="322"/>
      <c r="D811" s="401"/>
      <c r="E811" s="320"/>
      <c r="F811" s="321"/>
      <c r="G811" s="322"/>
      <c r="H811" s="401"/>
      <c r="I811" s="320"/>
      <c r="J811" s="321"/>
      <c r="K811" s="322"/>
      <c r="L811" s="401"/>
      <c r="M811" s="320"/>
      <c r="N811" s="321"/>
      <c r="O811" s="322"/>
      <c r="P811" s="401"/>
      <c r="Q811" s="203"/>
      <c r="R811" s="223"/>
      <c r="S811" s="404"/>
      <c r="T811" s="405"/>
      <c r="U811" s="203"/>
      <c r="V811" s="223"/>
      <c r="W811" s="404"/>
      <c r="X811" s="405"/>
      <c r="Y811" s="203"/>
      <c r="Z811" s="223"/>
      <c r="AA811" s="404"/>
      <c r="AB811" s="405"/>
      <c r="AC811" s="203"/>
      <c r="AD811" s="223"/>
      <c r="AE811" s="404"/>
      <c r="AF811" s="405"/>
      <c r="AG811" s="205"/>
      <c r="AH811" s="205"/>
      <c r="AI811" s="205"/>
      <c r="AJ811" s="205"/>
      <c r="AK811" s="401"/>
      <c r="AL811" s="401"/>
      <c r="AM811" s="401"/>
    </row>
    <row r="812">
      <c r="A812" s="320"/>
      <c r="B812" s="321"/>
      <c r="C812" s="322"/>
      <c r="D812" s="401"/>
      <c r="E812" s="320"/>
      <c r="F812" s="321"/>
      <c r="G812" s="322"/>
      <c r="H812" s="401"/>
      <c r="I812" s="320"/>
      <c r="J812" s="321"/>
      <c r="K812" s="322"/>
      <c r="L812" s="401"/>
      <c r="M812" s="320"/>
      <c r="N812" s="321"/>
      <c r="O812" s="322"/>
      <c r="P812" s="401"/>
      <c r="Q812" s="203"/>
      <c r="R812" s="223"/>
      <c r="S812" s="404"/>
      <c r="T812" s="405"/>
      <c r="U812" s="203"/>
      <c r="V812" s="223"/>
      <c r="W812" s="404"/>
      <c r="X812" s="405"/>
      <c r="Y812" s="203"/>
      <c r="Z812" s="223"/>
      <c r="AA812" s="404"/>
      <c r="AB812" s="405"/>
      <c r="AC812" s="203"/>
      <c r="AD812" s="223"/>
      <c r="AE812" s="404"/>
      <c r="AF812" s="405"/>
      <c r="AG812" s="205"/>
      <c r="AH812" s="205"/>
      <c r="AI812" s="205"/>
      <c r="AJ812" s="205"/>
      <c r="AK812" s="401"/>
      <c r="AL812" s="401"/>
      <c r="AM812" s="401"/>
    </row>
    <row r="813">
      <c r="A813" s="320"/>
      <c r="B813" s="321"/>
      <c r="C813" s="322"/>
      <c r="D813" s="401"/>
      <c r="E813" s="320"/>
      <c r="F813" s="321"/>
      <c r="G813" s="322"/>
      <c r="H813" s="401"/>
      <c r="I813" s="320"/>
      <c r="J813" s="321"/>
      <c r="K813" s="322"/>
      <c r="L813" s="401"/>
      <c r="M813" s="320"/>
      <c r="N813" s="321"/>
      <c r="O813" s="322"/>
      <c r="P813" s="401"/>
      <c r="Q813" s="203"/>
      <c r="R813" s="223"/>
      <c r="S813" s="404"/>
      <c r="T813" s="405"/>
      <c r="U813" s="203"/>
      <c r="V813" s="223"/>
      <c r="W813" s="404"/>
      <c r="X813" s="405"/>
      <c r="Y813" s="203"/>
      <c r="Z813" s="223"/>
      <c r="AA813" s="404"/>
      <c r="AB813" s="405"/>
      <c r="AC813" s="203"/>
      <c r="AD813" s="223"/>
      <c r="AE813" s="404"/>
      <c r="AF813" s="405"/>
      <c r="AG813" s="205"/>
      <c r="AH813" s="205"/>
      <c r="AI813" s="205"/>
      <c r="AJ813" s="205"/>
      <c r="AK813" s="401"/>
      <c r="AL813" s="401"/>
      <c r="AM813" s="401"/>
    </row>
    <row r="814">
      <c r="A814" s="320"/>
      <c r="B814" s="321"/>
      <c r="C814" s="322"/>
      <c r="D814" s="401"/>
      <c r="E814" s="320"/>
      <c r="F814" s="321"/>
      <c r="G814" s="322"/>
      <c r="H814" s="401"/>
      <c r="I814" s="320"/>
      <c r="J814" s="321"/>
      <c r="K814" s="322"/>
      <c r="L814" s="401"/>
      <c r="M814" s="320"/>
      <c r="N814" s="321"/>
      <c r="O814" s="322"/>
      <c r="P814" s="401"/>
      <c r="Q814" s="203"/>
      <c r="R814" s="223"/>
      <c r="S814" s="404"/>
      <c r="T814" s="405"/>
      <c r="U814" s="203"/>
      <c r="V814" s="223"/>
      <c r="W814" s="404"/>
      <c r="X814" s="405"/>
      <c r="Y814" s="203"/>
      <c r="Z814" s="223"/>
      <c r="AA814" s="404"/>
      <c r="AB814" s="405"/>
      <c r="AC814" s="203"/>
      <c r="AD814" s="223"/>
      <c r="AE814" s="404"/>
      <c r="AF814" s="405"/>
      <c r="AG814" s="205"/>
      <c r="AH814" s="205"/>
      <c r="AI814" s="205"/>
      <c r="AJ814" s="205"/>
      <c r="AK814" s="401"/>
      <c r="AL814" s="401"/>
      <c r="AM814" s="401"/>
    </row>
    <row r="815">
      <c r="A815" s="320"/>
      <c r="B815" s="321"/>
      <c r="C815" s="322"/>
      <c r="D815" s="401"/>
      <c r="E815" s="320"/>
      <c r="F815" s="321"/>
      <c r="G815" s="322"/>
      <c r="H815" s="401"/>
      <c r="I815" s="320"/>
      <c r="J815" s="321"/>
      <c r="K815" s="322"/>
      <c r="L815" s="401"/>
      <c r="M815" s="320"/>
      <c r="N815" s="321"/>
      <c r="O815" s="322"/>
      <c r="P815" s="401"/>
      <c r="Q815" s="203"/>
      <c r="R815" s="223"/>
      <c r="S815" s="404"/>
      <c r="T815" s="405"/>
      <c r="U815" s="203"/>
      <c r="V815" s="223"/>
      <c r="W815" s="404"/>
      <c r="X815" s="405"/>
      <c r="Y815" s="203"/>
      <c r="Z815" s="223"/>
      <c r="AA815" s="404"/>
      <c r="AB815" s="405"/>
      <c r="AC815" s="203"/>
      <c r="AD815" s="223"/>
      <c r="AE815" s="404"/>
      <c r="AF815" s="405"/>
      <c r="AG815" s="205"/>
      <c r="AH815" s="205"/>
      <c r="AI815" s="205"/>
      <c r="AJ815" s="205"/>
      <c r="AK815" s="401"/>
      <c r="AL815" s="401"/>
      <c r="AM815" s="401"/>
    </row>
    <row r="816">
      <c r="A816" s="320"/>
      <c r="B816" s="321"/>
      <c r="C816" s="322"/>
      <c r="D816" s="401"/>
      <c r="E816" s="320"/>
      <c r="F816" s="321"/>
      <c r="G816" s="322"/>
      <c r="H816" s="401"/>
      <c r="I816" s="320"/>
      <c r="J816" s="321"/>
      <c r="K816" s="322"/>
      <c r="L816" s="401"/>
      <c r="M816" s="320"/>
      <c r="N816" s="321"/>
      <c r="O816" s="322"/>
      <c r="P816" s="401"/>
      <c r="Q816" s="203"/>
      <c r="R816" s="223"/>
      <c r="S816" s="404"/>
      <c r="T816" s="405"/>
      <c r="U816" s="203"/>
      <c r="V816" s="223"/>
      <c r="W816" s="404"/>
      <c r="X816" s="405"/>
      <c r="Y816" s="203"/>
      <c r="Z816" s="223"/>
      <c r="AA816" s="404"/>
      <c r="AB816" s="405"/>
      <c r="AC816" s="203"/>
      <c r="AD816" s="223"/>
      <c r="AE816" s="404"/>
      <c r="AF816" s="405"/>
      <c r="AG816" s="205"/>
      <c r="AH816" s="205"/>
      <c r="AI816" s="205"/>
      <c r="AJ816" s="205"/>
      <c r="AK816" s="401"/>
      <c r="AL816" s="401"/>
      <c r="AM816" s="401"/>
    </row>
    <row r="817">
      <c r="A817" s="320"/>
      <c r="B817" s="321"/>
      <c r="C817" s="322"/>
      <c r="D817" s="401"/>
      <c r="E817" s="320"/>
      <c r="F817" s="321"/>
      <c r="G817" s="322"/>
      <c r="H817" s="401"/>
      <c r="I817" s="320"/>
      <c r="J817" s="321"/>
      <c r="K817" s="322"/>
      <c r="L817" s="401"/>
      <c r="M817" s="320"/>
      <c r="N817" s="321"/>
      <c r="O817" s="322"/>
      <c r="P817" s="401"/>
      <c r="Q817" s="203"/>
      <c r="R817" s="223"/>
      <c r="S817" s="404"/>
      <c r="T817" s="405"/>
      <c r="U817" s="203"/>
      <c r="V817" s="223"/>
      <c r="W817" s="404"/>
      <c r="X817" s="405"/>
      <c r="Y817" s="203"/>
      <c r="Z817" s="223"/>
      <c r="AA817" s="404"/>
      <c r="AB817" s="405"/>
      <c r="AC817" s="203"/>
      <c r="AD817" s="223"/>
      <c r="AE817" s="404"/>
      <c r="AF817" s="405"/>
      <c r="AG817" s="205"/>
      <c r="AH817" s="205"/>
      <c r="AI817" s="205"/>
      <c r="AJ817" s="205"/>
      <c r="AK817" s="401"/>
      <c r="AL817" s="401"/>
      <c r="AM817" s="401"/>
    </row>
    <row r="818">
      <c r="A818" s="320"/>
      <c r="B818" s="321"/>
      <c r="C818" s="322"/>
      <c r="D818" s="401"/>
      <c r="E818" s="320"/>
      <c r="F818" s="321"/>
      <c r="G818" s="322"/>
      <c r="H818" s="401"/>
      <c r="I818" s="320"/>
      <c r="J818" s="321"/>
      <c r="K818" s="322"/>
      <c r="L818" s="401"/>
      <c r="M818" s="320"/>
      <c r="N818" s="321"/>
      <c r="O818" s="322"/>
      <c r="P818" s="401"/>
      <c r="Q818" s="203"/>
      <c r="R818" s="223"/>
      <c r="S818" s="404"/>
      <c r="T818" s="405"/>
      <c r="U818" s="203"/>
      <c r="V818" s="223"/>
      <c r="W818" s="404"/>
      <c r="X818" s="405"/>
      <c r="Y818" s="203"/>
      <c r="Z818" s="223"/>
      <c r="AA818" s="404"/>
      <c r="AB818" s="405"/>
      <c r="AC818" s="203"/>
      <c r="AD818" s="223"/>
      <c r="AE818" s="404"/>
      <c r="AF818" s="405"/>
      <c r="AG818" s="205"/>
      <c r="AH818" s="205"/>
      <c r="AI818" s="205"/>
      <c r="AJ818" s="205"/>
      <c r="AK818" s="401"/>
      <c r="AL818" s="401"/>
      <c r="AM818" s="401"/>
    </row>
    <row r="819">
      <c r="A819" s="320"/>
      <c r="B819" s="321"/>
      <c r="C819" s="322"/>
      <c r="D819" s="401"/>
      <c r="E819" s="320"/>
      <c r="F819" s="321"/>
      <c r="G819" s="322"/>
      <c r="H819" s="401"/>
      <c r="I819" s="320"/>
      <c r="J819" s="321"/>
      <c r="K819" s="322"/>
      <c r="L819" s="401"/>
      <c r="M819" s="320"/>
      <c r="N819" s="321"/>
      <c r="O819" s="322"/>
      <c r="P819" s="401"/>
      <c r="Q819" s="203"/>
      <c r="R819" s="223"/>
      <c r="S819" s="404"/>
      <c r="T819" s="405"/>
      <c r="U819" s="203"/>
      <c r="V819" s="223"/>
      <c r="W819" s="404"/>
      <c r="X819" s="405"/>
      <c r="Y819" s="203"/>
      <c r="Z819" s="223"/>
      <c r="AA819" s="404"/>
      <c r="AB819" s="405"/>
      <c r="AC819" s="203"/>
      <c r="AD819" s="223"/>
      <c r="AE819" s="404"/>
      <c r="AF819" s="405"/>
      <c r="AG819" s="205"/>
      <c r="AH819" s="205"/>
      <c r="AI819" s="205"/>
      <c r="AJ819" s="205"/>
      <c r="AK819" s="401"/>
      <c r="AL819" s="401"/>
      <c r="AM819" s="401"/>
    </row>
    <row r="820">
      <c r="A820" s="320"/>
      <c r="B820" s="321"/>
      <c r="C820" s="322"/>
      <c r="D820" s="401"/>
      <c r="E820" s="320"/>
      <c r="F820" s="321"/>
      <c r="G820" s="322"/>
      <c r="H820" s="401"/>
      <c r="I820" s="320"/>
      <c r="J820" s="321"/>
      <c r="K820" s="322"/>
      <c r="L820" s="401"/>
      <c r="M820" s="320"/>
      <c r="N820" s="321"/>
      <c r="O820" s="322"/>
      <c r="P820" s="401"/>
      <c r="Q820" s="203"/>
      <c r="R820" s="223"/>
      <c r="S820" s="404"/>
      <c r="T820" s="405"/>
      <c r="U820" s="203"/>
      <c r="V820" s="223"/>
      <c r="W820" s="404"/>
      <c r="X820" s="405"/>
      <c r="Y820" s="203"/>
      <c r="Z820" s="223"/>
      <c r="AA820" s="404"/>
      <c r="AB820" s="405"/>
      <c r="AC820" s="203"/>
      <c r="AD820" s="223"/>
      <c r="AE820" s="404"/>
      <c r="AF820" s="405"/>
      <c r="AG820" s="205"/>
      <c r="AH820" s="205"/>
      <c r="AI820" s="205"/>
      <c r="AJ820" s="205"/>
      <c r="AK820" s="401"/>
      <c r="AL820" s="401"/>
      <c r="AM820" s="401"/>
    </row>
    <row r="821">
      <c r="A821" s="320"/>
      <c r="B821" s="321"/>
      <c r="C821" s="322"/>
      <c r="D821" s="401"/>
      <c r="E821" s="320"/>
      <c r="F821" s="321"/>
      <c r="G821" s="322"/>
      <c r="H821" s="401"/>
      <c r="I821" s="320"/>
      <c r="J821" s="321"/>
      <c r="K821" s="322"/>
      <c r="L821" s="401"/>
      <c r="M821" s="320"/>
      <c r="N821" s="321"/>
      <c r="O821" s="322"/>
      <c r="P821" s="401"/>
      <c r="Q821" s="203"/>
      <c r="R821" s="223"/>
      <c r="S821" s="404"/>
      <c r="T821" s="405"/>
      <c r="U821" s="203"/>
      <c r="V821" s="223"/>
      <c r="W821" s="404"/>
      <c r="X821" s="405"/>
      <c r="Y821" s="203"/>
      <c r="Z821" s="223"/>
      <c r="AA821" s="404"/>
      <c r="AB821" s="405"/>
      <c r="AC821" s="203"/>
      <c r="AD821" s="223"/>
      <c r="AE821" s="404"/>
      <c r="AF821" s="405"/>
      <c r="AG821" s="205"/>
      <c r="AH821" s="205"/>
      <c r="AI821" s="205"/>
      <c r="AJ821" s="205"/>
      <c r="AK821" s="401"/>
      <c r="AL821" s="401"/>
      <c r="AM821" s="401"/>
    </row>
    <row r="822">
      <c r="A822" s="320"/>
      <c r="B822" s="321"/>
      <c r="C822" s="322"/>
      <c r="D822" s="401"/>
      <c r="E822" s="320"/>
      <c r="F822" s="321"/>
      <c r="G822" s="322"/>
      <c r="H822" s="401"/>
      <c r="I822" s="320"/>
      <c r="J822" s="321"/>
      <c r="K822" s="322"/>
      <c r="L822" s="401"/>
      <c r="M822" s="320"/>
      <c r="N822" s="321"/>
      <c r="O822" s="322"/>
      <c r="P822" s="401"/>
      <c r="Q822" s="203"/>
      <c r="R822" s="223"/>
      <c r="S822" s="404"/>
      <c r="T822" s="405"/>
      <c r="U822" s="203"/>
      <c r="V822" s="223"/>
      <c r="W822" s="404"/>
      <c r="X822" s="405"/>
      <c r="Y822" s="203"/>
      <c r="Z822" s="223"/>
      <c r="AA822" s="404"/>
      <c r="AB822" s="405"/>
      <c r="AC822" s="203"/>
      <c r="AD822" s="223"/>
      <c r="AE822" s="404"/>
      <c r="AF822" s="405"/>
      <c r="AG822" s="205"/>
      <c r="AH822" s="205"/>
      <c r="AI822" s="205"/>
      <c r="AJ822" s="205"/>
      <c r="AK822" s="401"/>
      <c r="AL822" s="401"/>
      <c r="AM822" s="401"/>
    </row>
    <row r="823">
      <c r="A823" s="320"/>
      <c r="B823" s="321"/>
      <c r="C823" s="322"/>
      <c r="D823" s="401"/>
      <c r="E823" s="320"/>
      <c r="F823" s="321"/>
      <c r="G823" s="322"/>
      <c r="H823" s="401"/>
      <c r="I823" s="320"/>
      <c r="J823" s="321"/>
      <c r="K823" s="322"/>
      <c r="L823" s="401"/>
      <c r="M823" s="320"/>
      <c r="N823" s="321"/>
      <c r="O823" s="322"/>
      <c r="P823" s="401"/>
      <c r="Q823" s="203"/>
      <c r="R823" s="223"/>
      <c r="S823" s="404"/>
      <c r="T823" s="405"/>
      <c r="U823" s="203"/>
      <c r="V823" s="223"/>
      <c r="W823" s="404"/>
      <c r="X823" s="405"/>
      <c r="Y823" s="203"/>
      <c r="Z823" s="223"/>
      <c r="AA823" s="404"/>
      <c r="AB823" s="405"/>
      <c r="AC823" s="203"/>
      <c r="AD823" s="223"/>
      <c r="AE823" s="404"/>
      <c r="AF823" s="405"/>
      <c r="AG823" s="205"/>
      <c r="AH823" s="205"/>
      <c r="AI823" s="205"/>
      <c r="AJ823" s="205"/>
      <c r="AK823" s="401"/>
      <c r="AL823" s="401"/>
      <c r="AM823" s="401"/>
    </row>
    <row r="824">
      <c r="A824" s="320"/>
      <c r="B824" s="321"/>
      <c r="C824" s="322"/>
      <c r="D824" s="401"/>
      <c r="E824" s="320"/>
      <c r="F824" s="321"/>
      <c r="G824" s="322"/>
      <c r="H824" s="401"/>
      <c r="I824" s="320"/>
      <c r="J824" s="321"/>
      <c r="K824" s="322"/>
      <c r="L824" s="401"/>
      <c r="M824" s="320"/>
      <c r="N824" s="321"/>
      <c r="O824" s="322"/>
      <c r="P824" s="401"/>
      <c r="Q824" s="203"/>
      <c r="R824" s="223"/>
      <c r="S824" s="404"/>
      <c r="T824" s="405"/>
      <c r="U824" s="203"/>
      <c r="V824" s="223"/>
      <c r="W824" s="404"/>
      <c r="X824" s="405"/>
      <c r="Y824" s="203"/>
      <c r="Z824" s="223"/>
      <c r="AA824" s="404"/>
      <c r="AB824" s="405"/>
      <c r="AC824" s="203"/>
      <c r="AD824" s="223"/>
      <c r="AE824" s="404"/>
      <c r="AF824" s="405"/>
      <c r="AG824" s="205"/>
      <c r="AH824" s="205"/>
      <c r="AI824" s="205"/>
      <c r="AJ824" s="205"/>
      <c r="AK824" s="401"/>
      <c r="AL824" s="401"/>
      <c r="AM824" s="401"/>
    </row>
    <row r="825">
      <c r="A825" s="320"/>
      <c r="B825" s="321"/>
      <c r="C825" s="322"/>
      <c r="D825" s="401"/>
      <c r="E825" s="320"/>
      <c r="F825" s="321"/>
      <c r="G825" s="322"/>
      <c r="H825" s="401"/>
      <c r="I825" s="320"/>
      <c r="J825" s="321"/>
      <c r="K825" s="322"/>
      <c r="L825" s="401"/>
      <c r="M825" s="320"/>
      <c r="N825" s="321"/>
      <c r="O825" s="322"/>
      <c r="P825" s="401"/>
      <c r="Q825" s="203"/>
      <c r="R825" s="223"/>
      <c r="S825" s="404"/>
      <c r="T825" s="405"/>
      <c r="U825" s="203"/>
      <c r="V825" s="223"/>
      <c r="W825" s="404"/>
      <c r="X825" s="405"/>
      <c r="Y825" s="203"/>
      <c r="Z825" s="223"/>
      <c r="AA825" s="404"/>
      <c r="AB825" s="405"/>
      <c r="AC825" s="203"/>
      <c r="AD825" s="223"/>
      <c r="AE825" s="404"/>
      <c r="AF825" s="405"/>
      <c r="AG825" s="205"/>
      <c r="AH825" s="205"/>
      <c r="AI825" s="205"/>
      <c r="AJ825" s="205"/>
      <c r="AK825" s="401"/>
      <c r="AL825" s="401"/>
      <c r="AM825" s="401"/>
    </row>
    <row r="826">
      <c r="A826" s="320"/>
      <c r="B826" s="321"/>
      <c r="C826" s="322"/>
      <c r="D826" s="401"/>
      <c r="E826" s="320"/>
      <c r="F826" s="321"/>
      <c r="G826" s="322"/>
      <c r="H826" s="401"/>
      <c r="I826" s="320"/>
      <c r="J826" s="321"/>
      <c r="K826" s="322"/>
      <c r="L826" s="401"/>
      <c r="M826" s="320"/>
      <c r="N826" s="321"/>
      <c r="O826" s="322"/>
      <c r="P826" s="401"/>
      <c r="Q826" s="203"/>
      <c r="R826" s="223"/>
      <c r="S826" s="404"/>
      <c r="T826" s="405"/>
      <c r="U826" s="203"/>
      <c r="V826" s="223"/>
      <c r="W826" s="404"/>
      <c r="X826" s="405"/>
      <c r="Y826" s="203"/>
      <c r="Z826" s="223"/>
      <c r="AA826" s="404"/>
      <c r="AB826" s="405"/>
      <c r="AC826" s="203"/>
      <c r="AD826" s="223"/>
      <c r="AE826" s="404"/>
      <c r="AF826" s="405"/>
      <c r="AG826" s="205"/>
      <c r="AH826" s="205"/>
      <c r="AI826" s="205"/>
      <c r="AJ826" s="205"/>
      <c r="AK826" s="401"/>
      <c r="AL826" s="401"/>
      <c r="AM826" s="401"/>
    </row>
    <row r="827">
      <c r="A827" s="320"/>
      <c r="B827" s="321"/>
      <c r="C827" s="322"/>
      <c r="D827" s="401"/>
      <c r="E827" s="320"/>
      <c r="F827" s="321"/>
      <c r="G827" s="322"/>
      <c r="H827" s="401"/>
      <c r="I827" s="320"/>
      <c r="J827" s="321"/>
      <c r="K827" s="322"/>
      <c r="L827" s="401"/>
      <c r="M827" s="320"/>
      <c r="N827" s="321"/>
      <c r="O827" s="322"/>
      <c r="P827" s="401"/>
      <c r="Q827" s="203"/>
      <c r="R827" s="223"/>
      <c r="S827" s="404"/>
      <c r="T827" s="405"/>
      <c r="U827" s="203"/>
      <c r="V827" s="223"/>
      <c r="W827" s="404"/>
      <c r="X827" s="405"/>
      <c r="Y827" s="203"/>
      <c r="Z827" s="223"/>
      <c r="AA827" s="404"/>
      <c r="AB827" s="405"/>
      <c r="AC827" s="203"/>
      <c r="AD827" s="223"/>
      <c r="AE827" s="404"/>
      <c r="AF827" s="405"/>
      <c r="AG827" s="205"/>
      <c r="AH827" s="205"/>
      <c r="AI827" s="205"/>
      <c r="AJ827" s="205"/>
      <c r="AK827" s="401"/>
      <c r="AL827" s="401"/>
      <c r="AM827" s="401"/>
    </row>
    <row r="828">
      <c r="A828" s="320"/>
      <c r="B828" s="321"/>
      <c r="C828" s="322"/>
      <c r="D828" s="401"/>
      <c r="E828" s="320"/>
      <c r="F828" s="321"/>
      <c r="G828" s="322"/>
      <c r="H828" s="401"/>
      <c r="I828" s="320"/>
      <c r="J828" s="321"/>
      <c r="K828" s="322"/>
      <c r="L828" s="401"/>
      <c r="M828" s="320"/>
      <c r="N828" s="321"/>
      <c r="O828" s="322"/>
      <c r="P828" s="401"/>
      <c r="Q828" s="203"/>
      <c r="R828" s="223"/>
      <c r="S828" s="404"/>
      <c r="T828" s="405"/>
      <c r="U828" s="203"/>
      <c r="V828" s="223"/>
      <c r="W828" s="404"/>
      <c r="X828" s="405"/>
      <c r="Y828" s="203"/>
      <c r="Z828" s="223"/>
      <c r="AA828" s="404"/>
      <c r="AB828" s="405"/>
      <c r="AC828" s="203"/>
      <c r="AD828" s="223"/>
      <c r="AE828" s="404"/>
      <c r="AF828" s="405"/>
      <c r="AG828" s="205"/>
      <c r="AH828" s="205"/>
      <c r="AI828" s="205"/>
      <c r="AJ828" s="205"/>
      <c r="AK828" s="401"/>
      <c r="AL828" s="401"/>
      <c r="AM828" s="401"/>
    </row>
    <row r="829">
      <c r="A829" s="320"/>
      <c r="B829" s="321"/>
      <c r="C829" s="322"/>
      <c r="D829" s="401"/>
      <c r="E829" s="320"/>
      <c r="F829" s="321"/>
      <c r="G829" s="322"/>
      <c r="H829" s="401"/>
      <c r="I829" s="320"/>
      <c r="J829" s="321"/>
      <c r="K829" s="322"/>
      <c r="L829" s="401"/>
      <c r="M829" s="320"/>
      <c r="N829" s="321"/>
      <c r="O829" s="322"/>
      <c r="P829" s="401"/>
      <c r="Q829" s="203"/>
      <c r="R829" s="223"/>
      <c r="S829" s="404"/>
      <c r="T829" s="405"/>
      <c r="U829" s="203"/>
      <c r="V829" s="223"/>
      <c r="W829" s="404"/>
      <c r="X829" s="405"/>
      <c r="Y829" s="203"/>
      <c r="Z829" s="223"/>
      <c r="AA829" s="404"/>
      <c r="AB829" s="405"/>
      <c r="AC829" s="203"/>
      <c r="AD829" s="223"/>
      <c r="AE829" s="404"/>
      <c r="AF829" s="405"/>
      <c r="AG829" s="205"/>
      <c r="AH829" s="205"/>
      <c r="AI829" s="205"/>
      <c r="AJ829" s="205"/>
      <c r="AK829" s="401"/>
      <c r="AL829" s="401"/>
      <c r="AM829" s="401"/>
    </row>
    <row r="830">
      <c r="A830" s="320"/>
      <c r="B830" s="321"/>
      <c r="C830" s="322"/>
      <c r="D830" s="401"/>
      <c r="E830" s="320"/>
      <c r="F830" s="321"/>
      <c r="G830" s="322"/>
      <c r="H830" s="401"/>
      <c r="I830" s="320"/>
      <c r="J830" s="321"/>
      <c r="K830" s="322"/>
      <c r="L830" s="401"/>
      <c r="M830" s="320"/>
      <c r="N830" s="321"/>
      <c r="O830" s="322"/>
      <c r="P830" s="401"/>
      <c r="Q830" s="203"/>
      <c r="R830" s="223"/>
      <c r="S830" s="404"/>
      <c r="T830" s="405"/>
      <c r="U830" s="203"/>
      <c r="V830" s="223"/>
      <c r="W830" s="404"/>
      <c r="X830" s="405"/>
      <c r="Y830" s="203"/>
      <c r="Z830" s="223"/>
      <c r="AA830" s="404"/>
      <c r="AB830" s="405"/>
      <c r="AC830" s="203"/>
      <c r="AD830" s="223"/>
      <c r="AE830" s="404"/>
      <c r="AF830" s="405"/>
      <c r="AG830" s="205"/>
      <c r="AH830" s="205"/>
      <c r="AI830" s="205"/>
      <c r="AJ830" s="205"/>
      <c r="AK830" s="401"/>
      <c r="AL830" s="401"/>
      <c r="AM830" s="401"/>
    </row>
    <row r="831">
      <c r="A831" s="320"/>
      <c r="B831" s="321"/>
      <c r="C831" s="322"/>
      <c r="D831" s="401"/>
      <c r="E831" s="320"/>
      <c r="F831" s="321"/>
      <c r="G831" s="322"/>
      <c r="H831" s="401"/>
      <c r="I831" s="320"/>
      <c r="J831" s="321"/>
      <c r="K831" s="322"/>
      <c r="L831" s="401"/>
      <c r="M831" s="320"/>
      <c r="N831" s="321"/>
      <c r="O831" s="322"/>
      <c r="P831" s="401"/>
      <c r="Q831" s="203"/>
      <c r="R831" s="223"/>
      <c r="S831" s="404"/>
      <c r="T831" s="405"/>
      <c r="U831" s="203"/>
      <c r="V831" s="223"/>
      <c r="W831" s="404"/>
      <c r="X831" s="405"/>
      <c r="Y831" s="203"/>
      <c r="Z831" s="223"/>
      <c r="AA831" s="404"/>
      <c r="AB831" s="405"/>
      <c r="AC831" s="203"/>
      <c r="AD831" s="223"/>
      <c r="AE831" s="404"/>
      <c r="AF831" s="405"/>
      <c r="AG831" s="205"/>
      <c r="AH831" s="205"/>
      <c r="AI831" s="205"/>
      <c r="AJ831" s="205"/>
      <c r="AK831" s="401"/>
      <c r="AL831" s="401"/>
      <c r="AM831" s="401"/>
    </row>
    <row r="832">
      <c r="A832" s="320"/>
      <c r="B832" s="321"/>
      <c r="C832" s="322"/>
      <c r="D832" s="401"/>
      <c r="E832" s="320"/>
      <c r="F832" s="321"/>
      <c r="G832" s="322"/>
      <c r="H832" s="401"/>
      <c r="I832" s="320"/>
      <c r="J832" s="321"/>
      <c r="K832" s="322"/>
      <c r="L832" s="401"/>
      <c r="M832" s="320"/>
      <c r="N832" s="321"/>
      <c r="O832" s="322"/>
      <c r="P832" s="401"/>
      <c r="Q832" s="203"/>
      <c r="R832" s="223"/>
      <c r="S832" s="404"/>
      <c r="T832" s="405"/>
      <c r="U832" s="203"/>
      <c r="V832" s="223"/>
      <c r="W832" s="404"/>
      <c r="X832" s="405"/>
      <c r="Y832" s="203"/>
      <c r="Z832" s="223"/>
      <c r="AA832" s="404"/>
      <c r="AB832" s="405"/>
      <c r="AC832" s="203"/>
      <c r="AD832" s="223"/>
      <c r="AE832" s="404"/>
      <c r="AF832" s="405"/>
      <c r="AG832" s="205"/>
      <c r="AH832" s="205"/>
      <c r="AI832" s="205"/>
      <c r="AJ832" s="205"/>
      <c r="AK832" s="401"/>
      <c r="AL832" s="401"/>
      <c r="AM832" s="401"/>
    </row>
    <row r="833">
      <c r="A833" s="320"/>
      <c r="B833" s="321"/>
      <c r="C833" s="322"/>
      <c r="D833" s="401"/>
      <c r="E833" s="320"/>
      <c r="F833" s="321"/>
      <c r="G833" s="322"/>
      <c r="H833" s="401"/>
      <c r="I833" s="320"/>
      <c r="J833" s="321"/>
      <c r="K833" s="322"/>
      <c r="L833" s="401"/>
      <c r="M833" s="320"/>
      <c r="N833" s="321"/>
      <c r="O833" s="322"/>
      <c r="P833" s="401"/>
      <c r="Q833" s="203"/>
      <c r="R833" s="223"/>
      <c r="S833" s="404"/>
      <c r="T833" s="405"/>
      <c r="U833" s="203"/>
      <c r="V833" s="223"/>
      <c r="W833" s="404"/>
      <c r="X833" s="405"/>
      <c r="Y833" s="203"/>
      <c r="Z833" s="223"/>
      <c r="AA833" s="404"/>
      <c r="AB833" s="405"/>
      <c r="AC833" s="203"/>
      <c r="AD833" s="223"/>
      <c r="AE833" s="404"/>
      <c r="AF833" s="405"/>
      <c r="AG833" s="205"/>
      <c r="AH833" s="205"/>
      <c r="AI833" s="205"/>
      <c r="AJ833" s="205"/>
      <c r="AK833" s="401"/>
      <c r="AL833" s="401"/>
      <c r="AM833" s="401"/>
    </row>
    <row r="834">
      <c r="A834" s="320"/>
      <c r="B834" s="321"/>
      <c r="C834" s="322"/>
      <c r="D834" s="401"/>
      <c r="E834" s="320"/>
      <c r="F834" s="321"/>
      <c r="G834" s="322"/>
      <c r="H834" s="401"/>
      <c r="I834" s="320"/>
      <c r="J834" s="321"/>
      <c r="K834" s="322"/>
      <c r="L834" s="401"/>
      <c r="M834" s="320"/>
      <c r="N834" s="321"/>
      <c r="O834" s="322"/>
      <c r="P834" s="401"/>
      <c r="Q834" s="203"/>
      <c r="R834" s="223"/>
      <c r="S834" s="404"/>
      <c r="T834" s="405"/>
      <c r="U834" s="203"/>
      <c r="V834" s="223"/>
      <c r="W834" s="404"/>
      <c r="X834" s="405"/>
      <c r="Y834" s="203"/>
      <c r="Z834" s="223"/>
      <c r="AA834" s="404"/>
      <c r="AB834" s="405"/>
      <c r="AC834" s="203"/>
      <c r="AD834" s="223"/>
      <c r="AE834" s="404"/>
      <c r="AF834" s="405"/>
      <c r="AG834" s="205"/>
      <c r="AH834" s="205"/>
      <c r="AI834" s="205"/>
      <c r="AJ834" s="205"/>
      <c r="AK834" s="401"/>
      <c r="AL834" s="401"/>
      <c r="AM834" s="401"/>
    </row>
    <row r="835">
      <c r="A835" s="320"/>
      <c r="B835" s="321"/>
      <c r="C835" s="322"/>
      <c r="D835" s="401"/>
      <c r="E835" s="320"/>
      <c r="F835" s="321"/>
      <c r="G835" s="322"/>
      <c r="H835" s="401"/>
      <c r="I835" s="320"/>
      <c r="J835" s="321"/>
      <c r="K835" s="322"/>
      <c r="L835" s="401"/>
      <c r="M835" s="320"/>
      <c r="N835" s="321"/>
      <c r="O835" s="322"/>
      <c r="P835" s="401"/>
      <c r="Q835" s="203"/>
      <c r="R835" s="223"/>
      <c r="S835" s="404"/>
      <c r="T835" s="405"/>
      <c r="U835" s="203"/>
      <c r="V835" s="223"/>
      <c r="W835" s="404"/>
      <c r="X835" s="405"/>
      <c r="Y835" s="203"/>
      <c r="Z835" s="223"/>
      <c r="AA835" s="404"/>
      <c r="AB835" s="405"/>
      <c r="AC835" s="203"/>
      <c r="AD835" s="223"/>
      <c r="AE835" s="404"/>
      <c r="AF835" s="405"/>
      <c r="AG835" s="205"/>
      <c r="AH835" s="205"/>
      <c r="AI835" s="205"/>
      <c r="AJ835" s="205"/>
      <c r="AK835" s="401"/>
      <c r="AL835" s="401"/>
      <c r="AM835" s="401"/>
    </row>
    <row r="836">
      <c r="A836" s="320"/>
      <c r="B836" s="321"/>
      <c r="C836" s="322"/>
      <c r="D836" s="401"/>
      <c r="E836" s="320"/>
      <c r="F836" s="321"/>
      <c r="G836" s="322"/>
      <c r="H836" s="401"/>
      <c r="I836" s="320"/>
      <c r="J836" s="321"/>
      <c r="K836" s="322"/>
      <c r="L836" s="401"/>
      <c r="M836" s="320"/>
      <c r="N836" s="321"/>
      <c r="O836" s="322"/>
      <c r="P836" s="401"/>
      <c r="Q836" s="203"/>
      <c r="R836" s="223"/>
      <c r="S836" s="404"/>
      <c r="T836" s="405"/>
      <c r="U836" s="203"/>
      <c r="V836" s="223"/>
      <c r="W836" s="404"/>
      <c r="X836" s="405"/>
      <c r="Y836" s="203"/>
      <c r="Z836" s="223"/>
      <c r="AA836" s="404"/>
      <c r="AB836" s="405"/>
      <c r="AC836" s="203"/>
      <c r="AD836" s="223"/>
      <c r="AE836" s="404"/>
      <c r="AF836" s="405"/>
      <c r="AG836" s="205"/>
      <c r="AH836" s="205"/>
      <c r="AI836" s="205"/>
      <c r="AJ836" s="205"/>
      <c r="AK836" s="401"/>
      <c r="AL836" s="401"/>
      <c r="AM836" s="401"/>
    </row>
    <row r="837">
      <c r="A837" s="320"/>
      <c r="B837" s="321"/>
      <c r="C837" s="322"/>
      <c r="D837" s="401"/>
      <c r="E837" s="320"/>
      <c r="F837" s="321"/>
      <c r="G837" s="322"/>
      <c r="H837" s="401"/>
      <c r="I837" s="320"/>
      <c r="J837" s="321"/>
      <c r="K837" s="322"/>
      <c r="L837" s="401"/>
      <c r="M837" s="320"/>
      <c r="N837" s="321"/>
      <c r="O837" s="322"/>
      <c r="P837" s="401"/>
      <c r="Q837" s="203"/>
      <c r="R837" s="223"/>
      <c r="S837" s="404"/>
      <c r="T837" s="405"/>
      <c r="U837" s="203"/>
      <c r="V837" s="223"/>
      <c r="W837" s="404"/>
      <c r="X837" s="405"/>
      <c r="Y837" s="203"/>
      <c r="Z837" s="223"/>
      <c r="AA837" s="404"/>
      <c r="AB837" s="405"/>
      <c r="AC837" s="203"/>
      <c r="AD837" s="223"/>
      <c r="AE837" s="404"/>
      <c r="AF837" s="405"/>
      <c r="AG837" s="205"/>
      <c r="AH837" s="205"/>
      <c r="AI837" s="205"/>
      <c r="AJ837" s="205"/>
      <c r="AK837" s="401"/>
      <c r="AL837" s="401"/>
      <c r="AM837" s="401"/>
    </row>
    <row r="838">
      <c r="A838" s="320"/>
      <c r="B838" s="321"/>
      <c r="C838" s="322"/>
      <c r="D838" s="401"/>
      <c r="E838" s="320"/>
      <c r="F838" s="321"/>
      <c r="G838" s="322"/>
      <c r="H838" s="401"/>
      <c r="I838" s="320"/>
      <c r="J838" s="321"/>
      <c r="K838" s="322"/>
      <c r="L838" s="401"/>
      <c r="M838" s="320"/>
      <c r="N838" s="321"/>
      <c r="O838" s="322"/>
      <c r="P838" s="401"/>
      <c r="Q838" s="203"/>
      <c r="R838" s="223"/>
      <c r="S838" s="404"/>
      <c r="T838" s="405"/>
      <c r="U838" s="203"/>
      <c r="V838" s="223"/>
      <c r="W838" s="404"/>
      <c r="X838" s="405"/>
      <c r="Y838" s="203"/>
      <c r="Z838" s="223"/>
      <c r="AA838" s="404"/>
      <c r="AB838" s="405"/>
      <c r="AC838" s="203"/>
      <c r="AD838" s="223"/>
      <c r="AE838" s="404"/>
      <c r="AF838" s="405"/>
      <c r="AG838" s="205"/>
      <c r="AH838" s="205"/>
      <c r="AI838" s="205"/>
      <c r="AJ838" s="205"/>
      <c r="AK838" s="401"/>
      <c r="AL838" s="401"/>
      <c r="AM838" s="401"/>
    </row>
    <row r="839">
      <c r="A839" s="320"/>
      <c r="B839" s="321"/>
      <c r="C839" s="322"/>
      <c r="D839" s="401"/>
      <c r="E839" s="320"/>
      <c r="F839" s="321"/>
      <c r="G839" s="322"/>
      <c r="H839" s="401"/>
      <c r="I839" s="320"/>
      <c r="J839" s="321"/>
      <c r="K839" s="322"/>
      <c r="L839" s="401"/>
      <c r="M839" s="320"/>
      <c r="N839" s="321"/>
      <c r="O839" s="322"/>
      <c r="P839" s="401"/>
      <c r="Q839" s="203"/>
      <c r="R839" s="223"/>
      <c r="S839" s="404"/>
      <c r="T839" s="405"/>
      <c r="U839" s="203"/>
      <c r="V839" s="223"/>
      <c r="W839" s="404"/>
      <c r="X839" s="405"/>
      <c r="Y839" s="203"/>
      <c r="Z839" s="223"/>
      <c r="AA839" s="404"/>
      <c r="AB839" s="405"/>
      <c r="AC839" s="203"/>
      <c r="AD839" s="223"/>
      <c r="AE839" s="404"/>
      <c r="AF839" s="405"/>
      <c r="AG839" s="205"/>
      <c r="AH839" s="205"/>
      <c r="AI839" s="205"/>
      <c r="AJ839" s="205"/>
      <c r="AK839" s="401"/>
      <c r="AL839" s="401"/>
      <c r="AM839" s="401"/>
    </row>
    <row r="840">
      <c r="A840" s="320"/>
      <c r="B840" s="321"/>
      <c r="C840" s="322"/>
      <c r="D840" s="401"/>
      <c r="E840" s="320"/>
      <c r="F840" s="321"/>
      <c r="G840" s="322"/>
      <c r="H840" s="401"/>
      <c r="I840" s="320"/>
      <c r="J840" s="321"/>
      <c r="K840" s="322"/>
      <c r="L840" s="401"/>
      <c r="M840" s="320"/>
      <c r="N840" s="321"/>
      <c r="O840" s="322"/>
      <c r="P840" s="401"/>
      <c r="Q840" s="203"/>
      <c r="R840" s="223"/>
      <c r="S840" s="404"/>
      <c r="T840" s="405"/>
      <c r="U840" s="203"/>
      <c r="V840" s="223"/>
      <c r="W840" s="404"/>
      <c r="X840" s="405"/>
      <c r="Y840" s="203"/>
      <c r="Z840" s="223"/>
      <c r="AA840" s="404"/>
      <c r="AB840" s="405"/>
      <c r="AC840" s="203"/>
      <c r="AD840" s="223"/>
      <c r="AE840" s="404"/>
      <c r="AF840" s="405"/>
      <c r="AG840" s="205"/>
      <c r="AH840" s="205"/>
      <c r="AI840" s="205"/>
      <c r="AJ840" s="205"/>
      <c r="AK840" s="401"/>
      <c r="AL840" s="401"/>
      <c r="AM840" s="401"/>
    </row>
    <row r="841">
      <c r="A841" s="320"/>
      <c r="B841" s="321"/>
      <c r="C841" s="322"/>
      <c r="D841" s="401"/>
      <c r="E841" s="320"/>
      <c r="F841" s="321"/>
      <c r="G841" s="322"/>
      <c r="H841" s="401"/>
      <c r="I841" s="320"/>
      <c r="J841" s="321"/>
      <c r="K841" s="322"/>
      <c r="L841" s="401"/>
      <c r="M841" s="320"/>
      <c r="N841" s="321"/>
      <c r="O841" s="322"/>
      <c r="P841" s="401"/>
      <c r="Q841" s="203"/>
      <c r="R841" s="223"/>
      <c r="S841" s="404"/>
      <c r="T841" s="405"/>
      <c r="U841" s="203"/>
      <c r="V841" s="223"/>
      <c r="W841" s="404"/>
      <c r="X841" s="405"/>
      <c r="Y841" s="203"/>
      <c r="Z841" s="223"/>
      <c r="AA841" s="404"/>
      <c r="AB841" s="405"/>
      <c r="AC841" s="203"/>
      <c r="AD841" s="223"/>
      <c r="AE841" s="404"/>
      <c r="AF841" s="405"/>
      <c r="AG841" s="205"/>
      <c r="AH841" s="205"/>
      <c r="AI841" s="205"/>
      <c r="AJ841" s="205"/>
      <c r="AK841" s="401"/>
      <c r="AL841" s="401"/>
      <c r="AM841" s="401"/>
    </row>
    <row r="842">
      <c r="A842" s="320"/>
      <c r="B842" s="321"/>
      <c r="C842" s="322"/>
      <c r="D842" s="401"/>
      <c r="E842" s="320"/>
      <c r="F842" s="321"/>
      <c r="G842" s="322"/>
      <c r="H842" s="401"/>
      <c r="I842" s="320"/>
      <c r="J842" s="321"/>
      <c r="K842" s="322"/>
      <c r="L842" s="401"/>
      <c r="M842" s="320"/>
      <c r="N842" s="321"/>
      <c r="O842" s="322"/>
      <c r="P842" s="401"/>
      <c r="Q842" s="203"/>
      <c r="R842" s="223"/>
      <c r="S842" s="404"/>
      <c r="T842" s="405"/>
      <c r="U842" s="203"/>
      <c r="V842" s="223"/>
      <c r="W842" s="404"/>
      <c r="X842" s="405"/>
      <c r="Y842" s="203"/>
      <c r="Z842" s="223"/>
      <c r="AA842" s="404"/>
      <c r="AB842" s="405"/>
      <c r="AC842" s="203"/>
      <c r="AD842" s="223"/>
      <c r="AE842" s="404"/>
      <c r="AF842" s="405"/>
      <c r="AG842" s="205"/>
      <c r="AH842" s="205"/>
      <c r="AI842" s="205"/>
      <c r="AJ842" s="205"/>
      <c r="AK842" s="401"/>
      <c r="AL842" s="401"/>
      <c r="AM842" s="401"/>
    </row>
    <row r="843">
      <c r="A843" s="320"/>
      <c r="B843" s="321"/>
      <c r="C843" s="322"/>
      <c r="D843" s="401"/>
      <c r="E843" s="320"/>
      <c r="F843" s="321"/>
      <c r="G843" s="322"/>
      <c r="H843" s="401"/>
      <c r="I843" s="320"/>
      <c r="J843" s="321"/>
      <c r="K843" s="322"/>
      <c r="L843" s="401"/>
      <c r="M843" s="320"/>
      <c r="N843" s="321"/>
      <c r="O843" s="322"/>
      <c r="P843" s="401"/>
      <c r="Q843" s="203"/>
      <c r="R843" s="223"/>
      <c r="S843" s="404"/>
      <c r="T843" s="405"/>
      <c r="U843" s="203"/>
      <c r="V843" s="223"/>
      <c r="W843" s="404"/>
      <c r="X843" s="405"/>
      <c r="Y843" s="203"/>
      <c r="Z843" s="223"/>
      <c r="AA843" s="404"/>
      <c r="AB843" s="405"/>
      <c r="AC843" s="203"/>
      <c r="AD843" s="223"/>
      <c r="AE843" s="404"/>
      <c r="AF843" s="405"/>
      <c r="AG843" s="205"/>
      <c r="AH843" s="205"/>
      <c r="AI843" s="205"/>
      <c r="AJ843" s="205"/>
      <c r="AK843" s="401"/>
      <c r="AL843" s="401"/>
      <c r="AM843" s="401"/>
    </row>
    <row r="844">
      <c r="A844" s="320"/>
      <c r="B844" s="321"/>
      <c r="C844" s="322"/>
      <c r="D844" s="401"/>
      <c r="E844" s="320"/>
      <c r="F844" s="321"/>
      <c r="G844" s="322"/>
      <c r="H844" s="401"/>
      <c r="I844" s="320"/>
      <c r="J844" s="321"/>
      <c r="K844" s="322"/>
      <c r="L844" s="401"/>
      <c r="M844" s="320"/>
      <c r="N844" s="321"/>
      <c r="O844" s="322"/>
      <c r="P844" s="401"/>
      <c r="Q844" s="203"/>
      <c r="R844" s="223"/>
      <c r="S844" s="404"/>
      <c r="T844" s="405"/>
      <c r="U844" s="203"/>
      <c r="V844" s="223"/>
      <c r="W844" s="404"/>
      <c r="X844" s="405"/>
      <c r="Y844" s="203"/>
      <c r="Z844" s="223"/>
      <c r="AA844" s="404"/>
      <c r="AB844" s="405"/>
      <c r="AC844" s="203"/>
      <c r="AD844" s="223"/>
      <c r="AE844" s="404"/>
      <c r="AF844" s="405"/>
      <c r="AG844" s="205"/>
      <c r="AH844" s="205"/>
      <c r="AI844" s="205"/>
      <c r="AJ844" s="205"/>
      <c r="AK844" s="401"/>
      <c r="AL844" s="401"/>
      <c r="AM844" s="401"/>
    </row>
    <row r="845">
      <c r="A845" s="320"/>
      <c r="B845" s="321"/>
      <c r="C845" s="322"/>
      <c r="D845" s="401"/>
      <c r="E845" s="320"/>
      <c r="F845" s="321"/>
      <c r="G845" s="322"/>
      <c r="H845" s="401"/>
      <c r="I845" s="320"/>
      <c r="J845" s="321"/>
      <c r="K845" s="322"/>
      <c r="L845" s="401"/>
      <c r="M845" s="320"/>
      <c r="N845" s="321"/>
      <c r="O845" s="322"/>
      <c r="P845" s="401"/>
      <c r="Q845" s="203"/>
      <c r="R845" s="223"/>
      <c r="S845" s="404"/>
      <c r="T845" s="405"/>
      <c r="U845" s="203"/>
      <c r="V845" s="223"/>
      <c r="W845" s="404"/>
      <c r="X845" s="405"/>
      <c r="Y845" s="203"/>
      <c r="Z845" s="223"/>
      <c r="AA845" s="404"/>
      <c r="AB845" s="405"/>
      <c r="AC845" s="203"/>
      <c r="AD845" s="223"/>
      <c r="AE845" s="404"/>
      <c r="AF845" s="405"/>
      <c r="AG845" s="205"/>
      <c r="AH845" s="205"/>
      <c r="AI845" s="205"/>
      <c r="AJ845" s="205"/>
      <c r="AK845" s="401"/>
      <c r="AL845" s="401"/>
      <c r="AM845" s="401"/>
    </row>
    <row r="846">
      <c r="A846" s="320"/>
      <c r="B846" s="321"/>
      <c r="C846" s="322"/>
      <c r="D846" s="401"/>
      <c r="E846" s="320"/>
      <c r="F846" s="321"/>
      <c r="G846" s="322"/>
      <c r="H846" s="401"/>
      <c r="I846" s="320"/>
      <c r="J846" s="321"/>
      <c r="K846" s="322"/>
      <c r="L846" s="401"/>
      <c r="M846" s="320"/>
      <c r="N846" s="321"/>
      <c r="O846" s="322"/>
      <c r="P846" s="401"/>
      <c r="Q846" s="203"/>
      <c r="R846" s="223"/>
      <c r="S846" s="404"/>
      <c r="T846" s="405"/>
      <c r="U846" s="203"/>
      <c r="V846" s="223"/>
      <c r="W846" s="404"/>
      <c r="X846" s="405"/>
      <c r="Y846" s="203"/>
      <c r="Z846" s="223"/>
      <c r="AA846" s="404"/>
      <c r="AB846" s="405"/>
      <c r="AC846" s="203"/>
      <c r="AD846" s="223"/>
      <c r="AE846" s="404"/>
      <c r="AF846" s="405"/>
      <c r="AG846" s="205"/>
      <c r="AH846" s="205"/>
      <c r="AI846" s="205"/>
      <c r="AJ846" s="205"/>
      <c r="AK846" s="401"/>
      <c r="AL846" s="401"/>
      <c r="AM846" s="401"/>
    </row>
    <row r="847">
      <c r="A847" s="320"/>
      <c r="B847" s="321"/>
      <c r="C847" s="322"/>
      <c r="D847" s="401"/>
      <c r="E847" s="320"/>
      <c r="F847" s="321"/>
      <c r="G847" s="322"/>
      <c r="H847" s="401"/>
      <c r="I847" s="320"/>
      <c r="J847" s="321"/>
      <c r="K847" s="322"/>
      <c r="L847" s="401"/>
      <c r="M847" s="320"/>
      <c r="N847" s="321"/>
      <c r="O847" s="322"/>
      <c r="P847" s="401"/>
      <c r="Q847" s="203"/>
      <c r="R847" s="223"/>
      <c r="S847" s="404"/>
      <c r="T847" s="405"/>
      <c r="U847" s="203"/>
      <c r="V847" s="223"/>
      <c r="W847" s="404"/>
      <c r="X847" s="405"/>
      <c r="Y847" s="203"/>
      <c r="Z847" s="223"/>
      <c r="AA847" s="404"/>
      <c r="AB847" s="405"/>
      <c r="AC847" s="203"/>
      <c r="AD847" s="223"/>
      <c r="AE847" s="404"/>
      <c r="AF847" s="405"/>
      <c r="AG847" s="205"/>
      <c r="AH847" s="205"/>
      <c r="AI847" s="205"/>
      <c r="AJ847" s="205"/>
      <c r="AK847" s="401"/>
      <c r="AL847" s="401"/>
      <c r="AM847" s="401"/>
    </row>
    <row r="848">
      <c r="A848" s="320"/>
      <c r="B848" s="321"/>
      <c r="C848" s="322"/>
      <c r="D848" s="401"/>
      <c r="E848" s="320"/>
      <c r="F848" s="321"/>
      <c r="G848" s="322"/>
      <c r="H848" s="401"/>
      <c r="I848" s="320"/>
      <c r="J848" s="321"/>
      <c r="K848" s="322"/>
      <c r="L848" s="401"/>
      <c r="M848" s="320"/>
      <c r="N848" s="321"/>
      <c r="O848" s="322"/>
      <c r="P848" s="401"/>
      <c r="Q848" s="203"/>
      <c r="R848" s="223"/>
      <c r="S848" s="404"/>
      <c r="T848" s="405"/>
      <c r="U848" s="203"/>
      <c r="V848" s="223"/>
      <c r="W848" s="404"/>
      <c r="X848" s="405"/>
      <c r="Y848" s="203"/>
      <c r="Z848" s="223"/>
      <c r="AA848" s="404"/>
      <c r="AB848" s="405"/>
      <c r="AC848" s="203"/>
      <c r="AD848" s="223"/>
      <c r="AE848" s="404"/>
      <c r="AF848" s="405"/>
      <c r="AG848" s="205"/>
      <c r="AH848" s="205"/>
      <c r="AI848" s="205"/>
      <c r="AJ848" s="205"/>
      <c r="AK848" s="401"/>
      <c r="AL848" s="401"/>
      <c r="AM848" s="401"/>
    </row>
    <row r="849">
      <c r="A849" s="320"/>
      <c r="B849" s="321"/>
      <c r="C849" s="322"/>
      <c r="D849" s="401"/>
      <c r="E849" s="320"/>
      <c r="F849" s="321"/>
      <c r="G849" s="322"/>
      <c r="H849" s="401"/>
      <c r="I849" s="320"/>
      <c r="J849" s="321"/>
      <c r="K849" s="322"/>
      <c r="L849" s="401"/>
      <c r="M849" s="320"/>
      <c r="N849" s="321"/>
      <c r="O849" s="322"/>
      <c r="P849" s="401"/>
      <c r="Q849" s="203"/>
      <c r="R849" s="223"/>
      <c r="S849" s="404"/>
      <c r="T849" s="405"/>
      <c r="U849" s="203"/>
      <c r="V849" s="223"/>
      <c r="W849" s="404"/>
      <c r="X849" s="405"/>
      <c r="Y849" s="203"/>
      <c r="Z849" s="223"/>
      <c r="AA849" s="404"/>
      <c r="AB849" s="405"/>
      <c r="AC849" s="203"/>
      <c r="AD849" s="223"/>
      <c r="AE849" s="404"/>
      <c r="AF849" s="405"/>
      <c r="AG849" s="205"/>
      <c r="AH849" s="205"/>
      <c r="AI849" s="205"/>
      <c r="AJ849" s="205"/>
      <c r="AK849" s="401"/>
      <c r="AL849" s="401"/>
      <c r="AM849" s="401"/>
    </row>
    <row r="850">
      <c r="A850" s="320"/>
      <c r="B850" s="321"/>
      <c r="C850" s="322"/>
      <c r="D850" s="401"/>
      <c r="E850" s="320"/>
      <c r="F850" s="321"/>
      <c r="G850" s="322"/>
      <c r="H850" s="401"/>
      <c r="I850" s="320"/>
      <c r="J850" s="321"/>
      <c r="K850" s="322"/>
      <c r="L850" s="401"/>
      <c r="M850" s="320"/>
      <c r="N850" s="321"/>
      <c r="O850" s="322"/>
      <c r="P850" s="401"/>
      <c r="Q850" s="203"/>
      <c r="R850" s="223"/>
      <c r="S850" s="404"/>
      <c r="T850" s="405"/>
      <c r="U850" s="203"/>
      <c r="V850" s="223"/>
      <c r="W850" s="404"/>
      <c r="X850" s="405"/>
      <c r="Y850" s="203"/>
      <c r="Z850" s="223"/>
      <c r="AA850" s="404"/>
      <c r="AB850" s="405"/>
      <c r="AC850" s="203"/>
      <c r="AD850" s="223"/>
      <c r="AE850" s="404"/>
      <c r="AF850" s="405"/>
      <c r="AG850" s="205"/>
      <c r="AH850" s="205"/>
      <c r="AI850" s="205"/>
      <c r="AJ850" s="205"/>
      <c r="AK850" s="401"/>
      <c r="AL850" s="401"/>
      <c r="AM850" s="401"/>
    </row>
    <row r="851">
      <c r="A851" s="320"/>
      <c r="B851" s="321"/>
      <c r="C851" s="322"/>
      <c r="D851" s="401"/>
      <c r="E851" s="320"/>
      <c r="F851" s="321"/>
      <c r="G851" s="322"/>
      <c r="H851" s="401"/>
      <c r="I851" s="320"/>
      <c r="J851" s="321"/>
      <c r="K851" s="322"/>
      <c r="L851" s="401"/>
      <c r="M851" s="320"/>
      <c r="N851" s="321"/>
      <c r="O851" s="322"/>
      <c r="P851" s="401"/>
      <c r="Q851" s="203"/>
      <c r="R851" s="223"/>
      <c r="S851" s="404"/>
      <c r="T851" s="405"/>
      <c r="U851" s="203"/>
      <c r="V851" s="223"/>
      <c r="W851" s="404"/>
      <c r="X851" s="405"/>
      <c r="Y851" s="203"/>
      <c r="Z851" s="223"/>
      <c r="AA851" s="404"/>
      <c r="AB851" s="405"/>
      <c r="AC851" s="203"/>
      <c r="AD851" s="223"/>
      <c r="AE851" s="404"/>
      <c r="AF851" s="405"/>
      <c r="AG851" s="205"/>
      <c r="AH851" s="205"/>
      <c r="AI851" s="205"/>
      <c r="AJ851" s="205"/>
      <c r="AK851" s="401"/>
      <c r="AL851" s="401"/>
      <c r="AM851" s="401"/>
    </row>
    <row r="852">
      <c r="A852" s="320"/>
      <c r="B852" s="321"/>
      <c r="C852" s="322"/>
      <c r="D852" s="401"/>
      <c r="E852" s="320"/>
      <c r="F852" s="321"/>
      <c r="G852" s="322"/>
      <c r="H852" s="401"/>
      <c r="I852" s="320"/>
      <c r="J852" s="321"/>
      <c r="K852" s="322"/>
      <c r="L852" s="401"/>
      <c r="M852" s="320"/>
      <c r="N852" s="321"/>
      <c r="O852" s="322"/>
      <c r="P852" s="401"/>
      <c r="Q852" s="203"/>
      <c r="R852" s="223"/>
      <c r="S852" s="404"/>
      <c r="T852" s="405"/>
      <c r="U852" s="203"/>
      <c r="V852" s="223"/>
      <c r="W852" s="404"/>
      <c r="X852" s="405"/>
      <c r="Y852" s="203"/>
      <c r="Z852" s="223"/>
      <c r="AA852" s="404"/>
      <c r="AB852" s="405"/>
      <c r="AC852" s="203"/>
      <c r="AD852" s="223"/>
      <c r="AE852" s="404"/>
      <c r="AF852" s="405"/>
      <c r="AG852" s="205"/>
      <c r="AH852" s="205"/>
      <c r="AI852" s="205"/>
      <c r="AJ852" s="205"/>
      <c r="AK852" s="401"/>
      <c r="AL852" s="401"/>
      <c r="AM852" s="401"/>
    </row>
    <row r="853">
      <c r="A853" s="320"/>
      <c r="B853" s="321"/>
      <c r="C853" s="322"/>
      <c r="D853" s="401"/>
      <c r="E853" s="320"/>
      <c r="F853" s="321"/>
      <c r="G853" s="322"/>
      <c r="H853" s="401"/>
      <c r="I853" s="320"/>
      <c r="J853" s="321"/>
      <c r="K853" s="322"/>
      <c r="L853" s="401"/>
      <c r="M853" s="320"/>
      <c r="N853" s="321"/>
      <c r="O853" s="322"/>
      <c r="P853" s="401"/>
      <c r="Q853" s="203"/>
      <c r="R853" s="223"/>
      <c r="S853" s="404"/>
      <c r="T853" s="405"/>
      <c r="U853" s="203"/>
      <c r="V853" s="223"/>
      <c r="W853" s="404"/>
      <c r="X853" s="405"/>
      <c r="Y853" s="203"/>
      <c r="Z853" s="223"/>
      <c r="AA853" s="404"/>
      <c r="AB853" s="405"/>
      <c r="AC853" s="203"/>
      <c r="AD853" s="223"/>
      <c r="AE853" s="404"/>
      <c r="AF853" s="405"/>
      <c r="AG853" s="205"/>
      <c r="AH853" s="205"/>
      <c r="AI853" s="205"/>
      <c r="AJ853" s="205"/>
      <c r="AK853" s="401"/>
      <c r="AL853" s="401"/>
      <c r="AM853" s="401"/>
    </row>
    <row r="854">
      <c r="A854" s="320"/>
      <c r="B854" s="321"/>
      <c r="C854" s="322"/>
      <c r="D854" s="401"/>
      <c r="E854" s="320"/>
      <c r="F854" s="321"/>
      <c r="G854" s="322"/>
      <c r="H854" s="401"/>
      <c r="I854" s="320"/>
      <c r="J854" s="321"/>
      <c r="K854" s="322"/>
      <c r="L854" s="401"/>
      <c r="M854" s="320"/>
      <c r="N854" s="321"/>
      <c r="O854" s="322"/>
      <c r="P854" s="401"/>
      <c r="Q854" s="203"/>
      <c r="R854" s="223"/>
      <c r="S854" s="404"/>
      <c r="T854" s="405"/>
      <c r="U854" s="203"/>
      <c r="V854" s="223"/>
      <c r="W854" s="404"/>
      <c r="X854" s="405"/>
      <c r="Y854" s="203"/>
      <c r="Z854" s="223"/>
      <c r="AA854" s="404"/>
      <c r="AB854" s="405"/>
      <c r="AC854" s="203"/>
      <c r="AD854" s="223"/>
      <c r="AE854" s="404"/>
      <c r="AF854" s="405"/>
      <c r="AG854" s="205"/>
      <c r="AH854" s="205"/>
      <c r="AI854" s="205"/>
      <c r="AJ854" s="205"/>
      <c r="AK854" s="401"/>
      <c r="AL854" s="401"/>
      <c r="AM854" s="401"/>
    </row>
    <row r="855">
      <c r="A855" s="320"/>
      <c r="B855" s="321"/>
      <c r="C855" s="322"/>
      <c r="D855" s="401"/>
      <c r="E855" s="320"/>
      <c r="F855" s="321"/>
      <c r="G855" s="322"/>
      <c r="H855" s="401"/>
      <c r="I855" s="320"/>
      <c r="J855" s="321"/>
      <c r="K855" s="322"/>
      <c r="L855" s="401"/>
      <c r="M855" s="320"/>
      <c r="N855" s="321"/>
      <c r="O855" s="322"/>
      <c r="P855" s="401"/>
      <c r="Q855" s="203"/>
      <c r="R855" s="223"/>
      <c r="S855" s="404"/>
      <c r="T855" s="405"/>
      <c r="U855" s="203"/>
      <c r="V855" s="223"/>
      <c r="W855" s="404"/>
      <c r="X855" s="405"/>
      <c r="Y855" s="203"/>
      <c r="Z855" s="223"/>
      <c r="AA855" s="404"/>
      <c r="AB855" s="405"/>
      <c r="AC855" s="203"/>
      <c r="AD855" s="223"/>
      <c r="AE855" s="404"/>
      <c r="AF855" s="405"/>
      <c r="AG855" s="205"/>
      <c r="AH855" s="205"/>
      <c r="AI855" s="205"/>
      <c r="AJ855" s="205"/>
      <c r="AK855" s="401"/>
      <c r="AL855" s="401"/>
      <c r="AM855" s="401"/>
    </row>
    <row r="856">
      <c r="A856" s="320"/>
      <c r="B856" s="321"/>
      <c r="C856" s="322"/>
      <c r="D856" s="401"/>
      <c r="E856" s="320"/>
      <c r="F856" s="321"/>
      <c r="G856" s="322"/>
      <c r="H856" s="401"/>
      <c r="I856" s="320"/>
      <c r="J856" s="321"/>
      <c r="K856" s="322"/>
      <c r="L856" s="401"/>
      <c r="M856" s="320"/>
      <c r="N856" s="321"/>
      <c r="O856" s="322"/>
      <c r="P856" s="401"/>
      <c r="Q856" s="203"/>
      <c r="R856" s="223"/>
      <c r="S856" s="404"/>
      <c r="T856" s="405"/>
      <c r="U856" s="203"/>
      <c r="V856" s="223"/>
      <c r="W856" s="404"/>
      <c r="X856" s="405"/>
      <c r="Y856" s="203"/>
      <c r="Z856" s="223"/>
      <c r="AA856" s="404"/>
      <c r="AB856" s="405"/>
      <c r="AC856" s="203"/>
      <c r="AD856" s="223"/>
      <c r="AE856" s="404"/>
      <c r="AF856" s="405"/>
      <c r="AG856" s="205"/>
      <c r="AH856" s="205"/>
      <c r="AI856" s="205"/>
      <c r="AJ856" s="205"/>
      <c r="AK856" s="401"/>
      <c r="AL856" s="401"/>
      <c r="AM856" s="401"/>
    </row>
    <row r="857">
      <c r="A857" s="320"/>
      <c r="B857" s="321"/>
      <c r="C857" s="322"/>
      <c r="D857" s="401"/>
      <c r="E857" s="320"/>
      <c r="F857" s="321"/>
      <c r="G857" s="322"/>
      <c r="H857" s="401"/>
      <c r="I857" s="320"/>
      <c r="J857" s="321"/>
      <c r="K857" s="322"/>
      <c r="L857" s="401"/>
      <c r="M857" s="320"/>
      <c r="N857" s="321"/>
      <c r="O857" s="322"/>
      <c r="P857" s="401"/>
      <c r="Q857" s="203"/>
      <c r="R857" s="223"/>
      <c r="S857" s="404"/>
      <c r="T857" s="405"/>
      <c r="U857" s="203"/>
      <c r="V857" s="223"/>
      <c r="W857" s="404"/>
      <c r="X857" s="405"/>
      <c r="Y857" s="203"/>
      <c r="Z857" s="223"/>
      <c r="AA857" s="404"/>
      <c r="AB857" s="405"/>
      <c r="AC857" s="203"/>
      <c r="AD857" s="223"/>
      <c r="AE857" s="404"/>
      <c r="AF857" s="405"/>
      <c r="AG857" s="205"/>
      <c r="AH857" s="205"/>
      <c r="AI857" s="205"/>
      <c r="AJ857" s="205"/>
      <c r="AK857" s="401"/>
      <c r="AL857" s="401"/>
      <c r="AM857" s="401"/>
    </row>
    <row r="858">
      <c r="A858" s="320"/>
      <c r="B858" s="321"/>
      <c r="C858" s="322"/>
      <c r="D858" s="401"/>
      <c r="E858" s="320"/>
      <c r="F858" s="321"/>
      <c r="G858" s="322"/>
      <c r="H858" s="401"/>
      <c r="I858" s="320"/>
      <c r="J858" s="321"/>
      <c r="K858" s="322"/>
      <c r="L858" s="401"/>
      <c r="M858" s="320"/>
      <c r="N858" s="321"/>
      <c r="O858" s="322"/>
      <c r="P858" s="401"/>
      <c r="Q858" s="203"/>
      <c r="R858" s="223"/>
      <c r="S858" s="404"/>
      <c r="T858" s="405"/>
      <c r="U858" s="203"/>
      <c r="V858" s="223"/>
      <c r="W858" s="404"/>
      <c r="X858" s="405"/>
      <c r="Y858" s="203"/>
      <c r="Z858" s="223"/>
      <c r="AA858" s="404"/>
      <c r="AB858" s="405"/>
      <c r="AC858" s="203"/>
      <c r="AD858" s="223"/>
      <c r="AE858" s="404"/>
      <c r="AF858" s="405"/>
      <c r="AG858" s="205"/>
      <c r="AH858" s="205"/>
      <c r="AI858" s="205"/>
      <c r="AJ858" s="205"/>
      <c r="AK858" s="401"/>
      <c r="AL858" s="401"/>
      <c r="AM858" s="401"/>
    </row>
    <row r="859">
      <c r="A859" s="320"/>
      <c r="B859" s="321"/>
      <c r="C859" s="322"/>
      <c r="D859" s="401"/>
      <c r="E859" s="320"/>
      <c r="F859" s="321"/>
      <c r="G859" s="322"/>
      <c r="H859" s="401"/>
      <c r="I859" s="320"/>
      <c r="J859" s="321"/>
      <c r="K859" s="322"/>
      <c r="L859" s="401"/>
      <c r="M859" s="320"/>
      <c r="N859" s="321"/>
      <c r="O859" s="322"/>
      <c r="P859" s="401"/>
      <c r="Q859" s="203"/>
      <c r="R859" s="223"/>
      <c r="S859" s="404"/>
      <c r="T859" s="405"/>
      <c r="U859" s="203"/>
      <c r="V859" s="223"/>
      <c r="W859" s="404"/>
      <c r="X859" s="405"/>
      <c r="Y859" s="203"/>
      <c r="Z859" s="223"/>
      <c r="AA859" s="404"/>
      <c r="AB859" s="405"/>
      <c r="AC859" s="203"/>
      <c r="AD859" s="223"/>
      <c r="AE859" s="404"/>
      <c r="AF859" s="405"/>
      <c r="AG859" s="205"/>
      <c r="AH859" s="205"/>
      <c r="AI859" s="205"/>
      <c r="AJ859" s="205"/>
      <c r="AK859" s="401"/>
      <c r="AL859" s="401"/>
      <c r="AM859" s="401"/>
    </row>
    <row r="860">
      <c r="A860" s="320"/>
      <c r="B860" s="321"/>
      <c r="C860" s="322"/>
      <c r="D860" s="401"/>
      <c r="E860" s="320"/>
      <c r="F860" s="321"/>
      <c r="G860" s="322"/>
      <c r="H860" s="401"/>
      <c r="I860" s="320"/>
      <c r="J860" s="321"/>
      <c r="K860" s="322"/>
      <c r="L860" s="401"/>
      <c r="M860" s="320"/>
      <c r="N860" s="321"/>
      <c r="O860" s="322"/>
      <c r="P860" s="401"/>
      <c r="Q860" s="203"/>
      <c r="R860" s="223"/>
      <c r="S860" s="404"/>
      <c r="T860" s="405"/>
      <c r="U860" s="203"/>
      <c r="V860" s="223"/>
      <c r="W860" s="404"/>
      <c r="X860" s="405"/>
      <c r="Y860" s="203"/>
      <c r="Z860" s="223"/>
      <c r="AA860" s="404"/>
      <c r="AB860" s="405"/>
      <c r="AC860" s="203"/>
      <c r="AD860" s="223"/>
      <c r="AE860" s="404"/>
      <c r="AF860" s="405"/>
      <c r="AG860" s="205"/>
      <c r="AH860" s="205"/>
      <c r="AI860" s="205"/>
      <c r="AJ860" s="205"/>
      <c r="AK860" s="401"/>
      <c r="AL860" s="401"/>
      <c r="AM860" s="401"/>
    </row>
    <row r="861">
      <c r="A861" s="320"/>
      <c r="B861" s="321"/>
      <c r="C861" s="322"/>
      <c r="D861" s="401"/>
      <c r="E861" s="320"/>
      <c r="F861" s="321"/>
      <c r="G861" s="322"/>
      <c r="H861" s="401"/>
      <c r="I861" s="320"/>
      <c r="J861" s="321"/>
      <c r="K861" s="322"/>
      <c r="L861" s="401"/>
      <c r="M861" s="320"/>
      <c r="N861" s="321"/>
      <c r="O861" s="322"/>
      <c r="P861" s="401"/>
      <c r="Q861" s="203"/>
      <c r="R861" s="223"/>
      <c r="S861" s="404"/>
      <c r="T861" s="405"/>
      <c r="U861" s="203"/>
      <c r="V861" s="223"/>
      <c r="W861" s="404"/>
      <c r="X861" s="405"/>
      <c r="Y861" s="203"/>
      <c r="Z861" s="223"/>
      <c r="AA861" s="404"/>
      <c r="AB861" s="405"/>
      <c r="AC861" s="203"/>
      <c r="AD861" s="223"/>
      <c r="AE861" s="404"/>
      <c r="AF861" s="405"/>
      <c r="AG861" s="205"/>
      <c r="AH861" s="205"/>
      <c r="AI861" s="205"/>
      <c r="AJ861" s="205"/>
      <c r="AK861" s="401"/>
      <c r="AL861" s="401"/>
      <c r="AM861" s="401"/>
    </row>
    <row r="862">
      <c r="A862" s="320"/>
      <c r="B862" s="321"/>
      <c r="C862" s="322"/>
      <c r="D862" s="401"/>
      <c r="E862" s="320"/>
      <c r="F862" s="321"/>
      <c r="G862" s="322"/>
      <c r="H862" s="401"/>
      <c r="I862" s="320"/>
      <c r="J862" s="321"/>
      <c r="K862" s="322"/>
      <c r="L862" s="401"/>
      <c r="M862" s="320"/>
      <c r="N862" s="321"/>
      <c r="O862" s="322"/>
      <c r="P862" s="401"/>
      <c r="Q862" s="203"/>
      <c r="R862" s="223"/>
      <c r="S862" s="404"/>
      <c r="T862" s="405"/>
      <c r="U862" s="203"/>
      <c r="V862" s="223"/>
      <c r="W862" s="404"/>
      <c r="X862" s="405"/>
      <c r="Y862" s="203"/>
      <c r="Z862" s="223"/>
      <c r="AA862" s="404"/>
      <c r="AB862" s="405"/>
      <c r="AC862" s="203"/>
      <c r="AD862" s="223"/>
      <c r="AE862" s="404"/>
      <c r="AF862" s="405"/>
      <c r="AG862" s="205"/>
      <c r="AH862" s="205"/>
      <c r="AI862" s="205"/>
      <c r="AJ862" s="205"/>
      <c r="AK862" s="401"/>
      <c r="AL862" s="401"/>
      <c r="AM862" s="401"/>
    </row>
    <row r="863">
      <c r="A863" s="320"/>
      <c r="B863" s="321"/>
      <c r="C863" s="322"/>
      <c r="D863" s="401"/>
      <c r="E863" s="320"/>
      <c r="F863" s="321"/>
      <c r="G863" s="322"/>
      <c r="H863" s="401"/>
      <c r="I863" s="320"/>
      <c r="J863" s="321"/>
      <c r="K863" s="322"/>
      <c r="L863" s="401"/>
      <c r="M863" s="320"/>
      <c r="N863" s="321"/>
      <c r="O863" s="322"/>
      <c r="P863" s="401"/>
      <c r="Q863" s="203"/>
      <c r="R863" s="223"/>
      <c r="S863" s="404"/>
      <c r="T863" s="405"/>
      <c r="U863" s="203"/>
      <c r="V863" s="223"/>
      <c r="W863" s="404"/>
      <c r="X863" s="405"/>
      <c r="Y863" s="203"/>
      <c r="Z863" s="223"/>
      <c r="AA863" s="404"/>
      <c r="AB863" s="405"/>
      <c r="AC863" s="203"/>
      <c r="AD863" s="223"/>
      <c r="AE863" s="404"/>
      <c r="AF863" s="405"/>
      <c r="AG863" s="205"/>
      <c r="AH863" s="205"/>
      <c r="AI863" s="205"/>
      <c r="AJ863" s="205"/>
      <c r="AK863" s="401"/>
      <c r="AL863" s="401"/>
      <c r="AM863" s="401"/>
    </row>
    <row r="864">
      <c r="A864" s="320"/>
      <c r="B864" s="321"/>
      <c r="C864" s="322"/>
      <c r="D864" s="401"/>
      <c r="E864" s="320"/>
      <c r="F864" s="321"/>
      <c r="G864" s="322"/>
      <c r="H864" s="401"/>
      <c r="I864" s="320"/>
      <c r="J864" s="321"/>
      <c r="K864" s="322"/>
      <c r="L864" s="401"/>
      <c r="M864" s="320"/>
      <c r="N864" s="321"/>
      <c r="O864" s="322"/>
      <c r="P864" s="401"/>
      <c r="Q864" s="203"/>
      <c r="R864" s="223"/>
      <c r="S864" s="404"/>
      <c r="T864" s="405"/>
      <c r="U864" s="203"/>
      <c r="V864" s="223"/>
      <c r="W864" s="404"/>
      <c r="X864" s="405"/>
      <c r="Y864" s="203"/>
      <c r="Z864" s="223"/>
      <c r="AA864" s="404"/>
      <c r="AB864" s="405"/>
      <c r="AC864" s="203"/>
      <c r="AD864" s="223"/>
      <c r="AE864" s="404"/>
      <c r="AF864" s="405"/>
      <c r="AG864" s="205"/>
      <c r="AH864" s="205"/>
      <c r="AI864" s="205"/>
      <c r="AJ864" s="205"/>
      <c r="AK864" s="401"/>
      <c r="AL864" s="401"/>
      <c r="AM864" s="401"/>
    </row>
    <row r="865">
      <c r="A865" s="320"/>
      <c r="B865" s="321"/>
      <c r="C865" s="322"/>
      <c r="D865" s="401"/>
      <c r="E865" s="320"/>
      <c r="F865" s="321"/>
      <c r="G865" s="322"/>
      <c r="H865" s="401"/>
      <c r="I865" s="320"/>
      <c r="J865" s="321"/>
      <c r="K865" s="322"/>
      <c r="L865" s="401"/>
      <c r="M865" s="320"/>
      <c r="N865" s="321"/>
      <c r="O865" s="322"/>
      <c r="P865" s="401"/>
      <c r="Q865" s="203"/>
      <c r="R865" s="223"/>
      <c r="S865" s="404"/>
      <c r="T865" s="405"/>
      <c r="U865" s="203"/>
      <c r="V865" s="223"/>
      <c r="W865" s="404"/>
      <c r="X865" s="405"/>
      <c r="Y865" s="203"/>
      <c r="Z865" s="223"/>
      <c r="AA865" s="404"/>
      <c r="AB865" s="405"/>
      <c r="AC865" s="203"/>
      <c r="AD865" s="223"/>
      <c r="AE865" s="404"/>
      <c r="AF865" s="405"/>
      <c r="AG865" s="205"/>
      <c r="AH865" s="205"/>
      <c r="AI865" s="205"/>
      <c r="AJ865" s="205"/>
      <c r="AK865" s="401"/>
      <c r="AL865" s="401"/>
      <c r="AM865" s="401"/>
    </row>
    <row r="866">
      <c r="A866" s="320"/>
      <c r="B866" s="321"/>
      <c r="C866" s="322"/>
      <c r="D866" s="401"/>
      <c r="E866" s="320"/>
      <c r="F866" s="321"/>
      <c r="G866" s="322"/>
      <c r="H866" s="401"/>
      <c r="I866" s="320"/>
      <c r="J866" s="321"/>
      <c r="K866" s="322"/>
      <c r="L866" s="401"/>
      <c r="M866" s="320"/>
      <c r="N866" s="321"/>
      <c r="O866" s="322"/>
      <c r="P866" s="401"/>
      <c r="Q866" s="203"/>
      <c r="R866" s="223"/>
      <c r="S866" s="404"/>
      <c r="T866" s="405"/>
      <c r="U866" s="203"/>
      <c r="V866" s="223"/>
      <c r="W866" s="404"/>
      <c r="X866" s="405"/>
      <c r="Y866" s="203"/>
      <c r="Z866" s="223"/>
      <c r="AA866" s="404"/>
      <c r="AB866" s="405"/>
      <c r="AC866" s="203"/>
      <c r="AD866" s="223"/>
      <c r="AE866" s="404"/>
      <c r="AF866" s="405"/>
      <c r="AG866" s="205"/>
      <c r="AH866" s="205"/>
      <c r="AI866" s="205"/>
      <c r="AJ866" s="205"/>
      <c r="AK866" s="401"/>
      <c r="AL866" s="401"/>
      <c r="AM866" s="401"/>
    </row>
    <row r="867">
      <c r="A867" s="320"/>
      <c r="B867" s="321"/>
      <c r="C867" s="322"/>
      <c r="D867" s="401"/>
      <c r="E867" s="320"/>
      <c r="F867" s="321"/>
      <c r="G867" s="322"/>
      <c r="H867" s="401"/>
      <c r="I867" s="320"/>
      <c r="J867" s="321"/>
      <c r="K867" s="322"/>
      <c r="L867" s="401"/>
      <c r="M867" s="320"/>
      <c r="N867" s="321"/>
      <c r="O867" s="322"/>
      <c r="P867" s="401"/>
      <c r="Q867" s="203"/>
      <c r="R867" s="223"/>
      <c r="S867" s="404"/>
      <c r="T867" s="405"/>
      <c r="U867" s="203"/>
      <c r="V867" s="223"/>
      <c r="W867" s="404"/>
      <c r="X867" s="405"/>
      <c r="Y867" s="203"/>
      <c r="Z867" s="223"/>
      <c r="AA867" s="404"/>
      <c r="AB867" s="405"/>
      <c r="AC867" s="203"/>
      <c r="AD867" s="223"/>
      <c r="AE867" s="404"/>
      <c r="AF867" s="405"/>
      <c r="AG867" s="205"/>
      <c r="AH867" s="205"/>
      <c r="AI867" s="205"/>
      <c r="AJ867" s="205"/>
      <c r="AK867" s="401"/>
      <c r="AL867" s="401"/>
      <c r="AM867" s="401"/>
    </row>
    <row r="868">
      <c r="A868" s="320"/>
      <c r="B868" s="321"/>
      <c r="C868" s="322"/>
      <c r="D868" s="401"/>
      <c r="E868" s="320"/>
      <c r="F868" s="321"/>
      <c r="G868" s="322"/>
      <c r="H868" s="401"/>
      <c r="I868" s="320"/>
      <c r="J868" s="321"/>
      <c r="K868" s="322"/>
      <c r="L868" s="401"/>
      <c r="M868" s="320"/>
      <c r="N868" s="321"/>
      <c r="O868" s="322"/>
      <c r="P868" s="401"/>
      <c r="Q868" s="203"/>
      <c r="R868" s="223"/>
      <c r="S868" s="404"/>
      <c r="T868" s="405"/>
      <c r="U868" s="203"/>
      <c r="V868" s="223"/>
      <c r="W868" s="404"/>
      <c r="X868" s="405"/>
      <c r="Y868" s="203"/>
      <c r="Z868" s="223"/>
      <c r="AA868" s="404"/>
      <c r="AB868" s="405"/>
      <c r="AC868" s="203"/>
      <c r="AD868" s="223"/>
      <c r="AE868" s="404"/>
      <c r="AF868" s="405"/>
      <c r="AG868" s="205"/>
      <c r="AH868" s="205"/>
      <c r="AI868" s="205"/>
      <c r="AJ868" s="205"/>
      <c r="AK868" s="401"/>
      <c r="AL868" s="401"/>
      <c r="AM868" s="401"/>
    </row>
    <row r="869">
      <c r="A869" s="320"/>
      <c r="B869" s="321"/>
      <c r="C869" s="322"/>
      <c r="D869" s="401"/>
      <c r="E869" s="320"/>
      <c r="F869" s="321"/>
      <c r="G869" s="322"/>
      <c r="H869" s="401"/>
      <c r="I869" s="320"/>
      <c r="J869" s="321"/>
      <c r="K869" s="322"/>
      <c r="L869" s="401"/>
      <c r="M869" s="320"/>
      <c r="N869" s="321"/>
      <c r="O869" s="322"/>
      <c r="P869" s="401"/>
      <c r="Q869" s="203"/>
      <c r="R869" s="223"/>
      <c r="S869" s="404"/>
      <c r="T869" s="405"/>
      <c r="U869" s="203"/>
      <c r="V869" s="223"/>
      <c r="W869" s="404"/>
      <c r="X869" s="405"/>
      <c r="Y869" s="203"/>
      <c r="Z869" s="223"/>
      <c r="AA869" s="404"/>
      <c r="AB869" s="405"/>
      <c r="AC869" s="203"/>
      <c r="AD869" s="223"/>
      <c r="AE869" s="404"/>
      <c r="AF869" s="405"/>
      <c r="AG869" s="205"/>
      <c r="AH869" s="205"/>
      <c r="AI869" s="205"/>
      <c r="AJ869" s="205"/>
      <c r="AK869" s="401"/>
      <c r="AL869" s="401"/>
      <c r="AM869" s="401"/>
    </row>
    <row r="870">
      <c r="A870" s="320"/>
      <c r="B870" s="321"/>
      <c r="C870" s="322"/>
      <c r="D870" s="401"/>
      <c r="E870" s="320"/>
      <c r="F870" s="321"/>
      <c r="G870" s="322"/>
      <c r="H870" s="401"/>
      <c r="I870" s="320"/>
      <c r="J870" s="321"/>
      <c r="K870" s="322"/>
      <c r="L870" s="401"/>
      <c r="M870" s="320"/>
      <c r="N870" s="321"/>
      <c r="O870" s="322"/>
      <c r="P870" s="401"/>
      <c r="Q870" s="203"/>
      <c r="R870" s="223"/>
      <c r="S870" s="404"/>
      <c r="T870" s="405"/>
      <c r="U870" s="203"/>
      <c r="V870" s="223"/>
      <c r="W870" s="404"/>
      <c r="X870" s="405"/>
      <c r="Y870" s="203"/>
      <c r="Z870" s="223"/>
      <c r="AA870" s="404"/>
      <c r="AB870" s="405"/>
      <c r="AC870" s="203"/>
      <c r="AD870" s="223"/>
      <c r="AE870" s="404"/>
      <c r="AF870" s="405"/>
      <c r="AG870" s="205"/>
      <c r="AH870" s="205"/>
      <c r="AI870" s="205"/>
      <c r="AJ870" s="205"/>
      <c r="AK870" s="401"/>
      <c r="AL870" s="401"/>
      <c r="AM870" s="401"/>
    </row>
    <row r="871">
      <c r="A871" s="320"/>
      <c r="B871" s="321"/>
      <c r="C871" s="322"/>
      <c r="D871" s="401"/>
      <c r="E871" s="320"/>
      <c r="F871" s="321"/>
      <c r="G871" s="322"/>
      <c r="H871" s="401"/>
      <c r="I871" s="320"/>
      <c r="J871" s="321"/>
      <c r="K871" s="322"/>
      <c r="L871" s="401"/>
      <c r="M871" s="320"/>
      <c r="N871" s="321"/>
      <c r="O871" s="322"/>
      <c r="P871" s="401"/>
      <c r="Q871" s="203"/>
      <c r="R871" s="223"/>
      <c r="S871" s="404"/>
      <c r="T871" s="405"/>
      <c r="U871" s="203"/>
      <c r="V871" s="223"/>
      <c r="W871" s="404"/>
      <c r="X871" s="405"/>
      <c r="Y871" s="203"/>
      <c r="Z871" s="223"/>
      <c r="AA871" s="404"/>
      <c r="AB871" s="405"/>
      <c r="AC871" s="203"/>
      <c r="AD871" s="223"/>
      <c r="AE871" s="404"/>
      <c r="AF871" s="405"/>
      <c r="AG871" s="205"/>
      <c r="AH871" s="205"/>
      <c r="AI871" s="205"/>
      <c r="AJ871" s="205"/>
      <c r="AK871" s="401"/>
      <c r="AL871" s="401"/>
      <c r="AM871" s="401"/>
    </row>
    <row r="872">
      <c r="A872" s="320"/>
      <c r="B872" s="321"/>
      <c r="C872" s="322"/>
      <c r="D872" s="401"/>
      <c r="E872" s="320"/>
      <c r="F872" s="321"/>
      <c r="G872" s="322"/>
      <c r="H872" s="401"/>
      <c r="I872" s="320"/>
      <c r="J872" s="321"/>
      <c r="K872" s="322"/>
      <c r="L872" s="401"/>
      <c r="M872" s="320"/>
      <c r="N872" s="321"/>
      <c r="O872" s="322"/>
      <c r="P872" s="401"/>
      <c r="Q872" s="203"/>
      <c r="R872" s="223"/>
      <c r="S872" s="404"/>
      <c r="T872" s="405"/>
      <c r="U872" s="203"/>
      <c r="V872" s="223"/>
      <c r="W872" s="404"/>
      <c r="X872" s="405"/>
      <c r="Y872" s="203"/>
      <c r="Z872" s="223"/>
      <c r="AA872" s="404"/>
      <c r="AB872" s="405"/>
      <c r="AC872" s="203"/>
      <c r="AD872" s="223"/>
      <c r="AE872" s="404"/>
      <c r="AF872" s="405"/>
      <c r="AG872" s="205"/>
      <c r="AH872" s="205"/>
      <c r="AI872" s="205"/>
      <c r="AJ872" s="205"/>
      <c r="AK872" s="401"/>
      <c r="AL872" s="401"/>
      <c r="AM872" s="401"/>
    </row>
    <row r="873">
      <c r="A873" s="320"/>
      <c r="B873" s="321"/>
      <c r="C873" s="322"/>
      <c r="D873" s="401"/>
      <c r="E873" s="320"/>
      <c r="F873" s="321"/>
      <c r="G873" s="322"/>
      <c r="H873" s="401"/>
      <c r="I873" s="320"/>
      <c r="J873" s="321"/>
      <c r="K873" s="322"/>
      <c r="L873" s="401"/>
      <c r="M873" s="320"/>
      <c r="N873" s="321"/>
      <c r="O873" s="322"/>
      <c r="P873" s="401"/>
      <c r="Q873" s="203"/>
      <c r="R873" s="223"/>
      <c r="S873" s="404"/>
      <c r="T873" s="405"/>
      <c r="U873" s="203"/>
      <c r="V873" s="223"/>
      <c r="W873" s="404"/>
      <c r="X873" s="405"/>
      <c r="Y873" s="203"/>
      <c r="Z873" s="223"/>
      <c r="AA873" s="404"/>
      <c r="AB873" s="405"/>
      <c r="AC873" s="203"/>
      <c r="AD873" s="223"/>
      <c r="AE873" s="404"/>
      <c r="AF873" s="405"/>
      <c r="AG873" s="205"/>
      <c r="AH873" s="205"/>
      <c r="AI873" s="205"/>
      <c r="AJ873" s="205"/>
      <c r="AK873" s="401"/>
      <c r="AL873" s="401"/>
      <c r="AM873" s="401"/>
    </row>
    <row r="874">
      <c r="A874" s="320"/>
      <c r="B874" s="321"/>
      <c r="C874" s="322"/>
      <c r="D874" s="401"/>
      <c r="E874" s="320"/>
      <c r="F874" s="321"/>
      <c r="G874" s="322"/>
      <c r="H874" s="401"/>
      <c r="I874" s="320"/>
      <c r="J874" s="321"/>
      <c r="K874" s="322"/>
      <c r="L874" s="401"/>
      <c r="M874" s="320"/>
      <c r="N874" s="321"/>
      <c r="O874" s="322"/>
      <c r="P874" s="401"/>
      <c r="Q874" s="203"/>
      <c r="R874" s="223"/>
      <c r="S874" s="404"/>
      <c r="T874" s="405"/>
      <c r="U874" s="203"/>
      <c r="V874" s="223"/>
      <c r="W874" s="404"/>
      <c r="X874" s="405"/>
      <c r="Y874" s="203"/>
      <c r="Z874" s="223"/>
      <c r="AA874" s="404"/>
      <c r="AB874" s="405"/>
      <c r="AC874" s="203"/>
      <c r="AD874" s="223"/>
      <c r="AE874" s="404"/>
      <c r="AF874" s="405"/>
      <c r="AG874" s="205"/>
      <c r="AH874" s="205"/>
      <c r="AI874" s="205"/>
      <c r="AJ874" s="205"/>
      <c r="AK874" s="401"/>
      <c r="AL874" s="401"/>
      <c r="AM874" s="401"/>
    </row>
    <row r="875">
      <c r="A875" s="320"/>
      <c r="B875" s="321"/>
      <c r="C875" s="322"/>
      <c r="D875" s="401"/>
      <c r="E875" s="320"/>
      <c r="F875" s="321"/>
      <c r="G875" s="322"/>
      <c r="H875" s="401"/>
      <c r="I875" s="320"/>
      <c r="J875" s="321"/>
      <c r="K875" s="322"/>
      <c r="L875" s="401"/>
      <c r="M875" s="320"/>
      <c r="N875" s="321"/>
      <c r="O875" s="322"/>
      <c r="P875" s="401"/>
      <c r="Q875" s="203"/>
      <c r="R875" s="223"/>
      <c r="S875" s="404"/>
      <c r="T875" s="405"/>
      <c r="U875" s="203"/>
      <c r="V875" s="223"/>
      <c r="W875" s="404"/>
      <c r="X875" s="405"/>
      <c r="Y875" s="203"/>
      <c r="Z875" s="223"/>
      <c r="AA875" s="404"/>
      <c r="AB875" s="405"/>
      <c r="AC875" s="203"/>
      <c r="AD875" s="223"/>
      <c r="AE875" s="404"/>
      <c r="AF875" s="405"/>
      <c r="AG875" s="205"/>
      <c r="AH875" s="205"/>
      <c r="AI875" s="205"/>
      <c r="AJ875" s="205"/>
      <c r="AK875" s="401"/>
      <c r="AL875" s="401"/>
      <c r="AM875" s="401"/>
    </row>
    <row r="876">
      <c r="A876" s="320"/>
      <c r="B876" s="321"/>
      <c r="C876" s="322"/>
      <c r="D876" s="401"/>
      <c r="E876" s="320"/>
      <c r="F876" s="321"/>
      <c r="G876" s="322"/>
      <c r="H876" s="401"/>
      <c r="I876" s="320"/>
      <c r="J876" s="321"/>
      <c r="K876" s="322"/>
      <c r="L876" s="401"/>
      <c r="M876" s="320"/>
      <c r="N876" s="321"/>
      <c r="O876" s="322"/>
      <c r="P876" s="401"/>
      <c r="Q876" s="203"/>
      <c r="R876" s="223"/>
      <c r="S876" s="404"/>
      <c r="T876" s="405"/>
      <c r="U876" s="203"/>
      <c r="V876" s="223"/>
      <c r="W876" s="404"/>
      <c r="X876" s="405"/>
      <c r="Y876" s="203"/>
      <c r="Z876" s="223"/>
      <c r="AA876" s="404"/>
      <c r="AB876" s="405"/>
      <c r="AC876" s="203"/>
      <c r="AD876" s="223"/>
      <c r="AE876" s="404"/>
      <c r="AF876" s="405"/>
      <c r="AG876" s="205"/>
      <c r="AH876" s="205"/>
      <c r="AI876" s="205"/>
      <c r="AJ876" s="205"/>
      <c r="AK876" s="401"/>
      <c r="AL876" s="401"/>
      <c r="AM876" s="401"/>
    </row>
    <row r="877">
      <c r="A877" s="320"/>
      <c r="B877" s="321"/>
      <c r="C877" s="322"/>
      <c r="D877" s="401"/>
      <c r="E877" s="320"/>
      <c r="F877" s="321"/>
      <c r="G877" s="322"/>
      <c r="H877" s="401"/>
      <c r="I877" s="320"/>
      <c r="J877" s="321"/>
      <c r="K877" s="322"/>
      <c r="L877" s="401"/>
      <c r="M877" s="320"/>
      <c r="N877" s="321"/>
      <c r="O877" s="322"/>
      <c r="P877" s="401"/>
      <c r="Q877" s="203"/>
      <c r="R877" s="223"/>
      <c r="S877" s="404"/>
      <c r="T877" s="405"/>
      <c r="U877" s="203"/>
      <c r="V877" s="223"/>
      <c r="W877" s="404"/>
      <c r="X877" s="405"/>
      <c r="Y877" s="203"/>
      <c r="Z877" s="223"/>
      <c r="AA877" s="404"/>
      <c r="AB877" s="405"/>
      <c r="AC877" s="203"/>
      <c r="AD877" s="223"/>
      <c r="AE877" s="404"/>
      <c r="AF877" s="405"/>
      <c r="AG877" s="205"/>
      <c r="AH877" s="205"/>
      <c r="AI877" s="205"/>
      <c r="AJ877" s="205"/>
      <c r="AK877" s="401"/>
      <c r="AL877" s="401"/>
      <c r="AM877" s="401"/>
    </row>
    <row r="878">
      <c r="A878" s="320"/>
      <c r="B878" s="321"/>
      <c r="C878" s="322"/>
      <c r="D878" s="401"/>
      <c r="E878" s="320"/>
      <c r="F878" s="321"/>
      <c r="G878" s="322"/>
      <c r="H878" s="401"/>
      <c r="I878" s="320"/>
      <c r="J878" s="321"/>
      <c r="K878" s="322"/>
      <c r="L878" s="401"/>
      <c r="M878" s="320"/>
      <c r="N878" s="321"/>
      <c r="O878" s="322"/>
      <c r="P878" s="401"/>
      <c r="Q878" s="203"/>
      <c r="R878" s="223"/>
      <c r="S878" s="404"/>
      <c r="T878" s="405"/>
      <c r="U878" s="203"/>
      <c r="V878" s="223"/>
      <c r="W878" s="404"/>
      <c r="X878" s="405"/>
      <c r="Y878" s="203"/>
      <c r="Z878" s="223"/>
      <c r="AA878" s="404"/>
      <c r="AB878" s="405"/>
      <c r="AC878" s="203"/>
      <c r="AD878" s="223"/>
      <c r="AE878" s="404"/>
      <c r="AF878" s="405"/>
      <c r="AG878" s="205"/>
      <c r="AH878" s="205"/>
      <c r="AI878" s="205"/>
      <c r="AJ878" s="205"/>
      <c r="AK878" s="401"/>
      <c r="AL878" s="401"/>
      <c r="AM878" s="401"/>
    </row>
    <row r="879">
      <c r="A879" s="320"/>
      <c r="B879" s="321"/>
      <c r="C879" s="322"/>
      <c r="D879" s="401"/>
      <c r="E879" s="320"/>
      <c r="F879" s="321"/>
      <c r="G879" s="322"/>
      <c r="H879" s="401"/>
      <c r="I879" s="320"/>
      <c r="J879" s="321"/>
      <c r="K879" s="322"/>
      <c r="L879" s="401"/>
      <c r="M879" s="320"/>
      <c r="N879" s="321"/>
      <c r="O879" s="322"/>
      <c r="P879" s="401"/>
      <c r="Q879" s="203"/>
      <c r="R879" s="223"/>
      <c r="S879" s="404"/>
      <c r="T879" s="405"/>
      <c r="U879" s="203"/>
      <c r="V879" s="223"/>
      <c r="W879" s="404"/>
      <c r="X879" s="405"/>
      <c r="Y879" s="203"/>
      <c r="Z879" s="223"/>
      <c r="AA879" s="404"/>
      <c r="AB879" s="405"/>
      <c r="AC879" s="203"/>
      <c r="AD879" s="223"/>
      <c r="AE879" s="404"/>
      <c r="AF879" s="405"/>
      <c r="AG879" s="205"/>
      <c r="AH879" s="205"/>
      <c r="AI879" s="205"/>
      <c r="AJ879" s="205"/>
      <c r="AK879" s="401"/>
      <c r="AL879" s="401"/>
      <c r="AM879" s="401"/>
    </row>
    <row r="880">
      <c r="A880" s="320"/>
      <c r="B880" s="321"/>
      <c r="C880" s="322"/>
      <c r="D880" s="401"/>
      <c r="E880" s="320"/>
      <c r="F880" s="321"/>
      <c r="G880" s="322"/>
      <c r="H880" s="401"/>
      <c r="I880" s="320"/>
      <c r="J880" s="321"/>
      <c r="K880" s="322"/>
      <c r="L880" s="401"/>
      <c r="M880" s="320"/>
      <c r="N880" s="321"/>
      <c r="O880" s="322"/>
      <c r="P880" s="401"/>
      <c r="Q880" s="203"/>
      <c r="R880" s="223"/>
      <c r="S880" s="404"/>
      <c r="T880" s="405"/>
      <c r="U880" s="203"/>
      <c r="V880" s="223"/>
      <c r="W880" s="404"/>
      <c r="X880" s="405"/>
      <c r="Y880" s="203"/>
      <c r="Z880" s="223"/>
      <c r="AA880" s="404"/>
      <c r="AB880" s="405"/>
      <c r="AC880" s="203"/>
      <c r="AD880" s="223"/>
      <c r="AE880" s="404"/>
      <c r="AF880" s="405"/>
      <c r="AG880" s="205"/>
      <c r="AH880" s="205"/>
      <c r="AI880" s="205"/>
      <c r="AJ880" s="205"/>
      <c r="AK880" s="401"/>
      <c r="AL880" s="401"/>
      <c r="AM880" s="401"/>
    </row>
    <row r="881">
      <c r="A881" s="320"/>
      <c r="B881" s="321"/>
      <c r="C881" s="322"/>
      <c r="D881" s="401"/>
      <c r="E881" s="320"/>
      <c r="F881" s="321"/>
      <c r="G881" s="322"/>
      <c r="H881" s="401"/>
      <c r="I881" s="320"/>
      <c r="J881" s="321"/>
      <c r="K881" s="322"/>
      <c r="L881" s="401"/>
      <c r="M881" s="320"/>
      <c r="N881" s="321"/>
      <c r="O881" s="322"/>
      <c r="P881" s="401"/>
      <c r="Q881" s="203"/>
      <c r="R881" s="223"/>
      <c r="S881" s="404"/>
      <c r="T881" s="405"/>
      <c r="U881" s="203"/>
      <c r="V881" s="223"/>
      <c r="W881" s="404"/>
      <c r="X881" s="405"/>
      <c r="Y881" s="203"/>
      <c r="Z881" s="223"/>
      <c r="AA881" s="404"/>
      <c r="AB881" s="405"/>
      <c r="AC881" s="203"/>
      <c r="AD881" s="223"/>
      <c r="AE881" s="404"/>
      <c r="AF881" s="405"/>
      <c r="AG881" s="205"/>
      <c r="AH881" s="205"/>
      <c r="AI881" s="205"/>
      <c r="AJ881" s="205"/>
      <c r="AK881" s="401"/>
      <c r="AL881" s="401"/>
      <c r="AM881" s="401"/>
    </row>
    <row r="882">
      <c r="A882" s="320"/>
      <c r="B882" s="321"/>
      <c r="C882" s="322"/>
      <c r="D882" s="401"/>
      <c r="E882" s="320"/>
      <c r="F882" s="321"/>
      <c r="G882" s="322"/>
      <c r="H882" s="401"/>
      <c r="I882" s="320"/>
      <c r="J882" s="321"/>
      <c r="K882" s="322"/>
      <c r="L882" s="401"/>
      <c r="M882" s="320"/>
      <c r="N882" s="321"/>
      <c r="O882" s="322"/>
      <c r="P882" s="401"/>
      <c r="Q882" s="203"/>
      <c r="R882" s="223"/>
      <c r="S882" s="404"/>
      <c r="T882" s="405"/>
      <c r="U882" s="203"/>
      <c r="V882" s="223"/>
      <c r="W882" s="404"/>
      <c r="X882" s="405"/>
      <c r="Y882" s="203"/>
      <c r="Z882" s="223"/>
      <c r="AA882" s="404"/>
      <c r="AB882" s="405"/>
      <c r="AC882" s="203"/>
      <c r="AD882" s="223"/>
      <c r="AE882" s="404"/>
      <c r="AF882" s="405"/>
      <c r="AG882" s="205"/>
      <c r="AH882" s="205"/>
      <c r="AI882" s="205"/>
      <c r="AJ882" s="205"/>
      <c r="AK882" s="401"/>
      <c r="AL882" s="401"/>
      <c r="AM882" s="401"/>
    </row>
    <row r="883">
      <c r="A883" s="320"/>
      <c r="B883" s="321"/>
      <c r="C883" s="322"/>
      <c r="D883" s="401"/>
      <c r="E883" s="320"/>
      <c r="F883" s="321"/>
      <c r="G883" s="322"/>
      <c r="H883" s="401"/>
      <c r="I883" s="320"/>
      <c r="J883" s="321"/>
      <c r="K883" s="322"/>
      <c r="L883" s="401"/>
      <c r="M883" s="320"/>
      <c r="N883" s="321"/>
      <c r="O883" s="322"/>
      <c r="P883" s="401"/>
      <c r="Q883" s="203"/>
      <c r="R883" s="223"/>
      <c r="S883" s="404"/>
      <c r="T883" s="405"/>
      <c r="U883" s="203"/>
      <c r="V883" s="223"/>
      <c r="W883" s="404"/>
      <c r="X883" s="405"/>
      <c r="Y883" s="203"/>
      <c r="Z883" s="223"/>
      <c r="AA883" s="404"/>
      <c r="AB883" s="405"/>
      <c r="AC883" s="203"/>
      <c r="AD883" s="223"/>
      <c r="AE883" s="404"/>
      <c r="AF883" s="405"/>
      <c r="AG883" s="205"/>
      <c r="AH883" s="205"/>
      <c r="AI883" s="205"/>
      <c r="AJ883" s="205"/>
      <c r="AK883" s="401"/>
      <c r="AL883" s="401"/>
      <c r="AM883" s="401"/>
    </row>
    <row r="884">
      <c r="A884" s="320"/>
      <c r="B884" s="321"/>
      <c r="C884" s="322"/>
      <c r="D884" s="401"/>
      <c r="E884" s="320"/>
      <c r="F884" s="321"/>
      <c r="G884" s="322"/>
      <c r="H884" s="401"/>
      <c r="I884" s="320"/>
      <c r="J884" s="321"/>
      <c r="K884" s="322"/>
      <c r="L884" s="401"/>
      <c r="M884" s="320"/>
      <c r="N884" s="321"/>
      <c r="O884" s="322"/>
      <c r="P884" s="401"/>
      <c r="Q884" s="203"/>
      <c r="R884" s="223"/>
      <c r="S884" s="404"/>
      <c r="T884" s="405"/>
      <c r="U884" s="203"/>
      <c r="V884" s="223"/>
      <c r="W884" s="404"/>
      <c r="X884" s="405"/>
      <c r="Y884" s="203"/>
      <c r="Z884" s="223"/>
      <c r="AA884" s="404"/>
      <c r="AB884" s="405"/>
      <c r="AC884" s="203"/>
      <c r="AD884" s="223"/>
      <c r="AE884" s="404"/>
      <c r="AF884" s="405"/>
      <c r="AG884" s="205"/>
      <c r="AH884" s="205"/>
      <c r="AI884" s="205"/>
      <c r="AJ884" s="205"/>
      <c r="AK884" s="401"/>
      <c r="AL884" s="401"/>
      <c r="AM884" s="401"/>
    </row>
    <row r="885">
      <c r="A885" s="320"/>
      <c r="B885" s="321"/>
      <c r="C885" s="322"/>
      <c r="D885" s="401"/>
      <c r="E885" s="320"/>
      <c r="F885" s="321"/>
      <c r="G885" s="322"/>
      <c r="H885" s="401"/>
      <c r="I885" s="320"/>
      <c r="J885" s="321"/>
      <c r="K885" s="322"/>
      <c r="L885" s="401"/>
      <c r="M885" s="320"/>
      <c r="N885" s="321"/>
      <c r="O885" s="322"/>
      <c r="P885" s="401"/>
      <c r="Q885" s="203"/>
      <c r="R885" s="223"/>
      <c r="S885" s="404"/>
      <c r="T885" s="405"/>
      <c r="U885" s="203"/>
      <c r="V885" s="223"/>
      <c r="W885" s="404"/>
      <c r="X885" s="405"/>
      <c r="Y885" s="203"/>
      <c r="Z885" s="223"/>
      <c r="AA885" s="404"/>
      <c r="AB885" s="405"/>
      <c r="AC885" s="203"/>
      <c r="AD885" s="223"/>
      <c r="AE885" s="404"/>
      <c r="AF885" s="405"/>
      <c r="AG885" s="205"/>
      <c r="AH885" s="205"/>
      <c r="AI885" s="205"/>
      <c r="AJ885" s="205"/>
      <c r="AK885" s="401"/>
      <c r="AL885" s="401"/>
      <c r="AM885" s="401"/>
    </row>
    <row r="886">
      <c r="A886" s="320"/>
      <c r="B886" s="321"/>
      <c r="C886" s="322"/>
      <c r="D886" s="401"/>
      <c r="E886" s="320"/>
      <c r="F886" s="321"/>
      <c r="G886" s="322"/>
      <c r="H886" s="401"/>
      <c r="I886" s="320"/>
      <c r="J886" s="321"/>
      <c r="K886" s="322"/>
      <c r="L886" s="401"/>
      <c r="M886" s="320"/>
      <c r="N886" s="321"/>
      <c r="O886" s="322"/>
      <c r="P886" s="401"/>
      <c r="Q886" s="203"/>
      <c r="R886" s="223"/>
      <c r="S886" s="404"/>
      <c r="T886" s="405"/>
      <c r="U886" s="203"/>
      <c r="V886" s="223"/>
      <c r="W886" s="404"/>
      <c r="X886" s="405"/>
      <c r="Y886" s="203"/>
      <c r="Z886" s="223"/>
      <c r="AA886" s="404"/>
      <c r="AB886" s="405"/>
      <c r="AC886" s="203"/>
      <c r="AD886" s="223"/>
      <c r="AE886" s="404"/>
      <c r="AF886" s="405"/>
      <c r="AG886" s="205"/>
      <c r="AH886" s="205"/>
      <c r="AI886" s="205"/>
      <c r="AJ886" s="205"/>
      <c r="AK886" s="401"/>
      <c r="AL886" s="401"/>
      <c r="AM886" s="401"/>
    </row>
    <row r="887">
      <c r="A887" s="320"/>
      <c r="B887" s="321"/>
      <c r="C887" s="322"/>
      <c r="D887" s="401"/>
      <c r="E887" s="320"/>
      <c r="F887" s="321"/>
      <c r="G887" s="322"/>
      <c r="H887" s="401"/>
      <c r="I887" s="320"/>
      <c r="J887" s="321"/>
      <c r="K887" s="322"/>
      <c r="L887" s="401"/>
      <c r="M887" s="320"/>
      <c r="N887" s="321"/>
      <c r="O887" s="322"/>
      <c r="P887" s="401"/>
      <c r="Q887" s="203"/>
      <c r="R887" s="223"/>
      <c r="S887" s="404"/>
      <c r="T887" s="405"/>
      <c r="U887" s="203"/>
      <c r="V887" s="223"/>
      <c r="W887" s="404"/>
      <c r="X887" s="405"/>
      <c r="Y887" s="203"/>
      <c r="Z887" s="223"/>
      <c r="AA887" s="404"/>
      <c r="AB887" s="405"/>
      <c r="AC887" s="203"/>
      <c r="AD887" s="223"/>
      <c r="AE887" s="404"/>
      <c r="AF887" s="405"/>
      <c r="AG887" s="205"/>
      <c r="AH887" s="205"/>
      <c r="AI887" s="205"/>
      <c r="AJ887" s="205"/>
      <c r="AK887" s="401"/>
      <c r="AL887" s="401"/>
      <c r="AM887" s="401"/>
    </row>
    <row r="888">
      <c r="A888" s="320"/>
      <c r="B888" s="321"/>
      <c r="C888" s="322"/>
      <c r="D888" s="401"/>
      <c r="E888" s="320"/>
      <c r="F888" s="321"/>
      <c r="G888" s="322"/>
      <c r="H888" s="401"/>
      <c r="I888" s="320"/>
      <c r="J888" s="321"/>
      <c r="K888" s="322"/>
      <c r="L888" s="401"/>
      <c r="M888" s="320"/>
      <c r="N888" s="321"/>
      <c r="O888" s="322"/>
      <c r="P888" s="401"/>
      <c r="Q888" s="203"/>
      <c r="R888" s="223"/>
      <c r="S888" s="404"/>
      <c r="T888" s="405"/>
      <c r="U888" s="203"/>
      <c r="V888" s="223"/>
      <c r="W888" s="404"/>
      <c r="X888" s="405"/>
      <c r="Y888" s="203"/>
      <c r="Z888" s="223"/>
      <c r="AA888" s="404"/>
      <c r="AB888" s="405"/>
      <c r="AC888" s="203"/>
      <c r="AD888" s="223"/>
      <c r="AE888" s="404"/>
      <c r="AF888" s="405"/>
      <c r="AG888" s="205"/>
      <c r="AH888" s="205"/>
      <c r="AI888" s="205"/>
      <c r="AJ888" s="205"/>
      <c r="AK888" s="401"/>
      <c r="AL888" s="401"/>
      <c r="AM888" s="401"/>
    </row>
    <row r="889">
      <c r="A889" s="320"/>
      <c r="B889" s="321"/>
      <c r="C889" s="322"/>
      <c r="D889" s="401"/>
      <c r="E889" s="320"/>
      <c r="F889" s="321"/>
      <c r="G889" s="322"/>
      <c r="H889" s="401"/>
      <c r="I889" s="320"/>
      <c r="J889" s="321"/>
      <c r="K889" s="322"/>
      <c r="L889" s="401"/>
      <c r="M889" s="320"/>
      <c r="N889" s="321"/>
      <c r="O889" s="322"/>
      <c r="P889" s="401"/>
      <c r="Q889" s="203"/>
      <c r="R889" s="223"/>
      <c r="S889" s="404"/>
      <c r="T889" s="405"/>
      <c r="U889" s="203"/>
      <c r="V889" s="223"/>
      <c r="W889" s="404"/>
      <c r="X889" s="405"/>
      <c r="Y889" s="203"/>
      <c r="Z889" s="223"/>
      <c r="AA889" s="404"/>
      <c r="AB889" s="405"/>
      <c r="AC889" s="203"/>
      <c r="AD889" s="223"/>
      <c r="AE889" s="404"/>
      <c r="AF889" s="405"/>
      <c r="AG889" s="205"/>
      <c r="AH889" s="205"/>
      <c r="AI889" s="205"/>
      <c r="AJ889" s="205"/>
      <c r="AK889" s="401"/>
      <c r="AL889" s="401"/>
      <c r="AM889" s="401"/>
    </row>
    <row r="890">
      <c r="A890" s="320"/>
      <c r="B890" s="321"/>
      <c r="C890" s="322"/>
      <c r="D890" s="401"/>
      <c r="E890" s="320"/>
      <c r="F890" s="321"/>
      <c r="G890" s="322"/>
      <c r="H890" s="401"/>
      <c r="I890" s="320"/>
      <c r="J890" s="321"/>
      <c r="K890" s="322"/>
      <c r="L890" s="401"/>
      <c r="M890" s="320"/>
      <c r="N890" s="321"/>
      <c r="O890" s="322"/>
      <c r="P890" s="401"/>
      <c r="Q890" s="203"/>
      <c r="R890" s="223"/>
      <c r="S890" s="404"/>
      <c r="T890" s="405"/>
      <c r="U890" s="203"/>
      <c r="V890" s="223"/>
      <c r="W890" s="404"/>
      <c r="X890" s="405"/>
      <c r="Y890" s="203"/>
      <c r="Z890" s="223"/>
      <c r="AA890" s="404"/>
      <c r="AB890" s="405"/>
      <c r="AC890" s="203"/>
      <c r="AD890" s="223"/>
      <c r="AE890" s="404"/>
      <c r="AF890" s="405"/>
      <c r="AG890" s="205"/>
      <c r="AH890" s="205"/>
      <c r="AI890" s="205"/>
      <c r="AJ890" s="205"/>
      <c r="AK890" s="401"/>
      <c r="AL890" s="401"/>
      <c r="AM890" s="401"/>
    </row>
    <row r="891">
      <c r="A891" s="320"/>
      <c r="B891" s="321"/>
      <c r="C891" s="322"/>
      <c r="D891" s="401"/>
      <c r="E891" s="320"/>
      <c r="F891" s="321"/>
      <c r="G891" s="322"/>
      <c r="H891" s="401"/>
      <c r="I891" s="320"/>
      <c r="J891" s="321"/>
      <c r="K891" s="322"/>
      <c r="L891" s="401"/>
      <c r="M891" s="320"/>
      <c r="N891" s="321"/>
      <c r="O891" s="322"/>
      <c r="P891" s="401"/>
      <c r="Q891" s="203"/>
      <c r="R891" s="223"/>
      <c r="S891" s="404"/>
      <c r="T891" s="405"/>
      <c r="U891" s="203"/>
      <c r="V891" s="223"/>
      <c r="W891" s="404"/>
      <c r="X891" s="405"/>
      <c r="Y891" s="203"/>
      <c r="Z891" s="223"/>
      <c r="AA891" s="404"/>
      <c r="AB891" s="405"/>
      <c r="AC891" s="203"/>
      <c r="AD891" s="223"/>
      <c r="AE891" s="404"/>
      <c r="AF891" s="405"/>
      <c r="AG891" s="205"/>
      <c r="AH891" s="205"/>
      <c r="AI891" s="205"/>
      <c r="AJ891" s="205"/>
      <c r="AK891" s="401"/>
      <c r="AL891" s="401"/>
      <c r="AM891" s="401"/>
    </row>
    <row r="892">
      <c r="A892" s="320"/>
      <c r="B892" s="321"/>
      <c r="C892" s="322"/>
      <c r="D892" s="401"/>
      <c r="E892" s="320"/>
      <c r="F892" s="321"/>
      <c r="G892" s="322"/>
      <c r="H892" s="401"/>
      <c r="I892" s="320"/>
      <c r="J892" s="321"/>
      <c r="K892" s="322"/>
      <c r="L892" s="401"/>
      <c r="M892" s="320"/>
      <c r="N892" s="321"/>
      <c r="O892" s="322"/>
      <c r="P892" s="401"/>
      <c r="Q892" s="203"/>
      <c r="R892" s="223"/>
      <c r="S892" s="404"/>
      <c r="T892" s="405"/>
      <c r="U892" s="203"/>
      <c r="V892" s="223"/>
      <c r="W892" s="404"/>
      <c r="X892" s="405"/>
      <c r="Y892" s="203"/>
      <c r="Z892" s="223"/>
      <c r="AA892" s="404"/>
      <c r="AB892" s="405"/>
      <c r="AC892" s="203"/>
      <c r="AD892" s="223"/>
      <c r="AE892" s="404"/>
      <c r="AF892" s="405"/>
      <c r="AG892" s="205"/>
      <c r="AH892" s="205"/>
      <c r="AI892" s="205"/>
      <c r="AJ892" s="205"/>
      <c r="AK892" s="401"/>
      <c r="AL892" s="401"/>
      <c r="AM892" s="401"/>
    </row>
    <row r="893">
      <c r="A893" s="320"/>
      <c r="B893" s="321"/>
      <c r="C893" s="322"/>
      <c r="D893" s="401"/>
      <c r="E893" s="320"/>
      <c r="F893" s="321"/>
      <c r="G893" s="322"/>
      <c r="H893" s="401"/>
      <c r="I893" s="320"/>
      <c r="J893" s="321"/>
      <c r="K893" s="322"/>
      <c r="L893" s="401"/>
      <c r="M893" s="320"/>
      <c r="N893" s="321"/>
      <c r="O893" s="322"/>
      <c r="P893" s="401"/>
      <c r="Q893" s="203"/>
      <c r="R893" s="223"/>
      <c r="S893" s="404"/>
      <c r="T893" s="405"/>
      <c r="U893" s="203"/>
      <c r="V893" s="223"/>
      <c r="W893" s="404"/>
      <c r="X893" s="405"/>
      <c r="Y893" s="203"/>
      <c r="Z893" s="223"/>
      <c r="AA893" s="404"/>
      <c r="AB893" s="405"/>
      <c r="AC893" s="203"/>
      <c r="AD893" s="223"/>
      <c r="AE893" s="404"/>
      <c r="AF893" s="405"/>
      <c r="AG893" s="205"/>
      <c r="AH893" s="205"/>
      <c r="AI893" s="205"/>
      <c r="AJ893" s="205"/>
      <c r="AK893" s="401"/>
      <c r="AL893" s="401"/>
      <c r="AM893" s="401"/>
    </row>
    <row r="894">
      <c r="A894" s="320"/>
      <c r="B894" s="321"/>
      <c r="C894" s="322"/>
      <c r="D894" s="401"/>
      <c r="E894" s="320"/>
      <c r="F894" s="321"/>
      <c r="G894" s="322"/>
      <c r="H894" s="401"/>
      <c r="I894" s="320"/>
      <c r="J894" s="321"/>
      <c r="K894" s="322"/>
      <c r="L894" s="401"/>
      <c r="M894" s="320"/>
      <c r="N894" s="321"/>
      <c r="O894" s="322"/>
      <c r="P894" s="401"/>
      <c r="Q894" s="203"/>
      <c r="R894" s="223"/>
      <c r="S894" s="404"/>
      <c r="T894" s="405"/>
      <c r="U894" s="203"/>
      <c r="V894" s="223"/>
      <c r="W894" s="404"/>
      <c r="X894" s="405"/>
      <c r="Y894" s="203"/>
      <c r="Z894" s="223"/>
      <c r="AA894" s="404"/>
      <c r="AB894" s="405"/>
      <c r="AC894" s="203"/>
      <c r="AD894" s="223"/>
      <c r="AE894" s="404"/>
      <c r="AF894" s="405"/>
      <c r="AG894" s="205"/>
      <c r="AH894" s="205"/>
      <c r="AI894" s="205"/>
      <c r="AJ894" s="205"/>
      <c r="AK894" s="401"/>
      <c r="AL894" s="401"/>
      <c r="AM894" s="401"/>
    </row>
    <row r="895">
      <c r="A895" s="320"/>
      <c r="B895" s="321"/>
      <c r="C895" s="322"/>
      <c r="D895" s="401"/>
      <c r="E895" s="320"/>
      <c r="F895" s="321"/>
      <c r="G895" s="322"/>
      <c r="H895" s="401"/>
      <c r="I895" s="320"/>
      <c r="J895" s="321"/>
      <c r="K895" s="322"/>
      <c r="L895" s="401"/>
      <c r="M895" s="320"/>
      <c r="N895" s="321"/>
      <c r="O895" s="322"/>
      <c r="P895" s="401"/>
      <c r="Q895" s="203"/>
      <c r="R895" s="223"/>
      <c r="S895" s="404"/>
      <c r="T895" s="405"/>
      <c r="U895" s="203"/>
      <c r="V895" s="223"/>
      <c r="W895" s="404"/>
      <c r="X895" s="405"/>
      <c r="Y895" s="203"/>
      <c r="Z895" s="223"/>
      <c r="AA895" s="404"/>
      <c r="AB895" s="405"/>
      <c r="AC895" s="203"/>
      <c r="AD895" s="223"/>
      <c r="AE895" s="404"/>
      <c r="AF895" s="405"/>
      <c r="AG895" s="205"/>
      <c r="AH895" s="205"/>
      <c r="AI895" s="205"/>
      <c r="AJ895" s="205"/>
      <c r="AK895" s="401"/>
      <c r="AL895" s="401"/>
      <c r="AM895" s="401"/>
    </row>
    <row r="896">
      <c r="A896" s="320"/>
      <c r="B896" s="321"/>
      <c r="C896" s="322"/>
      <c r="D896" s="401"/>
      <c r="E896" s="320"/>
      <c r="F896" s="321"/>
      <c r="G896" s="322"/>
      <c r="H896" s="401"/>
      <c r="I896" s="320"/>
      <c r="J896" s="321"/>
      <c r="K896" s="322"/>
      <c r="L896" s="401"/>
      <c r="M896" s="320"/>
      <c r="N896" s="321"/>
      <c r="O896" s="322"/>
      <c r="P896" s="401"/>
      <c r="Q896" s="203"/>
      <c r="R896" s="223"/>
      <c r="S896" s="404"/>
      <c r="T896" s="405"/>
      <c r="U896" s="203"/>
      <c r="V896" s="223"/>
      <c r="W896" s="404"/>
      <c r="X896" s="405"/>
      <c r="Y896" s="203"/>
      <c r="Z896" s="223"/>
      <c r="AA896" s="404"/>
      <c r="AB896" s="405"/>
      <c r="AC896" s="203"/>
      <c r="AD896" s="223"/>
      <c r="AE896" s="404"/>
      <c r="AF896" s="405"/>
      <c r="AG896" s="205"/>
      <c r="AH896" s="205"/>
      <c r="AI896" s="205"/>
      <c r="AJ896" s="205"/>
      <c r="AK896" s="401"/>
      <c r="AL896" s="401"/>
      <c r="AM896" s="401"/>
    </row>
    <row r="897">
      <c r="A897" s="320"/>
      <c r="B897" s="321"/>
      <c r="C897" s="322"/>
      <c r="D897" s="401"/>
      <c r="E897" s="320"/>
      <c r="F897" s="321"/>
      <c r="G897" s="322"/>
      <c r="H897" s="401"/>
      <c r="I897" s="320"/>
      <c r="J897" s="321"/>
      <c r="K897" s="322"/>
      <c r="L897" s="401"/>
      <c r="M897" s="320"/>
      <c r="N897" s="321"/>
      <c r="O897" s="322"/>
      <c r="P897" s="401"/>
      <c r="Q897" s="203"/>
      <c r="R897" s="223"/>
      <c r="S897" s="404"/>
      <c r="T897" s="405"/>
      <c r="U897" s="203"/>
      <c r="V897" s="223"/>
      <c r="W897" s="404"/>
      <c r="X897" s="405"/>
      <c r="Y897" s="203"/>
      <c r="Z897" s="223"/>
      <c r="AA897" s="404"/>
      <c r="AB897" s="405"/>
      <c r="AC897" s="203"/>
      <c r="AD897" s="223"/>
      <c r="AE897" s="404"/>
      <c r="AF897" s="405"/>
      <c r="AG897" s="205"/>
      <c r="AH897" s="205"/>
      <c r="AI897" s="205"/>
      <c r="AJ897" s="205"/>
      <c r="AK897" s="401"/>
      <c r="AL897" s="401"/>
      <c r="AM897" s="401"/>
    </row>
    <row r="898">
      <c r="A898" s="320"/>
      <c r="B898" s="321"/>
      <c r="C898" s="322"/>
      <c r="D898" s="401"/>
      <c r="E898" s="320"/>
      <c r="F898" s="321"/>
      <c r="G898" s="322"/>
      <c r="H898" s="401"/>
      <c r="I898" s="320"/>
      <c r="J898" s="321"/>
      <c r="K898" s="322"/>
      <c r="L898" s="401"/>
      <c r="M898" s="320"/>
      <c r="N898" s="321"/>
      <c r="O898" s="322"/>
      <c r="P898" s="401"/>
      <c r="Q898" s="203"/>
      <c r="R898" s="223"/>
      <c r="S898" s="404"/>
      <c r="T898" s="405"/>
      <c r="U898" s="203"/>
      <c r="V898" s="223"/>
      <c r="W898" s="404"/>
      <c r="X898" s="405"/>
      <c r="Y898" s="203"/>
      <c r="Z898" s="223"/>
      <c r="AA898" s="404"/>
      <c r="AB898" s="405"/>
      <c r="AC898" s="203"/>
      <c r="AD898" s="223"/>
      <c r="AE898" s="404"/>
      <c r="AF898" s="405"/>
      <c r="AG898" s="205"/>
      <c r="AH898" s="205"/>
      <c r="AI898" s="205"/>
      <c r="AJ898" s="205"/>
      <c r="AK898" s="401"/>
      <c r="AL898" s="401"/>
      <c r="AM898" s="401"/>
    </row>
    <row r="899">
      <c r="A899" s="320"/>
      <c r="B899" s="321"/>
      <c r="C899" s="322"/>
      <c r="D899" s="401"/>
      <c r="E899" s="320"/>
      <c r="F899" s="321"/>
      <c r="G899" s="322"/>
      <c r="H899" s="401"/>
      <c r="I899" s="320"/>
      <c r="J899" s="321"/>
      <c r="K899" s="322"/>
      <c r="L899" s="401"/>
      <c r="M899" s="320"/>
      <c r="N899" s="321"/>
      <c r="O899" s="322"/>
      <c r="P899" s="401"/>
      <c r="Q899" s="203"/>
      <c r="R899" s="223"/>
      <c r="S899" s="404"/>
      <c r="T899" s="405"/>
      <c r="U899" s="203"/>
      <c r="V899" s="223"/>
      <c r="W899" s="404"/>
      <c r="X899" s="405"/>
      <c r="Y899" s="203"/>
      <c r="Z899" s="223"/>
      <c r="AA899" s="404"/>
      <c r="AB899" s="405"/>
      <c r="AC899" s="203"/>
      <c r="AD899" s="223"/>
      <c r="AE899" s="404"/>
      <c r="AF899" s="405"/>
      <c r="AG899" s="205"/>
      <c r="AH899" s="205"/>
      <c r="AI899" s="205"/>
      <c r="AJ899" s="205"/>
      <c r="AK899" s="401"/>
      <c r="AL899" s="401"/>
      <c r="AM899" s="401"/>
    </row>
    <row r="900">
      <c r="A900" s="320"/>
      <c r="B900" s="321"/>
      <c r="C900" s="322"/>
      <c r="D900" s="401"/>
      <c r="E900" s="320"/>
      <c r="F900" s="321"/>
      <c r="G900" s="322"/>
      <c r="H900" s="401"/>
      <c r="I900" s="320"/>
      <c r="J900" s="321"/>
      <c r="K900" s="322"/>
      <c r="L900" s="401"/>
      <c r="M900" s="320"/>
      <c r="N900" s="321"/>
      <c r="O900" s="322"/>
      <c r="P900" s="401"/>
      <c r="Q900" s="203"/>
      <c r="R900" s="223"/>
      <c r="S900" s="404"/>
      <c r="T900" s="405"/>
      <c r="U900" s="203"/>
      <c r="V900" s="223"/>
      <c r="W900" s="404"/>
      <c r="X900" s="405"/>
      <c r="Y900" s="203"/>
      <c r="Z900" s="223"/>
      <c r="AA900" s="404"/>
      <c r="AB900" s="405"/>
      <c r="AC900" s="203"/>
      <c r="AD900" s="223"/>
      <c r="AE900" s="404"/>
      <c r="AF900" s="405"/>
      <c r="AG900" s="205"/>
      <c r="AH900" s="205"/>
      <c r="AI900" s="205"/>
      <c r="AJ900" s="205"/>
      <c r="AK900" s="401"/>
      <c r="AL900" s="401"/>
      <c r="AM900" s="401"/>
    </row>
    <row r="901">
      <c r="A901" s="320"/>
      <c r="B901" s="321"/>
      <c r="C901" s="322"/>
      <c r="D901" s="401"/>
      <c r="E901" s="320"/>
      <c r="F901" s="321"/>
      <c r="G901" s="322"/>
      <c r="H901" s="401"/>
      <c r="I901" s="320"/>
      <c r="J901" s="321"/>
      <c r="K901" s="322"/>
      <c r="L901" s="401"/>
      <c r="M901" s="320"/>
      <c r="N901" s="321"/>
      <c r="O901" s="322"/>
      <c r="P901" s="401"/>
      <c r="Q901" s="203"/>
      <c r="R901" s="223"/>
      <c r="S901" s="404"/>
      <c r="T901" s="405"/>
      <c r="U901" s="203"/>
      <c r="V901" s="223"/>
      <c r="W901" s="404"/>
      <c r="X901" s="405"/>
      <c r="Y901" s="203"/>
      <c r="Z901" s="223"/>
      <c r="AA901" s="404"/>
      <c r="AB901" s="405"/>
      <c r="AC901" s="203"/>
      <c r="AD901" s="223"/>
      <c r="AE901" s="404"/>
      <c r="AF901" s="405"/>
      <c r="AG901" s="205"/>
      <c r="AH901" s="205"/>
      <c r="AI901" s="205"/>
      <c r="AJ901" s="205"/>
      <c r="AK901" s="401"/>
      <c r="AL901" s="401"/>
      <c r="AM901" s="401"/>
    </row>
    <row r="902">
      <c r="A902" s="320"/>
      <c r="B902" s="321"/>
      <c r="C902" s="322"/>
      <c r="D902" s="401"/>
      <c r="E902" s="320"/>
      <c r="F902" s="321"/>
      <c r="G902" s="322"/>
      <c r="H902" s="401"/>
      <c r="I902" s="320"/>
      <c r="J902" s="321"/>
      <c r="K902" s="322"/>
      <c r="L902" s="401"/>
      <c r="M902" s="320"/>
      <c r="N902" s="321"/>
      <c r="O902" s="322"/>
      <c r="P902" s="401"/>
      <c r="Q902" s="203"/>
      <c r="R902" s="223"/>
      <c r="S902" s="404"/>
      <c r="T902" s="405"/>
      <c r="U902" s="203"/>
      <c r="V902" s="223"/>
      <c r="W902" s="404"/>
      <c r="X902" s="405"/>
      <c r="Y902" s="203"/>
      <c r="Z902" s="223"/>
      <c r="AA902" s="404"/>
      <c r="AB902" s="405"/>
      <c r="AC902" s="203"/>
      <c r="AD902" s="223"/>
      <c r="AE902" s="404"/>
      <c r="AF902" s="405"/>
      <c r="AG902" s="205"/>
      <c r="AH902" s="205"/>
      <c r="AI902" s="205"/>
      <c r="AJ902" s="205"/>
      <c r="AK902" s="401"/>
      <c r="AL902" s="401"/>
      <c r="AM902" s="401"/>
    </row>
    <row r="903">
      <c r="A903" s="320"/>
      <c r="B903" s="321"/>
      <c r="C903" s="322"/>
      <c r="D903" s="401"/>
      <c r="E903" s="320"/>
      <c r="F903" s="321"/>
      <c r="G903" s="322"/>
      <c r="H903" s="401"/>
      <c r="I903" s="320"/>
      <c r="J903" s="321"/>
      <c r="K903" s="322"/>
      <c r="L903" s="401"/>
      <c r="M903" s="320"/>
      <c r="N903" s="321"/>
      <c r="O903" s="322"/>
      <c r="P903" s="401"/>
      <c r="Q903" s="203"/>
      <c r="R903" s="223"/>
      <c r="S903" s="404"/>
      <c r="T903" s="405"/>
      <c r="U903" s="203"/>
      <c r="V903" s="223"/>
      <c r="W903" s="404"/>
      <c r="X903" s="405"/>
      <c r="Y903" s="203"/>
      <c r="Z903" s="223"/>
      <c r="AA903" s="404"/>
      <c r="AB903" s="405"/>
      <c r="AC903" s="203"/>
      <c r="AD903" s="223"/>
      <c r="AE903" s="404"/>
      <c r="AF903" s="405"/>
      <c r="AG903" s="205"/>
      <c r="AH903" s="205"/>
      <c r="AI903" s="205"/>
      <c r="AJ903" s="205"/>
      <c r="AK903" s="401"/>
      <c r="AL903" s="401"/>
      <c r="AM903" s="401"/>
    </row>
    <row r="904">
      <c r="A904" s="320"/>
      <c r="B904" s="321"/>
      <c r="C904" s="322"/>
      <c r="D904" s="401"/>
      <c r="E904" s="320"/>
      <c r="F904" s="321"/>
      <c r="G904" s="322"/>
      <c r="H904" s="401"/>
      <c r="I904" s="320"/>
      <c r="J904" s="321"/>
      <c r="K904" s="322"/>
      <c r="L904" s="401"/>
      <c r="M904" s="320"/>
      <c r="N904" s="321"/>
      <c r="O904" s="322"/>
      <c r="P904" s="401"/>
      <c r="Q904" s="203"/>
      <c r="R904" s="223"/>
      <c r="S904" s="404"/>
      <c r="T904" s="405"/>
      <c r="U904" s="203"/>
      <c r="V904" s="223"/>
      <c r="W904" s="404"/>
      <c r="X904" s="405"/>
      <c r="Y904" s="203"/>
      <c r="Z904" s="223"/>
      <c r="AA904" s="404"/>
      <c r="AB904" s="405"/>
      <c r="AC904" s="203"/>
      <c r="AD904" s="223"/>
      <c r="AE904" s="404"/>
      <c r="AF904" s="405"/>
      <c r="AG904" s="205"/>
      <c r="AH904" s="205"/>
      <c r="AI904" s="205"/>
      <c r="AJ904" s="205"/>
      <c r="AK904" s="401"/>
      <c r="AL904" s="401"/>
      <c r="AM904" s="401"/>
    </row>
    <row r="905">
      <c r="A905" s="320"/>
      <c r="B905" s="321"/>
      <c r="C905" s="322"/>
      <c r="D905" s="401"/>
      <c r="E905" s="320"/>
      <c r="F905" s="321"/>
      <c r="G905" s="322"/>
      <c r="H905" s="401"/>
      <c r="I905" s="320"/>
      <c r="J905" s="321"/>
      <c r="K905" s="322"/>
      <c r="L905" s="401"/>
      <c r="M905" s="320"/>
      <c r="N905" s="321"/>
      <c r="O905" s="322"/>
      <c r="P905" s="401"/>
      <c r="Q905" s="203"/>
      <c r="R905" s="223"/>
      <c r="S905" s="404"/>
      <c r="T905" s="405"/>
      <c r="U905" s="203"/>
      <c r="V905" s="223"/>
      <c r="W905" s="404"/>
      <c r="X905" s="405"/>
      <c r="Y905" s="203"/>
      <c r="Z905" s="223"/>
      <c r="AA905" s="404"/>
      <c r="AB905" s="405"/>
      <c r="AC905" s="203"/>
      <c r="AD905" s="223"/>
      <c r="AE905" s="404"/>
      <c r="AF905" s="405"/>
      <c r="AG905" s="205"/>
      <c r="AH905" s="205"/>
      <c r="AI905" s="205"/>
      <c r="AJ905" s="205"/>
      <c r="AK905" s="401"/>
      <c r="AL905" s="401"/>
      <c r="AM905" s="401"/>
    </row>
    <row r="906">
      <c r="A906" s="320"/>
      <c r="B906" s="321"/>
      <c r="C906" s="322"/>
      <c r="D906" s="401"/>
      <c r="E906" s="320"/>
      <c r="F906" s="321"/>
      <c r="G906" s="322"/>
      <c r="H906" s="401"/>
      <c r="I906" s="320"/>
      <c r="J906" s="321"/>
      <c r="K906" s="322"/>
      <c r="L906" s="401"/>
      <c r="M906" s="320"/>
      <c r="N906" s="321"/>
      <c r="O906" s="322"/>
      <c r="P906" s="401"/>
      <c r="Q906" s="203"/>
      <c r="R906" s="223"/>
      <c r="S906" s="404"/>
      <c r="T906" s="405"/>
      <c r="U906" s="203"/>
      <c r="V906" s="223"/>
      <c r="W906" s="404"/>
      <c r="X906" s="405"/>
      <c r="Y906" s="203"/>
      <c r="Z906" s="223"/>
      <c r="AA906" s="404"/>
      <c r="AB906" s="405"/>
      <c r="AC906" s="203"/>
      <c r="AD906" s="223"/>
      <c r="AE906" s="404"/>
      <c r="AF906" s="405"/>
      <c r="AG906" s="205"/>
      <c r="AH906" s="205"/>
      <c r="AI906" s="205"/>
      <c r="AJ906" s="205"/>
      <c r="AK906" s="401"/>
      <c r="AL906" s="401"/>
      <c r="AM906" s="401"/>
    </row>
    <row r="907">
      <c r="A907" s="320"/>
      <c r="B907" s="321"/>
      <c r="C907" s="322"/>
      <c r="D907" s="401"/>
      <c r="E907" s="320"/>
      <c r="F907" s="321"/>
      <c r="G907" s="322"/>
      <c r="H907" s="401"/>
      <c r="I907" s="320"/>
      <c r="J907" s="321"/>
      <c r="K907" s="322"/>
      <c r="L907" s="401"/>
      <c r="M907" s="320"/>
      <c r="N907" s="321"/>
      <c r="O907" s="322"/>
      <c r="P907" s="401"/>
      <c r="Q907" s="203"/>
      <c r="R907" s="223"/>
      <c r="S907" s="404"/>
      <c r="T907" s="405"/>
      <c r="U907" s="203"/>
      <c r="V907" s="223"/>
      <c r="W907" s="404"/>
      <c r="X907" s="405"/>
      <c r="Y907" s="203"/>
      <c r="Z907" s="223"/>
      <c r="AA907" s="404"/>
      <c r="AB907" s="405"/>
      <c r="AC907" s="203"/>
      <c r="AD907" s="223"/>
      <c r="AE907" s="404"/>
      <c r="AF907" s="405"/>
      <c r="AG907" s="205"/>
      <c r="AH907" s="205"/>
      <c r="AI907" s="205"/>
      <c r="AJ907" s="205"/>
      <c r="AK907" s="401"/>
      <c r="AL907" s="401"/>
      <c r="AM907" s="401"/>
    </row>
    <row r="908">
      <c r="A908" s="320"/>
      <c r="B908" s="321"/>
      <c r="C908" s="322"/>
      <c r="D908" s="401"/>
      <c r="E908" s="320"/>
      <c r="F908" s="321"/>
      <c r="G908" s="322"/>
      <c r="H908" s="401"/>
      <c r="I908" s="320"/>
      <c r="J908" s="321"/>
      <c r="K908" s="322"/>
      <c r="L908" s="401"/>
      <c r="M908" s="320"/>
      <c r="N908" s="321"/>
      <c r="O908" s="322"/>
      <c r="P908" s="401"/>
      <c r="Q908" s="203"/>
      <c r="R908" s="223"/>
      <c r="S908" s="404"/>
      <c r="T908" s="405"/>
      <c r="U908" s="203"/>
      <c r="V908" s="223"/>
      <c r="W908" s="404"/>
      <c r="X908" s="405"/>
      <c r="Y908" s="203"/>
      <c r="Z908" s="223"/>
      <c r="AA908" s="404"/>
      <c r="AB908" s="405"/>
      <c r="AC908" s="203"/>
      <c r="AD908" s="223"/>
      <c r="AE908" s="404"/>
      <c r="AF908" s="405"/>
      <c r="AG908" s="205"/>
      <c r="AH908" s="205"/>
      <c r="AI908" s="205"/>
      <c r="AJ908" s="205"/>
      <c r="AK908" s="401"/>
      <c r="AL908" s="401"/>
      <c r="AM908" s="401"/>
    </row>
    <row r="909">
      <c r="A909" s="320"/>
      <c r="B909" s="321"/>
      <c r="C909" s="322"/>
      <c r="D909" s="401"/>
      <c r="E909" s="320"/>
      <c r="F909" s="321"/>
      <c r="G909" s="322"/>
      <c r="H909" s="401"/>
      <c r="I909" s="320"/>
      <c r="J909" s="321"/>
      <c r="K909" s="322"/>
      <c r="L909" s="401"/>
      <c r="M909" s="320"/>
      <c r="N909" s="321"/>
      <c r="O909" s="322"/>
      <c r="P909" s="401"/>
      <c r="Q909" s="203"/>
      <c r="R909" s="223"/>
      <c r="S909" s="404"/>
      <c r="T909" s="405"/>
      <c r="U909" s="203"/>
      <c r="V909" s="223"/>
      <c r="W909" s="404"/>
      <c r="X909" s="405"/>
      <c r="Y909" s="203"/>
      <c r="Z909" s="223"/>
      <c r="AA909" s="404"/>
      <c r="AB909" s="405"/>
      <c r="AC909" s="203"/>
      <c r="AD909" s="223"/>
      <c r="AE909" s="404"/>
      <c r="AF909" s="405"/>
      <c r="AG909" s="205"/>
      <c r="AH909" s="205"/>
      <c r="AI909" s="205"/>
      <c r="AJ909" s="205"/>
      <c r="AK909" s="401"/>
      <c r="AL909" s="401"/>
      <c r="AM909" s="401"/>
    </row>
    <row r="910">
      <c r="A910" s="320"/>
      <c r="B910" s="321"/>
      <c r="C910" s="322"/>
      <c r="D910" s="401"/>
      <c r="E910" s="320"/>
      <c r="F910" s="321"/>
      <c r="G910" s="322"/>
      <c r="H910" s="401"/>
      <c r="I910" s="320"/>
      <c r="J910" s="321"/>
      <c r="K910" s="322"/>
      <c r="L910" s="401"/>
      <c r="M910" s="320"/>
      <c r="N910" s="321"/>
      <c r="O910" s="322"/>
      <c r="P910" s="401"/>
      <c r="Q910" s="203"/>
      <c r="R910" s="223"/>
      <c r="S910" s="404"/>
      <c r="T910" s="405"/>
      <c r="U910" s="203"/>
      <c r="V910" s="223"/>
      <c r="W910" s="404"/>
      <c r="X910" s="405"/>
      <c r="Y910" s="203"/>
      <c r="Z910" s="223"/>
      <c r="AA910" s="404"/>
      <c r="AB910" s="405"/>
      <c r="AC910" s="203"/>
      <c r="AD910" s="223"/>
      <c r="AE910" s="404"/>
      <c r="AF910" s="405"/>
      <c r="AG910" s="205"/>
      <c r="AH910" s="205"/>
      <c r="AI910" s="205"/>
      <c r="AJ910" s="205"/>
      <c r="AK910" s="401"/>
      <c r="AL910" s="401"/>
      <c r="AM910" s="401"/>
    </row>
    <row r="911">
      <c r="A911" s="320"/>
      <c r="B911" s="321"/>
      <c r="C911" s="322"/>
      <c r="D911" s="401"/>
      <c r="E911" s="320"/>
      <c r="F911" s="321"/>
      <c r="G911" s="322"/>
      <c r="H911" s="401"/>
      <c r="I911" s="320"/>
      <c r="J911" s="321"/>
      <c r="K911" s="322"/>
      <c r="L911" s="401"/>
      <c r="M911" s="320"/>
      <c r="N911" s="321"/>
      <c r="O911" s="322"/>
      <c r="P911" s="401"/>
      <c r="Q911" s="203"/>
      <c r="R911" s="223"/>
      <c r="S911" s="404"/>
      <c r="T911" s="405"/>
      <c r="U911" s="203"/>
      <c r="V911" s="223"/>
      <c r="W911" s="404"/>
      <c r="X911" s="405"/>
      <c r="Y911" s="203"/>
      <c r="Z911" s="223"/>
      <c r="AA911" s="404"/>
      <c r="AB911" s="405"/>
      <c r="AC911" s="203"/>
      <c r="AD911" s="223"/>
      <c r="AE911" s="404"/>
      <c r="AF911" s="405"/>
      <c r="AG911" s="205"/>
      <c r="AH911" s="205"/>
      <c r="AI911" s="205"/>
      <c r="AJ911" s="205"/>
      <c r="AK911" s="401"/>
      <c r="AL911" s="401"/>
      <c r="AM911" s="401"/>
    </row>
    <row r="912">
      <c r="A912" s="320"/>
      <c r="B912" s="321"/>
      <c r="C912" s="322"/>
      <c r="D912" s="401"/>
      <c r="E912" s="320"/>
      <c r="F912" s="321"/>
      <c r="G912" s="322"/>
      <c r="H912" s="401"/>
      <c r="I912" s="320"/>
      <c r="J912" s="321"/>
      <c r="K912" s="322"/>
      <c r="L912" s="401"/>
      <c r="M912" s="320"/>
      <c r="N912" s="321"/>
      <c r="O912" s="322"/>
      <c r="P912" s="401"/>
      <c r="Q912" s="203"/>
      <c r="R912" s="223"/>
      <c r="S912" s="404"/>
      <c r="T912" s="405"/>
      <c r="U912" s="203"/>
      <c r="V912" s="223"/>
      <c r="W912" s="404"/>
      <c r="X912" s="405"/>
      <c r="Y912" s="203"/>
      <c r="Z912" s="223"/>
      <c r="AA912" s="404"/>
      <c r="AB912" s="405"/>
      <c r="AC912" s="203"/>
      <c r="AD912" s="223"/>
      <c r="AE912" s="404"/>
      <c r="AF912" s="405"/>
      <c r="AG912" s="205"/>
      <c r="AH912" s="205"/>
      <c r="AI912" s="205"/>
      <c r="AJ912" s="205"/>
      <c r="AK912" s="401"/>
      <c r="AL912" s="401"/>
      <c r="AM912" s="401"/>
    </row>
    <row r="913">
      <c r="A913" s="320"/>
      <c r="B913" s="321"/>
      <c r="C913" s="322"/>
      <c r="D913" s="401"/>
      <c r="E913" s="320"/>
      <c r="F913" s="321"/>
      <c r="G913" s="322"/>
      <c r="H913" s="401"/>
      <c r="I913" s="320"/>
      <c r="J913" s="321"/>
      <c r="K913" s="322"/>
      <c r="L913" s="401"/>
      <c r="M913" s="320"/>
      <c r="N913" s="321"/>
      <c r="O913" s="322"/>
      <c r="P913" s="401"/>
      <c r="Q913" s="203"/>
      <c r="R913" s="223"/>
      <c r="S913" s="404"/>
      <c r="T913" s="405"/>
      <c r="U913" s="203"/>
      <c r="V913" s="223"/>
      <c r="W913" s="404"/>
      <c r="X913" s="405"/>
      <c r="Y913" s="203"/>
      <c r="Z913" s="223"/>
      <c r="AA913" s="404"/>
      <c r="AB913" s="405"/>
      <c r="AC913" s="203"/>
      <c r="AD913" s="223"/>
      <c r="AE913" s="404"/>
      <c r="AF913" s="405"/>
      <c r="AG913" s="205"/>
      <c r="AH913" s="205"/>
      <c r="AI913" s="205"/>
      <c r="AJ913" s="205"/>
      <c r="AK913" s="401"/>
      <c r="AL913" s="401"/>
      <c r="AM913" s="401"/>
    </row>
    <row r="914">
      <c r="A914" s="320"/>
      <c r="B914" s="321"/>
      <c r="C914" s="322"/>
      <c r="D914" s="401"/>
      <c r="E914" s="320"/>
      <c r="F914" s="321"/>
      <c r="G914" s="322"/>
      <c r="H914" s="401"/>
      <c r="I914" s="320"/>
      <c r="J914" s="321"/>
      <c r="K914" s="322"/>
      <c r="L914" s="401"/>
      <c r="M914" s="320"/>
      <c r="N914" s="321"/>
      <c r="O914" s="322"/>
      <c r="P914" s="401"/>
      <c r="Q914" s="203"/>
      <c r="R914" s="223"/>
      <c r="S914" s="404"/>
      <c r="T914" s="405"/>
      <c r="U914" s="203"/>
      <c r="V914" s="223"/>
      <c r="W914" s="404"/>
      <c r="X914" s="405"/>
      <c r="Y914" s="203"/>
      <c r="Z914" s="223"/>
      <c r="AA914" s="404"/>
      <c r="AB914" s="405"/>
      <c r="AC914" s="203"/>
      <c r="AD914" s="223"/>
      <c r="AE914" s="404"/>
      <c r="AF914" s="405"/>
      <c r="AG914" s="205"/>
      <c r="AH914" s="205"/>
      <c r="AI914" s="205"/>
      <c r="AJ914" s="205"/>
      <c r="AK914" s="401"/>
      <c r="AL914" s="401"/>
      <c r="AM914" s="401"/>
    </row>
    <row r="915">
      <c r="A915" s="320"/>
      <c r="B915" s="321"/>
      <c r="C915" s="322"/>
      <c r="D915" s="401"/>
      <c r="E915" s="320"/>
      <c r="F915" s="321"/>
      <c r="G915" s="322"/>
      <c r="H915" s="401"/>
      <c r="I915" s="320"/>
      <c r="J915" s="321"/>
      <c r="K915" s="322"/>
      <c r="L915" s="401"/>
      <c r="M915" s="320"/>
      <c r="N915" s="321"/>
      <c r="O915" s="322"/>
      <c r="P915" s="401"/>
      <c r="Q915" s="203"/>
      <c r="R915" s="223"/>
      <c r="S915" s="404"/>
      <c r="T915" s="405"/>
      <c r="U915" s="203"/>
      <c r="V915" s="223"/>
      <c r="W915" s="404"/>
      <c r="X915" s="405"/>
      <c r="Y915" s="203"/>
      <c r="Z915" s="223"/>
      <c r="AA915" s="404"/>
      <c r="AB915" s="405"/>
      <c r="AC915" s="203"/>
      <c r="AD915" s="223"/>
      <c r="AE915" s="404"/>
      <c r="AF915" s="405"/>
      <c r="AG915" s="205"/>
      <c r="AH915" s="205"/>
      <c r="AI915" s="205"/>
      <c r="AJ915" s="205"/>
      <c r="AK915" s="401"/>
      <c r="AL915" s="401"/>
      <c r="AM915" s="401"/>
    </row>
    <row r="916">
      <c r="A916" s="320"/>
      <c r="B916" s="321"/>
      <c r="C916" s="322"/>
      <c r="D916" s="401"/>
      <c r="E916" s="320"/>
      <c r="F916" s="321"/>
      <c r="G916" s="322"/>
      <c r="H916" s="401"/>
      <c r="I916" s="320"/>
      <c r="J916" s="321"/>
      <c r="K916" s="322"/>
      <c r="L916" s="401"/>
      <c r="M916" s="320"/>
      <c r="N916" s="321"/>
      <c r="O916" s="322"/>
      <c r="P916" s="401"/>
      <c r="Q916" s="203"/>
      <c r="R916" s="223"/>
      <c r="S916" s="404"/>
      <c r="T916" s="405"/>
      <c r="U916" s="203"/>
      <c r="V916" s="223"/>
      <c r="W916" s="404"/>
      <c r="X916" s="405"/>
      <c r="Y916" s="203"/>
      <c r="Z916" s="223"/>
      <c r="AA916" s="404"/>
      <c r="AB916" s="405"/>
      <c r="AC916" s="203"/>
      <c r="AD916" s="223"/>
      <c r="AE916" s="404"/>
      <c r="AF916" s="405"/>
      <c r="AG916" s="205"/>
      <c r="AH916" s="205"/>
      <c r="AI916" s="205"/>
      <c r="AJ916" s="205"/>
      <c r="AK916" s="401"/>
      <c r="AL916" s="401"/>
      <c r="AM916" s="401"/>
    </row>
    <row r="917">
      <c r="A917" s="320"/>
      <c r="B917" s="321"/>
      <c r="C917" s="322"/>
      <c r="D917" s="401"/>
      <c r="E917" s="320"/>
      <c r="F917" s="321"/>
      <c r="G917" s="322"/>
      <c r="H917" s="401"/>
      <c r="I917" s="320"/>
      <c r="J917" s="321"/>
      <c r="K917" s="322"/>
      <c r="L917" s="401"/>
      <c r="M917" s="320"/>
      <c r="N917" s="321"/>
      <c r="O917" s="322"/>
      <c r="P917" s="401"/>
      <c r="Q917" s="203"/>
      <c r="R917" s="223"/>
      <c r="S917" s="404"/>
      <c r="T917" s="405"/>
      <c r="U917" s="203"/>
      <c r="V917" s="223"/>
      <c r="W917" s="404"/>
      <c r="X917" s="405"/>
      <c r="Y917" s="203"/>
      <c r="Z917" s="223"/>
      <c r="AA917" s="404"/>
      <c r="AB917" s="405"/>
      <c r="AC917" s="203"/>
      <c r="AD917" s="223"/>
      <c r="AE917" s="404"/>
      <c r="AF917" s="405"/>
      <c r="AG917" s="205"/>
      <c r="AH917" s="205"/>
      <c r="AI917" s="205"/>
      <c r="AJ917" s="205"/>
      <c r="AK917" s="401"/>
      <c r="AL917" s="401"/>
      <c r="AM917" s="401"/>
    </row>
    <row r="918">
      <c r="A918" s="320"/>
      <c r="B918" s="321"/>
      <c r="C918" s="322"/>
      <c r="D918" s="401"/>
      <c r="E918" s="320"/>
      <c r="F918" s="321"/>
      <c r="G918" s="322"/>
      <c r="H918" s="401"/>
      <c r="I918" s="320"/>
      <c r="J918" s="321"/>
      <c r="K918" s="322"/>
      <c r="L918" s="401"/>
      <c r="M918" s="320"/>
      <c r="N918" s="321"/>
      <c r="O918" s="322"/>
      <c r="P918" s="401"/>
      <c r="Q918" s="203"/>
      <c r="R918" s="223"/>
      <c r="S918" s="404"/>
      <c r="T918" s="405"/>
      <c r="U918" s="203"/>
      <c r="V918" s="223"/>
      <c r="W918" s="404"/>
      <c r="X918" s="405"/>
      <c r="Y918" s="203"/>
      <c r="Z918" s="223"/>
      <c r="AA918" s="404"/>
      <c r="AB918" s="405"/>
      <c r="AC918" s="203"/>
      <c r="AD918" s="223"/>
      <c r="AE918" s="404"/>
      <c r="AF918" s="405"/>
      <c r="AG918" s="205"/>
      <c r="AH918" s="205"/>
      <c r="AI918" s="205"/>
      <c r="AJ918" s="205"/>
      <c r="AK918" s="401"/>
      <c r="AL918" s="401"/>
      <c r="AM918" s="401"/>
    </row>
    <row r="919">
      <c r="A919" s="320"/>
      <c r="B919" s="321"/>
      <c r="C919" s="322"/>
      <c r="D919" s="401"/>
      <c r="E919" s="320"/>
      <c r="F919" s="321"/>
      <c r="G919" s="322"/>
      <c r="H919" s="401"/>
      <c r="I919" s="320"/>
      <c r="J919" s="321"/>
      <c r="K919" s="322"/>
      <c r="L919" s="401"/>
      <c r="M919" s="320"/>
      <c r="N919" s="321"/>
      <c r="O919" s="322"/>
      <c r="P919" s="401"/>
      <c r="Q919" s="203"/>
      <c r="R919" s="223"/>
      <c r="S919" s="404"/>
      <c r="T919" s="405"/>
      <c r="U919" s="203"/>
      <c r="V919" s="223"/>
      <c r="W919" s="404"/>
      <c r="X919" s="405"/>
      <c r="Y919" s="203"/>
      <c r="Z919" s="223"/>
      <c r="AA919" s="404"/>
      <c r="AB919" s="405"/>
      <c r="AC919" s="203"/>
      <c r="AD919" s="223"/>
      <c r="AE919" s="404"/>
      <c r="AF919" s="405"/>
      <c r="AG919" s="205"/>
      <c r="AH919" s="205"/>
      <c r="AI919" s="205"/>
      <c r="AJ919" s="205"/>
      <c r="AK919" s="401"/>
      <c r="AL919" s="401"/>
      <c r="AM919" s="401"/>
    </row>
    <row r="920">
      <c r="A920" s="320"/>
      <c r="B920" s="321"/>
      <c r="C920" s="322"/>
      <c r="D920" s="401"/>
      <c r="E920" s="320"/>
      <c r="F920" s="321"/>
      <c r="G920" s="322"/>
      <c r="H920" s="401"/>
      <c r="I920" s="320"/>
      <c r="J920" s="321"/>
      <c r="K920" s="322"/>
      <c r="L920" s="401"/>
      <c r="M920" s="320"/>
      <c r="N920" s="321"/>
      <c r="O920" s="322"/>
      <c r="P920" s="401"/>
      <c r="Q920" s="203"/>
      <c r="R920" s="223"/>
      <c r="S920" s="404"/>
      <c r="T920" s="405"/>
      <c r="U920" s="203"/>
      <c r="V920" s="223"/>
      <c r="W920" s="404"/>
      <c r="X920" s="405"/>
      <c r="Y920" s="203"/>
      <c r="Z920" s="223"/>
      <c r="AA920" s="404"/>
      <c r="AB920" s="405"/>
      <c r="AC920" s="203"/>
      <c r="AD920" s="223"/>
      <c r="AE920" s="404"/>
      <c r="AF920" s="405"/>
      <c r="AG920" s="205"/>
      <c r="AH920" s="205"/>
      <c r="AI920" s="205"/>
      <c r="AJ920" s="205"/>
      <c r="AK920" s="401"/>
      <c r="AL920" s="401"/>
      <c r="AM920" s="401"/>
    </row>
    <row r="921">
      <c r="A921" s="320"/>
      <c r="B921" s="321"/>
      <c r="C921" s="322"/>
      <c r="D921" s="401"/>
      <c r="E921" s="320"/>
      <c r="F921" s="321"/>
      <c r="G921" s="322"/>
      <c r="H921" s="401"/>
      <c r="I921" s="320"/>
      <c r="J921" s="321"/>
      <c r="K921" s="322"/>
      <c r="L921" s="401"/>
      <c r="M921" s="320"/>
      <c r="N921" s="321"/>
      <c r="O921" s="322"/>
      <c r="P921" s="401"/>
      <c r="Q921" s="203"/>
      <c r="R921" s="223"/>
      <c r="S921" s="404"/>
      <c r="T921" s="405"/>
      <c r="U921" s="203"/>
      <c r="V921" s="223"/>
      <c r="W921" s="404"/>
      <c r="X921" s="405"/>
      <c r="Y921" s="203"/>
      <c r="Z921" s="223"/>
      <c r="AA921" s="404"/>
      <c r="AB921" s="405"/>
      <c r="AC921" s="203"/>
      <c r="AD921" s="223"/>
      <c r="AE921" s="404"/>
      <c r="AF921" s="405"/>
      <c r="AG921" s="205"/>
      <c r="AH921" s="205"/>
      <c r="AI921" s="205"/>
      <c r="AJ921" s="205"/>
      <c r="AK921" s="401"/>
      <c r="AL921" s="401"/>
      <c r="AM921" s="401"/>
    </row>
    <row r="922">
      <c r="A922" s="320"/>
      <c r="B922" s="321"/>
      <c r="C922" s="322"/>
      <c r="D922" s="401"/>
      <c r="E922" s="320"/>
      <c r="F922" s="321"/>
      <c r="G922" s="322"/>
      <c r="H922" s="401"/>
      <c r="I922" s="320"/>
      <c r="J922" s="321"/>
      <c r="K922" s="322"/>
      <c r="L922" s="401"/>
      <c r="M922" s="320"/>
      <c r="N922" s="321"/>
      <c r="O922" s="322"/>
      <c r="P922" s="401"/>
      <c r="Q922" s="203"/>
      <c r="R922" s="223"/>
      <c r="S922" s="404"/>
      <c r="T922" s="405"/>
      <c r="U922" s="203"/>
      <c r="V922" s="223"/>
      <c r="W922" s="404"/>
      <c r="X922" s="405"/>
      <c r="Y922" s="203"/>
      <c r="Z922" s="223"/>
      <c r="AA922" s="404"/>
      <c r="AB922" s="405"/>
      <c r="AC922" s="203"/>
      <c r="AD922" s="223"/>
      <c r="AE922" s="404"/>
      <c r="AF922" s="405"/>
      <c r="AG922" s="205"/>
      <c r="AH922" s="205"/>
      <c r="AI922" s="205"/>
      <c r="AJ922" s="205"/>
      <c r="AK922" s="401"/>
      <c r="AL922" s="401"/>
      <c r="AM922" s="401"/>
    </row>
    <row r="923">
      <c r="A923" s="320"/>
      <c r="B923" s="321"/>
      <c r="C923" s="322"/>
      <c r="D923" s="401"/>
      <c r="E923" s="320"/>
      <c r="F923" s="321"/>
      <c r="G923" s="322"/>
      <c r="H923" s="401"/>
      <c r="I923" s="320"/>
      <c r="J923" s="321"/>
      <c r="K923" s="322"/>
      <c r="L923" s="401"/>
      <c r="M923" s="320"/>
      <c r="N923" s="321"/>
      <c r="O923" s="322"/>
      <c r="P923" s="401"/>
      <c r="Q923" s="203"/>
      <c r="R923" s="223"/>
      <c r="S923" s="404"/>
      <c r="T923" s="405"/>
      <c r="U923" s="203"/>
      <c r="V923" s="223"/>
      <c r="W923" s="404"/>
      <c r="X923" s="405"/>
      <c r="Y923" s="203"/>
      <c r="Z923" s="223"/>
      <c r="AA923" s="404"/>
      <c r="AB923" s="405"/>
      <c r="AC923" s="203"/>
      <c r="AD923" s="223"/>
      <c r="AE923" s="404"/>
      <c r="AF923" s="405"/>
      <c r="AG923" s="205"/>
      <c r="AH923" s="205"/>
      <c r="AI923" s="205"/>
      <c r="AJ923" s="205"/>
      <c r="AK923" s="401"/>
      <c r="AL923" s="401"/>
      <c r="AM923" s="401"/>
    </row>
    <row r="924">
      <c r="A924" s="320"/>
      <c r="B924" s="321"/>
      <c r="C924" s="322"/>
      <c r="D924" s="401"/>
      <c r="E924" s="320"/>
      <c r="F924" s="321"/>
      <c r="G924" s="322"/>
      <c r="H924" s="401"/>
      <c r="I924" s="320"/>
      <c r="J924" s="321"/>
      <c r="K924" s="322"/>
      <c r="L924" s="401"/>
      <c r="M924" s="320"/>
      <c r="N924" s="321"/>
      <c r="O924" s="322"/>
      <c r="P924" s="401"/>
      <c r="Q924" s="203"/>
      <c r="R924" s="223"/>
      <c r="S924" s="404"/>
      <c r="T924" s="405"/>
      <c r="U924" s="203"/>
      <c r="V924" s="223"/>
      <c r="W924" s="404"/>
      <c r="X924" s="405"/>
      <c r="Y924" s="203"/>
      <c r="Z924" s="223"/>
      <c r="AA924" s="404"/>
      <c r="AB924" s="405"/>
      <c r="AC924" s="203"/>
      <c r="AD924" s="223"/>
      <c r="AE924" s="404"/>
      <c r="AF924" s="405"/>
      <c r="AG924" s="205"/>
      <c r="AH924" s="205"/>
      <c r="AI924" s="205"/>
      <c r="AJ924" s="205"/>
      <c r="AK924" s="401"/>
      <c r="AL924" s="401"/>
      <c r="AM924" s="401"/>
    </row>
    <row r="925">
      <c r="A925" s="320"/>
      <c r="B925" s="321"/>
      <c r="C925" s="322"/>
      <c r="D925" s="401"/>
      <c r="E925" s="320"/>
      <c r="F925" s="321"/>
      <c r="G925" s="322"/>
      <c r="H925" s="401"/>
      <c r="I925" s="320"/>
      <c r="J925" s="321"/>
      <c r="K925" s="322"/>
      <c r="L925" s="401"/>
      <c r="M925" s="320"/>
      <c r="N925" s="321"/>
      <c r="O925" s="322"/>
      <c r="P925" s="401"/>
      <c r="Q925" s="203"/>
      <c r="R925" s="223"/>
      <c r="S925" s="404"/>
      <c r="T925" s="405"/>
      <c r="U925" s="203"/>
      <c r="V925" s="223"/>
      <c r="W925" s="404"/>
      <c r="X925" s="405"/>
      <c r="Y925" s="203"/>
      <c r="Z925" s="223"/>
      <c r="AA925" s="404"/>
      <c r="AB925" s="405"/>
      <c r="AC925" s="203"/>
      <c r="AD925" s="223"/>
      <c r="AE925" s="404"/>
      <c r="AF925" s="405"/>
      <c r="AG925" s="205"/>
      <c r="AH925" s="205"/>
      <c r="AI925" s="205"/>
      <c r="AJ925" s="205"/>
      <c r="AK925" s="401"/>
      <c r="AL925" s="401"/>
      <c r="AM925" s="401"/>
    </row>
    <row r="926">
      <c r="A926" s="320"/>
      <c r="B926" s="321"/>
      <c r="C926" s="322"/>
      <c r="D926" s="401"/>
      <c r="E926" s="320"/>
      <c r="F926" s="321"/>
      <c r="G926" s="322"/>
      <c r="H926" s="401"/>
      <c r="I926" s="320"/>
      <c r="J926" s="321"/>
      <c r="K926" s="322"/>
      <c r="L926" s="401"/>
      <c r="M926" s="320"/>
      <c r="N926" s="321"/>
      <c r="O926" s="322"/>
      <c r="P926" s="401"/>
      <c r="Q926" s="203"/>
      <c r="R926" s="223"/>
      <c r="S926" s="404"/>
      <c r="T926" s="405"/>
      <c r="U926" s="203"/>
      <c r="V926" s="223"/>
      <c r="W926" s="404"/>
      <c r="X926" s="405"/>
      <c r="Y926" s="203"/>
      <c r="Z926" s="223"/>
      <c r="AA926" s="404"/>
      <c r="AB926" s="405"/>
      <c r="AC926" s="203"/>
      <c r="AD926" s="223"/>
      <c r="AE926" s="404"/>
      <c r="AF926" s="405"/>
      <c r="AG926" s="205"/>
      <c r="AH926" s="205"/>
      <c r="AI926" s="205"/>
      <c r="AJ926" s="205"/>
      <c r="AK926" s="401"/>
      <c r="AL926" s="401"/>
      <c r="AM926" s="401"/>
    </row>
    <row r="927">
      <c r="A927" s="320"/>
      <c r="B927" s="321"/>
      <c r="C927" s="322"/>
      <c r="D927" s="401"/>
      <c r="E927" s="320"/>
      <c r="F927" s="321"/>
      <c r="G927" s="322"/>
      <c r="H927" s="401"/>
      <c r="I927" s="320"/>
      <c r="J927" s="321"/>
      <c r="K927" s="322"/>
      <c r="L927" s="401"/>
      <c r="M927" s="320"/>
      <c r="N927" s="321"/>
      <c r="O927" s="322"/>
      <c r="P927" s="401"/>
      <c r="Q927" s="203"/>
      <c r="R927" s="223"/>
      <c r="S927" s="404"/>
      <c r="T927" s="405"/>
      <c r="U927" s="203"/>
      <c r="V927" s="223"/>
      <c r="W927" s="404"/>
      <c r="X927" s="405"/>
      <c r="Y927" s="203"/>
      <c r="Z927" s="223"/>
      <c r="AA927" s="404"/>
      <c r="AB927" s="405"/>
      <c r="AC927" s="203"/>
      <c r="AD927" s="223"/>
      <c r="AE927" s="404"/>
      <c r="AF927" s="405"/>
      <c r="AG927" s="205"/>
      <c r="AH927" s="205"/>
      <c r="AI927" s="205"/>
      <c r="AJ927" s="205"/>
      <c r="AK927" s="401"/>
      <c r="AL927" s="401"/>
      <c r="AM927" s="401"/>
    </row>
    <row r="928">
      <c r="A928" s="320"/>
      <c r="B928" s="321"/>
      <c r="C928" s="322"/>
      <c r="D928" s="401"/>
      <c r="E928" s="320"/>
      <c r="F928" s="321"/>
      <c r="G928" s="322"/>
      <c r="H928" s="401"/>
      <c r="I928" s="320"/>
      <c r="J928" s="321"/>
      <c r="K928" s="322"/>
      <c r="L928" s="401"/>
      <c r="M928" s="320"/>
      <c r="N928" s="321"/>
      <c r="O928" s="322"/>
      <c r="P928" s="401"/>
      <c r="Q928" s="203"/>
      <c r="R928" s="223"/>
      <c r="S928" s="404"/>
      <c r="T928" s="405"/>
      <c r="U928" s="203"/>
      <c r="V928" s="223"/>
      <c r="W928" s="404"/>
      <c r="X928" s="405"/>
      <c r="Y928" s="203"/>
      <c r="Z928" s="223"/>
      <c r="AA928" s="404"/>
      <c r="AB928" s="405"/>
      <c r="AC928" s="203"/>
      <c r="AD928" s="223"/>
      <c r="AE928" s="404"/>
      <c r="AF928" s="405"/>
      <c r="AG928" s="205"/>
      <c r="AH928" s="205"/>
      <c r="AI928" s="205"/>
      <c r="AJ928" s="205"/>
      <c r="AK928" s="401"/>
      <c r="AL928" s="401"/>
      <c r="AM928" s="401"/>
    </row>
    <row r="929">
      <c r="A929" s="320"/>
      <c r="B929" s="321"/>
      <c r="C929" s="322"/>
      <c r="D929" s="401"/>
      <c r="E929" s="320"/>
      <c r="F929" s="321"/>
      <c r="G929" s="322"/>
      <c r="H929" s="401"/>
      <c r="I929" s="320"/>
      <c r="J929" s="321"/>
      <c r="K929" s="322"/>
      <c r="L929" s="401"/>
      <c r="M929" s="320"/>
      <c r="N929" s="321"/>
      <c r="O929" s="322"/>
      <c r="P929" s="401"/>
      <c r="Q929" s="203"/>
      <c r="R929" s="223"/>
      <c r="S929" s="404"/>
      <c r="T929" s="405"/>
      <c r="U929" s="203"/>
      <c r="V929" s="223"/>
      <c r="W929" s="404"/>
      <c r="X929" s="405"/>
      <c r="Y929" s="203"/>
      <c r="Z929" s="223"/>
      <c r="AA929" s="404"/>
      <c r="AB929" s="405"/>
      <c r="AC929" s="203"/>
      <c r="AD929" s="223"/>
      <c r="AE929" s="404"/>
      <c r="AF929" s="405"/>
      <c r="AG929" s="205"/>
      <c r="AH929" s="205"/>
      <c r="AI929" s="205"/>
      <c r="AJ929" s="205"/>
      <c r="AK929" s="401"/>
      <c r="AL929" s="401"/>
      <c r="AM929" s="401"/>
    </row>
    <row r="930">
      <c r="A930" s="320"/>
      <c r="B930" s="321"/>
      <c r="C930" s="322"/>
      <c r="D930" s="401"/>
      <c r="E930" s="320"/>
      <c r="F930" s="321"/>
      <c r="G930" s="322"/>
      <c r="H930" s="401"/>
      <c r="I930" s="320"/>
      <c r="J930" s="321"/>
      <c r="K930" s="322"/>
      <c r="L930" s="401"/>
      <c r="M930" s="320"/>
      <c r="N930" s="321"/>
      <c r="O930" s="322"/>
      <c r="P930" s="401"/>
      <c r="Q930" s="203"/>
      <c r="R930" s="223"/>
      <c r="S930" s="404"/>
      <c r="T930" s="405"/>
      <c r="U930" s="203"/>
      <c r="V930" s="223"/>
      <c r="W930" s="404"/>
      <c r="X930" s="405"/>
      <c r="Y930" s="203"/>
      <c r="Z930" s="223"/>
      <c r="AA930" s="404"/>
      <c r="AB930" s="405"/>
      <c r="AC930" s="203"/>
      <c r="AD930" s="223"/>
      <c r="AE930" s="404"/>
      <c r="AF930" s="405"/>
      <c r="AG930" s="205"/>
      <c r="AH930" s="205"/>
      <c r="AI930" s="205"/>
      <c r="AJ930" s="205"/>
      <c r="AK930" s="401"/>
      <c r="AL930" s="401"/>
      <c r="AM930" s="401"/>
    </row>
    <row r="931">
      <c r="A931" s="320"/>
      <c r="B931" s="321"/>
      <c r="C931" s="322"/>
      <c r="D931" s="401"/>
      <c r="E931" s="320"/>
      <c r="F931" s="321"/>
      <c r="G931" s="322"/>
      <c r="H931" s="401"/>
      <c r="I931" s="320"/>
      <c r="J931" s="321"/>
      <c r="K931" s="322"/>
      <c r="L931" s="401"/>
      <c r="M931" s="320"/>
      <c r="N931" s="321"/>
      <c r="O931" s="322"/>
      <c r="P931" s="401"/>
      <c r="Q931" s="203"/>
      <c r="R931" s="223"/>
      <c r="S931" s="404"/>
      <c r="T931" s="405"/>
      <c r="U931" s="203"/>
      <c r="V931" s="223"/>
      <c r="W931" s="404"/>
      <c r="X931" s="405"/>
      <c r="Y931" s="203"/>
      <c r="Z931" s="223"/>
      <c r="AA931" s="404"/>
      <c r="AB931" s="405"/>
      <c r="AC931" s="203"/>
      <c r="AD931" s="223"/>
      <c r="AE931" s="404"/>
      <c r="AF931" s="405"/>
      <c r="AG931" s="205"/>
      <c r="AH931" s="205"/>
      <c r="AI931" s="205"/>
      <c r="AJ931" s="205"/>
      <c r="AK931" s="401"/>
      <c r="AL931" s="401"/>
      <c r="AM931" s="401"/>
    </row>
    <row r="932">
      <c r="A932" s="320"/>
      <c r="B932" s="321"/>
      <c r="C932" s="322"/>
      <c r="D932" s="401"/>
      <c r="E932" s="320"/>
      <c r="F932" s="321"/>
      <c r="G932" s="322"/>
      <c r="H932" s="401"/>
      <c r="I932" s="320"/>
      <c r="J932" s="321"/>
      <c r="K932" s="322"/>
      <c r="L932" s="401"/>
      <c r="M932" s="320"/>
      <c r="N932" s="321"/>
      <c r="O932" s="322"/>
      <c r="P932" s="401"/>
      <c r="Q932" s="203"/>
      <c r="R932" s="223"/>
      <c r="S932" s="404"/>
      <c r="T932" s="405"/>
      <c r="U932" s="203"/>
      <c r="V932" s="223"/>
      <c r="W932" s="404"/>
      <c r="X932" s="405"/>
      <c r="Y932" s="203"/>
      <c r="Z932" s="223"/>
      <c r="AA932" s="404"/>
      <c r="AB932" s="405"/>
      <c r="AC932" s="203"/>
      <c r="AD932" s="223"/>
      <c r="AE932" s="404"/>
      <c r="AF932" s="405"/>
      <c r="AG932" s="205"/>
      <c r="AH932" s="205"/>
      <c r="AI932" s="205"/>
      <c r="AJ932" s="205"/>
      <c r="AK932" s="401"/>
      <c r="AL932" s="401"/>
      <c r="AM932" s="401"/>
    </row>
    <row r="933">
      <c r="A933" s="320"/>
      <c r="B933" s="321"/>
      <c r="C933" s="322"/>
      <c r="D933" s="401"/>
      <c r="E933" s="320"/>
      <c r="F933" s="321"/>
      <c r="G933" s="322"/>
      <c r="H933" s="401"/>
      <c r="I933" s="320"/>
      <c r="J933" s="321"/>
      <c r="K933" s="322"/>
      <c r="L933" s="401"/>
      <c r="M933" s="320"/>
      <c r="N933" s="321"/>
      <c r="O933" s="322"/>
      <c r="P933" s="401"/>
      <c r="Q933" s="203"/>
      <c r="R933" s="223"/>
      <c r="S933" s="404"/>
      <c r="T933" s="405"/>
      <c r="U933" s="203"/>
      <c r="V933" s="223"/>
      <c r="W933" s="404"/>
      <c r="X933" s="405"/>
      <c r="Y933" s="203"/>
      <c r="Z933" s="223"/>
      <c r="AA933" s="404"/>
      <c r="AB933" s="405"/>
      <c r="AC933" s="203"/>
      <c r="AD933" s="223"/>
      <c r="AE933" s="404"/>
      <c r="AF933" s="405"/>
      <c r="AG933" s="205"/>
      <c r="AH933" s="205"/>
      <c r="AI933" s="205"/>
      <c r="AJ933" s="205"/>
      <c r="AK933" s="401"/>
      <c r="AL933" s="401"/>
      <c r="AM933" s="401"/>
    </row>
    <row r="934">
      <c r="A934" s="320"/>
      <c r="B934" s="321"/>
      <c r="C934" s="322"/>
      <c r="D934" s="401"/>
      <c r="E934" s="320"/>
      <c r="F934" s="321"/>
      <c r="G934" s="322"/>
      <c r="H934" s="401"/>
      <c r="I934" s="320"/>
      <c r="J934" s="321"/>
      <c r="K934" s="322"/>
      <c r="L934" s="401"/>
      <c r="M934" s="320"/>
      <c r="N934" s="321"/>
      <c r="O934" s="322"/>
      <c r="P934" s="401"/>
      <c r="Q934" s="203"/>
      <c r="R934" s="223"/>
      <c r="S934" s="404"/>
      <c r="T934" s="405"/>
      <c r="U934" s="203"/>
      <c r="V934" s="223"/>
      <c r="W934" s="404"/>
      <c r="X934" s="405"/>
      <c r="Y934" s="203"/>
      <c r="Z934" s="223"/>
      <c r="AA934" s="404"/>
      <c r="AB934" s="405"/>
      <c r="AC934" s="203"/>
      <c r="AD934" s="223"/>
      <c r="AE934" s="404"/>
      <c r="AF934" s="405"/>
      <c r="AG934" s="205"/>
      <c r="AH934" s="205"/>
      <c r="AI934" s="205"/>
      <c r="AJ934" s="205"/>
      <c r="AK934" s="401"/>
      <c r="AL934" s="401"/>
      <c r="AM934" s="401"/>
    </row>
    <row r="935">
      <c r="A935" s="320"/>
      <c r="B935" s="321"/>
      <c r="C935" s="322"/>
      <c r="D935" s="401"/>
      <c r="E935" s="320"/>
      <c r="F935" s="321"/>
      <c r="G935" s="322"/>
      <c r="H935" s="401"/>
      <c r="I935" s="320"/>
      <c r="J935" s="321"/>
      <c r="K935" s="322"/>
      <c r="L935" s="401"/>
      <c r="M935" s="320"/>
      <c r="N935" s="321"/>
      <c r="O935" s="322"/>
      <c r="P935" s="401"/>
      <c r="Q935" s="203"/>
      <c r="R935" s="223"/>
      <c r="S935" s="404"/>
      <c r="T935" s="405"/>
      <c r="U935" s="203"/>
      <c r="V935" s="223"/>
      <c r="W935" s="404"/>
      <c r="X935" s="405"/>
      <c r="Y935" s="203"/>
      <c r="Z935" s="223"/>
      <c r="AA935" s="404"/>
      <c r="AB935" s="405"/>
      <c r="AC935" s="203"/>
      <c r="AD935" s="223"/>
      <c r="AE935" s="404"/>
      <c r="AF935" s="405"/>
      <c r="AG935" s="205"/>
      <c r="AH935" s="205"/>
      <c r="AI935" s="205"/>
      <c r="AJ935" s="205"/>
      <c r="AK935" s="401"/>
      <c r="AL935" s="401"/>
      <c r="AM935" s="401"/>
    </row>
    <row r="936">
      <c r="A936" s="320"/>
      <c r="B936" s="321"/>
      <c r="C936" s="322"/>
      <c r="D936" s="401"/>
      <c r="E936" s="320"/>
      <c r="F936" s="321"/>
      <c r="G936" s="322"/>
      <c r="H936" s="401"/>
      <c r="I936" s="320"/>
      <c r="J936" s="321"/>
      <c r="K936" s="322"/>
      <c r="L936" s="401"/>
      <c r="M936" s="320"/>
      <c r="N936" s="321"/>
      <c r="O936" s="322"/>
      <c r="P936" s="401"/>
      <c r="Q936" s="203"/>
      <c r="R936" s="223"/>
      <c r="S936" s="404"/>
      <c r="T936" s="405"/>
      <c r="U936" s="203"/>
      <c r="V936" s="223"/>
      <c r="W936" s="404"/>
      <c r="X936" s="405"/>
      <c r="Y936" s="203"/>
      <c r="Z936" s="223"/>
      <c r="AA936" s="404"/>
      <c r="AB936" s="405"/>
      <c r="AC936" s="203"/>
      <c r="AD936" s="223"/>
      <c r="AE936" s="404"/>
      <c r="AF936" s="405"/>
      <c r="AG936" s="205"/>
      <c r="AH936" s="205"/>
      <c r="AI936" s="205"/>
      <c r="AJ936" s="205"/>
      <c r="AK936" s="401"/>
      <c r="AL936" s="401"/>
      <c r="AM936" s="401"/>
    </row>
    <row r="937">
      <c r="A937" s="320"/>
      <c r="B937" s="321"/>
      <c r="C937" s="322"/>
      <c r="D937" s="401"/>
      <c r="E937" s="320"/>
      <c r="F937" s="321"/>
      <c r="G937" s="322"/>
      <c r="H937" s="401"/>
      <c r="I937" s="320"/>
      <c r="J937" s="321"/>
      <c r="K937" s="322"/>
      <c r="L937" s="401"/>
      <c r="M937" s="320"/>
      <c r="N937" s="321"/>
      <c r="O937" s="322"/>
      <c r="P937" s="401"/>
      <c r="Q937" s="203"/>
      <c r="R937" s="223"/>
      <c r="S937" s="404"/>
      <c r="T937" s="405"/>
      <c r="U937" s="203"/>
      <c r="V937" s="223"/>
      <c r="W937" s="404"/>
      <c r="X937" s="405"/>
      <c r="Y937" s="203"/>
      <c r="Z937" s="223"/>
      <c r="AA937" s="404"/>
      <c r="AB937" s="405"/>
      <c r="AC937" s="203"/>
      <c r="AD937" s="223"/>
      <c r="AE937" s="404"/>
      <c r="AF937" s="405"/>
      <c r="AG937" s="205"/>
      <c r="AH937" s="205"/>
      <c r="AI937" s="205"/>
      <c r="AJ937" s="205"/>
      <c r="AK937" s="401"/>
      <c r="AL937" s="401"/>
      <c r="AM937" s="401"/>
    </row>
    <row r="938">
      <c r="A938" s="320"/>
      <c r="B938" s="321"/>
      <c r="C938" s="322"/>
      <c r="D938" s="401"/>
      <c r="E938" s="320"/>
      <c r="F938" s="321"/>
      <c r="G938" s="322"/>
      <c r="H938" s="401"/>
      <c r="I938" s="320"/>
      <c r="J938" s="321"/>
      <c r="K938" s="322"/>
      <c r="L938" s="401"/>
      <c r="M938" s="320"/>
      <c r="N938" s="321"/>
      <c r="O938" s="322"/>
      <c r="P938" s="401"/>
      <c r="Q938" s="203"/>
      <c r="R938" s="223"/>
      <c r="S938" s="404"/>
      <c r="T938" s="405"/>
      <c r="U938" s="203"/>
      <c r="V938" s="223"/>
      <c r="W938" s="404"/>
      <c r="X938" s="405"/>
      <c r="Y938" s="203"/>
      <c r="Z938" s="223"/>
      <c r="AA938" s="404"/>
      <c r="AB938" s="405"/>
      <c r="AC938" s="203"/>
      <c r="AD938" s="223"/>
      <c r="AE938" s="404"/>
      <c r="AF938" s="405"/>
      <c r="AG938" s="205"/>
      <c r="AH938" s="205"/>
      <c r="AI938" s="205"/>
      <c r="AJ938" s="205"/>
      <c r="AK938" s="401"/>
      <c r="AL938" s="401"/>
      <c r="AM938" s="401"/>
    </row>
    <row r="939">
      <c r="A939" s="320"/>
      <c r="B939" s="321"/>
      <c r="C939" s="322"/>
      <c r="D939" s="401"/>
      <c r="E939" s="320"/>
      <c r="F939" s="321"/>
      <c r="G939" s="322"/>
      <c r="H939" s="401"/>
      <c r="I939" s="320"/>
      <c r="J939" s="321"/>
      <c r="K939" s="322"/>
      <c r="L939" s="401"/>
      <c r="M939" s="320"/>
      <c r="N939" s="321"/>
      <c r="O939" s="322"/>
      <c r="P939" s="401"/>
      <c r="Q939" s="203"/>
      <c r="R939" s="223"/>
      <c r="S939" s="404"/>
      <c r="T939" s="405"/>
      <c r="U939" s="203"/>
      <c r="V939" s="223"/>
      <c r="W939" s="404"/>
      <c r="X939" s="405"/>
      <c r="Y939" s="203"/>
      <c r="Z939" s="223"/>
      <c r="AA939" s="404"/>
      <c r="AB939" s="405"/>
      <c r="AC939" s="203"/>
      <c r="AD939" s="223"/>
      <c r="AE939" s="404"/>
      <c r="AF939" s="405"/>
      <c r="AG939" s="205"/>
      <c r="AH939" s="205"/>
      <c r="AI939" s="205"/>
      <c r="AJ939" s="205"/>
      <c r="AK939" s="401"/>
      <c r="AL939" s="401"/>
      <c r="AM939" s="401"/>
    </row>
    <row r="940">
      <c r="A940" s="320"/>
      <c r="B940" s="321"/>
      <c r="C940" s="322"/>
      <c r="D940" s="401"/>
      <c r="E940" s="320"/>
      <c r="F940" s="321"/>
      <c r="G940" s="322"/>
      <c r="H940" s="401"/>
      <c r="I940" s="320"/>
      <c r="J940" s="321"/>
      <c r="K940" s="322"/>
      <c r="L940" s="401"/>
      <c r="M940" s="320"/>
      <c r="N940" s="321"/>
      <c r="O940" s="322"/>
      <c r="P940" s="401"/>
      <c r="Q940" s="203"/>
      <c r="R940" s="223"/>
      <c r="S940" s="404"/>
      <c r="T940" s="405"/>
      <c r="U940" s="203"/>
      <c r="V940" s="223"/>
      <c r="W940" s="404"/>
      <c r="X940" s="405"/>
      <c r="Y940" s="203"/>
      <c r="Z940" s="223"/>
      <c r="AA940" s="404"/>
      <c r="AB940" s="405"/>
      <c r="AC940" s="203"/>
      <c r="AD940" s="223"/>
      <c r="AE940" s="404"/>
      <c r="AF940" s="405"/>
      <c r="AG940" s="205"/>
      <c r="AH940" s="205"/>
      <c r="AI940" s="205"/>
      <c r="AJ940" s="205"/>
      <c r="AK940" s="401"/>
      <c r="AL940" s="401"/>
      <c r="AM940" s="401"/>
    </row>
    <row r="941">
      <c r="A941" s="320"/>
      <c r="B941" s="321"/>
      <c r="C941" s="322"/>
      <c r="D941" s="401"/>
      <c r="E941" s="320"/>
      <c r="F941" s="321"/>
      <c r="G941" s="322"/>
      <c r="H941" s="401"/>
      <c r="I941" s="320"/>
      <c r="J941" s="321"/>
      <c r="K941" s="322"/>
      <c r="L941" s="401"/>
      <c r="M941" s="320"/>
      <c r="N941" s="321"/>
      <c r="O941" s="322"/>
      <c r="P941" s="401"/>
      <c r="Q941" s="203"/>
      <c r="R941" s="223"/>
      <c r="S941" s="404"/>
      <c r="T941" s="405"/>
      <c r="U941" s="203"/>
      <c r="V941" s="223"/>
      <c r="W941" s="404"/>
      <c r="X941" s="405"/>
      <c r="Y941" s="203"/>
      <c r="Z941" s="223"/>
      <c r="AA941" s="404"/>
      <c r="AB941" s="405"/>
      <c r="AC941" s="203"/>
      <c r="AD941" s="223"/>
      <c r="AE941" s="404"/>
      <c r="AF941" s="405"/>
      <c r="AG941" s="205"/>
      <c r="AH941" s="205"/>
      <c r="AI941" s="205"/>
      <c r="AJ941" s="205"/>
      <c r="AK941" s="401"/>
      <c r="AL941" s="401"/>
      <c r="AM941" s="401"/>
    </row>
    <row r="942">
      <c r="A942" s="320"/>
      <c r="B942" s="321"/>
      <c r="C942" s="322"/>
      <c r="D942" s="401"/>
      <c r="E942" s="320"/>
      <c r="F942" s="321"/>
      <c r="G942" s="322"/>
      <c r="H942" s="401"/>
      <c r="I942" s="320"/>
      <c r="J942" s="321"/>
      <c r="K942" s="322"/>
      <c r="L942" s="401"/>
      <c r="M942" s="320"/>
      <c r="N942" s="321"/>
      <c r="O942" s="322"/>
      <c r="P942" s="401"/>
      <c r="Q942" s="203"/>
      <c r="R942" s="223"/>
      <c r="S942" s="404"/>
      <c r="T942" s="405"/>
      <c r="U942" s="203"/>
      <c r="V942" s="223"/>
      <c r="W942" s="404"/>
      <c r="X942" s="405"/>
      <c r="Y942" s="203"/>
      <c r="Z942" s="223"/>
      <c r="AA942" s="404"/>
      <c r="AB942" s="405"/>
      <c r="AC942" s="203"/>
      <c r="AD942" s="223"/>
      <c r="AE942" s="404"/>
      <c r="AF942" s="405"/>
      <c r="AG942" s="205"/>
      <c r="AH942" s="205"/>
      <c r="AI942" s="205"/>
      <c r="AJ942" s="205"/>
      <c r="AK942" s="401"/>
      <c r="AL942" s="401"/>
      <c r="AM942" s="401"/>
    </row>
    <row r="943">
      <c r="A943" s="320"/>
      <c r="B943" s="321"/>
      <c r="C943" s="322"/>
      <c r="D943" s="401"/>
      <c r="E943" s="320"/>
      <c r="F943" s="321"/>
      <c r="G943" s="322"/>
      <c r="H943" s="401"/>
      <c r="I943" s="320"/>
      <c r="J943" s="321"/>
      <c r="K943" s="322"/>
      <c r="L943" s="401"/>
      <c r="M943" s="320"/>
      <c r="N943" s="321"/>
      <c r="O943" s="322"/>
      <c r="P943" s="401"/>
      <c r="Q943" s="203"/>
      <c r="R943" s="223"/>
      <c r="S943" s="404"/>
      <c r="T943" s="405"/>
      <c r="U943" s="203"/>
      <c r="V943" s="223"/>
      <c r="W943" s="404"/>
      <c r="X943" s="405"/>
      <c r="Y943" s="203"/>
      <c r="Z943" s="223"/>
      <c r="AA943" s="404"/>
      <c r="AB943" s="405"/>
      <c r="AC943" s="203"/>
      <c r="AD943" s="223"/>
      <c r="AE943" s="404"/>
      <c r="AF943" s="405"/>
      <c r="AG943" s="205"/>
      <c r="AH943" s="205"/>
      <c r="AI943" s="205"/>
      <c r="AJ943" s="205"/>
      <c r="AK943" s="401"/>
      <c r="AL943" s="401"/>
      <c r="AM943" s="401"/>
    </row>
    <row r="944">
      <c r="A944" s="320"/>
      <c r="B944" s="321"/>
      <c r="C944" s="322"/>
      <c r="D944" s="401"/>
      <c r="E944" s="320"/>
      <c r="F944" s="321"/>
      <c r="G944" s="322"/>
      <c r="H944" s="401"/>
      <c r="I944" s="320"/>
      <c r="J944" s="321"/>
      <c r="K944" s="322"/>
      <c r="L944" s="401"/>
      <c r="M944" s="320"/>
      <c r="N944" s="321"/>
      <c r="O944" s="322"/>
      <c r="P944" s="401"/>
      <c r="Q944" s="203"/>
      <c r="R944" s="223"/>
      <c r="S944" s="404"/>
      <c r="T944" s="405"/>
      <c r="U944" s="203"/>
      <c r="V944" s="223"/>
      <c r="W944" s="404"/>
      <c r="X944" s="405"/>
      <c r="Y944" s="203"/>
      <c r="Z944" s="223"/>
      <c r="AA944" s="404"/>
      <c r="AB944" s="405"/>
      <c r="AC944" s="203"/>
      <c r="AD944" s="223"/>
      <c r="AE944" s="404"/>
      <c r="AF944" s="405"/>
      <c r="AG944" s="205"/>
      <c r="AH944" s="205"/>
      <c r="AI944" s="205"/>
      <c r="AJ944" s="205"/>
      <c r="AK944" s="401"/>
      <c r="AL944" s="401"/>
      <c r="AM944" s="401"/>
    </row>
    <row r="945">
      <c r="A945" s="320"/>
      <c r="B945" s="321"/>
      <c r="C945" s="322"/>
      <c r="D945" s="401"/>
      <c r="E945" s="320"/>
      <c r="F945" s="321"/>
      <c r="G945" s="322"/>
      <c r="H945" s="401"/>
      <c r="I945" s="320"/>
      <c r="J945" s="321"/>
      <c r="K945" s="322"/>
      <c r="L945" s="401"/>
      <c r="M945" s="320"/>
      <c r="N945" s="321"/>
      <c r="O945" s="322"/>
      <c r="P945" s="401"/>
      <c r="Q945" s="203"/>
      <c r="R945" s="223"/>
      <c r="S945" s="404"/>
      <c r="T945" s="405"/>
      <c r="U945" s="203"/>
      <c r="V945" s="223"/>
      <c r="W945" s="404"/>
      <c r="X945" s="405"/>
      <c r="Y945" s="203"/>
      <c r="Z945" s="223"/>
      <c r="AA945" s="404"/>
      <c r="AB945" s="405"/>
      <c r="AC945" s="203"/>
      <c r="AD945" s="223"/>
      <c r="AE945" s="404"/>
      <c r="AF945" s="405"/>
      <c r="AG945" s="205"/>
      <c r="AH945" s="205"/>
      <c r="AI945" s="205"/>
      <c r="AJ945" s="205"/>
      <c r="AK945" s="401"/>
      <c r="AL945" s="401"/>
      <c r="AM945" s="401"/>
    </row>
    <row r="946">
      <c r="A946" s="320"/>
      <c r="B946" s="321"/>
      <c r="C946" s="322"/>
      <c r="D946" s="401"/>
      <c r="E946" s="320"/>
      <c r="F946" s="321"/>
      <c r="G946" s="322"/>
      <c r="H946" s="401"/>
      <c r="I946" s="320"/>
      <c r="J946" s="321"/>
      <c r="K946" s="322"/>
      <c r="L946" s="401"/>
      <c r="M946" s="320"/>
      <c r="N946" s="321"/>
      <c r="O946" s="322"/>
      <c r="P946" s="401"/>
      <c r="Q946" s="203"/>
      <c r="R946" s="223"/>
      <c r="S946" s="404"/>
      <c r="T946" s="405"/>
      <c r="U946" s="203"/>
      <c r="V946" s="223"/>
      <c r="W946" s="404"/>
      <c r="X946" s="405"/>
      <c r="Y946" s="203"/>
      <c r="Z946" s="223"/>
      <c r="AA946" s="404"/>
      <c r="AB946" s="405"/>
      <c r="AC946" s="203"/>
      <c r="AD946" s="223"/>
      <c r="AE946" s="404"/>
      <c r="AF946" s="405"/>
      <c r="AG946" s="205"/>
      <c r="AH946" s="205"/>
      <c r="AI946" s="205"/>
      <c r="AJ946" s="205"/>
      <c r="AK946" s="401"/>
      <c r="AL946" s="401"/>
      <c r="AM946" s="401"/>
    </row>
    <row r="947">
      <c r="A947" s="320"/>
      <c r="B947" s="321"/>
      <c r="C947" s="322"/>
      <c r="D947" s="401"/>
      <c r="E947" s="320"/>
      <c r="F947" s="321"/>
      <c r="G947" s="322"/>
      <c r="H947" s="401"/>
      <c r="I947" s="320"/>
      <c r="J947" s="321"/>
      <c r="K947" s="322"/>
      <c r="L947" s="401"/>
      <c r="M947" s="320"/>
      <c r="N947" s="321"/>
      <c r="O947" s="322"/>
      <c r="P947" s="401"/>
      <c r="Q947" s="203"/>
      <c r="R947" s="223"/>
      <c r="S947" s="404"/>
      <c r="T947" s="405"/>
      <c r="U947" s="203"/>
      <c r="V947" s="223"/>
      <c r="W947" s="404"/>
      <c r="X947" s="405"/>
      <c r="Y947" s="203"/>
      <c r="Z947" s="223"/>
      <c r="AA947" s="404"/>
      <c r="AB947" s="405"/>
      <c r="AC947" s="203"/>
      <c r="AD947" s="223"/>
      <c r="AE947" s="404"/>
      <c r="AF947" s="405"/>
      <c r="AG947" s="205"/>
      <c r="AH947" s="205"/>
      <c r="AI947" s="205"/>
      <c r="AJ947" s="205"/>
      <c r="AK947" s="401"/>
      <c r="AL947" s="401"/>
      <c r="AM947" s="401"/>
    </row>
    <row r="948">
      <c r="A948" s="320"/>
      <c r="B948" s="321"/>
      <c r="C948" s="322"/>
      <c r="D948" s="401"/>
      <c r="E948" s="320"/>
      <c r="F948" s="321"/>
      <c r="G948" s="322"/>
      <c r="H948" s="401"/>
      <c r="I948" s="320"/>
      <c r="J948" s="321"/>
      <c r="K948" s="322"/>
      <c r="L948" s="401"/>
      <c r="M948" s="320"/>
      <c r="N948" s="321"/>
      <c r="O948" s="322"/>
      <c r="P948" s="401"/>
      <c r="Q948" s="203"/>
      <c r="R948" s="223"/>
      <c r="S948" s="404"/>
      <c r="T948" s="405"/>
      <c r="U948" s="203"/>
      <c r="V948" s="223"/>
      <c r="W948" s="404"/>
      <c r="X948" s="405"/>
      <c r="Y948" s="203"/>
      <c r="Z948" s="223"/>
      <c r="AA948" s="404"/>
      <c r="AB948" s="405"/>
      <c r="AC948" s="203"/>
      <c r="AD948" s="223"/>
      <c r="AE948" s="404"/>
      <c r="AF948" s="405"/>
      <c r="AG948" s="205"/>
      <c r="AH948" s="205"/>
      <c r="AI948" s="205"/>
      <c r="AJ948" s="205"/>
      <c r="AK948" s="401"/>
      <c r="AL948" s="401"/>
      <c r="AM948" s="401"/>
    </row>
    <row r="949">
      <c r="A949" s="320"/>
      <c r="B949" s="321"/>
      <c r="C949" s="322"/>
      <c r="D949" s="401"/>
      <c r="E949" s="320"/>
      <c r="F949" s="321"/>
      <c r="G949" s="322"/>
      <c r="H949" s="401"/>
      <c r="I949" s="320"/>
      <c r="J949" s="321"/>
      <c r="K949" s="322"/>
      <c r="L949" s="401"/>
      <c r="M949" s="320"/>
      <c r="N949" s="321"/>
      <c r="O949" s="322"/>
      <c r="P949" s="401"/>
      <c r="Q949" s="203"/>
      <c r="R949" s="223"/>
      <c r="S949" s="404"/>
      <c r="T949" s="405"/>
      <c r="U949" s="203"/>
      <c r="V949" s="223"/>
      <c r="W949" s="404"/>
      <c r="X949" s="405"/>
      <c r="Y949" s="203"/>
      <c r="Z949" s="223"/>
      <c r="AA949" s="404"/>
      <c r="AB949" s="405"/>
      <c r="AC949" s="203"/>
      <c r="AD949" s="223"/>
      <c r="AE949" s="404"/>
      <c r="AF949" s="405"/>
      <c r="AG949" s="205"/>
      <c r="AH949" s="205"/>
      <c r="AI949" s="205"/>
      <c r="AJ949" s="205"/>
      <c r="AK949" s="401"/>
      <c r="AL949" s="401"/>
      <c r="AM949" s="401"/>
    </row>
    <row r="950">
      <c r="A950" s="320"/>
      <c r="B950" s="321"/>
      <c r="C950" s="322"/>
      <c r="D950" s="401"/>
      <c r="E950" s="320"/>
      <c r="F950" s="321"/>
      <c r="G950" s="322"/>
      <c r="H950" s="401"/>
      <c r="I950" s="320"/>
      <c r="J950" s="321"/>
      <c r="K950" s="322"/>
      <c r="L950" s="401"/>
      <c r="M950" s="320"/>
      <c r="N950" s="321"/>
      <c r="O950" s="322"/>
      <c r="P950" s="401"/>
      <c r="Q950" s="203"/>
      <c r="R950" s="223"/>
      <c r="S950" s="404"/>
      <c r="T950" s="405"/>
      <c r="U950" s="203"/>
      <c r="V950" s="223"/>
      <c r="W950" s="404"/>
      <c r="X950" s="405"/>
      <c r="Y950" s="203"/>
      <c r="Z950" s="223"/>
      <c r="AA950" s="404"/>
      <c r="AB950" s="405"/>
      <c r="AC950" s="203"/>
      <c r="AD950" s="223"/>
      <c r="AE950" s="404"/>
      <c r="AF950" s="405"/>
      <c r="AG950" s="205"/>
      <c r="AH950" s="205"/>
      <c r="AI950" s="205"/>
      <c r="AJ950" s="205"/>
      <c r="AK950" s="401"/>
      <c r="AL950" s="401"/>
      <c r="AM950" s="401"/>
    </row>
    <row r="951">
      <c r="A951" s="320"/>
      <c r="B951" s="321"/>
      <c r="C951" s="322"/>
      <c r="D951" s="401"/>
      <c r="E951" s="320"/>
      <c r="F951" s="321"/>
      <c r="G951" s="322"/>
      <c r="H951" s="401"/>
      <c r="I951" s="320"/>
      <c r="J951" s="321"/>
      <c r="K951" s="322"/>
      <c r="L951" s="401"/>
      <c r="M951" s="320"/>
      <c r="N951" s="321"/>
      <c r="O951" s="322"/>
      <c r="P951" s="401"/>
      <c r="Q951" s="203"/>
      <c r="R951" s="223"/>
      <c r="S951" s="404"/>
      <c r="T951" s="405"/>
      <c r="U951" s="203"/>
      <c r="V951" s="223"/>
      <c r="W951" s="404"/>
      <c r="X951" s="405"/>
      <c r="Y951" s="203"/>
      <c r="Z951" s="223"/>
      <c r="AA951" s="404"/>
      <c r="AB951" s="405"/>
      <c r="AC951" s="203"/>
      <c r="AD951" s="223"/>
      <c r="AE951" s="404"/>
      <c r="AF951" s="405"/>
      <c r="AG951" s="205"/>
      <c r="AH951" s="205"/>
      <c r="AI951" s="205"/>
      <c r="AJ951" s="205"/>
      <c r="AK951" s="401"/>
      <c r="AL951" s="401"/>
      <c r="AM951" s="401"/>
    </row>
    <row r="952">
      <c r="A952" s="320"/>
      <c r="B952" s="321"/>
      <c r="C952" s="322"/>
      <c r="D952" s="401"/>
      <c r="E952" s="320"/>
      <c r="F952" s="321"/>
      <c r="G952" s="322"/>
      <c r="H952" s="401"/>
      <c r="I952" s="320"/>
      <c r="J952" s="321"/>
      <c r="K952" s="322"/>
      <c r="L952" s="401"/>
      <c r="M952" s="320"/>
      <c r="N952" s="321"/>
      <c r="O952" s="322"/>
      <c r="P952" s="401"/>
      <c r="Q952" s="203"/>
      <c r="R952" s="223"/>
      <c r="S952" s="404"/>
      <c r="T952" s="405"/>
      <c r="U952" s="203"/>
      <c r="V952" s="223"/>
      <c r="W952" s="404"/>
      <c r="X952" s="405"/>
      <c r="Y952" s="203"/>
      <c r="Z952" s="223"/>
      <c r="AA952" s="404"/>
      <c r="AB952" s="405"/>
      <c r="AC952" s="203"/>
      <c r="AD952" s="223"/>
      <c r="AE952" s="404"/>
      <c r="AF952" s="405"/>
      <c r="AG952" s="205"/>
      <c r="AH952" s="205"/>
      <c r="AI952" s="205"/>
      <c r="AJ952" s="205"/>
      <c r="AK952" s="401"/>
      <c r="AL952" s="401"/>
      <c r="AM952" s="401"/>
    </row>
    <row r="953">
      <c r="A953" s="320"/>
      <c r="B953" s="321"/>
      <c r="C953" s="322"/>
      <c r="D953" s="401"/>
      <c r="E953" s="320"/>
      <c r="F953" s="321"/>
      <c r="G953" s="322"/>
      <c r="H953" s="401"/>
      <c r="I953" s="320"/>
      <c r="J953" s="321"/>
      <c r="K953" s="322"/>
      <c r="L953" s="401"/>
      <c r="M953" s="320"/>
      <c r="N953" s="321"/>
      <c r="O953" s="322"/>
      <c r="P953" s="401"/>
      <c r="Q953" s="203"/>
      <c r="R953" s="223"/>
      <c r="S953" s="404"/>
      <c r="T953" s="405"/>
      <c r="U953" s="203"/>
      <c r="V953" s="223"/>
      <c r="W953" s="404"/>
      <c r="X953" s="405"/>
      <c r="Y953" s="203"/>
      <c r="Z953" s="223"/>
      <c r="AA953" s="404"/>
      <c r="AB953" s="405"/>
      <c r="AC953" s="203"/>
      <c r="AD953" s="223"/>
      <c r="AE953" s="404"/>
      <c r="AF953" s="405"/>
      <c r="AG953" s="205"/>
      <c r="AH953" s="205"/>
      <c r="AI953" s="205"/>
      <c r="AJ953" s="205"/>
      <c r="AK953" s="401"/>
      <c r="AL953" s="401"/>
      <c r="AM953" s="401"/>
    </row>
    <row r="954">
      <c r="A954" s="320"/>
      <c r="B954" s="321"/>
      <c r="C954" s="322"/>
      <c r="D954" s="401"/>
      <c r="E954" s="320"/>
      <c r="F954" s="321"/>
      <c r="G954" s="322"/>
      <c r="H954" s="401"/>
      <c r="I954" s="320"/>
      <c r="J954" s="321"/>
      <c r="K954" s="322"/>
      <c r="L954" s="401"/>
      <c r="M954" s="320"/>
      <c r="N954" s="321"/>
      <c r="O954" s="322"/>
      <c r="P954" s="401"/>
      <c r="Q954" s="203"/>
      <c r="R954" s="223"/>
      <c r="S954" s="404"/>
      <c r="T954" s="405"/>
      <c r="U954" s="203"/>
      <c r="V954" s="223"/>
      <c r="W954" s="404"/>
      <c r="X954" s="405"/>
      <c r="Y954" s="203"/>
      <c r="Z954" s="223"/>
      <c r="AA954" s="404"/>
      <c r="AB954" s="405"/>
      <c r="AC954" s="203"/>
      <c r="AD954" s="223"/>
      <c r="AE954" s="404"/>
      <c r="AF954" s="405"/>
      <c r="AG954" s="205"/>
      <c r="AH954" s="205"/>
      <c r="AI954" s="205"/>
      <c r="AJ954" s="205"/>
      <c r="AK954" s="401"/>
      <c r="AL954" s="401"/>
      <c r="AM954" s="401"/>
    </row>
    <row r="955">
      <c r="A955" s="320"/>
      <c r="B955" s="321"/>
      <c r="C955" s="322"/>
      <c r="D955" s="401"/>
      <c r="E955" s="320"/>
      <c r="F955" s="321"/>
      <c r="G955" s="322"/>
      <c r="H955" s="401"/>
      <c r="I955" s="320"/>
      <c r="J955" s="321"/>
      <c r="K955" s="322"/>
      <c r="L955" s="401"/>
      <c r="M955" s="320"/>
      <c r="N955" s="321"/>
      <c r="O955" s="322"/>
      <c r="P955" s="401"/>
      <c r="Q955" s="203"/>
      <c r="R955" s="223"/>
      <c r="S955" s="404"/>
      <c r="T955" s="405"/>
      <c r="U955" s="203"/>
      <c r="V955" s="223"/>
      <c r="W955" s="404"/>
      <c r="X955" s="405"/>
      <c r="Y955" s="203"/>
      <c r="Z955" s="223"/>
      <c r="AA955" s="404"/>
      <c r="AB955" s="405"/>
      <c r="AC955" s="203"/>
      <c r="AD955" s="223"/>
      <c r="AE955" s="404"/>
      <c r="AF955" s="405"/>
      <c r="AG955" s="205"/>
      <c r="AH955" s="205"/>
      <c r="AI955" s="205"/>
      <c r="AJ955" s="205"/>
      <c r="AK955" s="401"/>
      <c r="AL955" s="401"/>
      <c r="AM955" s="401"/>
    </row>
    <row r="956">
      <c r="A956" s="320"/>
      <c r="B956" s="321"/>
      <c r="C956" s="322"/>
      <c r="D956" s="401"/>
      <c r="E956" s="320"/>
      <c r="F956" s="321"/>
      <c r="G956" s="322"/>
      <c r="H956" s="401"/>
      <c r="I956" s="320"/>
      <c r="J956" s="321"/>
      <c r="K956" s="322"/>
      <c r="L956" s="401"/>
      <c r="M956" s="320"/>
      <c r="N956" s="321"/>
      <c r="O956" s="322"/>
      <c r="P956" s="401"/>
      <c r="Q956" s="203"/>
      <c r="R956" s="223"/>
      <c r="S956" s="404"/>
      <c r="T956" s="405"/>
      <c r="U956" s="203"/>
      <c r="V956" s="223"/>
      <c r="W956" s="404"/>
      <c r="X956" s="405"/>
      <c r="Y956" s="203"/>
      <c r="Z956" s="223"/>
      <c r="AA956" s="404"/>
      <c r="AB956" s="405"/>
      <c r="AC956" s="203"/>
      <c r="AD956" s="223"/>
      <c r="AE956" s="404"/>
      <c r="AF956" s="405"/>
      <c r="AG956" s="205"/>
      <c r="AH956" s="205"/>
      <c r="AI956" s="205"/>
      <c r="AJ956" s="205"/>
      <c r="AK956" s="401"/>
      <c r="AL956" s="401"/>
      <c r="AM956" s="401"/>
    </row>
    <row r="957">
      <c r="A957" s="320"/>
      <c r="B957" s="321"/>
      <c r="C957" s="322"/>
      <c r="D957" s="401"/>
      <c r="E957" s="320"/>
      <c r="F957" s="321"/>
      <c r="G957" s="322"/>
      <c r="H957" s="401"/>
      <c r="I957" s="320"/>
      <c r="J957" s="321"/>
      <c r="K957" s="322"/>
      <c r="L957" s="401"/>
      <c r="M957" s="320"/>
      <c r="N957" s="321"/>
      <c r="O957" s="322"/>
      <c r="P957" s="401"/>
      <c r="Q957" s="203"/>
      <c r="R957" s="223"/>
      <c r="S957" s="404"/>
      <c r="T957" s="405"/>
      <c r="U957" s="203"/>
      <c r="V957" s="223"/>
      <c r="W957" s="404"/>
      <c r="X957" s="405"/>
      <c r="Y957" s="203"/>
      <c r="Z957" s="223"/>
      <c r="AA957" s="404"/>
      <c r="AB957" s="405"/>
      <c r="AC957" s="203"/>
      <c r="AD957" s="223"/>
      <c r="AE957" s="404"/>
      <c r="AF957" s="405"/>
      <c r="AG957" s="205"/>
      <c r="AH957" s="205"/>
      <c r="AI957" s="205"/>
      <c r="AJ957" s="205"/>
      <c r="AK957" s="401"/>
      <c r="AL957" s="401"/>
      <c r="AM957" s="401"/>
    </row>
    <row r="958">
      <c r="A958" s="320"/>
      <c r="B958" s="321"/>
      <c r="C958" s="322"/>
      <c r="D958" s="401"/>
      <c r="E958" s="320"/>
      <c r="F958" s="321"/>
      <c r="G958" s="322"/>
      <c r="H958" s="401"/>
      <c r="I958" s="320"/>
      <c r="J958" s="321"/>
      <c r="K958" s="322"/>
      <c r="L958" s="401"/>
      <c r="M958" s="320"/>
      <c r="N958" s="321"/>
      <c r="O958" s="322"/>
      <c r="P958" s="401"/>
      <c r="Q958" s="203"/>
      <c r="R958" s="223"/>
      <c r="S958" s="404"/>
      <c r="T958" s="405"/>
      <c r="U958" s="203"/>
      <c r="V958" s="223"/>
      <c r="W958" s="404"/>
      <c r="X958" s="405"/>
      <c r="Y958" s="203"/>
      <c r="Z958" s="223"/>
      <c r="AA958" s="404"/>
      <c r="AB958" s="405"/>
      <c r="AC958" s="203"/>
      <c r="AD958" s="223"/>
      <c r="AE958" s="404"/>
      <c r="AF958" s="405"/>
      <c r="AG958" s="205"/>
      <c r="AH958" s="205"/>
      <c r="AI958" s="205"/>
      <c r="AJ958" s="205"/>
      <c r="AK958" s="401"/>
      <c r="AL958" s="401"/>
      <c r="AM958" s="401"/>
    </row>
    <row r="959">
      <c r="A959" s="320"/>
      <c r="B959" s="321"/>
      <c r="C959" s="322"/>
      <c r="D959" s="401"/>
      <c r="E959" s="320"/>
      <c r="F959" s="321"/>
      <c r="G959" s="322"/>
      <c r="H959" s="401"/>
      <c r="I959" s="320"/>
      <c r="J959" s="321"/>
      <c r="K959" s="322"/>
      <c r="L959" s="401"/>
      <c r="M959" s="320"/>
      <c r="N959" s="321"/>
      <c r="O959" s="322"/>
      <c r="P959" s="401"/>
      <c r="Q959" s="203"/>
      <c r="R959" s="223"/>
      <c r="S959" s="404"/>
      <c r="T959" s="405"/>
      <c r="U959" s="203"/>
      <c r="V959" s="223"/>
      <c r="W959" s="404"/>
      <c r="X959" s="405"/>
      <c r="Y959" s="203"/>
      <c r="Z959" s="223"/>
      <c r="AA959" s="404"/>
      <c r="AB959" s="405"/>
      <c r="AC959" s="203"/>
      <c r="AD959" s="223"/>
      <c r="AE959" s="404"/>
      <c r="AF959" s="405"/>
      <c r="AG959" s="205"/>
      <c r="AH959" s="205"/>
      <c r="AI959" s="205"/>
      <c r="AJ959" s="205"/>
      <c r="AK959" s="401"/>
      <c r="AL959" s="401"/>
      <c r="AM959" s="401"/>
    </row>
    <row r="960">
      <c r="A960" s="320"/>
      <c r="B960" s="321"/>
      <c r="C960" s="322"/>
      <c r="D960" s="401"/>
      <c r="E960" s="320"/>
      <c r="F960" s="321"/>
      <c r="G960" s="322"/>
      <c r="H960" s="401"/>
      <c r="I960" s="320"/>
      <c r="J960" s="321"/>
      <c r="K960" s="322"/>
      <c r="L960" s="401"/>
      <c r="M960" s="320"/>
      <c r="N960" s="321"/>
      <c r="O960" s="322"/>
      <c r="P960" s="401"/>
      <c r="Q960" s="203"/>
      <c r="R960" s="223"/>
      <c r="S960" s="404"/>
      <c r="T960" s="405"/>
      <c r="U960" s="203"/>
      <c r="V960" s="223"/>
      <c r="W960" s="404"/>
      <c r="X960" s="405"/>
      <c r="Y960" s="203"/>
      <c r="Z960" s="223"/>
      <c r="AA960" s="404"/>
      <c r="AB960" s="405"/>
      <c r="AC960" s="203"/>
      <c r="AD960" s="223"/>
      <c r="AE960" s="404"/>
      <c r="AF960" s="405"/>
      <c r="AG960" s="205"/>
      <c r="AH960" s="205"/>
      <c r="AI960" s="205"/>
      <c r="AJ960" s="205"/>
      <c r="AK960" s="401"/>
      <c r="AL960" s="401"/>
      <c r="AM960" s="401"/>
    </row>
    <row r="961">
      <c r="A961" s="320"/>
      <c r="B961" s="321"/>
      <c r="C961" s="322"/>
      <c r="D961" s="401"/>
      <c r="E961" s="320"/>
      <c r="F961" s="321"/>
      <c r="G961" s="322"/>
      <c r="H961" s="401"/>
      <c r="I961" s="320"/>
      <c r="J961" s="321"/>
      <c r="K961" s="322"/>
      <c r="L961" s="401"/>
      <c r="M961" s="320"/>
      <c r="N961" s="321"/>
      <c r="O961" s="322"/>
      <c r="P961" s="401"/>
      <c r="Q961" s="203"/>
      <c r="R961" s="223"/>
      <c r="S961" s="404"/>
      <c r="T961" s="405"/>
      <c r="U961" s="203"/>
      <c r="V961" s="223"/>
      <c r="W961" s="404"/>
      <c r="X961" s="405"/>
      <c r="Y961" s="203"/>
      <c r="Z961" s="223"/>
      <c r="AA961" s="404"/>
      <c r="AB961" s="405"/>
      <c r="AC961" s="203"/>
      <c r="AD961" s="223"/>
      <c r="AE961" s="404"/>
      <c r="AF961" s="405"/>
      <c r="AG961" s="205"/>
      <c r="AH961" s="205"/>
      <c r="AI961" s="205"/>
      <c r="AJ961" s="205"/>
      <c r="AK961" s="401"/>
      <c r="AL961" s="401"/>
      <c r="AM961" s="401"/>
    </row>
    <row r="962">
      <c r="A962" s="320"/>
      <c r="B962" s="321"/>
      <c r="C962" s="322"/>
      <c r="D962" s="401"/>
      <c r="E962" s="320"/>
      <c r="F962" s="321"/>
      <c r="G962" s="322"/>
      <c r="H962" s="401"/>
      <c r="I962" s="320"/>
      <c r="J962" s="321"/>
      <c r="K962" s="322"/>
      <c r="L962" s="401"/>
      <c r="M962" s="320"/>
      <c r="N962" s="321"/>
      <c r="O962" s="322"/>
      <c r="P962" s="401"/>
      <c r="Q962" s="203"/>
      <c r="R962" s="223"/>
      <c r="S962" s="404"/>
      <c r="T962" s="405"/>
      <c r="U962" s="203"/>
      <c r="V962" s="223"/>
      <c r="W962" s="404"/>
      <c r="X962" s="405"/>
      <c r="Y962" s="203"/>
      <c r="Z962" s="223"/>
      <c r="AA962" s="404"/>
      <c r="AB962" s="405"/>
      <c r="AC962" s="203"/>
      <c r="AD962" s="223"/>
      <c r="AE962" s="404"/>
      <c r="AF962" s="405"/>
      <c r="AG962" s="205"/>
      <c r="AH962" s="205"/>
      <c r="AI962" s="205"/>
      <c r="AJ962" s="205"/>
      <c r="AK962" s="401"/>
      <c r="AL962" s="401"/>
      <c r="AM962" s="401"/>
    </row>
    <row r="963">
      <c r="A963" s="320"/>
      <c r="B963" s="321"/>
      <c r="C963" s="322"/>
      <c r="D963" s="401"/>
      <c r="E963" s="320"/>
      <c r="F963" s="321"/>
      <c r="G963" s="322"/>
      <c r="H963" s="401"/>
      <c r="I963" s="320"/>
      <c r="J963" s="321"/>
      <c r="K963" s="322"/>
      <c r="L963" s="401"/>
      <c r="M963" s="320"/>
      <c r="N963" s="321"/>
      <c r="O963" s="322"/>
      <c r="P963" s="401"/>
      <c r="Q963" s="203"/>
      <c r="R963" s="223"/>
      <c r="S963" s="404"/>
      <c r="T963" s="405"/>
      <c r="U963" s="203"/>
      <c r="V963" s="223"/>
      <c r="W963" s="404"/>
      <c r="X963" s="405"/>
      <c r="Y963" s="203"/>
      <c r="Z963" s="223"/>
      <c r="AA963" s="404"/>
      <c r="AB963" s="405"/>
      <c r="AC963" s="203"/>
      <c r="AD963" s="223"/>
      <c r="AE963" s="404"/>
      <c r="AF963" s="405"/>
      <c r="AG963" s="205"/>
      <c r="AH963" s="205"/>
      <c r="AI963" s="205"/>
      <c r="AJ963" s="205"/>
      <c r="AK963" s="401"/>
      <c r="AL963" s="401"/>
      <c r="AM963" s="401"/>
    </row>
    <row r="964">
      <c r="A964" s="320"/>
      <c r="B964" s="321"/>
      <c r="C964" s="322"/>
      <c r="D964" s="401"/>
      <c r="E964" s="320"/>
      <c r="F964" s="321"/>
      <c r="G964" s="322"/>
      <c r="H964" s="401"/>
      <c r="I964" s="320"/>
      <c r="J964" s="321"/>
      <c r="K964" s="322"/>
      <c r="L964" s="401"/>
      <c r="M964" s="320"/>
      <c r="N964" s="321"/>
      <c r="O964" s="322"/>
      <c r="P964" s="401"/>
      <c r="Q964" s="203"/>
      <c r="R964" s="223"/>
      <c r="S964" s="404"/>
      <c r="T964" s="405"/>
      <c r="U964" s="203"/>
      <c r="V964" s="223"/>
      <c r="W964" s="404"/>
      <c r="X964" s="405"/>
      <c r="Y964" s="203"/>
      <c r="Z964" s="223"/>
      <c r="AA964" s="404"/>
      <c r="AB964" s="405"/>
      <c r="AC964" s="203"/>
      <c r="AD964" s="223"/>
      <c r="AE964" s="404"/>
      <c r="AF964" s="405"/>
      <c r="AG964" s="205"/>
      <c r="AH964" s="205"/>
      <c r="AI964" s="205"/>
      <c r="AJ964" s="205"/>
      <c r="AK964" s="401"/>
      <c r="AL964" s="401"/>
      <c r="AM964" s="401"/>
    </row>
    <row r="965">
      <c r="A965" s="320"/>
      <c r="B965" s="321"/>
      <c r="C965" s="322"/>
      <c r="D965" s="401"/>
      <c r="E965" s="320"/>
      <c r="F965" s="321"/>
      <c r="G965" s="322"/>
      <c r="H965" s="401"/>
      <c r="I965" s="320"/>
      <c r="J965" s="321"/>
      <c r="K965" s="322"/>
      <c r="L965" s="401"/>
      <c r="M965" s="320"/>
      <c r="N965" s="321"/>
      <c r="O965" s="322"/>
      <c r="P965" s="401"/>
      <c r="Q965" s="203"/>
      <c r="R965" s="223"/>
      <c r="S965" s="404"/>
      <c r="T965" s="405"/>
      <c r="U965" s="203"/>
      <c r="V965" s="223"/>
      <c r="W965" s="404"/>
      <c r="X965" s="405"/>
      <c r="Y965" s="203"/>
      <c r="Z965" s="223"/>
      <c r="AA965" s="404"/>
      <c r="AB965" s="405"/>
      <c r="AC965" s="203"/>
      <c r="AD965" s="223"/>
      <c r="AE965" s="404"/>
      <c r="AF965" s="405"/>
      <c r="AG965" s="205"/>
      <c r="AH965" s="205"/>
      <c r="AI965" s="205"/>
      <c r="AJ965" s="205"/>
      <c r="AK965" s="401"/>
      <c r="AL965" s="401"/>
      <c r="AM965" s="401"/>
    </row>
    <row r="966">
      <c r="A966" s="320"/>
      <c r="B966" s="321"/>
      <c r="C966" s="322"/>
      <c r="D966" s="401"/>
      <c r="E966" s="320"/>
      <c r="F966" s="321"/>
      <c r="G966" s="322"/>
      <c r="H966" s="401"/>
      <c r="I966" s="320"/>
      <c r="J966" s="321"/>
      <c r="K966" s="322"/>
      <c r="L966" s="401"/>
      <c r="M966" s="320"/>
      <c r="N966" s="321"/>
      <c r="O966" s="322"/>
      <c r="P966" s="401"/>
      <c r="Q966" s="203"/>
      <c r="R966" s="223"/>
      <c r="S966" s="404"/>
      <c r="T966" s="405"/>
      <c r="U966" s="203"/>
      <c r="V966" s="223"/>
      <c r="W966" s="404"/>
      <c r="X966" s="405"/>
      <c r="Y966" s="203"/>
      <c r="Z966" s="223"/>
      <c r="AA966" s="404"/>
      <c r="AB966" s="405"/>
      <c r="AC966" s="203"/>
      <c r="AD966" s="223"/>
      <c r="AE966" s="404"/>
      <c r="AF966" s="405"/>
      <c r="AG966" s="205"/>
      <c r="AH966" s="205"/>
      <c r="AI966" s="205"/>
      <c r="AJ966" s="205"/>
      <c r="AK966" s="401"/>
      <c r="AL966" s="401"/>
      <c r="AM966" s="401"/>
    </row>
    <row r="967">
      <c r="A967" s="320"/>
      <c r="B967" s="321"/>
      <c r="C967" s="322"/>
      <c r="D967" s="401"/>
      <c r="E967" s="320"/>
      <c r="F967" s="321"/>
      <c r="G967" s="322"/>
      <c r="H967" s="401"/>
      <c r="I967" s="320"/>
      <c r="J967" s="321"/>
      <c r="K967" s="322"/>
      <c r="L967" s="401"/>
      <c r="M967" s="320"/>
      <c r="N967" s="321"/>
      <c r="O967" s="322"/>
      <c r="P967" s="401"/>
      <c r="Q967" s="203"/>
      <c r="R967" s="223"/>
      <c r="S967" s="404"/>
      <c r="T967" s="405"/>
      <c r="U967" s="203"/>
      <c r="V967" s="223"/>
      <c r="W967" s="404"/>
      <c r="X967" s="405"/>
      <c r="Y967" s="203"/>
      <c r="Z967" s="223"/>
      <c r="AA967" s="404"/>
      <c r="AB967" s="405"/>
      <c r="AC967" s="203"/>
      <c r="AD967" s="223"/>
      <c r="AE967" s="404"/>
      <c r="AF967" s="405"/>
      <c r="AG967" s="205"/>
      <c r="AH967" s="205"/>
      <c r="AI967" s="205"/>
      <c r="AJ967" s="205"/>
      <c r="AK967" s="401"/>
      <c r="AL967" s="401"/>
      <c r="AM967" s="401"/>
    </row>
    <row r="968">
      <c r="A968" s="320"/>
      <c r="B968" s="321"/>
      <c r="C968" s="322"/>
      <c r="D968" s="401"/>
      <c r="E968" s="320"/>
      <c r="F968" s="321"/>
      <c r="G968" s="322"/>
      <c r="H968" s="401"/>
      <c r="I968" s="320"/>
      <c r="J968" s="321"/>
      <c r="K968" s="322"/>
      <c r="L968" s="401"/>
      <c r="M968" s="320"/>
      <c r="N968" s="321"/>
      <c r="O968" s="322"/>
      <c r="P968" s="401"/>
      <c r="Q968" s="203"/>
      <c r="R968" s="223"/>
      <c r="S968" s="404"/>
      <c r="T968" s="405"/>
      <c r="U968" s="203"/>
      <c r="V968" s="223"/>
      <c r="W968" s="404"/>
      <c r="X968" s="405"/>
      <c r="Y968" s="203"/>
      <c r="Z968" s="223"/>
      <c r="AA968" s="404"/>
      <c r="AB968" s="405"/>
      <c r="AC968" s="203"/>
      <c r="AD968" s="223"/>
      <c r="AE968" s="404"/>
      <c r="AF968" s="405"/>
      <c r="AG968" s="205"/>
      <c r="AH968" s="205"/>
      <c r="AI968" s="205"/>
      <c r="AJ968" s="205"/>
      <c r="AK968" s="401"/>
      <c r="AL968" s="401"/>
      <c r="AM968" s="401"/>
    </row>
    <row r="969">
      <c r="A969" s="320"/>
      <c r="B969" s="321"/>
      <c r="C969" s="322"/>
      <c r="D969" s="401"/>
      <c r="E969" s="320"/>
      <c r="F969" s="321"/>
      <c r="G969" s="322"/>
      <c r="H969" s="401"/>
      <c r="I969" s="320"/>
      <c r="J969" s="321"/>
      <c r="K969" s="322"/>
      <c r="L969" s="401"/>
      <c r="M969" s="320"/>
      <c r="N969" s="321"/>
      <c r="O969" s="322"/>
      <c r="P969" s="401"/>
      <c r="Q969" s="203"/>
      <c r="R969" s="223"/>
      <c r="S969" s="404"/>
      <c r="T969" s="405"/>
      <c r="U969" s="203"/>
      <c r="V969" s="223"/>
      <c r="W969" s="404"/>
      <c r="X969" s="405"/>
      <c r="Y969" s="203"/>
      <c r="Z969" s="223"/>
      <c r="AA969" s="404"/>
      <c r="AB969" s="405"/>
      <c r="AC969" s="203"/>
      <c r="AD969" s="223"/>
      <c r="AE969" s="404"/>
      <c r="AF969" s="405"/>
      <c r="AG969" s="205"/>
      <c r="AH969" s="205"/>
      <c r="AI969" s="205"/>
      <c r="AJ969" s="205"/>
      <c r="AK969" s="401"/>
      <c r="AL969" s="401"/>
      <c r="AM969" s="401"/>
    </row>
    <row r="970">
      <c r="A970" s="320"/>
      <c r="B970" s="321"/>
      <c r="C970" s="322"/>
      <c r="D970" s="401"/>
      <c r="E970" s="320"/>
      <c r="F970" s="321"/>
      <c r="G970" s="322"/>
      <c r="H970" s="401"/>
      <c r="I970" s="320"/>
      <c r="J970" s="321"/>
      <c r="K970" s="322"/>
      <c r="L970" s="401"/>
      <c r="M970" s="320"/>
      <c r="N970" s="321"/>
      <c r="O970" s="322"/>
      <c r="P970" s="401"/>
      <c r="Q970" s="203"/>
      <c r="R970" s="223"/>
      <c r="S970" s="404"/>
      <c r="T970" s="405"/>
      <c r="U970" s="203"/>
      <c r="V970" s="223"/>
      <c r="W970" s="404"/>
      <c r="X970" s="405"/>
      <c r="Y970" s="203"/>
      <c r="Z970" s="223"/>
      <c r="AA970" s="404"/>
      <c r="AB970" s="405"/>
      <c r="AC970" s="203"/>
      <c r="AD970" s="223"/>
      <c r="AE970" s="404"/>
      <c r="AF970" s="405"/>
      <c r="AG970" s="205"/>
      <c r="AH970" s="205"/>
      <c r="AI970" s="205"/>
      <c r="AJ970" s="205"/>
      <c r="AK970" s="401"/>
      <c r="AL970" s="401"/>
      <c r="AM970" s="401"/>
    </row>
    <row r="971">
      <c r="A971" s="320"/>
      <c r="B971" s="321"/>
      <c r="C971" s="322"/>
      <c r="D971" s="401"/>
      <c r="E971" s="320"/>
      <c r="F971" s="321"/>
      <c r="G971" s="322"/>
      <c r="H971" s="401"/>
      <c r="I971" s="320"/>
      <c r="J971" s="321"/>
      <c r="K971" s="322"/>
      <c r="L971" s="401"/>
      <c r="M971" s="320"/>
      <c r="N971" s="321"/>
      <c r="O971" s="322"/>
      <c r="P971" s="401"/>
      <c r="Q971" s="203"/>
      <c r="R971" s="223"/>
      <c r="S971" s="404"/>
      <c r="T971" s="405"/>
      <c r="U971" s="203"/>
      <c r="V971" s="223"/>
      <c r="W971" s="404"/>
      <c r="X971" s="405"/>
      <c r="Y971" s="203"/>
      <c r="Z971" s="223"/>
      <c r="AA971" s="404"/>
      <c r="AB971" s="405"/>
      <c r="AC971" s="203"/>
      <c r="AD971" s="223"/>
      <c r="AE971" s="404"/>
      <c r="AF971" s="405"/>
      <c r="AG971" s="205"/>
      <c r="AH971" s="205"/>
      <c r="AI971" s="205"/>
      <c r="AJ971" s="205"/>
      <c r="AK971" s="401"/>
      <c r="AL971" s="401"/>
      <c r="AM971" s="401"/>
    </row>
    <row r="972">
      <c r="A972" s="320"/>
      <c r="B972" s="321"/>
      <c r="C972" s="322"/>
      <c r="D972" s="401"/>
      <c r="E972" s="320"/>
      <c r="F972" s="321"/>
      <c r="G972" s="322"/>
      <c r="H972" s="401"/>
      <c r="I972" s="320"/>
      <c r="J972" s="321"/>
      <c r="K972" s="322"/>
      <c r="L972" s="401"/>
      <c r="M972" s="320"/>
      <c r="N972" s="321"/>
      <c r="O972" s="322"/>
      <c r="P972" s="401"/>
      <c r="Q972" s="203"/>
      <c r="R972" s="223"/>
      <c r="S972" s="404"/>
      <c r="T972" s="405"/>
      <c r="U972" s="203"/>
      <c r="V972" s="223"/>
      <c r="W972" s="404"/>
      <c r="X972" s="405"/>
      <c r="Y972" s="203"/>
      <c r="Z972" s="223"/>
      <c r="AA972" s="404"/>
      <c r="AB972" s="405"/>
      <c r="AC972" s="203"/>
      <c r="AD972" s="223"/>
      <c r="AE972" s="404"/>
      <c r="AF972" s="405"/>
      <c r="AG972" s="205"/>
      <c r="AH972" s="205"/>
      <c r="AI972" s="205"/>
      <c r="AJ972" s="205"/>
      <c r="AK972" s="401"/>
      <c r="AL972" s="401"/>
      <c r="AM972" s="401"/>
    </row>
    <row r="973">
      <c r="A973" s="320"/>
      <c r="B973" s="321"/>
      <c r="C973" s="322"/>
      <c r="D973" s="401"/>
      <c r="E973" s="320"/>
      <c r="F973" s="321"/>
      <c r="G973" s="322"/>
      <c r="H973" s="401"/>
      <c r="I973" s="320"/>
      <c r="J973" s="321"/>
      <c r="K973" s="322"/>
      <c r="L973" s="401"/>
      <c r="M973" s="320"/>
      <c r="N973" s="321"/>
      <c r="O973" s="322"/>
      <c r="P973" s="401"/>
      <c r="Q973" s="203"/>
      <c r="R973" s="223"/>
      <c r="S973" s="404"/>
      <c r="T973" s="405"/>
      <c r="U973" s="203"/>
      <c r="V973" s="223"/>
      <c r="W973" s="404"/>
      <c r="X973" s="405"/>
      <c r="Y973" s="203"/>
      <c r="Z973" s="223"/>
      <c r="AA973" s="404"/>
      <c r="AB973" s="405"/>
      <c r="AC973" s="203"/>
      <c r="AD973" s="223"/>
      <c r="AE973" s="404"/>
      <c r="AF973" s="405"/>
      <c r="AG973" s="205"/>
      <c r="AH973" s="205"/>
      <c r="AI973" s="205"/>
      <c r="AJ973" s="205"/>
      <c r="AK973" s="401"/>
      <c r="AL973" s="401"/>
      <c r="AM973" s="401"/>
    </row>
    <row r="974">
      <c r="A974" s="320"/>
      <c r="B974" s="321"/>
      <c r="C974" s="322"/>
      <c r="D974" s="401"/>
      <c r="E974" s="320"/>
      <c r="F974" s="321"/>
      <c r="G974" s="322"/>
      <c r="H974" s="401"/>
      <c r="I974" s="320"/>
      <c r="J974" s="321"/>
      <c r="K974" s="322"/>
      <c r="L974" s="401"/>
      <c r="M974" s="320"/>
      <c r="N974" s="321"/>
      <c r="O974" s="322"/>
      <c r="P974" s="401"/>
      <c r="Q974" s="203"/>
      <c r="R974" s="223"/>
      <c r="S974" s="404"/>
      <c r="T974" s="405"/>
      <c r="U974" s="203"/>
      <c r="V974" s="223"/>
      <c r="W974" s="404"/>
      <c r="X974" s="405"/>
      <c r="Y974" s="203"/>
      <c r="Z974" s="223"/>
      <c r="AA974" s="404"/>
      <c r="AB974" s="405"/>
      <c r="AC974" s="203"/>
      <c r="AD974" s="223"/>
      <c r="AE974" s="404"/>
      <c r="AF974" s="405"/>
      <c r="AG974" s="205"/>
      <c r="AH974" s="205"/>
      <c r="AI974" s="205"/>
      <c r="AJ974" s="205"/>
      <c r="AK974" s="401"/>
      <c r="AL974" s="401"/>
      <c r="AM974" s="401"/>
    </row>
    <row r="975">
      <c r="A975" s="320"/>
      <c r="B975" s="321"/>
      <c r="C975" s="322"/>
      <c r="D975" s="401"/>
      <c r="E975" s="320"/>
      <c r="F975" s="321"/>
      <c r="G975" s="322"/>
      <c r="H975" s="401"/>
      <c r="I975" s="320"/>
      <c r="J975" s="321"/>
      <c r="K975" s="322"/>
      <c r="L975" s="401"/>
      <c r="M975" s="320"/>
      <c r="N975" s="321"/>
      <c r="O975" s="322"/>
      <c r="P975" s="401"/>
      <c r="Q975" s="203"/>
      <c r="R975" s="223"/>
      <c r="S975" s="404"/>
      <c r="T975" s="405"/>
      <c r="U975" s="203"/>
      <c r="V975" s="223"/>
      <c r="W975" s="404"/>
      <c r="X975" s="405"/>
      <c r="Y975" s="203"/>
      <c r="Z975" s="223"/>
      <c r="AA975" s="404"/>
      <c r="AB975" s="405"/>
      <c r="AC975" s="203"/>
      <c r="AD975" s="223"/>
      <c r="AE975" s="404"/>
      <c r="AF975" s="405"/>
      <c r="AG975" s="205"/>
      <c r="AH975" s="205"/>
      <c r="AI975" s="205"/>
      <c r="AJ975" s="205"/>
      <c r="AK975" s="401"/>
      <c r="AL975" s="401"/>
      <c r="AM975" s="401"/>
    </row>
    <row r="976">
      <c r="A976" s="320"/>
      <c r="B976" s="321"/>
      <c r="C976" s="322"/>
      <c r="D976" s="401"/>
      <c r="E976" s="320"/>
      <c r="F976" s="321"/>
      <c r="G976" s="322"/>
      <c r="H976" s="401"/>
      <c r="I976" s="320"/>
      <c r="J976" s="321"/>
      <c r="K976" s="322"/>
      <c r="L976" s="401"/>
      <c r="M976" s="320"/>
      <c r="N976" s="321"/>
      <c r="O976" s="322"/>
      <c r="P976" s="401"/>
      <c r="Q976" s="203"/>
      <c r="R976" s="223"/>
      <c r="S976" s="404"/>
      <c r="T976" s="405"/>
      <c r="U976" s="203"/>
      <c r="V976" s="223"/>
      <c r="W976" s="404"/>
      <c r="X976" s="405"/>
      <c r="Y976" s="203"/>
      <c r="Z976" s="223"/>
      <c r="AA976" s="404"/>
      <c r="AB976" s="405"/>
      <c r="AC976" s="203"/>
      <c r="AD976" s="223"/>
      <c r="AE976" s="404"/>
      <c r="AF976" s="405"/>
      <c r="AG976" s="205"/>
      <c r="AH976" s="205"/>
      <c r="AI976" s="205"/>
      <c r="AJ976" s="205"/>
      <c r="AK976" s="401"/>
      <c r="AL976" s="401"/>
      <c r="AM976" s="401"/>
    </row>
    <row r="977">
      <c r="A977" s="320"/>
      <c r="B977" s="321"/>
      <c r="C977" s="322"/>
      <c r="D977" s="401"/>
      <c r="E977" s="320"/>
      <c r="F977" s="321"/>
      <c r="G977" s="322"/>
      <c r="H977" s="401"/>
      <c r="I977" s="320"/>
      <c r="J977" s="321"/>
      <c r="K977" s="322"/>
      <c r="L977" s="401"/>
      <c r="M977" s="320"/>
      <c r="N977" s="321"/>
      <c r="O977" s="322"/>
      <c r="P977" s="401"/>
      <c r="Q977" s="203"/>
      <c r="R977" s="223"/>
      <c r="S977" s="404"/>
      <c r="T977" s="405"/>
      <c r="U977" s="203"/>
      <c r="V977" s="223"/>
      <c r="W977" s="404"/>
      <c r="X977" s="405"/>
      <c r="Y977" s="203"/>
      <c r="Z977" s="223"/>
      <c r="AA977" s="404"/>
      <c r="AB977" s="405"/>
      <c r="AC977" s="203"/>
      <c r="AD977" s="223"/>
      <c r="AE977" s="404"/>
      <c r="AF977" s="405"/>
      <c r="AG977" s="205"/>
      <c r="AH977" s="205"/>
      <c r="AI977" s="205"/>
      <c r="AJ977" s="205"/>
      <c r="AK977" s="401"/>
      <c r="AL977" s="401"/>
      <c r="AM977" s="401"/>
    </row>
    <row r="978">
      <c r="A978" s="320"/>
      <c r="B978" s="321"/>
      <c r="C978" s="322"/>
      <c r="D978" s="401"/>
      <c r="E978" s="320"/>
      <c r="F978" s="321"/>
      <c r="G978" s="322"/>
      <c r="H978" s="401"/>
      <c r="I978" s="320"/>
      <c r="J978" s="321"/>
      <c r="K978" s="322"/>
      <c r="L978" s="401"/>
      <c r="M978" s="320"/>
      <c r="N978" s="321"/>
      <c r="O978" s="322"/>
      <c r="P978" s="401"/>
      <c r="Q978" s="203"/>
      <c r="R978" s="223"/>
      <c r="S978" s="404"/>
      <c r="T978" s="405"/>
      <c r="U978" s="203"/>
      <c r="V978" s="223"/>
      <c r="W978" s="404"/>
      <c r="X978" s="405"/>
      <c r="Y978" s="203"/>
      <c r="Z978" s="223"/>
      <c r="AA978" s="404"/>
      <c r="AB978" s="405"/>
      <c r="AC978" s="203"/>
      <c r="AD978" s="223"/>
      <c r="AE978" s="404"/>
      <c r="AF978" s="405"/>
      <c r="AG978" s="205"/>
      <c r="AH978" s="205"/>
      <c r="AI978" s="205"/>
      <c r="AJ978" s="205"/>
      <c r="AK978" s="401"/>
      <c r="AL978" s="401"/>
      <c r="AM978" s="401"/>
    </row>
    <row r="979">
      <c r="A979" s="320"/>
      <c r="B979" s="321"/>
      <c r="C979" s="322"/>
      <c r="D979" s="401"/>
      <c r="E979" s="320"/>
      <c r="F979" s="321"/>
      <c r="G979" s="322"/>
      <c r="H979" s="401"/>
      <c r="I979" s="320"/>
      <c r="J979" s="321"/>
      <c r="K979" s="322"/>
      <c r="L979" s="401"/>
      <c r="M979" s="320"/>
      <c r="N979" s="321"/>
      <c r="O979" s="322"/>
      <c r="P979" s="401"/>
      <c r="Q979" s="203"/>
      <c r="R979" s="223"/>
      <c r="S979" s="404"/>
      <c r="T979" s="405"/>
      <c r="U979" s="203"/>
      <c r="V979" s="223"/>
      <c r="W979" s="404"/>
      <c r="X979" s="405"/>
      <c r="Y979" s="203"/>
      <c r="Z979" s="223"/>
      <c r="AA979" s="404"/>
      <c r="AB979" s="405"/>
      <c r="AC979" s="203"/>
      <c r="AD979" s="223"/>
      <c r="AE979" s="404"/>
      <c r="AF979" s="405"/>
      <c r="AG979" s="205"/>
      <c r="AH979" s="205"/>
      <c r="AI979" s="205"/>
      <c r="AJ979" s="205"/>
      <c r="AK979" s="401"/>
      <c r="AL979" s="401"/>
      <c r="AM979" s="401"/>
    </row>
    <row r="980">
      <c r="A980" s="320"/>
      <c r="B980" s="321"/>
      <c r="C980" s="322"/>
      <c r="D980" s="401"/>
      <c r="E980" s="320"/>
      <c r="F980" s="321"/>
      <c r="G980" s="322"/>
      <c r="H980" s="401"/>
      <c r="I980" s="320"/>
      <c r="J980" s="321"/>
      <c r="K980" s="322"/>
      <c r="L980" s="401"/>
      <c r="M980" s="320"/>
      <c r="N980" s="321"/>
      <c r="O980" s="322"/>
      <c r="P980" s="401"/>
      <c r="Q980" s="203"/>
      <c r="R980" s="223"/>
      <c r="S980" s="404"/>
      <c r="T980" s="405"/>
      <c r="U980" s="203"/>
      <c r="V980" s="223"/>
      <c r="W980" s="404"/>
      <c r="X980" s="405"/>
      <c r="Y980" s="203"/>
      <c r="Z980" s="223"/>
      <c r="AA980" s="404"/>
      <c r="AB980" s="405"/>
      <c r="AC980" s="203"/>
      <c r="AD980" s="223"/>
      <c r="AE980" s="404"/>
      <c r="AF980" s="405"/>
      <c r="AG980" s="205"/>
      <c r="AH980" s="205"/>
      <c r="AI980" s="205"/>
      <c r="AJ980" s="205"/>
      <c r="AK980" s="401"/>
      <c r="AL980" s="401"/>
      <c r="AM980" s="401"/>
    </row>
    <row r="981">
      <c r="A981" s="320"/>
      <c r="B981" s="321"/>
      <c r="C981" s="322"/>
      <c r="D981" s="401"/>
      <c r="E981" s="320"/>
      <c r="F981" s="321"/>
      <c r="G981" s="322"/>
      <c r="H981" s="401"/>
      <c r="I981" s="320"/>
      <c r="J981" s="321"/>
      <c r="K981" s="322"/>
      <c r="L981" s="401"/>
      <c r="M981" s="320"/>
      <c r="N981" s="321"/>
      <c r="O981" s="322"/>
      <c r="P981" s="401"/>
      <c r="Q981" s="203"/>
      <c r="R981" s="223"/>
      <c r="S981" s="404"/>
      <c r="T981" s="405"/>
      <c r="U981" s="203"/>
      <c r="V981" s="223"/>
      <c r="W981" s="404"/>
      <c r="X981" s="405"/>
      <c r="Y981" s="203"/>
      <c r="Z981" s="223"/>
      <c r="AA981" s="404"/>
      <c r="AB981" s="405"/>
      <c r="AC981" s="203"/>
      <c r="AD981" s="223"/>
      <c r="AE981" s="404"/>
      <c r="AF981" s="405"/>
      <c r="AG981" s="205"/>
      <c r="AH981" s="205"/>
      <c r="AI981" s="205"/>
      <c r="AJ981" s="205"/>
      <c r="AK981" s="401"/>
      <c r="AL981" s="401"/>
      <c r="AM981" s="401"/>
    </row>
    <row r="982">
      <c r="A982" s="320"/>
      <c r="B982" s="321"/>
      <c r="C982" s="322"/>
      <c r="D982" s="401"/>
      <c r="E982" s="320"/>
      <c r="F982" s="321"/>
      <c r="G982" s="322"/>
      <c r="H982" s="401"/>
      <c r="I982" s="320"/>
      <c r="J982" s="321"/>
      <c r="K982" s="322"/>
      <c r="L982" s="401"/>
      <c r="M982" s="320"/>
      <c r="N982" s="321"/>
      <c r="O982" s="322"/>
      <c r="P982" s="401"/>
      <c r="Q982" s="203"/>
      <c r="R982" s="223"/>
      <c r="S982" s="404"/>
      <c r="T982" s="405"/>
      <c r="U982" s="203"/>
      <c r="V982" s="223"/>
      <c r="W982" s="404"/>
      <c r="X982" s="405"/>
      <c r="Y982" s="203"/>
      <c r="Z982" s="223"/>
      <c r="AA982" s="404"/>
      <c r="AB982" s="405"/>
      <c r="AC982" s="203"/>
      <c r="AD982" s="223"/>
      <c r="AE982" s="404"/>
      <c r="AF982" s="405"/>
      <c r="AG982" s="205"/>
      <c r="AH982" s="205"/>
      <c r="AI982" s="205"/>
      <c r="AJ982" s="205"/>
      <c r="AK982" s="401"/>
      <c r="AL982" s="401"/>
      <c r="AM982" s="401"/>
    </row>
    <row r="983">
      <c r="A983" s="320"/>
      <c r="B983" s="321"/>
      <c r="C983" s="322"/>
      <c r="D983" s="401"/>
      <c r="E983" s="320"/>
      <c r="F983" s="321"/>
      <c r="G983" s="322"/>
      <c r="H983" s="401"/>
      <c r="I983" s="320"/>
      <c r="J983" s="321"/>
      <c r="K983" s="322"/>
      <c r="L983" s="401"/>
      <c r="M983" s="320"/>
      <c r="N983" s="321"/>
      <c r="O983" s="322"/>
      <c r="P983" s="401"/>
      <c r="Q983" s="203"/>
      <c r="R983" s="223"/>
      <c r="S983" s="404"/>
      <c r="T983" s="405"/>
      <c r="U983" s="203"/>
      <c r="V983" s="223"/>
      <c r="W983" s="404"/>
      <c r="X983" s="405"/>
      <c r="Y983" s="203"/>
      <c r="Z983" s="223"/>
      <c r="AA983" s="404"/>
      <c r="AB983" s="405"/>
      <c r="AC983" s="203"/>
      <c r="AD983" s="223"/>
      <c r="AE983" s="404"/>
      <c r="AF983" s="405"/>
      <c r="AG983" s="205"/>
      <c r="AH983" s="205"/>
      <c r="AI983" s="205"/>
      <c r="AJ983" s="205"/>
      <c r="AK983" s="401"/>
      <c r="AL983" s="401"/>
      <c r="AM983" s="401"/>
    </row>
    <row r="984">
      <c r="A984" s="320"/>
      <c r="B984" s="321"/>
      <c r="C984" s="322"/>
      <c r="D984" s="401"/>
      <c r="E984" s="320"/>
      <c r="F984" s="321"/>
      <c r="G984" s="322"/>
      <c r="H984" s="401"/>
      <c r="I984" s="320"/>
      <c r="J984" s="321"/>
      <c r="K984" s="322"/>
      <c r="L984" s="401"/>
      <c r="M984" s="320"/>
      <c r="N984" s="321"/>
      <c r="O984" s="322"/>
      <c r="P984" s="401"/>
      <c r="Q984" s="203"/>
      <c r="R984" s="223"/>
      <c r="S984" s="404"/>
      <c r="T984" s="405"/>
      <c r="U984" s="203"/>
      <c r="V984" s="223"/>
      <c r="W984" s="404"/>
      <c r="X984" s="405"/>
      <c r="Y984" s="203"/>
      <c r="Z984" s="223"/>
      <c r="AA984" s="404"/>
      <c r="AB984" s="405"/>
      <c r="AC984" s="203"/>
      <c r="AD984" s="223"/>
      <c r="AE984" s="404"/>
      <c r="AF984" s="405"/>
      <c r="AG984" s="205"/>
      <c r="AH984" s="205"/>
      <c r="AI984" s="205"/>
      <c r="AJ984" s="205"/>
      <c r="AK984" s="401"/>
      <c r="AL984" s="401"/>
      <c r="AM984" s="401"/>
    </row>
    <row r="985">
      <c r="A985" s="320"/>
      <c r="B985" s="321"/>
      <c r="C985" s="322"/>
      <c r="D985" s="401"/>
      <c r="E985" s="320"/>
      <c r="F985" s="321"/>
      <c r="G985" s="322"/>
      <c r="H985" s="401"/>
      <c r="I985" s="320"/>
      <c r="J985" s="321"/>
      <c r="K985" s="322"/>
      <c r="L985" s="401"/>
      <c r="M985" s="320"/>
      <c r="N985" s="321"/>
      <c r="O985" s="322"/>
      <c r="P985" s="401"/>
      <c r="Q985" s="203"/>
      <c r="R985" s="223"/>
      <c r="S985" s="404"/>
      <c r="T985" s="405"/>
      <c r="U985" s="203"/>
      <c r="V985" s="223"/>
      <c r="W985" s="404"/>
      <c r="X985" s="405"/>
      <c r="Y985" s="203"/>
      <c r="Z985" s="223"/>
      <c r="AA985" s="404"/>
      <c r="AB985" s="405"/>
      <c r="AC985" s="203"/>
      <c r="AD985" s="223"/>
      <c r="AE985" s="404"/>
      <c r="AF985" s="405"/>
      <c r="AG985" s="205"/>
      <c r="AH985" s="205"/>
      <c r="AI985" s="205"/>
      <c r="AJ985" s="205"/>
      <c r="AK985" s="401"/>
      <c r="AL985" s="401"/>
      <c r="AM985" s="401"/>
    </row>
    <row r="986">
      <c r="A986" s="320"/>
      <c r="B986" s="321"/>
      <c r="C986" s="322"/>
      <c r="D986" s="401"/>
      <c r="E986" s="320"/>
      <c r="F986" s="321"/>
      <c r="G986" s="322"/>
      <c r="H986" s="401"/>
      <c r="I986" s="320"/>
      <c r="J986" s="321"/>
      <c r="K986" s="322"/>
      <c r="L986" s="401"/>
      <c r="M986" s="320"/>
      <c r="N986" s="321"/>
      <c r="O986" s="322"/>
      <c r="P986" s="401"/>
      <c r="Q986" s="203"/>
      <c r="R986" s="223"/>
      <c r="S986" s="404"/>
      <c r="T986" s="405"/>
      <c r="U986" s="203"/>
      <c r="V986" s="223"/>
      <c r="W986" s="404"/>
      <c r="X986" s="405"/>
      <c r="Y986" s="203"/>
      <c r="Z986" s="223"/>
      <c r="AA986" s="404"/>
      <c r="AB986" s="405"/>
      <c r="AC986" s="203"/>
      <c r="AD986" s="223"/>
      <c r="AE986" s="404"/>
      <c r="AF986" s="405"/>
      <c r="AG986" s="205"/>
      <c r="AH986" s="205"/>
      <c r="AI986" s="205"/>
      <c r="AJ986" s="205"/>
      <c r="AK986" s="401"/>
      <c r="AL986" s="401"/>
      <c r="AM986" s="401"/>
    </row>
    <row r="987">
      <c r="A987" s="320"/>
      <c r="B987" s="321"/>
      <c r="C987" s="322"/>
      <c r="D987" s="401"/>
      <c r="E987" s="320"/>
      <c r="F987" s="321"/>
      <c r="G987" s="322"/>
      <c r="H987" s="401"/>
      <c r="I987" s="320"/>
      <c r="J987" s="321"/>
      <c r="K987" s="322"/>
      <c r="L987" s="401"/>
      <c r="M987" s="320"/>
      <c r="N987" s="321"/>
      <c r="O987" s="322"/>
      <c r="P987" s="401"/>
      <c r="Q987" s="203"/>
      <c r="R987" s="223"/>
      <c r="S987" s="404"/>
      <c r="T987" s="405"/>
      <c r="U987" s="203"/>
      <c r="V987" s="223"/>
      <c r="W987" s="404"/>
      <c r="X987" s="405"/>
      <c r="Y987" s="203"/>
      <c r="Z987" s="223"/>
      <c r="AA987" s="404"/>
      <c r="AB987" s="405"/>
      <c r="AC987" s="203"/>
      <c r="AD987" s="223"/>
      <c r="AE987" s="404"/>
      <c r="AF987" s="405"/>
      <c r="AG987" s="205"/>
      <c r="AH987" s="205"/>
      <c r="AI987" s="205"/>
      <c r="AJ987" s="205"/>
      <c r="AK987" s="401"/>
      <c r="AL987" s="401"/>
      <c r="AM987" s="401"/>
    </row>
    <row r="988">
      <c r="A988" s="320"/>
      <c r="B988" s="321"/>
      <c r="C988" s="322"/>
      <c r="D988" s="401"/>
      <c r="E988" s="320"/>
      <c r="F988" s="321"/>
      <c r="G988" s="322"/>
      <c r="H988" s="401"/>
      <c r="I988" s="320"/>
      <c r="J988" s="321"/>
      <c r="K988" s="322"/>
      <c r="L988" s="401"/>
      <c r="M988" s="320"/>
      <c r="N988" s="321"/>
      <c r="O988" s="322"/>
      <c r="P988" s="401"/>
      <c r="Q988" s="203"/>
      <c r="R988" s="223"/>
      <c r="S988" s="404"/>
      <c r="T988" s="405"/>
      <c r="U988" s="203"/>
      <c r="V988" s="223"/>
      <c r="W988" s="404"/>
      <c r="X988" s="405"/>
      <c r="Y988" s="203"/>
      <c r="Z988" s="223"/>
      <c r="AA988" s="404"/>
      <c r="AB988" s="405"/>
      <c r="AC988" s="203"/>
      <c r="AD988" s="223"/>
      <c r="AE988" s="404"/>
      <c r="AF988" s="405"/>
      <c r="AG988" s="205"/>
      <c r="AH988" s="205"/>
      <c r="AI988" s="205"/>
      <c r="AJ988" s="205"/>
      <c r="AK988" s="401"/>
      <c r="AL988" s="401"/>
      <c r="AM988" s="401"/>
    </row>
    <row r="989">
      <c r="A989" s="320"/>
      <c r="B989" s="321"/>
      <c r="C989" s="322"/>
      <c r="D989" s="401"/>
      <c r="E989" s="320"/>
      <c r="F989" s="321"/>
      <c r="G989" s="322"/>
      <c r="H989" s="401"/>
      <c r="I989" s="320"/>
      <c r="J989" s="321"/>
      <c r="K989" s="322"/>
      <c r="L989" s="401"/>
      <c r="M989" s="320"/>
      <c r="N989" s="321"/>
      <c r="O989" s="322"/>
      <c r="P989" s="401"/>
      <c r="Q989" s="203"/>
      <c r="R989" s="223"/>
      <c r="S989" s="404"/>
      <c r="T989" s="405"/>
      <c r="U989" s="203"/>
      <c r="V989" s="223"/>
      <c r="W989" s="404"/>
      <c r="X989" s="405"/>
      <c r="Y989" s="203"/>
      <c r="Z989" s="223"/>
      <c r="AA989" s="404"/>
      <c r="AB989" s="405"/>
      <c r="AC989" s="203"/>
      <c r="AD989" s="223"/>
      <c r="AE989" s="404"/>
      <c r="AF989" s="405"/>
      <c r="AG989" s="205"/>
      <c r="AH989" s="205"/>
      <c r="AI989" s="205"/>
      <c r="AJ989" s="205"/>
      <c r="AK989" s="401"/>
      <c r="AL989" s="401"/>
      <c r="AM989" s="401"/>
    </row>
    <row r="990">
      <c r="A990" s="320"/>
      <c r="B990" s="321"/>
      <c r="C990" s="322"/>
      <c r="D990" s="401"/>
      <c r="E990" s="320"/>
      <c r="F990" s="321"/>
      <c r="G990" s="322"/>
      <c r="H990" s="401"/>
      <c r="I990" s="320"/>
      <c r="J990" s="321"/>
      <c r="K990" s="322"/>
      <c r="L990" s="401"/>
      <c r="M990" s="320"/>
      <c r="N990" s="321"/>
      <c r="O990" s="322"/>
      <c r="P990" s="401"/>
      <c r="Q990" s="203"/>
      <c r="R990" s="223"/>
      <c r="S990" s="404"/>
      <c r="T990" s="405"/>
      <c r="U990" s="203"/>
      <c r="V990" s="223"/>
      <c r="W990" s="404"/>
      <c r="X990" s="405"/>
      <c r="Y990" s="203"/>
      <c r="Z990" s="223"/>
      <c r="AA990" s="404"/>
      <c r="AB990" s="405"/>
      <c r="AC990" s="203"/>
      <c r="AD990" s="223"/>
      <c r="AE990" s="404"/>
      <c r="AF990" s="405"/>
      <c r="AG990" s="205"/>
      <c r="AH990" s="205"/>
      <c r="AI990" s="205"/>
      <c r="AJ990" s="205"/>
      <c r="AK990" s="401"/>
      <c r="AL990" s="401"/>
      <c r="AM990" s="401"/>
    </row>
    <row r="991">
      <c r="A991" s="320"/>
      <c r="B991" s="321"/>
      <c r="C991" s="322"/>
      <c r="D991" s="401"/>
      <c r="E991" s="320"/>
      <c r="F991" s="321"/>
      <c r="G991" s="322"/>
      <c r="H991" s="401"/>
      <c r="I991" s="320"/>
      <c r="J991" s="321"/>
      <c r="K991" s="322"/>
      <c r="L991" s="401"/>
      <c r="M991" s="320"/>
      <c r="N991" s="321"/>
      <c r="O991" s="322"/>
      <c r="P991" s="401"/>
      <c r="Q991" s="203"/>
      <c r="R991" s="223"/>
      <c r="S991" s="404"/>
      <c r="T991" s="405"/>
      <c r="U991" s="203"/>
      <c r="V991" s="223"/>
      <c r="W991" s="404"/>
      <c r="X991" s="405"/>
      <c r="Y991" s="203"/>
      <c r="Z991" s="223"/>
      <c r="AA991" s="404"/>
      <c r="AB991" s="405"/>
      <c r="AC991" s="203"/>
      <c r="AD991" s="223"/>
      <c r="AE991" s="404"/>
      <c r="AF991" s="405"/>
      <c r="AG991" s="205"/>
      <c r="AH991" s="205"/>
      <c r="AI991" s="205"/>
      <c r="AJ991" s="205"/>
      <c r="AK991" s="401"/>
      <c r="AL991" s="401"/>
      <c r="AM991" s="401"/>
    </row>
    <row r="992">
      <c r="A992" s="320"/>
      <c r="B992" s="321"/>
      <c r="C992" s="322"/>
      <c r="D992" s="401"/>
      <c r="E992" s="320"/>
      <c r="F992" s="321"/>
      <c r="G992" s="322"/>
      <c r="H992" s="401"/>
      <c r="I992" s="320"/>
      <c r="J992" s="321"/>
      <c r="K992" s="322"/>
      <c r="L992" s="401"/>
      <c r="M992" s="320"/>
      <c r="N992" s="321"/>
      <c r="O992" s="322"/>
      <c r="P992" s="401"/>
      <c r="Q992" s="203"/>
      <c r="R992" s="223"/>
      <c r="S992" s="404"/>
      <c r="T992" s="405"/>
      <c r="U992" s="203"/>
      <c r="V992" s="223"/>
      <c r="W992" s="404"/>
      <c r="X992" s="405"/>
      <c r="Y992" s="203"/>
      <c r="Z992" s="223"/>
      <c r="AA992" s="404"/>
      <c r="AB992" s="405"/>
      <c r="AC992" s="203"/>
      <c r="AD992" s="223"/>
      <c r="AE992" s="404"/>
      <c r="AF992" s="405"/>
      <c r="AG992" s="205"/>
      <c r="AH992" s="205"/>
      <c r="AI992" s="205"/>
      <c r="AJ992" s="205"/>
      <c r="AK992" s="401"/>
      <c r="AL992" s="401"/>
      <c r="AM992" s="401"/>
    </row>
    <row r="993">
      <c r="A993" s="320"/>
      <c r="B993" s="321"/>
      <c r="C993" s="322"/>
      <c r="D993" s="401"/>
      <c r="E993" s="320"/>
      <c r="F993" s="321"/>
      <c r="G993" s="322"/>
      <c r="H993" s="401"/>
      <c r="I993" s="320"/>
      <c r="J993" s="321"/>
      <c r="K993" s="322"/>
      <c r="L993" s="401"/>
      <c r="M993" s="320"/>
      <c r="N993" s="321"/>
      <c r="O993" s="322"/>
      <c r="P993" s="401"/>
      <c r="Q993" s="203"/>
      <c r="R993" s="223"/>
      <c r="S993" s="404"/>
      <c r="T993" s="405"/>
      <c r="U993" s="203"/>
      <c r="V993" s="223"/>
      <c r="W993" s="404"/>
      <c r="X993" s="405"/>
      <c r="Y993" s="203"/>
      <c r="Z993" s="223"/>
      <c r="AA993" s="404"/>
      <c r="AB993" s="405"/>
      <c r="AC993" s="203"/>
      <c r="AD993" s="223"/>
      <c r="AE993" s="404"/>
      <c r="AF993" s="405"/>
      <c r="AG993" s="205"/>
      <c r="AH993" s="205"/>
      <c r="AI993" s="205"/>
      <c r="AJ993" s="205"/>
      <c r="AK993" s="401"/>
      <c r="AL993" s="401"/>
      <c r="AM993" s="401"/>
    </row>
    <row r="994">
      <c r="A994" s="320"/>
      <c r="B994" s="321"/>
      <c r="C994" s="322"/>
      <c r="D994" s="401"/>
      <c r="E994" s="320"/>
      <c r="F994" s="321"/>
      <c r="G994" s="322"/>
      <c r="H994" s="401"/>
      <c r="I994" s="320"/>
      <c r="J994" s="321"/>
      <c r="K994" s="322"/>
      <c r="L994" s="401"/>
      <c r="M994" s="320"/>
      <c r="N994" s="321"/>
      <c r="O994" s="322"/>
      <c r="P994" s="401"/>
      <c r="Q994" s="203"/>
      <c r="R994" s="223"/>
      <c r="S994" s="404"/>
      <c r="T994" s="405"/>
      <c r="U994" s="203"/>
      <c r="V994" s="223"/>
      <c r="W994" s="404"/>
      <c r="X994" s="405"/>
      <c r="Y994" s="203"/>
      <c r="Z994" s="223"/>
      <c r="AA994" s="404"/>
      <c r="AB994" s="405"/>
      <c r="AC994" s="203"/>
      <c r="AD994" s="223"/>
      <c r="AE994" s="404"/>
      <c r="AF994" s="405"/>
      <c r="AG994" s="205"/>
      <c r="AH994" s="205"/>
      <c r="AI994" s="205"/>
      <c r="AJ994" s="205"/>
      <c r="AK994" s="401"/>
      <c r="AL994" s="401"/>
      <c r="AM994" s="401"/>
    </row>
    <row r="995">
      <c r="A995" s="320"/>
      <c r="B995" s="321"/>
      <c r="C995" s="322"/>
      <c r="D995" s="401"/>
      <c r="E995" s="320"/>
      <c r="F995" s="321"/>
      <c r="G995" s="322"/>
      <c r="H995" s="401"/>
      <c r="I995" s="320"/>
      <c r="J995" s="321"/>
      <c r="K995" s="322"/>
      <c r="L995" s="401"/>
      <c r="M995" s="320"/>
      <c r="N995" s="321"/>
      <c r="O995" s="322"/>
      <c r="P995" s="401"/>
      <c r="Q995" s="203"/>
      <c r="R995" s="223"/>
      <c r="S995" s="404"/>
      <c r="T995" s="405"/>
      <c r="U995" s="203"/>
      <c r="V995" s="223"/>
      <c r="W995" s="404"/>
      <c r="X995" s="405"/>
      <c r="Y995" s="203"/>
      <c r="Z995" s="223"/>
      <c r="AA995" s="404"/>
      <c r="AB995" s="405"/>
      <c r="AC995" s="203"/>
      <c r="AD995" s="223"/>
      <c r="AE995" s="404"/>
      <c r="AF995" s="405"/>
      <c r="AG995" s="205"/>
      <c r="AH995" s="205"/>
      <c r="AI995" s="205"/>
      <c r="AJ995" s="205"/>
      <c r="AK995" s="401"/>
      <c r="AL995" s="401"/>
      <c r="AM995" s="401"/>
    </row>
    <row r="996">
      <c r="A996" s="320"/>
      <c r="B996" s="321"/>
      <c r="C996" s="322"/>
      <c r="D996" s="401"/>
      <c r="E996" s="320"/>
      <c r="F996" s="321"/>
      <c r="G996" s="322"/>
      <c r="H996" s="401"/>
      <c r="I996" s="320"/>
      <c r="J996" s="321"/>
      <c r="K996" s="322"/>
      <c r="L996" s="401"/>
      <c r="M996" s="320"/>
      <c r="N996" s="321"/>
      <c r="O996" s="322"/>
      <c r="P996" s="401"/>
      <c r="Q996" s="203"/>
      <c r="R996" s="223"/>
      <c r="S996" s="404"/>
      <c r="T996" s="405"/>
      <c r="U996" s="203"/>
      <c r="V996" s="223"/>
      <c r="W996" s="404"/>
      <c r="X996" s="405"/>
      <c r="Y996" s="203"/>
      <c r="Z996" s="223"/>
      <c r="AA996" s="404"/>
      <c r="AB996" s="405"/>
      <c r="AC996" s="203"/>
      <c r="AD996" s="223"/>
      <c r="AE996" s="404"/>
      <c r="AF996" s="405"/>
      <c r="AG996" s="205"/>
      <c r="AH996" s="205"/>
      <c r="AI996" s="205"/>
      <c r="AJ996" s="205"/>
      <c r="AK996" s="401"/>
      <c r="AL996" s="401"/>
      <c r="AM996" s="401"/>
    </row>
    <row r="997">
      <c r="A997" s="320"/>
      <c r="B997" s="321"/>
      <c r="C997" s="322"/>
      <c r="D997" s="401"/>
      <c r="E997" s="320"/>
      <c r="F997" s="321"/>
      <c r="G997" s="322"/>
      <c r="H997" s="401"/>
      <c r="I997" s="320"/>
      <c r="J997" s="321"/>
      <c r="K997" s="322"/>
      <c r="L997" s="401"/>
      <c r="M997" s="320"/>
      <c r="N997" s="321"/>
      <c r="O997" s="322"/>
      <c r="P997" s="401"/>
      <c r="Q997" s="203"/>
      <c r="R997" s="223"/>
      <c r="S997" s="404"/>
      <c r="T997" s="405"/>
      <c r="U997" s="203"/>
      <c r="V997" s="223"/>
      <c r="W997" s="404"/>
      <c r="X997" s="405"/>
      <c r="Y997" s="203"/>
      <c r="Z997" s="223"/>
      <c r="AA997" s="404"/>
      <c r="AB997" s="405"/>
      <c r="AC997" s="203"/>
      <c r="AD997" s="223"/>
      <c r="AE997" s="404"/>
      <c r="AF997" s="405"/>
      <c r="AG997" s="205"/>
      <c r="AH997" s="205"/>
      <c r="AI997" s="205"/>
      <c r="AJ997" s="205"/>
      <c r="AK997" s="401"/>
      <c r="AL997" s="401"/>
      <c r="AM997" s="401"/>
    </row>
    <row r="998">
      <c r="A998" s="320"/>
      <c r="B998" s="321"/>
      <c r="C998" s="322"/>
      <c r="D998" s="401"/>
      <c r="E998" s="320"/>
      <c r="F998" s="321"/>
      <c r="G998" s="322"/>
      <c r="H998" s="401"/>
      <c r="I998" s="320"/>
      <c r="J998" s="321"/>
      <c r="K998" s="322"/>
      <c r="L998" s="401"/>
      <c r="M998" s="320"/>
      <c r="N998" s="321"/>
      <c r="O998" s="322"/>
      <c r="P998" s="401"/>
      <c r="Q998" s="203"/>
      <c r="R998" s="223"/>
      <c r="S998" s="404"/>
      <c r="T998" s="405"/>
      <c r="U998" s="203"/>
      <c r="V998" s="223"/>
      <c r="W998" s="404"/>
      <c r="X998" s="405"/>
      <c r="Y998" s="203"/>
      <c r="Z998" s="223"/>
      <c r="AA998" s="404"/>
      <c r="AB998" s="405"/>
      <c r="AC998" s="203"/>
      <c r="AD998" s="223"/>
      <c r="AE998" s="404"/>
      <c r="AF998" s="405"/>
      <c r="AG998" s="205"/>
      <c r="AH998" s="205"/>
      <c r="AI998" s="205"/>
      <c r="AJ998" s="205"/>
      <c r="AK998" s="401"/>
      <c r="AL998" s="401"/>
      <c r="AM998" s="401"/>
    </row>
    <row r="999">
      <c r="A999" s="320"/>
      <c r="B999" s="321"/>
      <c r="C999" s="322"/>
      <c r="D999" s="401"/>
      <c r="E999" s="320"/>
      <c r="F999" s="321"/>
      <c r="G999" s="322"/>
      <c r="H999" s="401"/>
      <c r="I999" s="320"/>
      <c r="J999" s="321"/>
      <c r="K999" s="322"/>
      <c r="L999" s="401"/>
      <c r="M999" s="320"/>
      <c r="N999" s="321"/>
      <c r="O999" s="322"/>
      <c r="P999" s="401"/>
      <c r="Q999" s="203"/>
      <c r="R999" s="223"/>
      <c r="S999" s="404"/>
      <c r="T999" s="405"/>
      <c r="U999" s="203"/>
      <c r="V999" s="223"/>
      <c r="W999" s="404"/>
      <c r="X999" s="405"/>
      <c r="Y999" s="203"/>
      <c r="Z999" s="223"/>
      <c r="AA999" s="404"/>
      <c r="AB999" s="405"/>
      <c r="AC999" s="203"/>
      <c r="AD999" s="223"/>
      <c r="AE999" s="404"/>
      <c r="AF999" s="405"/>
      <c r="AG999" s="205"/>
      <c r="AH999" s="205"/>
      <c r="AI999" s="205"/>
      <c r="AJ999" s="205"/>
      <c r="AK999" s="401"/>
      <c r="AL999" s="401"/>
      <c r="AM999" s="401"/>
    </row>
    <row r="1000">
      <c r="A1000" s="320"/>
      <c r="B1000" s="321"/>
      <c r="C1000" s="322"/>
      <c r="D1000" s="401"/>
      <c r="E1000" s="320"/>
      <c r="F1000" s="321"/>
      <c r="G1000" s="322"/>
      <c r="H1000" s="401"/>
      <c r="I1000" s="320"/>
      <c r="J1000" s="321"/>
      <c r="K1000" s="322"/>
      <c r="L1000" s="401"/>
      <c r="M1000" s="320"/>
      <c r="N1000" s="321"/>
      <c r="O1000" s="322"/>
      <c r="P1000" s="401"/>
      <c r="Q1000" s="203"/>
      <c r="R1000" s="223"/>
      <c r="S1000" s="404"/>
      <c r="T1000" s="405"/>
      <c r="U1000" s="203"/>
      <c r="V1000" s="223"/>
      <c r="W1000" s="404"/>
      <c r="X1000" s="405"/>
      <c r="Y1000" s="203"/>
      <c r="Z1000" s="223"/>
      <c r="AA1000" s="404"/>
      <c r="AB1000" s="405"/>
      <c r="AC1000" s="203"/>
      <c r="AD1000" s="223"/>
      <c r="AE1000" s="404"/>
      <c r="AF1000" s="405"/>
      <c r="AG1000" s="205"/>
      <c r="AH1000" s="205"/>
      <c r="AI1000" s="205"/>
      <c r="AJ1000" s="205"/>
      <c r="AK1000" s="401"/>
      <c r="AL1000" s="401"/>
      <c r="AM1000" s="401"/>
    </row>
    <row r="1001">
      <c r="A1001" s="320"/>
      <c r="B1001" s="321"/>
      <c r="C1001" s="322"/>
      <c r="D1001" s="401"/>
      <c r="E1001" s="320"/>
      <c r="F1001" s="321"/>
      <c r="G1001" s="322"/>
      <c r="H1001" s="401"/>
      <c r="I1001" s="320"/>
      <c r="J1001" s="321"/>
      <c r="K1001" s="322"/>
      <c r="L1001" s="401"/>
      <c r="M1001" s="320"/>
      <c r="N1001" s="321"/>
      <c r="O1001" s="322"/>
      <c r="P1001" s="401"/>
      <c r="Q1001" s="203"/>
      <c r="R1001" s="223"/>
      <c r="S1001" s="404"/>
      <c r="T1001" s="405"/>
      <c r="U1001" s="203"/>
      <c r="V1001" s="223"/>
      <c r="W1001" s="404"/>
      <c r="X1001" s="405"/>
      <c r="Y1001" s="203"/>
      <c r="Z1001" s="223"/>
      <c r="AA1001" s="404"/>
      <c r="AB1001" s="405"/>
      <c r="AC1001" s="203"/>
      <c r="AD1001" s="223"/>
      <c r="AE1001" s="404"/>
      <c r="AF1001" s="405"/>
      <c r="AG1001" s="205"/>
      <c r="AH1001" s="205"/>
      <c r="AI1001" s="205"/>
      <c r="AJ1001" s="205"/>
      <c r="AK1001" s="401"/>
      <c r="AL1001" s="401"/>
      <c r="AM1001" s="401"/>
    </row>
    <row r="1002">
      <c r="A1002" s="320"/>
      <c r="B1002" s="321"/>
      <c r="C1002" s="322"/>
      <c r="D1002" s="401"/>
      <c r="E1002" s="320"/>
      <c r="F1002" s="321"/>
      <c r="G1002" s="322"/>
      <c r="H1002" s="401"/>
      <c r="I1002" s="320"/>
      <c r="J1002" s="321"/>
      <c r="K1002" s="322"/>
      <c r="L1002" s="401"/>
      <c r="M1002" s="320"/>
      <c r="N1002" s="321"/>
      <c r="O1002" s="322"/>
      <c r="P1002" s="401"/>
      <c r="Q1002" s="203"/>
      <c r="R1002" s="223"/>
      <c r="S1002" s="404"/>
      <c r="T1002" s="405"/>
      <c r="U1002" s="203"/>
      <c r="V1002" s="223"/>
      <c r="W1002" s="404"/>
      <c r="X1002" s="405"/>
      <c r="Y1002" s="203"/>
      <c r="Z1002" s="223"/>
      <c r="AA1002" s="404"/>
      <c r="AB1002" s="405"/>
      <c r="AC1002" s="203"/>
      <c r="AD1002" s="223"/>
      <c r="AE1002" s="404"/>
      <c r="AF1002" s="405"/>
      <c r="AG1002" s="205"/>
      <c r="AH1002" s="205"/>
      <c r="AI1002" s="205"/>
      <c r="AJ1002" s="205"/>
      <c r="AK1002" s="401"/>
      <c r="AL1002" s="401"/>
      <c r="AM1002" s="401"/>
    </row>
    <row r="1003">
      <c r="A1003" s="320"/>
      <c r="B1003" s="321"/>
      <c r="C1003" s="322"/>
      <c r="D1003" s="401"/>
      <c r="E1003" s="320"/>
      <c r="F1003" s="321"/>
      <c r="G1003" s="322"/>
      <c r="H1003" s="401"/>
      <c r="I1003" s="320"/>
      <c r="J1003" s="321"/>
      <c r="K1003" s="322"/>
      <c r="L1003" s="401"/>
      <c r="M1003" s="320"/>
      <c r="N1003" s="321"/>
      <c r="O1003" s="322"/>
      <c r="P1003" s="401"/>
      <c r="Q1003" s="203"/>
      <c r="R1003" s="223"/>
      <c r="S1003" s="404"/>
      <c r="T1003" s="405"/>
      <c r="U1003" s="203"/>
      <c r="V1003" s="223"/>
      <c r="W1003" s="404"/>
      <c r="X1003" s="405"/>
      <c r="Y1003" s="203"/>
      <c r="Z1003" s="223"/>
      <c r="AA1003" s="404"/>
      <c r="AB1003" s="405"/>
      <c r="AC1003" s="203"/>
      <c r="AD1003" s="223"/>
      <c r="AE1003" s="404"/>
      <c r="AF1003" s="405"/>
      <c r="AG1003" s="320"/>
      <c r="AH1003" s="321"/>
      <c r="AI1003" s="322"/>
      <c r="AJ1003" s="401"/>
      <c r="AK1003" s="401"/>
      <c r="AL1003" s="401"/>
      <c r="AM1003" s="401"/>
    </row>
    <row r="1004">
      <c r="A1004" s="320"/>
      <c r="B1004" s="321"/>
      <c r="C1004" s="322"/>
      <c r="D1004" s="401"/>
      <c r="E1004" s="320"/>
      <c r="F1004" s="321"/>
      <c r="G1004" s="322"/>
      <c r="H1004" s="401"/>
      <c r="I1004" s="320"/>
      <c r="J1004" s="321"/>
      <c r="K1004" s="322"/>
      <c r="L1004" s="401"/>
      <c r="M1004" s="320"/>
      <c r="N1004" s="321"/>
      <c r="O1004" s="322"/>
      <c r="P1004" s="401"/>
      <c r="Q1004" s="203"/>
      <c r="R1004" s="223"/>
      <c r="S1004" s="404"/>
      <c r="T1004" s="405"/>
      <c r="U1004" s="203"/>
      <c r="V1004" s="223"/>
      <c r="W1004" s="404"/>
      <c r="X1004" s="405"/>
      <c r="Y1004" s="203"/>
      <c r="Z1004" s="223"/>
      <c r="AA1004" s="404"/>
      <c r="AB1004" s="405"/>
      <c r="AC1004" s="203"/>
      <c r="AD1004" s="223"/>
      <c r="AE1004" s="404"/>
      <c r="AF1004" s="405"/>
      <c r="AG1004" s="320"/>
      <c r="AH1004" s="321"/>
      <c r="AI1004" s="322"/>
      <c r="AJ1004" s="401"/>
      <c r="AK1004" s="401"/>
      <c r="AL1004" s="401"/>
      <c r="AM1004" s="401"/>
    </row>
    <row r="1005">
      <c r="A1005" s="320"/>
      <c r="B1005" s="321"/>
      <c r="C1005" s="322"/>
      <c r="D1005" s="401"/>
      <c r="E1005" s="320"/>
      <c r="F1005" s="321"/>
      <c r="G1005" s="322"/>
      <c r="H1005" s="401"/>
      <c r="I1005" s="320"/>
      <c r="J1005" s="321"/>
      <c r="K1005" s="322"/>
      <c r="L1005" s="401"/>
      <c r="M1005" s="320"/>
      <c r="N1005" s="321"/>
      <c r="O1005" s="322"/>
      <c r="P1005" s="401"/>
      <c r="Q1005" s="203"/>
      <c r="R1005" s="223"/>
      <c r="S1005" s="404"/>
      <c r="T1005" s="405"/>
      <c r="U1005" s="203"/>
      <c r="V1005" s="223"/>
      <c r="W1005" s="404"/>
      <c r="X1005" s="405"/>
      <c r="Y1005" s="203"/>
      <c r="Z1005" s="223"/>
      <c r="AA1005" s="404"/>
      <c r="AB1005" s="405"/>
      <c r="AC1005" s="203"/>
      <c r="AD1005" s="223"/>
      <c r="AE1005" s="404"/>
      <c r="AF1005" s="405"/>
      <c r="AG1005" s="320"/>
      <c r="AH1005" s="321"/>
      <c r="AI1005" s="322"/>
      <c r="AJ1005" s="401"/>
      <c r="AK1005" s="401"/>
      <c r="AL1005" s="401"/>
      <c r="AM1005" s="401"/>
    </row>
    <row r="1006">
      <c r="A1006" s="320"/>
      <c r="B1006" s="321"/>
      <c r="C1006" s="322"/>
      <c r="D1006" s="401"/>
      <c r="E1006" s="320"/>
      <c r="F1006" s="321"/>
      <c r="G1006" s="322"/>
      <c r="H1006" s="401"/>
      <c r="I1006" s="320"/>
      <c r="J1006" s="321"/>
      <c r="K1006" s="322"/>
      <c r="L1006" s="401"/>
      <c r="M1006" s="320"/>
      <c r="N1006" s="321"/>
      <c r="O1006" s="322"/>
      <c r="P1006" s="401"/>
      <c r="Q1006" s="203"/>
      <c r="R1006" s="223"/>
      <c r="S1006" s="404"/>
      <c r="T1006" s="405"/>
      <c r="U1006" s="203"/>
      <c r="V1006" s="223"/>
      <c r="W1006" s="404"/>
      <c r="X1006" s="405"/>
      <c r="Y1006" s="203"/>
      <c r="Z1006" s="223"/>
      <c r="AA1006" s="404"/>
      <c r="AB1006" s="405"/>
      <c r="AC1006" s="203"/>
      <c r="AD1006" s="223"/>
      <c r="AE1006" s="404"/>
      <c r="AF1006" s="405"/>
      <c r="AG1006" s="320"/>
      <c r="AH1006" s="321"/>
      <c r="AI1006" s="322"/>
      <c r="AJ1006" s="401"/>
      <c r="AK1006" s="401"/>
      <c r="AL1006" s="401"/>
      <c r="AM1006" s="401"/>
    </row>
    <row r="1007">
      <c r="A1007" s="320"/>
      <c r="B1007" s="321"/>
      <c r="C1007" s="322"/>
      <c r="D1007" s="401"/>
      <c r="E1007" s="320"/>
      <c r="F1007" s="321"/>
      <c r="G1007" s="322"/>
      <c r="H1007" s="401"/>
      <c r="I1007" s="320"/>
      <c r="J1007" s="321"/>
      <c r="K1007" s="322"/>
      <c r="L1007" s="401"/>
      <c r="M1007" s="320"/>
      <c r="N1007" s="321"/>
      <c r="O1007" s="322"/>
      <c r="P1007" s="401"/>
      <c r="Q1007" s="203"/>
      <c r="R1007" s="223"/>
      <c r="S1007" s="404"/>
      <c r="T1007" s="405"/>
      <c r="U1007" s="203"/>
      <c r="V1007" s="223"/>
      <c r="W1007" s="404"/>
      <c r="X1007" s="405"/>
      <c r="Y1007" s="203"/>
      <c r="Z1007" s="223"/>
      <c r="AA1007" s="404"/>
      <c r="AB1007" s="405"/>
      <c r="AC1007" s="203"/>
      <c r="AD1007" s="223"/>
      <c r="AE1007" s="404"/>
      <c r="AF1007" s="405"/>
      <c r="AG1007" s="320"/>
      <c r="AH1007" s="321"/>
      <c r="AI1007" s="322"/>
      <c r="AJ1007" s="401"/>
      <c r="AK1007" s="401"/>
      <c r="AL1007" s="401"/>
      <c r="AM1007" s="401"/>
    </row>
    <row r="1008">
      <c r="A1008" s="320"/>
      <c r="B1008" s="321"/>
      <c r="C1008" s="322"/>
      <c r="D1008" s="401"/>
      <c r="E1008" s="320"/>
      <c r="F1008" s="321"/>
      <c r="G1008" s="322"/>
      <c r="H1008" s="401"/>
      <c r="I1008" s="320"/>
      <c r="J1008" s="321"/>
      <c r="K1008" s="322"/>
      <c r="L1008" s="401"/>
      <c r="M1008" s="320"/>
      <c r="N1008" s="321"/>
      <c r="O1008" s="322"/>
      <c r="P1008" s="401"/>
      <c r="Q1008" s="203"/>
      <c r="R1008" s="223"/>
      <c r="S1008" s="404"/>
      <c r="T1008" s="405"/>
      <c r="U1008" s="203"/>
      <c r="V1008" s="223"/>
      <c r="W1008" s="404"/>
      <c r="X1008" s="405"/>
      <c r="Y1008" s="203"/>
      <c r="Z1008" s="223"/>
      <c r="AA1008" s="404"/>
      <c r="AB1008" s="405"/>
      <c r="AC1008" s="203"/>
      <c r="AD1008" s="223"/>
      <c r="AE1008" s="404"/>
      <c r="AF1008" s="405"/>
      <c r="AG1008" s="320"/>
      <c r="AH1008" s="321"/>
      <c r="AI1008" s="322"/>
      <c r="AJ1008" s="401"/>
      <c r="AK1008" s="401"/>
      <c r="AL1008" s="401"/>
      <c r="AM1008" s="401"/>
    </row>
    <row r="1009">
      <c r="A1009" s="320"/>
      <c r="B1009" s="321"/>
      <c r="C1009" s="322"/>
      <c r="D1009" s="401"/>
      <c r="E1009" s="320"/>
      <c r="F1009" s="321"/>
      <c r="G1009" s="322"/>
      <c r="H1009" s="401"/>
      <c r="I1009" s="320"/>
      <c r="J1009" s="321"/>
      <c r="K1009" s="322"/>
      <c r="L1009" s="401"/>
      <c r="M1009" s="320"/>
      <c r="N1009" s="321"/>
      <c r="O1009" s="322"/>
      <c r="P1009" s="401"/>
      <c r="Q1009" s="203"/>
      <c r="R1009" s="223"/>
      <c r="S1009" s="404"/>
      <c r="T1009" s="405"/>
      <c r="U1009" s="203"/>
      <c r="V1009" s="223"/>
      <c r="W1009" s="404"/>
      <c r="X1009" s="405"/>
      <c r="Y1009" s="203"/>
      <c r="Z1009" s="223"/>
      <c r="AA1009" s="404"/>
      <c r="AB1009" s="405"/>
      <c r="AC1009" s="203"/>
      <c r="AD1009" s="223"/>
      <c r="AE1009" s="404"/>
      <c r="AF1009" s="405"/>
      <c r="AG1009" s="320"/>
      <c r="AH1009" s="321"/>
      <c r="AI1009" s="322"/>
      <c r="AJ1009" s="401"/>
      <c r="AK1009" s="401"/>
      <c r="AL1009" s="401"/>
      <c r="AM1009" s="401"/>
    </row>
    <row r="1010">
      <c r="A1010" s="320"/>
      <c r="B1010" s="321"/>
      <c r="C1010" s="322"/>
      <c r="D1010" s="401"/>
      <c r="E1010" s="320"/>
      <c r="F1010" s="321"/>
      <c r="G1010" s="322"/>
      <c r="H1010" s="401"/>
      <c r="I1010" s="320"/>
      <c r="J1010" s="321"/>
      <c r="K1010" s="322"/>
      <c r="L1010" s="401"/>
      <c r="M1010" s="320"/>
      <c r="N1010" s="321"/>
      <c r="O1010" s="322"/>
      <c r="P1010" s="401"/>
      <c r="Q1010" s="203"/>
      <c r="R1010" s="223"/>
      <c r="S1010" s="404"/>
      <c r="T1010" s="405"/>
      <c r="U1010" s="203"/>
      <c r="V1010" s="223"/>
      <c r="W1010" s="404"/>
      <c r="X1010" s="405"/>
      <c r="Y1010" s="203"/>
      <c r="Z1010" s="223"/>
      <c r="AA1010" s="404"/>
      <c r="AB1010" s="405"/>
      <c r="AC1010" s="203"/>
      <c r="AD1010" s="223"/>
      <c r="AE1010" s="404"/>
      <c r="AF1010" s="405"/>
      <c r="AG1010" s="320"/>
      <c r="AH1010" s="321"/>
      <c r="AI1010" s="322"/>
      <c r="AJ1010" s="401"/>
      <c r="AK1010" s="401"/>
      <c r="AL1010" s="401"/>
      <c r="AM1010" s="401"/>
    </row>
    <row r="1011">
      <c r="A1011" s="320"/>
      <c r="B1011" s="321"/>
      <c r="C1011" s="322"/>
      <c r="D1011" s="401"/>
      <c r="E1011" s="320"/>
      <c r="F1011" s="321"/>
      <c r="G1011" s="322"/>
      <c r="H1011" s="401"/>
      <c r="I1011" s="320"/>
      <c r="J1011" s="321"/>
      <c r="K1011" s="322"/>
      <c r="L1011" s="401"/>
      <c r="M1011" s="320"/>
      <c r="N1011" s="321"/>
      <c r="O1011" s="322"/>
      <c r="P1011" s="401"/>
      <c r="Q1011" s="203"/>
      <c r="R1011" s="223"/>
      <c r="S1011" s="404"/>
      <c r="T1011" s="405"/>
      <c r="U1011" s="203"/>
      <c r="V1011" s="223"/>
      <c r="W1011" s="404"/>
      <c r="X1011" s="405"/>
      <c r="Y1011" s="203"/>
      <c r="Z1011" s="223"/>
      <c r="AA1011" s="404"/>
      <c r="AB1011" s="405"/>
      <c r="AC1011" s="203"/>
      <c r="AD1011" s="223"/>
      <c r="AE1011" s="404"/>
      <c r="AF1011" s="405"/>
      <c r="AG1011" s="320"/>
      <c r="AH1011" s="321"/>
      <c r="AI1011" s="322"/>
      <c r="AJ1011" s="401"/>
      <c r="AK1011" s="401"/>
      <c r="AL1011" s="401"/>
      <c r="AM1011" s="401"/>
    </row>
    <row r="1012">
      <c r="A1012" s="320"/>
      <c r="B1012" s="321"/>
      <c r="C1012" s="322"/>
      <c r="D1012" s="401"/>
      <c r="E1012" s="320"/>
      <c r="F1012" s="321"/>
      <c r="G1012" s="322"/>
      <c r="H1012" s="401"/>
      <c r="I1012" s="320"/>
      <c r="J1012" s="321"/>
      <c r="K1012" s="322"/>
      <c r="L1012" s="401"/>
      <c r="M1012" s="320"/>
      <c r="N1012" s="321"/>
      <c r="O1012" s="322"/>
      <c r="P1012" s="401"/>
      <c r="Q1012" s="203"/>
      <c r="R1012" s="223"/>
      <c r="S1012" s="404"/>
      <c r="T1012" s="405"/>
      <c r="U1012" s="203"/>
      <c r="V1012" s="223"/>
      <c r="W1012" s="404"/>
      <c r="X1012" s="405"/>
      <c r="Y1012" s="203"/>
      <c r="Z1012" s="223"/>
      <c r="AA1012" s="404"/>
      <c r="AB1012" s="405"/>
      <c r="AC1012" s="203"/>
      <c r="AD1012" s="223"/>
      <c r="AE1012" s="404"/>
      <c r="AF1012" s="405"/>
      <c r="AG1012" s="320"/>
      <c r="AH1012" s="321"/>
      <c r="AI1012" s="322"/>
      <c r="AJ1012" s="401"/>
      <c r="AK1012" s="401"/>
      <c r="AL1012" s="401"/>
      <c r="AM1012" s="401"/>
    </row>
    <row r="1013">
      <c r="A1013" s="320"/>
      <c r="B1013" s="321"/>
      <c r="C1013" s="322"/>
      <c r="D1013" s="401"/>
      <c r="E1013" s="320"/>
      <c r="F1013" s="321"/>
      <c r="G1013" s="322"/>
      <c r="H1013" s="401"/>
      <c r="I1013" s="320"/>
      <c r="J1013" s="321"/>
      <c r="K1013" s="322"/>
      <c r="L1013" s="401"/>
      <c r="M1013" s="320"/>
      <c r="N1013" s="321"/>
      <c r="O1013" s="322"/>
      <c r="P1013" s="401"/>
      <c r="Q1013" s="203"/>
      <c r="R1013" s="223"/>
      <c r="S1013" s="404"/>
      <c r="T1013" s="405"/>
      <c r="U1013" s="203"/>
      <c r="V1013" s="223"/>
      <c r="W1013" s="404"/>
      <c r="X1013" s="405"/>
      <c r="Y1013" s="203"/>
      <c r="Z1013" s="223"/>
      <c r="AA1013" s="404"/>
      <c r="AB1013" s="405"/>
      <c r="AC1013" s="203"/>
      <c r="AD1013" s="223"/>
      <c r="AE1013" s="404"/>
      <c r="AF1013" s="405"/>
      <c r="AG1013" s="320"/>
      <c r="AH1013" s="321"/>
      <c r="AI1013" s="322"/>
      <c r="AJ1013" s="401"/>
      <c r="AK1013" s="401"/>
      <c r="AL1013" s="401"/>
      <c r="AM1013" s="401"/>
    </row>
    <row r="1014">
      <c r="A1014" s="320"/>
      <c r="B1014" s="321"/>
      <c r="C1014" s="322"/>
      <c r="D1014" s="401"/>
      <c r="E1014" s="320"/>
      <c r="F1014" s="321"/>
      <c r="G1014" s="322"/>
      <c r="H1014" s="401"/>
      <c r="I1014" s="320"/>
      <c r="J1014" s="321"/>
      <c r="K1014" s="322"/>
      <c r="L1014" s="401"/>
      <c r="M1014" s="320"/>
      <c r="N1014" s="321"/>
      <c r="O1014" s="322"/>
      <c r="P1014" s="401"/>
      <c r="Q1014" s="203"/>
      <c r="R1014" s="223"/>
      <c r="S1014" s="404"/>
      <c r="T1014" s="405"/>
      <c r="U1014" s="203"/>
      <c r="V1014" s="223"/>
      <c r="W1014" s="404"/>
      <c r="X1014" s="405"/>
      <c r="Y1014" s="203"/>
      <c r="Z1014" s="223"/>
      <c r="AA1014" s="404"/>
      <c r="AB1014" s="405"/>
      <c r="AC1014" s="203"/>
      <c r="AD1014" s="223"/>
      <c r="AE1014" s="404"/>
      <c r="AF1014" s="405"/>
      <c r="AG1014" s="320"/>
      <c r="AH1014" s="321"/>
      <c r="AI1014" s="322"/>
      <c r="AJ1014" s="401"/>
      <c r="AK1014" s="401"/>
      <c r="AL1014" s="401"/>
      <c r="AM1014" s="401"/>
    </row>
    <row r="1015">
      <c r="A1015" s="320"/>
      <c r="B1015" s="321"/>
      <c r="C1015" s="322"/>
      <c r="D1015" s="401"/>
      <c r="E1015" s="320"/>
      <c r="F1015" s="321"/>
      <c r="G1015" s="322"/>
      <c r="H1015" s="401"/>
      <c r="I1015" s="320"/>
      <c r="J1015" s="321"/>
      <c r="K1015" s="322"/>
      <c r="L1015" s="401"/>
      <c r="M1015" s="320"/>
      <c r="N1015" s="321"/>
      <c r="O1015" s="322"/>
      <c r="P1015" s="401"/>
      <c r="Q1015" s="203"/>
      <c r="R1015" s="223"/>
      <c r="S1015" s="404"/>
      <c r="T1015" s="405"/>
      <c r="U1015" s="203"/>
      <c r="V1015" s="223"/>
      <c r="W1015" s="404"/>
      <c r="X1015" s="405"/>
      <c r="Y1015" s="203"/>
      <c r="Z1015" s="223"/>
      <c r="AA1015" s="404"/>
      <c r="AB1015" s="405"/>
      <c r="AC1015" s="203"/>
      <c r="AD1015" s="223"/>
      <c r="AE1015" s="404"/>
      <c r="AF1015" s="405"/>
      <c r="AG1015" s="320"/>
      <c r="AH1015" s="321"/>
      <c r="AI1015" s="322"/>
      <c r="AJ1015" s="401"/>
      <c r="AK1015" s="401"/>
      <c r="AL1015" s="401"/>
      <c r="AM1015" s="401"/>
    </row>
    <row r="1016">
      <c r="A1016" s="320"/>
      <c r="B1016" s="321"/>
      <c r="C1016" s="322"/>
      <c r="D1016" s="401"/>
      <c r="E1016" s="320"/>
      <c r="F1016" s="321"/>
      <c r="G1016" s="322"/>
      <c r="H1016" s="401"/>
      <c r="I1016" s="320"/>
      <c r="J1016" s="321"/>
      <c r="K1016" s="322"/>
      <c r="L1016" s="401"/>
      <c r="M1016" s="320"/>
      <c r="N1016" s="321"/>
      <c r="O1016" s="322"/>
      <c r="P1016" s="401"/>
      <c r="Q1016" s="203"/>
      <c r="R1016" s="223"/>
      <c r="S1016" s="404"/>
      <c r="T1016" s="405"/>
      <c r="U1016" s="203"/>
      <c r="V1016" s="223"/>
      <c r="W1016" s="404"/>
      <c r="X1016" s="405"/>
      <c r="Y1016" s="203"/>
      <c r="Z1016" s="223"/>
      <c r="AA1016" s="404"/>
      <c r="AB1016" s="405"/>
      <c r="AC1016" s="203"/>
      <c r="AD1016" s="223"/>
      <c r="AE1016" s="404"/>
      <c r="AF1016" s="405"/>
      <c r="AG1016" s="320"/>
      <c r="AH1016" s="321"/>
      <c r="AI1016" s="322"/>
      <c r="AJ1016" s="401"/>
      <c r="AK1016" s="401"/>
      <c r="AL1016" s="401"/>
      <c r="AM1016" s="401"/>
    </row>
    <row r="1017">
      <c r="A1017" s="320"/>
      <c r="B1017" s="321"/>
      <c r="C1017" s="322"/>
      <c r="D1017" s="401"/>
      <c r="E1017" s="320"/>
      <c r="F1017" s="321"/>
      <c r="G1017" s="322"/>
      <c r="H1017" s="401"/>
      <c r="I1017" s="320"/>
      <c r="J1017" s="321"/>
      <c r="K1017" s="322"/>
      <c r="L1017" s="401"/>
      <c r="M1017" s="320"/>
      <c r="N1017" s="321"/>
      <c r="O1017" s="322"/>
      <c r="P1017" s="401"/>
      <c r="Q1017" s="203"/>
      <c r="R1017" s="223"/>
      <c r="S1017" s="404"/>
      <c r="T1017" s="405"/>
      <c r="U1017" s="203"/>
      <c r="V1017" s="223"/>
      <c r="W1017" s="404"/>
      <c r="X1017" s="405"/>
      <c r="Y1017" s="203"/>
      <c r="Z1017" s="223"/>
      <c r="AA1017" s="404"/>
      <c r="AB1017" s="405"/>
      <c r="AC1017" s="203"/>
      <c r="AD1017" s="223"/>
      <c r="AE1017" s="404"/>
      <c r="AF1017" s="405"/>
      <c r="AG1017" s="320"/>
      <c r="AH1017" s="321"/>
      <c r="AI1017" s="322"/>
      <c r="AJ1017" s="401"/>
      <c r="AK1017" s="401"/>
      <c r="AL1017" s="401"/>
      <c r="AM1017" s="401"/>
    </row>
    <row r="1018">
      <c r="A1018" s="320"/>
      <c r="B1018" s="321"/>
      <c r="C1018" s="322"/>
      <c r="D1018" s="401"/>
      <c r="E1018" s="320"/>
      <c r="F1018" s="321"/>
      <c r="G1018" s="322"/>
      <c r="H1018" s="401"/>
      <c r="I1018" s="320"/>
      <c r="J1018" s="321"/>
      <c r="K1018" s="322"/>
      <c r="L1018" s="401"/>
      <c r="M1018" s="320"/>
      <c r="N1018" s="321"/>
      <c r="O1018" s="322"/>
      <c r="P1018" s="401"/>
      <c r="Q1018" s="203"/>
      <c r="R1018" s="223"/>
      <c r="S1018" s="404"/>
      <c r="T1018" s="405"/>
      <c r="U1018" s="203"/>
      <c r="V1018" s="223"/>
      <c r="W1018" s="404"/>
      <c r="X1018" s="405"/>
      <c r="Y1018" s="203"/>
      <c r="Z1018" s="223"/>
      <c r="AA1018" s="404"/>
      <c r="AB1018" s="405"/>
      <c r="AC1018" s="203"/>
      <c r="AD1018" s="223"/>
      <c r="AE1018" s="404"/>
      <c r="AF1018" s="405"/>
      <c r="AG1018" s="320"/>
      <c r="AH1018" s="321"/>
      <c r="AI1018" s="322"/>
      <c r="AJ1018" s="401"/>
      <c r="AK1018" s="401"/>
      <c r="AL1018" s="401"/>
      <c r="AM1018" s="401"/>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410" t="s">
        <v>6904</v>
      </c>
      <c r="B1" s="411" t="str">
        <f>IFERROR(__xludf.DUMMYFUNCTION("GOOGLETRANSLATE(A1,""zh-tw"",""ja"")"),"このゲームに関連する動画/音声リンクの投稿を歓迎します。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AI翻訳の問題により、URLを埋め込むことはできません。動画/音声フ"&amp;"ァイルへは、繁体字中国語のリンクを直接クリックしてください。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プラットフォームのルールを遵守してください。黄色タグ付きの"&amp;"コンテンツやヌードなどは禁止されています。
6. コンテンツを作成する際は、字幕を付けてください。
7. 動画に広告、プロモーション、その他このゲームに関係のないコンテンツを含めないでください。")</f>
        <v>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プラットフォームのルールを遵守してください。黄色タグ付きのコンテンツやヌードなどは禁止されています。
6. コンテンツを作成する際は、字幕を付けてください。
7. 動画に広告、プロモーション、その他このゲームに関係のないコンテンツを含めないでください。</v>
      </c>
      <c r="C1" s="412" t="str">
        <f>IFERROR(__xludf.DUMMYFUNCTION("GOOGLETRANSLATE(A1,""zh-tw"",""en"")"),"We welcome submissions of video/audio links related to this game.
Currently, we are only accepting submissions to YouTube and Billboard.
If you only have the video file, you can submit it to me for uploading to YouTube.
(Author information will be incl"&amp;"uded, but I will not be responsible for any subsequent issues or revenue/rights related to the video/audio file.)
For any inquiries, please contact the guide author: RORO (contact details can be found on the announcement page).
Due to AI translation iss"&amp;"ues, URLs cannot be embedded. Please click the Traditional Chinese link directly for the video/audio file.
Submission Rules:
1. If you only have a single video, please submit the title.
2. If you have multiple videos, please submit them on the designat"&amp;"ed channel to avoid an excessively long list.
3. Videos/information/comments containing any information related to piracy are prohibited.
4. Regarding fan-made content, backgrounds with songs, AI-generated content, etc., please be aware of copyright and"&amp;" platform regulations.
5. Please comply with platform rules; content with yellow tags, nudity, etc., is prohibited.
6. Please include subtitles when creating your content.
7. Please do not include advertisements, promotions, or other content not relate"&amp;"d to this game in the video.")</f>
        <v>We welcome submissions of video/audio links related to this game.
Currently, we are only accepting submissions to YouTube and Billboard.
If you only have the video file, you can submit it to me for uploading to YouTube.
(Author information will be included, but I will not be responsible for any subsequent issues or revenue/rights related to the video/audio file.)
For any inquiries, please contact the guide author: RORO (contact details can be found on the announcement page).
Due to AI translation issues, URLs cannot be embedded. Please click the Traditional Chinese link directly for the video/audio file.
Submission Rules:
1. If you only have a single video, please submit the title.
2. If you have multiple videos, please submit them on the designated channel to avoid an excessively long list.
3. Videos/information/comments containing any information related to piracy are prohibited.
4. Regarding fan-made content, backgrounds with songs, AI-generated content, etc., please be aware of copyright and platform regulations.
5. Please comply with platform rules; content with yellow tags, nudity, etc., is prohibited.
6. Please include subtitles when creating your content.
7. Please do not include advertisements, promotions, or other content not related to this game in the video.</v>
      </c>
      <c r="D1" s="413"/>
      <c r="E1" s="127"/>
      <c r="F1" s="127"/>
      <c r="G1" s="127"/>
      <c r="H1" s="127"/>
      <c r="I1" s="127"/>
      <c r="J1" s="127"/>
      <c r="K1" s="127"/>
      <c r="L1" s="127"/>
      <c r="M1" s="127"/>
      <c r="N1" s="127"/>
      <c r="O1" s="127"/>
      <c r="P1" s="127"/>
      <c r="Q1" s="127"/>
      <c r="R1" s="127"/>
      <c r="S1" s="127"/>
      <c r="T1" s="127"/>
      <c r="U1" s="127"/>
      <c r="V1" s="127"/>
      <c r="W1" s="127"/>
      <c r="X1" s="127"/>
      <c r="Y1" s="127"/>
      <c r="Z1" s="127"/>
    </row>
    <row r="2">
      <c r="A2" s="414" t="s">
        <v>6905</v>
      </c>
      <c r="B2" s="30" t="str">
        <f>IFERROR(__xludf.DUMMYFUNCTION("GOOGLETRANSLATE(A2,""zh-tw"",""ja"")"),"公式Discordグループ:
https://discord.gg/2Bt7RWknyH")</f>
        <v>公式Discordグループ:
https://discord.gg/2Bt7RWknyH</v>
      </c>
      <c r="C2" s="415" t="str">
        <f>IFERROR(__xludf.DUMMYFUNCTION("GOOGLETRANSLATE(A2,""zh-tw"",""en"")"),"Official Discord group:
https://discord.gg/2Bt7RWknyH")</f>
        <v>Official Discord group:
https://discord.gg/2Bt7RWknyH</v>
      </c>
      <c r="E2" s="127"/>
      <c r="F2" s="127"/>
      <c r="G2" s="127"/>
      <c r="H2" s="127"/>
      <c r="I2" s="127"/>
      <c r="J2" s="127"/>
      <c r="K2" s="127"/>
      <c r="L2" s="127"/>
      <c r="M2" s="127"/>
      <c r="N2" s="127"/>
      <c r="O2" s="127"/>
      <c r="P2" s="127"/>
      <c r="Q2" s="127"/>
      <c r="R2" s="127"/>
      <c r="S2" s="127"/>
      <c r="T2" s="127"/>
      <c r="U2" s="127"/>
      <c r="V2" s="127"/>
      <c r="W2" s="127"/>
      <c r="X2" s="127"/>
      <c r="Y2" s="127"/>
      <c r="Z2" s="127"/>
    </row>
    <row r="3">
      <c r="A3" s="416" t="s">
        <v>6906</v>
      </c>
      <c r="B3" s="30" t="s">
        <v>6906</v>
      </c>
      <c r="C3" s="415" t="s">
        <v>6906</v>
      </c>
      <c r="E3" s="127"/>
      <c r="F3" s="127"/>
      <c r="G3" s="127"/>
      <c r="H3" s="127"/>
      <c r="I3" s="127"/>
      <c r="J3" s="127"/>
      <c r="K3" s="127"/>
      <c r="L3" s="127"/>
      <c r="M3" s="127"/>
      <c r="N3" s="127"/>
      <c r="O3" s="127"/>
      <c r="P3" s="127"/>
      <c r="Q3" s="127"/>
      <c r="R3" s="127"/>
      <c r="S3" s="127"/>
      <c r="T3" s="127"/>
      <c r="U3" s="127"/>
      <c r="V3" s="127"/>
      <c r="W3" s="127"/>
      <c r="X3" s="127"/>
      <c r="Y3" s="127"/>
      <c r="Z3" s="127"/>
    </row>
    <row r="4">
      <c r="A4" s="417"/>
      <c r="E4" s="127"/>
      <c r="F4" s="127"/>
      <c r="G4" s="127"/>
      <c r="H4" s="127"/>
      <c r="I4" s="127"/>
      <c r="J4" s="127"/>
      <c r="K4" s="127"/>
      <c r="L4" s="127"/>
      <c r="M4" s="127"/>
      <c r="N4" s="127"/>
      <c r="O4" s="127"/>
      <c r="P4" s="127"/>
      <c r="Q4" s="127"/>
      <c r="R4" s="127"/>
      <c r="S4" s="127"/>
      <c r="T4" s="127"/>
      <c r="U4" s="127"/>
      <c r="V4" s="127"/>
      <c r="W4" s="127"/>
      <c r="X4" s="127"/>
      <c r="Y4" s="127"/>
      <c r="Z4" s="127"/>
    </row>
    <row r="5">
      <c r="A5" s="414" t="s">
        <v>6907</v>
      </c>
      <c r="B5" s="30" t="str">
        <f>IFERROR(__xludf.DUMMYFUNCTION("GOOGLETRANSLATE(A5,""zh-tw"",""ja"")"),"公式YouTubeチャンネル")</f>
        <v>公式YouTubeチャンネル</v>
      </c>
      <c r="C5" s="415" t="str">
        <f>IFERROR(__xludf.DUMMYFUNCTION("GOOGLETRANSLATE(A5,""zh-tw"",""en"")"),"Official YouTube channel")</f>
        <v>Official YouTube channel</v>
      </c>
      <c r="D5" s="147" t="s">
        <v>6908</v>
      </c>
      <c r="E5" s="127"/>
      <c r="F5" s="127"/>
      <c r="G5" s="127"/>
      <c r="H5" s="127"/>
      <c r="I5" s="127"/>
      <c r="J5" s="127"/>
      <c r="K5" s="127"/>
      <c r="L5" s="127"/>
      <c r="M5" s="127"/>
      <c r="N5" s="127"/>
      <c r="O5" s="127"/>
      <c r="P5" s="127"/>
      <c r="Q5" s="127"/>
      <c r="R5" s="127"/>
      <c r="S5" s="127"/>
      <c r="T5" s="127"/>
      <c r="U5" s="127"/>
      <c r="V5" s="127"/>
      <c r="W5" s="127"/>
      <c r="X5" s="127"/>
      <c r="Y5" s="127"/>
      <c r="Z5" s="127"/>
    </row>
    <row r="6">
      <c r="A6" s="414" t="s">
        <v>6909</v>
      </c>
      <c r="B6" s="30" t="str">
        <f>IFERROR(__xludf.DUMMYFUNCTION("GOOGLETRANSLATE(A6,""zh-tw"",""ja"")"),"公式法案")</f>
        <v>公式法案</v>
      </c>
      <c r="C6" s="415" t="str">
        <f>IFERROR(__xludf.DUMMYFUNCTION("GOOGLETRANSLATE(A6,""zh-tw"",""en"")"),"Official bill")</f>
        <v>Official bill</v>
      </c>
      <c r="D6" s="147" t="s">
        <v>6908</v>
      </c>
      <c r="E6" s="127"/>
      <c r="F6" s="127"/>
      <c r="G6" s="127"/>
      <c r="H6" s="127"/>
      <c r="I6" s="127"/>
      <c r="J6" s="127"/>
      <c r="K6" s="127"/>
      <c r="L6" s="127"/>
      <c r="M6" s="127"/>
      <c r="N6" s="127"/>
      <c r="O6" s="127"/>
      <c r="P6" s="127"/>
      <c r="Q6" s="127"/>
      <c r="R6" s="127"/>
      <c r="S6" s="127"/>
      <c r="T6" s="127"/>
      <c r="U6" s="127"/>
      <c r="V6" s="127"/>
      <c r="W6" s="127"/>
      <c r="X6" s="127"/>
      <c r="Y6" s="127"/>
      <c r="Z6" s="127"/>
    </row>
    <row r="7">
      <c r="A7" s="414" t="s">
        <v>6910</v>
      </c>
      <c r="B7" s="30" t="str">
        <f>IFERROR(__xludf.DUMMYFUNCTION("GOOGLETRANSLATE(A7,""zh-tw"",""ja"")"),"片桐亜貴のYouTubeチャンネル
（妹役の声優）")</f>
        <v>片桐亜貴のYouTubeチャンネル
（妹役の声優）</v>
      </c>
      <c r="C7" s="415" t="str">
        <f>IFERROR(__xludf.DUMMYFUNCTION("GOOGLETRANSLATE(A7,""zh-tw"",""en"")"),"Katagiri Aki's YouTube channel
(Voice actor for the younger sister)")</f>
        <v>Katagiri Aki's YouTube channel
(Voice actor for the younger sister)</v>
      </c>
      <c r="D7" s="147" t="s">
        <v>6911</v>
      </c>
      <c r="E7" s="127"/>
      <c r="F7" s="127"/>
      <c r="G7" s="127"/>
      <c r="H7" s="127"/>
      <c r="I7" s="127"/>
      <c r="J7" s="127"/>
      <c r="K7" s="127"/>
      <c r="L7" s="127"/>
      <c r="M7" s="127"/>
      <c r="N7" s="127"/>
      <c r="O7" s="127"/>
      <c r="P7" s="127"/>
      <c r="Q7" s="127"/>
      <c r="R7" s="127"/>
      <c r="S7" s="127"/>
      <c r="T7" s="127"/>
      <c r="U7" s="127"/>
      <c r="V7" s="127"/>
      <c r="W7" s="127"/>
      <c r="X7" s="127"/>
      <c r="Y7" s="127"/>
      <c r="Z7" s="127"/>
    </row>
    <row r="8">
      <c r="A8" s="414" t="s">
        <v>6912</v>
      </c>
      <c r="B8" s="30" t="str">
        <f>IFERROR(__xludf.DUMMYFUNCTION("GOOGLETRANSLATE(A8,""zh-tw"",""ja"")"),"片桐亜紀（ビルビルチャンネル）
（妹役の声優）")</f>
        <v>片桐亜紀（ビルビルチャンネル）
（妹役の声優）</v>
      </c>
      <c r="C8" s="415" t="str">
        <f>IFERROR(__xludf.DUMMYFUNCTION("GOOGLETRANSLATE(A8,""zh-tw"",""en"")"),"Aki Katagiri (bilbill channel)
(Voice actress for the younger sister)")</f>
        <v>Aki Katagiri (bilbill channel)
(Voice actress for the younger sister)</v>
      </c>
      <c r="D8" s="147" t="s">
        <v>6911</v>
      </c>
      <c r="E8" s="127"/>
      <c r="F8" s="127"/>
      <c r="G8" s="127"/>
      <c r="H8" s="127"/>
      <c r="I8" s="127"/>
      <c r="J8" s="127"/>
      <c r="K8" s="127"/>
      <c r="L8" s="127"/>
      <c r="M8" s="127"/>
      <c r="N8" s="127"/>
      <c r="O8" s="127"/>
      <c r="P8" s="127"/>
      <c r="Q8" s="127"/>
      <c r="R8" s="127"/>
      <c r="S8" s="127"/>
      <c r="T8" s="127"/>
      <c r="U8" s="127"/>
      <c r="V8" s="127"/>
      <c r="W8" s="127"/>
      <c r="X8" s="127"/>
      <c r="Y8" s="127"/>
      <c r="Z8" s="127"/>
    </row>
    <row r="9">
      <c r="A9" s="414" t="s">
        <v>6913</v>
      </c>
      <c r="B9" s="30" t="str">
        <f>IFERROR(__xludf.DUMMYFUNCTION("GOOGLETRANSLATE(A9,""zh-tw"",""ja"")"),"ROROのYouTubeチャンネル（攻略ガイド作成チャンネル、現在準備中、登録大歓迎）")</f>
        <v>ROROのYouTubeチャンネル（攻略ガイド作成チャンネル、現在準備中、登録大歓迎）</v>
      </c>
      <c r="C9" s="415" t="str">
        <f>IFERROR(__xludf.DUMMYFUNCTION("GOOGLETRANSLATE(A9,""zh-tw"",""en"")"),"RORO's YouTube channel (Strategy guide creator channel, currently in preparation, welcome to subscribe)")</f>
        <v>RORO's YouTube channel (Strategy guide creator channel, currently in preparation, welcome to subscribe)</v>
      </c>
      <c r="D9" s="147" t="s">
        <v>6914</v>
      </c>
      <c r="E9" s="127"/>
      <c r="F9" s="127"/>
      <c r="G9" s="127"/>
      <c r="H9" s="127"/>
      <c r="I9" s="127"/>
      <c r="J9" s="127"/>
      <c r="K9" s="127"/>
      <c r="L9" s="127"/>
      <c r="M9" s="127"/>
      <c r="N9" s="127"/>
      <c r="O9" s="127"/>
      <c r="P9" s="127"/>
      <c r="Q9" s="127"/>
      <c r="R9" s="127"/>
      <c r="S9" s="127"/>
      <c r="T9" s="127"/>
      <c r="U9" s="127"/>
      <c r="V9" s="127"/>
      <c r="W9" s="127"/>
      <c r="X9" s="127"/>
      <c r="Y9" s="127"/>
      <c r="Z9" s="127"/>
    </row>
    <row r="10">
      <c r="A10" s="417"/>
      <c r="E10" s="127"/>
      <c r="F10" s="127"/>
      <c r="G10" s="127"/>
      <c r="H10" s="127"/>
      <c r="I10" s="127"/>
      <c r="J10" s="127"/>
      <c r="K10" s="127"/>
      <c r="L10" s="127"/>
      <c r="M10" s="127"/>
      <c r="N10" s="127"/>
      <c r="O10" s="127"/>
      <c r="P10" s="127"/>
      <c r="Q10" s="127"/>
      <c r="R10" s="127"/>
      <c r="S10" s="127"/>
      <c r="T10" s="127"/>
      <c r="U10" s="127"/>
      <c r="V10" s="127"/>
      <c r="W10" s="127"/>
      <c r="X10" s="127"/>
      <c r="Y10" s="127"/>
      <c r="Z10" s="127"/>
    </row>
    <row r="11">
      <c r="A11" s="418" t="s">
        <v>6915</v>
      </c>
      <c r="B11" s="30" t="str">
        <f>IFERROR(__xludf.DUMMYFUNCTION("GOOGLETRANSLATE(A11,""zh-tw"",""ja"")"),"プレイヤーの応募（準備中、応募を歓迎します）")</f>
        <v>プレイヤーの応募（準備中、応募を歓迎します）</v>
      </c>
      <c r="C11" s="415" t="str">
        <f>IFERROR(__xludf.DUMMYFUNCTION("GOOGLETRANSLATE(A11,""zh-tw"",""en"")"),"Player submissions (under preparation, welcome to submit)")</f>
        <v>Player submissions (under preparation, welcome to submit)</v>
      </c>
      <c r="D11" s="419" t="s">
        <v>6916</v>
      </c>
      <c r="E11" s="127"/>
      <c r="F11" s="127"/>
      <c r="G11" s="127"/>
      <c r="H11" s="127"/>
      <c r="I11" s="127"/>
      <c r="J11" s="127"/>
      <c r="K11" s="127"/>
      <c r="L11" s="127"/>
      <c r="M11" s="127"/>
      <c r="N11" s="127"/>
      <c r="O11" s="127"/>
      <c r="P11" s="127"/>
      <c r="Q11" s="127"/>
      <c r="R11" s="127"/>
      <c r="S11" s="127"/>
      <c r="T11" s="127"/>
      <c r="U11" s="127"/>
      <c r="V11" s="127"/>
      <c r="W11" s="127"/>
      <c r="X11" s="127"/>
      <c r="Y11" s="127"/>
      <c r="Z11" s="127"/>
    </row>
    <row r="12">
      <c r="A12" s="420"/>
      <c r="B12" s="138"/>
      <c r="C12" s="421"/>
      <c r="D12" s="422"/>
      <c r="E12" s="127"/>
      <c r="F12" s="127"/>
      <c r="G12" s="127"/>
      <c r="H12" s="127"/>
      <c r="I12" s="127"/>
      <c r="J12" s="127"/>
      <c r="K12" s="127"/>
      <c r="L12" s="127"/>
      <c r="M12" s="127"/>
      <c r="N12" s="127"/>
      <c r="O12" s="127"/>
      <c r="P12" s="127"/>
      <c r="Q12" s="127"/>
      <c r="R12" s="127"/>
      <c r="S12" s="127"/>
      <c r="T12" s="127"/>
      <c r="U12" s="127"/>
      <c r="V12" s="127"/>
      <c r="W12" s="127"/>
      <c r="X12" s="127"/>
      <c r="Y12" s="127"/>
      <c r="Z12" s="127"/>
    </row>
    <row r="13">
      <c r="A13" s="420"/>
      <c r="B13" s="138"/>
      <c r="C13" s="421"/>
      <c r="D13" s="422"/>
      <c r="E13" s="127"/>
      <c r="F13" s="127"/>
      <c r="G13" s="127"/>
      <c r="H13" s="127"/>
      <c r="I13" s="127"/>
      <c r="J13" s="127"/>
      <c r="K13" s="127"/>
      <c r="L13" s="127"/>
      <c r="M13" s="127"/>
      <c r="N13" s="127"/>
      <c r="O13" s="127"/>
      <c r="P13" s="127"/>
      <c r="Q13" s="127"/>
      <c r="R13" s="127"/>
      <c r="S13" s="127"/>
      <c r="T13" s="127"/>
      <c r="U13" s="127"/>
      <c r="V13" s="127"/>
      <c r="W13" s="127"/>
      <c r="X13" s="127"/>
      <c r="Y13" s="127"/>
      <c r="Z13" s="127"/>
    </row>
    <row r="14">
      <c r="A14" s="420"/>
      <c r="B14" s="138"/>
      <c r="C14" s="421"/>
      <c r="D14" s="422"/>
      <c r="E14" s="127"/>
      <c r="F14" s="127"/>
      <c r="G14" s="127"/>
      <c r="H14" s="127"/>
      <c r="I14" s="127"/>
      <c r="J14" s="127"/>
      <c r="K14" s="127"/>
      <c r="L14" s="127"/>
      <c r="M14" s="127"/>
      <c r="N14" s="127"/>
      <c r="O14" s="127"/>
      <c r="P14" s="127"/>
      <c r="Q14" s="127"/>
      <c r="R14" s="127"/>
      <c r="S14" s="127"/>
      <c r="T14" s="127"/>
      <c r="U14" s="127"/>
      <c r="V14" s="127"/>
      <c r="W14" s="127"/>
      <c r="X14" s="127"/>
      <c r="Y14" s="127"/>
      <c r="Z14" s="127"/>
    </row>
    <row r="15">
      <c r="A15" s="420"/>
      <c r="B15" s="138"/>
      <c r="C15" s="421"/>
      <c r="D15" s="422"/>
      <c r="E15" s="127"/>
      <c r="F15" s="127"/>
      <c r="G15" s="127"/>
      <c r="H15" s="127"/>
      <c r="I15" s="127"/>
      <c r="J15" s="127"/>
      <c r="K15" s="127"/>
      <c r="L15" s="127"/>
      <c r="M15" s="127"/>
      <c r="N15" s="127"/>
      <c r="O15" s="127"/>
      <c r="P15" s="127"/>
      <c r="Q15" s="127"/>
      <c r="R15" s="127"/>
      <c r="S15" s="127"/>
      <c r="T15" s="127"/>
      <c r="U15" s="127"/>
      <c r="V15" s="127"/>
      <c r="W15" s="127"/>
      <c r="X15" s="127"/>
      <c r="Y15" s="127"/>
      <c r="Z15" s="127"/>
    </row>
    <row r="16">
      <c r="A16" s="420"/>
      <c r="B16" s="138"/>
      <c r="C16" s="421"/>
      <c r="D16" s="422"/>
      <c r="E16" s="127"/>
      <c r="F16" s="127"/>
      <c r="G16" s="127"/>
      <c r="H16" s="127"/>
      <c r="I16" s="127"/>
      <c r="J16" s="127"/>
      <c r="K16" s="127"/>
      <c r="L16" s="127"/>
      <c r="M16" s="127"/>
      <c r="N16" s="127"/>
      <c r="O16" s="127"/>
      <c r="P16" s="127"/>
      <c r="Q16" s="127"/>
      <c r="R16" s="127"/>
      <c r="S16" s="127"/>
      <c r="T16" s="127"/>
      <c r="U16" s="127"/>
      <c r="V16" s="127"/>
      <c r="W16" s="127"/>
      <c r="X16" s="127"/>
      <c r="Y16" s="127"/>
      <c r="Z16" s="127"/>
    </row>
    <row r="17">
      <c r="A17" s="420"/>
      <c r="B17" s="138"/>
      <c r="C17" s="421"/>
      <c r="D17" s="422"/>
      <c r="E17" s="127"/>
      <c r="F17" s="127"/>
      <c r="G17" s="127"/>
      <c r="H17" s="127"/>
      <c r="I17" s="127"/>
      <c r="J17" s="127"/>
      <c r="K17" s="127"/>
      <c r="L17" s="127"/>
      <c r="M17" s="127"/>
      <c r="N17" s="127"/>
      <c r="O17" s="127"/>
      <c r="P17" s="127"/>
      <c r="Q17" s="127"/>
      <c r="R17" s="127"/>
      <c r="S17" s="127"/>
      <c r="T17" s="127"/>
      <c r="U17" s="127"/>
      <c r="V17" s="127"/>
      <c r="W17" s="127"/>
      <c r="X17" s="127"/>
      <c r="Y17" s="127"/>
      <c r="Z17" s="127"/>
    </row>
    <row r="18">
      <c r="A18" s="420"/>
      <c r="B18" s="138"/>
      <c r="C18" s="421"/>
      <c r="D18" s="422"/>
      <c r="E18" s="127"/>
      <c r="F18" s="127"/>
      <c r="G18" s="127"/>
      <c r="H18" s="127"/>
      <c r="I18" s="127"/>
      <c r="J18" s="127"/>
      <c r="K18" s="127"/>
      <c r="L18" s="127"/>
      <c r="M18" s="127"/>
      <c r="N18" s="127"/>
      <c r="O18" s="127"/>
      <c r="P18" s="127"/>
      <c r="Q18" s="127"/>
      <c r="R18" s="127"/>
      <c r="S18" s="127"/>
      <c r="T18" s="127"/>
      <c r="U18" s="127"/>
      <c r="V18" s="127"/>
      <c r="W18" s="127"/>
      <c r="X18" s="127"/>
      <c r="Y18" s="127"/>
      <c r="Z18" s="127"/>
    </row>
    <row r="19">
      <c r="A19" s="420"/>
      <c r="B19" s="138"/>
      <c r="C19" s="421"/>
      <c r="D19" s="422"/>
      <c r="E19" s="127"/>
      <c r="F19" s="127"/>
      <c r="G19" s="127"/>
      <c r="H19" s="127"/>
      <c r="I19" s="127"/>
      <c r="J19" s="127"/>
      <c r="K19" s="127"/>
      <c r="L19" s="127"/>
      <c r="M19" s="127"/>
      <c r="N19" s="127"/>
      <c r="O19" s="127"/>
      <c r="P19" s="127"/>
      <c r="Q19" s="127"/>
      <c r="R19" s="127"/>
      <c r="S19" s="127"/>
      <c r="T19" s="127"/>
      <c r="U19" s="127"/>
      <c r="V19" s="127"/>
      <c r="W19" s="127"/>
      <c r="X19" s="127"/>
      <c r="Y19" s="127"/>
      <c r="Z19" s="127"/>
    </row>
    <row r="20">
      <c r="A20" s="420"/>
      <c r="B20" s="138"/>
      <c r="C20" s="421"/>
      <c r="D20" s="422"/>
      <c r="E20" s="127"/>
      <c r="F20" s="127"/>
      <c r="G20" s="127"/>
      <c r="H20" s="127"/>
      <c r="I20" s="127"/>
      <c r="J20" s="127"/>
      <c r="K20" s="127"/>
      <c r="L20" s="127"/>
      <c r="M20" s="127"/>
      <c r="N20" s="127"/>
      <c r="O20" s="127"/>
      <c r="P20" s="127"/>
      <c r="Q20" s="127"/>
      <c r="R20" s="127"/>
      <c r="S20" s="127"/>
      <c r="T20" s="127"/>
      <c r="U20" s="127"/>
      <c r="V20" s="127"/>
      <c r="W20" s="127"/>
      <c r="X20" s="127"/>
      <c r="Y20" s="127"/>
      <c r="Z20" s="127"/>
    </row>
    <row r="21">
      <c r="A21" s="420"/>
      <c r="B21" s="138"/>
      <c r="C21" s="421"/>
      <c r="D21" s="422"/>
      <c r="E21" s="127"/>
      <c r="F21" s="127"/>
      <c r="G21" s="127"/>
      <c r="H21" s="127"/>
      <c r="I21" s="127"/>
      <c r="J21" s="127"/>
      <c r="K21" s="127"/>
      <c r="L21" s="127"/>
      <c r="M21" s="127"/>
      <c r="N21" s="127"/>
      <c r="O21" s="127"/>
      <c r="P21" s="127"/>
      <c r="Q21" s="127"/>
      <c r="R21" s="127"/>
      <c r="S21" s="127"/>
      <c r="T21" s="127"/>
      <c r="U21" s="127"/>
      <c r="V21" s="127"/>
      <c r="W21" s="127"/>
      <c r="X21" s="127"/>
      <c r="Y21" s="127"/>
      <c r="Z21" s="127"/>
    </row>
    <row r="22">
      <c r="A22" s="420"/>
      <c r="B22" s="138"/>
      <c r="C22" s="421"/>
      <c r="D22" s="422"/>
      <c r="E22" s="127"/>
      <c r="F22" s="127"/>
      <c r="G22" s="127"/>
      <c r="H22" s="127"/>
      <c r="I22" s="127"/>
      <c r="J22" s="127"/>
      <c r="K22" s="127"/>
      <c r="L22" s="127"/>
      <c r="M22" s="127"/>
      <c r="N22" s="127"/>
      <c r="O22" s="127"/>
      <c r="P22" s="127"/>
      <c r="Q22" s="127"/>
      <c r="R22" s="127"/>
      <c r="S22" s="127"/>
      <c r="T22" s="127"/>
      <c r="U22" s="127"/>
      <c r="V22" s="127"/>
      <c r="W22" s="127"/>
      <c r="X22" s="127"/>
      <c r="Y22" s="127"/>
      <c r="Z22" s="127"/>
    </row>
    <row r="23">
      <c r="A23" s="420"/>
      <c r="B23" s="138"/>
      <c r="C23" s="421"/>
      <c r="D23" s="422"/>
      <c r="E23" s="127"/>
      <c r="F23" s="127"/>
      <c r="G23" s="127"/>
      <c r="H23" s="127"/>
      <c r="I23" s="127"/>
      <c r="J23" s="127"/>
      <c r="K23" s="127"/>
      <c r="L23" s="127"/>
      <c r="M23" s="127"/>
      <c r="N23" s="127"/>
      <c r="O23" s="127"/>
      <c r="P23" s="127"/>
      <c r="Q23" s="127"/>
      <c r="R23" s="127"/>
      <c r="S23" s="127"/>
      <c r="T23" s="127"/>
      <c r="U23" s="127"/>
      <c r="V23" s="127"/>
      <c r="W23" s="127"/>
      <c r="X23" s="127"/>
      <c r="Y23" s="127"/>
      <c r="Z23" s="127"/>
    </row>
    <row r="24">
      <c r="A24" s="420"/>
      <c r="B24" s="138"/>
      <c r="C24" s="421"/>
      <c r="D24" s="422"/>
      <c r="E24" s="127"/>
      <c r="F24" s="127"/>
      <c r="G24" s="127"/>
      <c r="H24" s="127"/>
      <c r="I24" s="127"/>
      <c r="J24" s="127"/>
      <c r="K24" s="127"/>
      <c r="L24" s="127"/>
      <c r="M24" s="127"/>
      <c r="N24" s="127"/>
      <c r="O24" s="127"/>
      <c r="P24" s="127"/>
      <c r="Q24" s="127"/>
      <c r="R24" s="127"/>
      <c r="S24" s="127"/>
      <c r="T24" s="127"/>
      <c r="U24" s="127"/>
      <c r="V24" s="127"/>
      <c r="W24" s="127"/>
      <c r="X24" s="127"/>
      <c r="Y24" s="127"/>
      <c r="Z24" s="127"/>
    </row>
    <row r="25">
      <c r="A25" s="420"/>
      <c r="B25" s="138"/>
      <c r="C25" s="421"/>
      <c r="D25" s="422"/>
      <c r="E25" s="127"/>
      <c r="F25" s="127"/>
      <c r="G25" s="127"/>
      <c r="H25" s="127"/>
      <c r="I25" s="127"/>
      <c r="J25" s="127"/>
      <c r="K25" s="127"/>
      <c r="L25" s="127"/>
      <c r="M25" s="127"/>
      <c r="N25" s="127"/>
      <c r="O25" s="127"/>
      <c r="P25" s="127"/>
      <c r="Q25" s="127"/>
      <c r="R25" s="127"/>
      <c r="S25" s="127"/>
      <c r="T25" s="127"/>
      <c r="U25" s="127"/>
      <c r="V25" s="127"/>
      <c r="W25" s="127"/>
      <c r="X25" s="127"/>
      <c r="Y25" s="127"/>
      <c r="Z25" s="127"/>
    </row>
    <row r="26">
      <c r="A26" s="420"/>
      <c r="B26" s="138"/>
      <c r="C26" s="421"/>
      <c r="D26" s="422"/>
      <c r="E26" s="127"/>
      <c r="F26" s="127"/>
      <c r="G26" s="127"/>
      <c r="H26" s="127"/>
      <c r="I26" s="127"/>
      <c r="J26" s="127"/>
      <c r="K26" s="127"/>
      <c r="L26" s="127"/>
      <c r="M26" s="127"/>
      <c r="N26" s="127"/>
      <c r="O26" s="127"/>
      <c r="P26" s="127"/>
      <c r="Q26" s="127"/>
      <c r="R26" s="127"/>
      <c r="S26" s="127"/>
      <c r="T26" s="127"/>
      <c r="U26" s="127"/>
      <c r="V26" s="127"/>
      <c r="W26" s="127"/>
      <c r="X26" s="127"/>
      <c r="Y26" s="127"/>
      <c r="Z26" s="127"/>
    </row>
    <row r="27">
      <c r="A27" s="420"/>
      <c r="B27" s="138"/>
      <c r="C27" s="421"/>
      <c r="D27" s="422"/>
      <c r="E27" s="127"/>
      <c r="F27" s="127"/>
      <c r="G27" s="127"/>
      <c r="H27" s="127"/>
      <c r="I27" s="127"/>
      <c r="J27" s="127"/>
      <c r="K27" s="127"/>
      <c r="L27" s="127"/>
      <c r="M27" s="127"/>
      <c r="N27" s="127"/>
      <c r="O27" s="127"/>
      <c r="P27" s="127"/>
      <c r="Q27" s="127"/>
      <c r="R27" s="127"/>
      <c r="S27" s="127"/>
      <c r="T27" s="127"/>
      <c r="U27" s="127"/>
      <c r="V27" s="127"/>
      <c r="W27" s="127"/>
      <c r="X27" s="127"/>
      <c r="Y27" s="127"/>
      <c r="Z27" s="127"/>
    </row>
    <row r="28">
      <c r="A28" s="420"/>
      <c r="B28" s="138"/>
      <c r="C28" s="421"/>
      <c r="D28" s="422"/>
      <c r="E28" s="127"/>
      <c r="F28" s="127"/>
      <c r="G28" s="127"/>
      <c r="H28" s="127"/>
      <c r="I28" s="127"/>
      <c r="J28" s="127"/>
      <c r="K28" s="127"/>
      <c r="L28" s="127"/>
      <c r="M28" s="127"/>
      <c r="N28" s="127"/>
      <c r="O28" s="127"/>
      <c r="P28" s="127"/>
      <c r="Q28" s="127"/>
      <c r="R28" s="127"/>
      <c r="S28" s="127"/>
      <c r="T28" s="127"/>
      <c r="U28" s="127"/>
      <c r="V28" s="127"/>
      <c r="W28" s="127"/>
      <c r="X28" s="127"/>
      <c r="Y28" s="127"/>
      <c r="Z28" s="127"/>
    </row>
    <row r="29">
      <c r="A29" s="420"/>
      <c r="B29" s="138"/>
      <c r="C29" s="421"/>
      <c r="D29" s="422"/>
      <c r="E29" s="127"/>
      <c r="F29" s="127"/>
      <c r="G29" s="127"/>
      <c r="H29" s="127"/>
      <c r="I29" s="127"/>
      <c r="J29" s="127"/>
      <c r="K29" s="127"/>
      <c r="L29" s="127"/>
      <c r="M29" s="127"/>
      <c r="N29" s="127"/>
      <c r="O29" s="127"/>
      <c r="P29" s="127"/>
      <c r="Q29" s="127"/>
      <c r="R29" s="127"/>
      <c r="S29" s="127"/>
      <c r="T29" s="127"/>
      <c r="U29" s="127"/>
      <c r="V29" s="127"/>
      <c r="W29" s="127"/>
      <c r="X29" s="127"/>
      <c r="Y29" s="127"/>
      <c r="Z29" s="127"/>
    </row>
    <row r="30">
      <c r="A30" s="420"/>
      <c r="B30" s="138"/>
      <c r="C30" s="421"/>
      <c r="D30" s="422"/>
      <c r="E30" s="127"/>
      <c r="F30" s="127"/>
      <c r="G30" s="127"/>
      <c r="H30" s="127"/>
      <c r="I30" s="127"/>
      <c r="J30" s="127"/>
      <c r="K30" s="127"/>
      <c r="L30" s="127"/>
      <c r="M30" s="127"/>
      <c r="N30" s="127"/>
      <c r="O30" s="127"/>
      <c r="P30" s="127"/>
      <c r="Q30" s="127"/>
      <c r="R30" s="127"/>
      <c r="S30" s="127"/>
      <c r="T30" s="127"/>
      <c r="U30" s="127"/>
      <c r="V30" s="127"/>
      <c r="W30" s="127"/>
      <c r="X30" s="127"/>
      <c r="Y30" s="127"/>
      <c r="Z30" s="127"/>
    </row>
    <row r="31">
      <c r="A31" s="420"/>
      <c r="B31" s="138"/>
      <c r="C31" s="421"/>
      <c r="D31" s="422"/>
      <c r="E31" s="127"/>
      <c r="F31" s="127"/>
      <c r="G31" s="127"/>
      <c r="H31" s="127"/>
      <c r="I31" s="127"/>
      <c r="J31" s="127"/>
      <c r="K31" s="127"/>
      <c r="L31" s="127"/>
      <c r="M31" s="127"/>
      <c r="N31" s="127"/>
      <c r="O31" s="127"/>
      <c r="P31" s="127"/>
      <c r="Q31" s="127"/>
      <c r="R31" s="127"/>
      <c r="S31" s="127"/>
      <c r="T31" s="127"/>
      <c r="U31" s="127"/>
      <c r="V31" s="127"/>
      <c r="W31" s="127"/>
      <c r="X31" s="127"/>
      <c r="Y31" s="127"/>
      <c r="Z31" s="127"/>
    </row>
    <row r="32">
      <c r="A32" s="420"/>
      <c r="B32" s="138"/>
      <c r="C32" s="421"/>
      <c r="D32" s="422"/>
      <c r="E32" s="127"/>
      <c r="F32" s="127"/>
      <c r="G32" s="127"/>
      <c r="H32" s="127"/>
      <c r="I32" s="127"/>
      <c r="J32" s="127"/>
      <c r="K32" s="127"/>
      <c r="L32" s="127"/>
      <c r="M32" s="127"/>
      <c r="N32" s="127"/>
      <c r="O32" s="127"/>
      <c r="P32" s="127"/>
      <c r="Q32" s="127"/>
      <c r="R32" s="127"/>
      <c r="S32" s="127"/>
      <c r="T32" s="127"/>
      <c r="U32" s="127"/>
      <c r="V32" s="127"/>
      <c r="W32" s="127"/>
      <c r="X32" s="127"/>
      <c r="Y32" s="127"/>
      <c r="Z32" s="127"/>
    </row>
    <row r="33">
      <c r="A33" s="420"/>
      <c r="B33" s="138"/>
      <c r="C33" s="421"/>
      <c r="D33" s="422"/>
      <c r="E33" s="127"/>
      <c r="F33" s="127"/>
      <c r="G33" s="127"/>
      <c r="H33" s="127"/>
      <c r="I33" s="127"/>
      <c r="J33" s="127"/>
      <c r="K33" s="127"/>
      <c r="L33" s="127"/>
      <c r="M33" s="127"/>
      <c r="N33" s="127"/>
      <c r="O33" s="127"/>
      <c r="P33" s="127"/>
      <c r="Q33" s="127"/>
      <c r="R33" s="127"/>
      <c r="S33" s="127"/>
      <c r="T33" s="127"/>
      <c r="U33" s="127"/>
      <c r="V33" s="127"/>
      <c r="W33" s="127"/>
      <c r="X33" s="127"/>
      <c r="Y33" s="127"/>
      <c r="Z33" s="127"/>
    </row>
    <row r="34">
      <c r="A34" s="420"/>
      <c r="B34" s="138"/>
      <c r="C34" s="421"/>
      <c r="D34" s="422"/>
      <c r="E34" s="127"/>
      <c r="F34" s="127"/>
      <c r="G34" s="127"/>
      <c r="H34" s="127"/>
      <c r="I34" s="127"/>
      <c r="J34" s="127"/>
      <c r="K34" s="127"/>
      <c r="L34" s="127"/>
      <c r="M34" s="127"/>
      <c r="N34" s="127"/>
      <c r="O34" s="127"/>
      <c r="P34" s="127"/>
      <c r="Q34" s="127"/>
      <c r="R34" s="127"/>
      <c r="S34" s="127"/>
      <c r="T34" s="127"/>
      <c r="U34" s="127"/>
      <c r="V34" s="127"/>
      <c r="W34" s="127"/>
      <c r="X34" s="127"/>
      <c r="Y34" s="127"/>
      <c r="Z34" s="127"/>
    </row>
    <row r="35">
      <c r="A35" s="420"/>
      <c r="B35" s="138"/>
      <c r="C35" s="421"/>
      <c r="D35" s="422"/>
      <c r="E35" s="127"/>
      <c r="F35" s="127"/>
      <c r="G35" s="127"/>
      <c r="H35" s="127"/>
      <c r="I35" s="127"/>
      <c r="J35" s="127"/>
      <c r="K35" s="127"/>
      <c r="L35" s="127"/>
      <c r="M35" s="127"/>
      <c r="N35" s="127"/>
      <c r="O35" s="127"/>
      <c r="P35" s="127"/>
      <c r="Q35" s="127"/>
      <c r="R35" s="127"/>
      <c r="S35" s="127"/>
      <c r="T35" s="127"/>
      <c r="U35" s="127"/>
      <c r="V35" s="127"/>
      <c r="W35" s="127"/>
      <c r="X35" s="127"/>
      <c r="Y35" s="127"/>
      <c r="Z35" s="127"/>
    </row>
    <row r="36">
      <c r="A36" s="420"/>
      <c r="B36" s="138"/>
      <c r="C36" s="421"/>
      <c r="D36" s="422"/>
      <c r="E36" s="127"/>
      <c r="F36" s="127"/>
      <c r="G36" s="127"/>
      <c r="H36" s="127"/>
      <c r="I36" s="127"/>
      <c r="J36" s="127"/>
      <c r="K36" s="127"/>
      <c r="L36" s="127"/>
      <c r="M36" s="127"/>
      <c r="N36" s="127"/>
      <c r="O36" s="127"/>
      <c r="P36" s="127"/>
      <c r="Q36" s="127"/>
      <c r="R36" s="127"/>
      <c r="S36" s="127"/>
      <c r="T36" s="127"/>
      <c r="U36" s="127"/>
      <c r="V36" s="127"/>
      <c r="W36" s="127"/>
      <c r="X36" s="127"/>
      <c r="Y36" s="127"/>
      <c r="Z36" s="127"/>
    </row>
    <row r="37">
      <c r="A37" s="420"/>
      <c r="B37" s="138"/>
      <c r="C37" s="421"/>
      <c r="D37" s="422"/>
      <c r="E37" s="127"/>
      <c r="F37" s="127"/>
      <c r="G37" s="127"/>
      <c r="H37" s="127"/>
      <c r="I37" s="127"/>
      <c r="J37" s="127"/>
      <c r="K37" s="127"/>
      <c r="L37" s="127"/>
      <c r="M37" s="127"/>
      <c r="N37" s="127"/>
      <c r="O37" s="127"/>
      <c r="P37" s="127"/>
      <c r="Q37" s="127"/>
      <c r="R37" s="127"/>
      <c r="S37" s="127"/>
      <c r="T37" s="127"/>
      <c r="U37" s="127"/>
      <c r="V37" s="127"/>
      <c r="W37" s="127"/>
      <c r="X37" s="127"/>
      <c r="Y37" s="127"/>
      <c r="Z37" s="127"/>
    </row>
    <row r="38">
      <c r="A38" s="420"/>
      <c r="B38" s="138"/>
      <c r="C38" s="421"/>
      <c r="D38" s="422"/>
      <c r="E38" s="127"/>
      <c r="F38" s="127"/>
      <c r="G38" s="127"/>
      <c r="H38" s="127"/>
      <c r="I38" s="127"/>
      <c r="J38" s="127"/>
      <c r="K38" s="127"/>
      <c r="L38" s="127"/>
      <c r="M38" s="127"/>
      <c r="N38" s="127"/>
      <c r="O38" s="127"/>
      <c r="P38" s="127"/>
      <c r="Q38" s="127"/>
      <c r="R38" s="127"/>
      <c r="S38" s="127"/>
      <c r="T38" s="127"/>
      <c r="U38" s="127"/>
      <c r="V38" s="127"/>
      <c r="W38" s="127"/>
      <c r="X38" s="127"/>
      <c r="Y38" s="127"/>
      <c r="Z38" s="127"/>
    </row>
    <row r="39">
      <c r="A39" s="420"/>
      <c r="B39" s="138"/>
      <c r="C39" s="421"/>
      <c r="D39" s="422"/>
      <c r="E39" s="127"/>
      <c r="F39" s="127"/>
      <c r="G39" s="127"/>
      <c r="H39" s="127"/>
      <c r="I39" s="127"/>
      <c r="J39" s="127"/>
      <c r="K39" s="127"/>
      <c r="L39" s="127"/>
      <c r="M39" s="127"/>
      <c r="N39" s="127"/>
      <c r="O39" s="127"/>
      <c r="P39" s="127"/>
      <c r="Q39" s="127"/>
      <c r="R39" s="127"/>
      <c r="S39" s="127"/>
      <c r="T39" s="127"/>
      <c r="U39" s="127"/>
      <c r="V39" s="127"/>
      <c r="W39" s="127"/>
      <c r="X39" s="127"/>
      <c r="Y39" s="127"/>
      <c r="Z39" s="127"/>
    </row>
    <row r="40">
      <c r="A40" s="420"/>
      <c r="B40" s="138"/>
      <c r="C40" s="421"/>
      <c r="D40" s="422"/>
      <c r="E40" s="127"/>
      <c r="F40" s="127"/>
      <c r="G40" s="127"/>
      <c r="H40" s="127"/>
      <c r="I40" s="127"/>
      <c r="J40" s="127"/>
      <c r="K40" s="127"/>
      <c r="L40" s="127"/>
      <c r="M40" s="127"/>
      <c r="N40" s="127"/>
      <c r="O40" s="127"/>
      <c r="P40" s="127"/>
      <c r="Q40" s="127"/>
      <c r="R40" s="127"/>
      <c r="S40" s="127"/>
      <c r="T40" s="127"/>
      <c r="U40" s="127"/>
      <c r="V40" s="127"/>
      <c r="W40" s="127"/>
      <c r="X40" s="127"/>
      <c r="Y40" s="127"/>
      <c r="Z40" s="127"/>
    </row>
    <row r="41">
      <c r="A41" s="420"/>
      <c r="B41" s="138"/>
      <c r="C41" s="421"/>
      <c r="D41" s="422"/>
      <c r="E41" s="127"/>
      <c r="F41" s="127"/>
      <c r="G41" s="127"/>
      <c r="H41" s="127"/>
      <c r="I41" s="127"/>
      <c r="J41" s="127"/>
      <c r="K41" s="127"/>
      <c r="L41" s="127"/>
      <c r="M41" s="127"/>
      <c r="N41" s="127"/>
      <c r="O41" s="127"/>
      <c r="P41" s="127"/>
      <c r="Q41" s="127"/>
      <c r="R41" s="127"/>
      <c r="S41" s="127"/>
      <c r="T41" s="127"/>
      <c r="U41" s="127"/>
      <c r="V41" s="127"/>
      <c r="W41" s="127"/>
      <c r="X41" s="127"/>
      <c r="Y41" s="127"/>
      <c r="Z41" s="127"/>
    </row>
    <row r="42">
      <c r="A42" s="420"/>
      <c r="B42" s="138"/>
      <c r="C42" s="421"/>
      <c r="D42" s="422"/>
      <c r="E42" s="127"/>
      <c r="F42" s="127"/>
      <c r="G42" s="127"/>
      <c r="H42" s="127"/>
      <c r="I42" s="127"/>
      <c r="J42" s="127"/>
      <c r="K42" s="127"/>
      <c r="L42" s="127"/>
      <c r="M42" s="127"/>
      <c r="N42" s="127"/>
      <c r="O42" s="127"/>
      <c r="P42" s="127"/>
      <c r="Q42" s="127"/>
      <c r="R42" s="127"/>
      <c r="S42" s="127"/>
      <c r="T42" s="127"/>
      <c r="U42" s="127"/>
      <c r="V42" s="127"/>
      <c r="W42" s="127"/>
      <c r="X42" s="127"/>
      <c r="Y42" s="127"/>
      <c r="Z42" s="127"/>
    </row>
    <row r="43">
      <c r="A43" s="420"/>
      <c r="B43" s="138"/>
      <c r="C43" s="421"/>
      <c r="D43" s="422"/>
      <c r="E43" s="127"/>
      <c r="F43" s="127"/>
      <c r="G43" s="127"/>
      <c r="H43" s="127"/>
      <c r="I43" s="127"/>
      <c r="J43" s="127"/>
      <c r="K43" s="127"/>
      <c r="L43" s="127"/>
      <c r="M43" s="127"/>
      <c r="N43" s="127"/>
      <c r="O43" s="127"/>
      <c r="P43" s="127"/>
      <c r="Q43" s="127"/>
      <c r="R43" s="127"/>
      <c r="S43" s="127"/>
      <c r="T43" s="127"/>
      <c r="U43" s="127"/>
      <c r="V43" s="127"/>
      <c r="W43" s="127"/>
      <c r="X43" s="127"/>
      <c r="Y43" s="127"/>
      <c r="Z43" s="127"/>
    </row>
    <row r="44">
      <c r="A44" s="420"/>
      <c r="B44" s="138"/>
      <c r="C44" s="421"/>
      <c r="D44" s="422"/>
      <c r="E44" s="127"/>
      <c r="F44" s="127"/>
      <c r="G44" s="127"/>
      <c r="H44" s="127"/>
      <c r="I44" s="127"/>
      <c r="J44" s="127"/>
      <c r="K44" s="127"/>
      <c r="L44" s="127"/>
      <c r="M44" s="127"/>
      <c r="N44" s="127"/>
      <c r="O44" s="127"/>
      <c r="P44" s="127"/>
      <c r="Q44" s="127"/>
      <c r="R44" s="127"/>
      <c r="S44" s="127"/>
      <c r="T44" s="127"/>
      <c r="U44" s="127"/>
      <c r="V44" s="127"/>
      <c r="W44" s="127"/>
      <c r="X44" s="127"/>
      <c r="Y44" s="127"/>
      <c r="Z44" s="127"/>
    </row>
    <row r="45">
      <c r="A45" s="420"/>
      <c r="B45" s="138"/>
      <c r="C45" s="421"/>
      <c r="D45" s="422"/>
      <c r="E45" s="127"/>
      <c r="F45" s="127"/>
      <c r="G45" s="127"/>
      <c r="H45" s="127"/>
      <c r="I45" s="127"/>
      <c r="J45" s="127"/>
      <c r="K45" s="127"/>
      <c r="L45" s="127"/>
      <c r="M45" s="127"/>
      <c r="N45" s="127"/>
      <c r="O45" s="127"/>
      <c r="P45" s="127"/>
      <c r="Q45" s="127"/>
      <c r="R45" s="127"/>
      <c r="S45" s="127"/>
      <c r="T45" s="127"/>
      <c r="U45" s="127"/>
      <c r="V45" s="127"/>
      <c r="W45" s="127"/>
      <c r="X45" s="127"/>
      <c r="Y45" s="127"/>
      <c r="Z45" s="127"/>
    </row>
    <row r="46">
      <c r="A46" s="420"/>
      <c r="B46" s="138"/>
      <c r="C46" s="421"/>
      <c r="D46" s="422"/>
      <c r="E46" s="127"/>
      <c r="F46" s="127"/>
      <c r="G46" s="127"/>
      <c r="H46" s="127"/>
      <c r="I46" s="127"/>
      <c r="J46" s="127"/>
      <c r="K46" s="127"/>
      <c r="L46" s="127"/>
      <c r="M46" s="127"/>
      <c r="N46" s="127"/>
      <c r="O46" s="127"/>
      <c r="P46" s="127"/>
      <c r="Q46" s="127"/>
      <c r="R46" s="127"/>
      <c r="S46" s="127"/>
      <c r="T46" s="127"/>
      <c r="U46" s="127"/>
      <c r="V46" s="127"/>
      <c r="W46" s="127"/>
      <c r="X46" s="127"/>
      <c r="Y46" s="127"/>
      <c r="Z46" s="127"/>
    </row>
    <row r="47">
      <c r="A47" s="420"/>
      <c r="B47" s="138"/>
      <c r="C47" s="421"/>
      <c r="D47" s="422"/>
      <c r="E47" s="127"/>
      <c r="F47" s="127"/>
      <c r="G47" s="127"/>
      <c r="H47" s="127"/>
      <c r="I47" s="127"/>
      <c r="J47" s="127"/>
      <c r="K47" s="127"/>
      <c r="L47" s="127"/>
      <c r="M47" s="127"/>
      <c r="N47" s="127"/>
      <c r="O47" s="127"/>
      <c r="P47" s="127"/>
      <c r="Q47" s="127"/>
      <c r="R47" s="127"/>
      <c r="S47" s="127"/>
      <c r="T47" s="127"/>
      <c r="U47" s="127"/>
      <c r="V47" s="127"/>
      <c r="W47" s="127"/>
      <c r="X47" s="127"/>
      <c r="Y47" s="127"/>
      <c r="Z47" s="127"/>
    </row>
    <row r="48">
      <c r="A48" s="420"/>
      <c r="B48" s="138"/>
      <c r="C48" s="421"/>
      <c r="D48" s="422"/>
      <c r="E48" s="127"/>
      <c r="F48" s="127"/>
      <c r="G48" s="127"/>
      <c r="H48" s="127"/>
      <c r="I48" s="127"/>
      <c r="J48" s="127"/>
      <c r="K48" s="127"/>
      <c r="L48" s="127"/>
      <c r="M48" s="127"/>
      <c r="N48" s="127"/>
      <c r="O48" s="127"/>
      <c r="P48" s="127"/>
      <c r="Q48" s="127"/>
      <c r="R48" s="127"/>
      <c r="S48" s="127"/>
      <c r="T48" s="127"/>
      <c r="U48" s="127"/>
      <c r="V48" s="127"/>
      <c r="W48" s="127"/>
      <c r="X48" s="127"/>
      <c r="Y48" s="127"/>
      <c r="Z48" s="127"/>
    </row>
    <row r="49">
      <c r="A49" s="420"/>
      <c r="B49" s="138"/>
      <c r="C49" s="421"/>
      <c r="D49" s="422"/>
      <c r="E49" s="127"/>
      <c r="F49" s="127"/>
      <c r="G49" s="127"/>
      <c r="H49" s="127"/>
      <c r="I49" s="127"/>
      <c r="J49" s="127"/>
      <c r="K49" s="127"/>
      <c r="L49" s="127"/>
      <c r="M49" s="127"/>
      <c r="N49" s="127"/>
      <c r="O49" s="127"/>
      <c r="P49" s="127"/>
      <c r="Q49" s="127"/>
      <c r="R49" s="127"/>
      <c r="S49" s="127"/>
      <c r="T49" s="127"/>
      <c r="U49" s="127"/>
      <c r="V49" s="127"/>
      <c r="W49" s="127"/>
      <c r="X49" s="127"/>
      <c r="Y49" s="127"/>
      <c r="Z49" s="127"/>
    </row>
    <row r="50">
      <c r="A50" s="420"/>
      <c r="B50" s="138"/>
      <c r="C50" s="421"/>
      <c r="D50" s="422"/>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420"/>
      <c r="B51" s="138"/>
      <c r="C51" s="421"/>
      <c r="D51" s="422"/>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420"/>
      <c r="B52" s="138"/>
      <c r="C52" s="421"/>
      <c r="D52" s="422"/>
      <c r="E52" s="127"/>
      <c r="F52" s="127"/>
      <c r="G52" s="127"/>
      <c r="H52" s="127"/>
      <c r="I52" s="127"/>
      <c r="J52" s="127"/>
      <c r="K52" s="127"/>
      <c r="L52" s="127"/>
      <c r="M52" s="127"/>
      <c r="N52" s="127"/>
      <c r="O52" s="127"/>
      <c r="P52" s="127"/>
      <c r="Q52" s="127"/>
      <c r="R52" s="127"/>
      <c r="S52" s="127"/>
      <c r="T52" s="127"/>
      <c r="U52" s="127"/>
      <c r="V52" s="127"/>
      <c r="W52" s="127"/>
      <c r="X52" s="127"/>
      <c r="Y52" s="127"/>
      <c r="Z52" s="127"/>
    </row>
    <row r="53">
      <c r="A53" s="420"/>
      <c r="B53" s="138"/>
      <c r="C53" s="421"/>
      <c r="D53" s="422"/>
      <c r="E53" s="127"/>
      <c r="F53" s="127"/>
      <c r="G53" s="127"/>
      <c r="H53" s="127"/>
      <c r="I53" s="127"/>
      <c r="J53" s="127"/>
      <c r="K53" s="127"/>
      <c r="L53" s="127"/>
      <c r="M53" s="127"/>
      <c r="N53" s="127"/>
      <c r="O53" s="127"/>
      <c r="P53" s="127"/>
      <c r="Q53" s="127"/>
      <c r="R53" s="127"/>
      <c r="S53" s="127"/>
      <c r="T53" s="127"/>
      <c r="U53" s="127"/>
      <c r="V53" s="127"/>
      <c r="W53" s="127"/>
      <c r="X53" s="127"/>
      <c r="Y53" s="127"/>
      <c r="Z53" s="127"/>
    </row>
    <row r="54">
      <c r="A54" s="420"/>
      <c r="B54" s="138"/>
      <c r="C54" s="421"/>
      <c r="D54" s="422"/>
      <c r="E54" s="127"/>
      <c r="F54" s="127"/>
      <c r="G54" s="127"/>
      <c r="H54" s="127"/>
      <c r="I54" s="127"/>
      <c r="J54" s="127"/>
      <c r="K54" s="127"/>
      <c r="L54" s="127"/>
      <c r="M54" s="127"/>
      <c r="N54" s="127"/>
      <c r="O54" s="127"/>
      <c r="P54" s="127"/>
      <c r="Q54" s="127"/>
      <c r="R54" s="127"/>
      <c r="S54" s="127"/>
      <c r="T54" s="127"/>
      <c r="U54" s="127"/>
      <c r="V54" s="127"/>
      <c r="W54" s="127"/>
      <c r="X54" s="127"/>
      <c r="Y54" s="127"/>
      <c r="Z54" s="127"/>
    </row>
    <row r="55">
      <c r="A55" s="420"/>
      <c r="B55" s="138"/>
      <c r="C55" s="421"/>
      <c r="D55" s="422"/>
      <c r="E55" s="127"/>
      <c r="F55" s="127"/>
      <c r="G55" s="127"/>
      <c r="H55" s="127"/>
      <c r="I55" s="127"/>
      <c r="J55" s="127"/>
      <c r="K55" s="127"/>
      <c r="L55" s="127"/>
      <c r="M55" s="127"/>
      <c r="N55" s="127"/>
      <c r="O55" s="127"/>
      <c r="P55" s="127"/>
      <c r="Q55" s="127"/>
      <c r="R55" s="127"/>
      <c r="S55" s="127"/>
      <c r="T55" s="127"/>
      <c r="U55" s="127"/>
      <c r="V55" s="127"/>
      <c r="W55" s="127"/>
      <c r="X55" s="127"/>
      <c r="Y55" s="127"/>
      <c r="Z55" s="127"/>
    </row>
    <row r="56">
      <c r="A56" s="420"/>
      <c r="B56" s="138"/>
      <c r="C56" s="421"/>
      <c r="D56" s="422"/>
      <c r="E56" s="127"/>
      <c r="F56" s="127"/>
      <c r="G56" s="127"/>
      <c r="H56" s="127"/>
      <c r="I56" s="127"/>
      <c r="J56" s="127"/>
      <c r="K56" s="127"/>
      <c r="L56" s="127"/>
      <c r="M56" s="127"/>
      <c r="N56" s="127"/>
      <c r="O56" s="127"/>
      <c r="P56" s="127"/>
      <c r="Q56" s="127"/>
      <c r="R56" s="127"/>
      <c r="S56" s="127"/>
      <c r="T56" s="127"/>
      <c r="U56" s="127"/>
      <c r="V56" s="127"/>
      <c r="W56" s="127"/>
      <c r="X56" s="127"/>
      <c r="Y56" s="127"/>
      <c r="Z56" s="127"/>
    </row>
    <row r="57">
      <c r="A57" s="420"/>
      <c r="B57" s="138"/>
      <c r="C57" s="421"/>
      <c r="D57" s="422"/>
      <c r="E57" s="127"/>
      <c r="F57" s="127"/>
      <c r="G57" s="127"/>
      <c r="H57" s="127"/>
      <c r="I57" s="127"/>
      <c r="J57" s="127"/>
      <c r="K57" s="127"/>
      <c r="L57" s="127"/>
      <c r="M57" s="127"/>
      <c r="N57" s="127"/>
      <c r="O57" s="127"/>
      <c r="P57" s="127"/>
      <c r="Q57" s="127"/>
      <c r="R57" s="127"/>
      <c r="S57" s="127"/>
      <c r="T57" s="127"/>
      <c r="U57" s="127"/>
      <c r="V57" s="127"/>
      <c r="W57" s="127"/>
      <c r="X57" s="127"/>
      <c r="Y57" s="127"/>
      <c r="Z57" s="127"/>
    </row>
    <row r="58">
      <c r="A58" s="420"/>
      <c r="B58" s="138"/>
      <c r="C58" s="421"/>
      <c r="D58" s="422"/>
      <c r="E58" s="127"/>
      <c r="F58" s="127"/>
      <c r="G58" s="127"/>
      <c r="H58" s="127"/>
      <c r="I58" s="127"/>
      <c r="J58" s="127"/>
      <c r="K58" s="127"/>
      <c r="L58" s="127"/>
      <c r="M58" s="127"/>
      <c r="N58" s="127"/>
      <c r="O58" s="127"/>
      <c r="P58" s="127"/>
      <c r="Q58" s="127"/>
      <c r="R58" s="127"/>
      <c r="S58" s="127"/>
      <c r="T58" s="127"/>
      <c r="U58" s="127"/>
      <c r="V58" s="127"/>
      <c r="W58" s="127"/>
      <c r="X58" s="127"/>
      <c r="Y58" s="127"/>
      <c r="Z58" s="127"/>
    </row>
    <row r="59">
      <c r="A59" s="420"/>
      <c r="B59" s="138"/>
      <c r="C59" s="421"/>
      <c r="D59" s="422"/>
      <c r="E59" s="127"/>
      <c r="F59" s="127"/>
      <c r="G59" s="127"/>
      <c r="H59" s="127"/>
      <c r="I59" s="127"/>
      <c r="J59" s="127"/>
      <c r="K59" s="127"/>
      <c r="L59" s="127"/>
      <c r="M59" s="127"/>
      <c r="N59" s="127"/>
      <c r="O59" s="127"/>
      <c r="P59" s="127"/>
      <c r="Q59" s="127"/>
      <c r="R59" s="127"/>
      <c r="S59" s="127"/>
      <c r="T59" s="127"/>
      <c r="U59" s="127"/>
      <c r="V59" s="127"/>
      <c r="W59" s="127"/>
      <c r="X59" s="127"/>
      <c r="Y59" s="127"/>
      <c r="Z59" s="127"/>
    </row>
    <row r="60">
      <c r="A60" s="420"/>
      <c r="B60" s="138"/>
      <c r="C60" s="421"/>
      <c r="D60" s="422"/>
      <c r="E60" s="127"/>
      <c r="F60" s="127"/>
      <c r="G60" s="127"/>
      <c r="H60" s="127"/>
      <c r="I60" s="127"/>
      <c r="J60" s="127"/>
      <c r="K60" s="127"/>
      <c r="L60" s="127"/>
      <c r="M60" s="127"/>
      <c r="N60" s="127"/>
      <c r="O60" s="127"/>
      <c r="P60" s="127"/>
      <c r="Q60" s="127"/>
      <c r="R60" s="127"/>
      <c r="S60" s="127"/>
      <c r="T60" s="127"/>
      <c r="U60" s="127"/>
      <c r="V60" s="127"/>
      <c r="W60" s="127"/>
      <c r="X60" s="127"/>
      <c r="Y60" s="127"/>
      <c r="Z60" s="127"/>
    </row>
    <row r="61">
      <c r="A61" s="420"/>
      <c r="B61" s="138"/>
      <c r="C61" s="421"/>
      <c r="D61" s="422"/>
      <c r="E61" s="127"/>
      <c r="F61" s="127"/>
      <c r="G61" s="127"/>
      <c r="H61" s="127"/>
      <c r="I61" s="127"/>
      <c r="J61" s="127"/>
      <c r="K61" s="127"/>
      <c r="L61" s="127"/>
      <c r="M61" s="127"/>
      <c r="N61" s="127"/>
      <c r="O61" s="127"/>
      <c r="P61" s="127"/>
      <c r="Q61" s="127"/>
      <c r="R61" s="127"/>
      <c r="S61" s="127"/>
      <c r="T61" s="127"/>
      <c r="U61" s="127"/>
      <c r="V61" s="127"/>
      <c r="W61" s="127"/>
      <c r="X61" s="127"/>
      <c r="Y61" s="127"/>
      <c r="Z61" s="127"/>
    </row>
    <row r="62">
      <c r="A62" s="420"/>
      <c r="B62" s="138"/>
      <c r="C62" s="421"/>
      <c r="D62" s="422"/>
      <c r="E62" s="127"/>
      <c r="F62" s="127"/>
      <c r="G62" s="127"/>
      <c r="H62" s="127"/>
      <c r="I62" s="127"/>
      <c r="J62" s="127"/>
      <c r="K62" s="127"/>
      <c r="L62" s="127"/>
      <c r="M62" s="127"/>
      <c r="N62" s="127"/>
      <c r="O62" s="127"/>
      <c r="P62" s="127"/>
      <c r="Q62" s="127"/>
      <c r="R62" s="127"/>
      <c r="S62" s="127"/>
      <c r="T62" s="127"/>
      <c r="U62" s="127"/>
      <c r="V62" s="127"/>
      <c r="W62" s="127"/>
      <c r="X62" s="127"/>
      <c r="Y62" s="127"/>
      <c r="Z62" s="127"/>
    </row>
    <row r="63">
      <c r="A63" s="420"/>
      <c r="B63" s="138"/>
      <c r="C63" s="421"/>
      <c r="D63" s="422"/>
      <c r="E63" s="127"/>
      <c r="F63" s="127"/>
      <c r="G63" s="127"/>
      <c r="H63" s="127"/>
      <c r="I63" s="127"/>
      <c r="J63" s="127"/>
      <c r="K63" s="127"/>
      <c r="L63" s="127"/>
      <c r="M63" s="127"/>
      <c r="N63" s="127"/>
      <c r="O63" s="127"/>
      <c r="P63" s="127"/>
      <c r="Q63" s="127"/>
      <c r="R63" s="127"/>
      <c r="S63" s="127"/>
      <c r="T63" s="127"/>
      <c r="U63" s="127"/>
      <c r="V63" s="127"/>
      <c r="W63" s="127"/>
      <c r="X63" s="127"/>
      <c r="Y63" s="127"/>
      <c r="Z63" s="127"/>
    </row>
    <row r="64">
      <c r="A64" s="420"/>
      <c r="B64" s="138"/>
      <c r="C64" s="421"/>
      <c r="D64" s="422"/>
      <c r="E64" s="127"/>
      <c r="F64" s="127"/>
      <c r="G64" s="127"/>
      <c r="H64" s="127"/>
      <c r="I64" s="127"/>
      <c r="J64" s="127"/>
      <c r="K64" s="127"/>
      <c r="L64" s="127"/>
      <c r="M64" s="127"/>
      <c r="N64" s="127"/>
      <c r="O64" s="127"/>
      <c r="P64" s="127"/>
      <c r="Q64" s="127"/>
      <c r="R64" s="127"/>
      <c r="S64" s="127"/>
      <c r="T64" s="127"/>
      <c r="U64" s="127"/>
      <c r="V64" s="127"/>
      <c r="W64" s="127"/>
      <c r="X64" s="127"/>
      <c r="Y64" s="127"/>
      <c r="Z64" s="127"/>
    </row>
    <row r="65">
      <c r="A65" s="420"/>
      <c r="B65" s="138"/>
      <c r="C65" s="421"/>
      <c r="D65" s="422"/>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420"/>
      <c r="B66" s="138"/>
      <c r="C66" s="421"/>
      <c r="D66" s="422"/>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420"/>
      <c r="B67" s="138"/>
      <c r="C67" s="421"/>
      <c r="D67" s="422"/>
      <c r="E67" s="127"/>
      <c r="F67" s="127"/>
      <c r="G67" s="127"/>
      <c r="H67" s="127"/>
      <c r="I67" s="127"/>
      <c r="J67" s="127"/>
      <c r="K67" s="127"/>
      <c r="L67" s="127"/>
      <c r="M67" s="127"/>
      <c r="N67" s="127"/>
      <c r="O67" s="127"/>
      <c r="P67" s="127"/>
      <c r="Q67" s="127"/>
      <c r="R67" s="127"/>
      <c r="S67" s="127"/>
      <c r="T67" s="127"/>
      <c r="U67" s="127"/>
      <c r="V67" s="127"/>
      <c r="W67" s="127"/>
      <c r="X67" s="127"/>
      <c r="Y67" s="127"/>
      <c r="Z67" s="127"/>
    </row>
    <row r="68">
      <c r="A68" s="420"/>
      <c r="B68" s="138"/>
      <c r="C68" s="421"/>
      <c r="D68" s="422"/>
      <c r="E68" s="127"/>
      <c r="F68" s="127"/>
      <c r="G68" s="127"/>
      <c r="H68" s="127"/>
      <c r="I68" s="127"/>
      <c r="J68" s="127"/>
      <c r="K68" s="127"/>
      <c r="L68" s="127"/>
      <c r="M68" s="127"/>
      <c r="N68" s="127"/>
      <c r="O68" s="127"/>
      <c r="P68" s="127"/>
      <c r="Q68" s="127"/>
      <c r="R68" s="127"/>
      <c r="S68" s="127"/>
      <c r="T68" s="127"/>
      <c r="U68" s="127"/>
      <c r="V68" s="127"/>
      <c r="W68" s="127"/>
      <c r="X68" s="127"/>
      <c r="Y68" s="127"/>
      <c r="Z68" s="127"/>
    </row>
    <row r="69">
      <c r="A69" s="420"/>
      <c r="B69" s="138"/>
      <c r="C69" s="421"/>
      <c r="D69" s="422"/>
      <c r="E69" s="127"/>
      <c r="F69" s="127"/>
      <c r="G69" s="127"/>
      <c r="H69" s="127"/>
      <c r="I69" s="127"/>
      <c r="J69" s="127"/>
      <c r="K69" s="127"/>
      <c r="L69" s="127"/>
      <c r="M69" s="127"/>
      <c r="N69" s="127"/>
      <c r="O69" s="127"/>
      <c r="P69" s="127"/>
      <c r="Q69" s="127"/>
      <c r="R69" s="127"/>
      <c r="S69" s="127"/>
      <c r="T69" s="127"/>
      <c r="U69" s="127"/>
      <c r="V69" s="127"/>
      <c r="W69" s="127"/>
      <c r="X69" s="127"/>
      <c r="Y69" s="127"/>
      <c r="Z69" s="127"/>
    </row>
    <row r="70">
      <c r="A70" s="420"/>
      <c r="B70" s="138"/>
      <c r="C70" s="421"/>
      <c r="D70" s="422"/>
      <c r="E70" s="127"/>
      <c r="F70" s="127"/>
      <c r="G70" s="127"/>
      <c r="H70" s="127"/>
      <c r="I70" s="127"/>
      <c r="J70" s="127"/>
      <c r="K70" s="127"/>
      <c r="L70" s="127"/>
      <c r="M70" s="127"/>
      <c r="N70" s="127"/>
      <c r="O70" s="127"/>
      <c r="P70" s="127"/>
      <c r="Q70" s="127"/>
      <c r="R70" s="127"/>
      <c r="S70" s="127"/>
      <c r="T70" s="127"/>
      <c r="U70" s="127"/>
      <c r="V70" s="127"/>
      <c r="W70" s="127"/>
      <c r="X70" s="127"/>
      <c r="Y70" s="127"/>
      <c r="Z70" s="127"/>
    </row>
    <row r="71">
      <c r="A71" s="420"/>
      <c r="B71" s="138"/>
      <c r="C71" s="421"/>
      <c r="D71" s="422"/>
      <c r="E71" s="127"/>
      <c r="F71" s="127"/>
      <c r="G71" s="127"/>
      <c r="H71" s="127"/>
      <c r="I71" s="127"/>
      <c r="J71" s="127"/>
      <c r="K71" s="127"/>
      <c r="L71" s="127"/>
      <c r="M71" s="127"/>
      <c r="N71" s="127"/>
      <c r="O71" s="127"/>
      <c r="P71" s="127"/>
      <c r="Q71" s="127"/>
      <c r="R71" s="127"/>
      <c r="S71" s="127"/>
      <c r="T71" s="127"/>
      <c r="U71" s="127"/>
      <c r="V71" s="127"/>
      <c r="W71" s="127"/>
      <c r="X71" s="127"/>
      <c r="Y71" s="127"/>
      <c r="Z71" s="127"/>
    </row>
    <row r="72">
      <c r="A72" s="420"/>
      <c r="B72" s="138"/>
      <c r="C72" s="421"/>
      <c r="D72" s="422"/>
      <c r="E72" s="127"/>
      <c r="F72" s="127"/>
      <c r="G72" s="127"/>
      <c r="H72" s="127"/>
      <c r="I72" s="127"/>
      <c r="J72" s="127"/>
      <c r="K72" s="127"/>
      <c r="L72" s="127"/>
      <c r="M72" s="127"/>
      <c r="N72" s="127"/>
      <c r="O72" s="127"/>
      <c r="P72" s="127"/>
      <c r="Q72" s="127"/>
      <c r="R72" s="127"/>
      <c r="S72" s="127"/>
      <c r="T72" s="127"/>
      <c r="U72" s="127"/>
      <c r="V72" s="127"/>
      <c r="W72" s="127"/>
      <c r="X72" s="127"/>
      <c r="Y72" s="127"/>
      <c r="Z72" s="127"/>
    </row>
    <row r="73">
      <c r="A73" s="420"/>
      <c r="B73" s="138"/>
      <c r="C73" s="421"/>
      <c r="D73" s="422"/>
      <c r="E73" s="127"/>
      <c r="F73" s="127"/>
      <c r="G73" s="127"/>
      <c r="H73" s="127"/>
      <c r="I73" s="127"/>
      <c r="J73" s="127"/>
      <c r="K73" s="127"/>
      <c r="L73" s="127"/>
      <c r="M73" s="127"/>
      <c r="N73" s="127"/>
      <c r="O73" s="127"/>
      <c r="P73" s="127"/>
      <c r="Q73" s="127"/>
      <c r="R73" s="127"/>
      <c r="S73" s="127"/>
      <c r="T73" s="127"/>
      <c r="U73" s="127"/>
      <c r="V73" s="127"/>
      <c r="W73" s="127"/>
      <c r="X73" s="127"/>
      <c r="Y73" s="127"/>
      <c r="Z73" s="127"/>
    </row>
    <row r="74">
      <c r="A74" s="420"/>
      <c r="B74" s="138"/>
      <c r="C74" s="421"/>
      <c r="D74" s="422"/>
      <c r="E74" s="127"/>
      <c r="F74" s="127"/>
      <c r="G74" s="127"/>
      <c r="H74" s="127"/>
      <c r="I74" s="127"/>
      <c r="J74" s="127"/>
      <c r="K74" s="127"/>
      <c r="L74" s="127"/>
      <c r="M74" s="127"/>
      <c r="N74" s="127"/>
      <c r="O74" s="127"/>
      <c r="P74" s="127"/>
      <c r="Q74" s="127"/>
      <c r="R74" s="127"/>
      <c r="S74" s="127"/>
      <c r="T74" s="127"/>
      <c r="U74" s="127"/>
      <c r="V74" s="127"/>
      <c r="W74" s="127"/>
      <c r="X74" s="127"/>
      <c r="Y74" s="127"/>
      <c r="Z74" s="127"/>
    </row>
    <row r="75">
      <c r="A75" s="420"/>
      <c r="B75" s="138"/>
      <c r="C75" s="421"/>
      <c r="D75" s="422"/>
      <c r="E75" s="127"/>
      <c r="F75" s="127"/>
      <c r="G75" s="127"/>
      <c r="H75" s="127"/>
      <c r="I75" s="127"/>
      <c r="J75" s="127"/>
      <c r="K75" s="127"/>
      <c r="L75" s="127"/>
      <c r="M75" s="127"/>
      <c r="N75" s="127"/>
      <c r="O75" s="127"/>
      <c r="P75" s="127"/>
      <c r="Q75" s="127"/>
      <c r="R75" s="127"/>
      <c r="S75" s="127"/>
      <c r="T75" s="127"/>
      <c r="U75" s="127"/>
      <c r="V75" s="127"/>
      <c r="W75" s="127"/>
      <c r="X75" s="127"/>
      <c r="Y75" s="127"/>
      <c r="Z75" s="127"/>
    </row>
    <row r="76">
      <c r="A76" s="420"/>
      <c r="B76" s="138"/>
      <c r="C76" s="421"/>
      <c r="D76" s="422"/>
      <c r="E76" s="127"/>
      <c r="F76" s="127"/>
      <c r="G76" s="127"/>
      <c r="H76" s="127"/>
      <c r="I76" s="127"/>
      <c r="J76" s="127"/>
      <c r="K76" s="127"/>
      <c r="L76" s="127"/>
      <c r="M76" s="127"/>
      <c r="N76" s="127"/>
      <c r="O76" s="127"/>
      <c r="P76" s="127"/>
      <c r="Q76" s="127"/>
      <c r="R76" s="127"/>
      <c r="S76" s="127"/>
      <c r="T76" s="127"/>
      <c r="U76" s="127"/>
      <c r="V76" s="127"/>
      <c r="W76" s="127"/>
      <c r="X76" s="127"/>
      <c r="Y76" s="127"/>
      <c r="Z76" s="127"/>
    </row>
    <row r="77">
      <c r="A77" s="420"/>
      <c r="B77" s="138"/>
      <c r="C77" s="421"/>
      <c r="D77" s="422"/>
      <c r="E77" s="127"/>
      <c r="F77" s="127"/>
      <c r="G77" s="127"/>
      <c r="H77" s="127"/>
      <c r="I77" s="127"/>
      <c r="J77" s="127"/>
      <c r="K77" s="127"/>
      <c r="L77" s="127"/>
      <c r="M77" s="127"/>
      <c r="N77" s="127"/>
      <c r="O77" s="127"/>
      <c r="P77" s="127"/>
      <c r="Q77" s="127"/>
      <c r="R77" s="127"/>
      <c r="S77" s="127"/>
      <c r="T77" s="127"/>
      <c r="U77" s="127"/>
      <c r="V77" s="127"/>
      <c r="W77" s="127"/>
      <c r="X77" s="127"/>
      <c r="Y77" s="127"/>
      <c r="Z77" s="127"/>
    </row>
    <row r="78">
      <c r="A78" s="420"/>
      <c r="B78" s="138"/>
      <c r="C78" s="421"/>
      <c r="D78" s="422"/>
      <c r="E78" s="127"/>
      <c r="F78" s="127"/>
      <c r="G78" s="127"/>
      <c r="H78" s="127"/>
      <c r="I78" s="127"/>
      <c r="J78" s="127"/>
      <c r="K78" s="127"/>
      <c r="L78" s="127"/>
      <c r="M78" s="127"/>
      <c r="N78" s="127"/>
      <c r="O78" s="127"/>
      <c r="P78" s="127"/>
      <c r="Q78" s="127"/>
      <c r="R78" s="127"/>
      <c r="S78" s="127"/>
      <c r="T78" s="127"/>
      <c r="U78" s="127"/>
      <c r="V78" s="127"/>
      <c r="W78" s="127"/>
      <c r="X78" s="127"/>
      <c r="Y78" s="127"/>
      <c r="Z78" s="127"/>
    </row>
    <row r="79">
      <c r="A79" s="420"/>
      <c r="B79" s="138"/>
      <c r="C79" s="421"/>
      <c r="D79" s="422"/>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420"/>
      <c r="B80" s="138"/>
      <c r="C80" s="421"/>
      <c r="D80" s="422"/>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420"/>
      <c r="B81" s="138"/>
      <c r="C81" s="421"/>
      <c r="D81" s="422"/>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420"/>
      <c r="B82" s="138"/>
      <c r="C82" s="421"/>
      <c r="D82" s="422"/>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420"/>
      <c r="B83" s="138"/>
      <c r="C83" s="421"/>
      <c r="D83" s="422"/>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420"/>
      <c r="B84" s="138"/>
      <c r="C84" s="421"/>
      <c r="D84" s="422"/>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420"/>
      <c r="B85" s="138"/>
      <c r="C85" s="421"/>
      <c r="D85" s="422"/>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420"/>
      <c r="B86" s="138"/>
      <c r="C86" s="421"/>
      <c r="D86" s="422"/>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420"/>
      <c r="B87" s="138"/>
      <c r="C87" s="421"/>
      <c r="D87" s="422"/>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420"/>
      <c r="B88" s="138"/>
      <c r="C88" s="421"/>
      <c r="D88" s="422"/>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420"/>
      <c r="B89" s="138"/>
      <c r="C89" s="421"/>
      <c r="D89" s="422"/>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420"/>
      <c r="B90" s="138"/>
      <c r="C90" s="421"/>
      <c r="D90" s="422"/>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420"/>
      <c r="B91" s="138"/>
      <c r="C91" s="421"/>
      <c r="D91" s="422"/>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420"/>
      <c r="B92" s="138"/>
      <c r="C92" s="421"/>
      <c r="D92" s="422"/>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420"/>
      <c r="B93" s="138"/>
      <c r="C93" s="421"/>
      <c r="D93" s="422"/>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420"/>
      <c r="B94" s="138"/>
      <c r="C94" s="421"/>
      <c r="D94" s="422"/>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420"/>
      <c r="B95" s="138"/>
      <c r="C95" s="421"/>
      <c r="D95" s="422"/>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420"/>
      <c r="B96" s="138"/>
      <c r="C96" s="421"/>
      <c r="D96" s="422"/>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420"/>
      <c r="B97" s="138"/>
      <c r="C97" s="421"/>
      <c r="D97" s="422"/>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420"/>
      <c r="B98" s="138"/>
      <c r="C98" s="421"/>
      <c r="D98" s="422"/>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420"/>
      <c r="B99" s="138"/>
      <c r="C99" s="421"/>
      <c r="D99" s="422"/>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420"/>
      <c r="B100" s="138"/>
      <c r="C100" s="421"/>
      <c r="D100" s="422"/>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420"/>
      <c r="B101" s="138"/>
      <c r="C101" s="421"/>
      <c r="D101" s="422"/>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420"/>
      <c r="B102" s="138"/>
      <c r="C102" s="421"/>
      <c r="D102" s="422"/>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420"/>
      <c r="B103" s="138"/>
      <c r="C103" s="421"/>
      <c r="D103" s="422"/>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420"/>
      <c r="B104" s="138"/>
      <c r="C104" s="421"/>
      <c r="D104" s="422"/>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420"/>
      <c r="B105" s="138"/>
      <c r="C105" s="421"/>
      <c r="D105" s="422"/>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420"/>
      <c r="B106" s="138"/>
      <c r="C106" s="421"/>
      <c r="D106" s="422"/>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420"/>
      <c r="B107" s="138"/>
      <c r="C107" s="421"/>
      <c r="D107" s="422"/>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420"/>
      <c r="B108" s="138"/>
      <c r="C108" s="421"/>
      <c r="D108" s="422"/>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420"/>
      <c r="B109" s="138"/>
      <c r="C109" s="421"/>
      <c r="D109" s="422"/>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420"/>
      <c r="B110" s="138"/>
      <c r="C110" s="421"/>
      <c r="D110" s="422"/>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420"/>
      <c r="B111" s="138"/>
      <c r="C111" s="421"/>
      <c r="D111" s="422"/>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420"/>
      <c r="B112" s="138"/>
      <c r="C112" s="421"/>
      <c r="D112" s="422"/>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420"/>
      <c r="B113" s="138"/>
      <c r="C113" s="421"/>
      <c r="D113" s="422"/>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420"/>
      <c r="B114" s="138"/>
      <c r="C114" s="421"/>
      <c r="D114" s="422"/>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420"/>
      <c r="B115" s="138"/>
      <c r="C115" s="421"/>
      <c r="D115" s="422"/>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420"/>
      <c r="B116" s="138"/>
      <c r="C116" s="421"/>
      <c r="D116" s="422"/>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420"/>
      <c r="B117" s="138"/>
      <c r="C117" s="421"/>
      <c r="D117" s="422"/>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420"/>
      <c r="B118" s="138"/>
      <c r="C118" s="421"/>
      <c r="D118" s="422"/>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420"/>
      <c r="B119" s="138"/>
      <c r="C119" s="421"/>
      <c r="D119" s="422"/>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420"/>
      <c r="B120" s="138"/>
      <c r="C120" s="421"/>
      <c r="D120" s="422"/>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420"/>
      <c r="B121" s="138"/>
      <c r="C121" s="421"/>
      <c r="D121" s="422"/>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420"/>
      <c r="B122" s="138"/>
      <c r="C122" s="421"/>
      <c r="D122" s="422"/>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420"/>
      <c r="B123" s="138"/>
      <c r="C123" s="421"/>
      <c r="D123" s="422"/>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420"/>
      <c r="B124" s="138"/>
      <c r="C124" s="421"/>
      <c r="D124" s="422"/>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420"/>
      <c r="B125" s="138"/>
      <c r="C125" s="421"/>
      <c r="D125" s="422"/>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420"/>
      <c r="B126" s="138"/>
      <c r="C126" s="421"/>
      <c r="D126" s="422"/>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420"/>
      <c r="B127" s="138"/>
      <c r="C127" s="421"/>
      <c r="D127" s="422"/>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420"/>
      <c r="B128" s="138"/>
      <c r="C128" s="421"/>
      <c r="D128" s="422"/>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420"/>
      <c r="B129" s="138"/>
      <c r="C129" s="421"/>
      <c r="D129" s="422"/>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420"/>
      <c r="B130" s="138"/>
      <c r="C130" s="421"/>
      <c r="D130" s="422"/>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420"/>
      <c r="B131" s="138"/>
      <c r="C131" s="421"/>
      <c r="D131" s="422"/>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420"/>
      <c r="B132" s="138"/>
      <c r="C132" s="421"/>
      <c r="D132" s="422"/>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420"/>
      <c r="B133" s="138"/>
      <c r="C133" s="421"/>
      <c r="D133" s="422"/>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420"/>
      <c r="B134" s="138"/>
      <c r="C134" s="421"/>
      <c r="D134" s="422"/>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420"/>
      <c r="B135" s="138"/>
      <c r="C135" s="421"/>
      <c r="D135" s="422"/>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420"/>
      <c r="B136" s="138"/>
      <c r="C136" s="421"/>
      <c r="D136" s="422"/>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420"/>
      <c r="B137" s="138"/>
      <c r="C137" s="421"/>
      <c r="D137" s="422"/>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420"/>
      <c r="B138" s="138"/>
      <c r="C138" s="421"/>
      <c r="D138" s="422"/>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420"/>
      <c r="B139" s="138"/>
      <c r="C139" s="421"/>
      <c r="D139" s="422"/>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420"/>
      <c r="B140" s="138"/>
      <c r="C140" s="421"/>
      <c r="D140" s="422"/>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420"/>
      <c r="B141" s="138"/>
      <c r="C141" s="421"/>
      <c r="D141" s="422"/>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420"/>
      <c r="B142" s="138"/>
      <c r="C142" s="421"/>
      <c r="D142" s="422"/>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420"/>
      <c r="B143" s="138"/>
      <c r="C143" s="421"/>
      <c r="D143" s="422"/>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420"/>
      <c r="B144" s="138"/>
      <c r="C144" s="421"/>
      <c r="D144" s="422"/>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420"/>
      <c r="B145" s="138"/>
      <c r="C145" s="421"/>
      <c r="D145" s="422"/>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420"/>
      <c r="B146" s="138"/>
      <c r="C146" s="421"/>
      <c r="D146" s="422"/>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420"/>
      <c r="B147" s="138"/>
      <c r="C147" s="421"/>
      <c r="D147" s="422"/>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420"/>
      <c r="B148" s="138"/>
      <c r="C148" s="421"/>
      <c r="D148" s="422"/>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420"/>
      <c r="B149" s="138"/>
      <c r="C149" s="421"/>
      <c r="D149" s="422"/>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420"/>
      <c r="B150" s="138"/>
      <c r="C150" s="421"/>
      <c r="D150" s="422"/>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420"/>
      <c r="B151" s="138"/>
      <c r="C151" s="421"/>
      <c r="D151" s="422"/>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420"/>
      <c r="B152" s="138"/>
      <c r="C152" s="421"/>
      <c r="D152" s="422"/>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420"/>
      <c r="B153" s="138"/>
      <c r="C153" s="421"/>
      <c r="D153" s="422"/>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420"/>
      <c r="B154" s="138"/>
      <c r="C154" s="421"/>
      <c r="D154" s="422"/>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420"/>
      <c r="B155" s="138"/>
      <c r="C155" s="421"/>
      <c r="D155" s="422"/>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420"/>
      <c r="B156" s="138"/>
      <c r="C156" s="421"/>
      <c r="D156" s="422"/>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420"/>
      <c r="B157" s="138"/>
      <c r="C157" s="421"/>
      <c r="D157" s="422"/>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420"/>
      <c r="B158" s="138"/>
      <c r="C158" s="421"/>
      <c r="D158" s="422"/>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420"/>
      <c r="B159" s="138"/>
      <c r="C159" s="421"/>
      <c r="D159" s="422"/>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420"/>
      <c r="B160" s="138"/>
      <c r="C160" s="421"/>
      <c r="D160" s="422"/>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420"/>
      <c r="B161" s="138"/>
      <c r="C161" s="421"/>
      <c r="D161" s="422"/>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420"/>
      <c r="B162" s="138"/>
      <c r="C162" s="421"/>
      <c r="D162" s="422"/>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420"/>
      <c r="B163" s="138"/>
      <c r="C163" s="421"/>
      <c r="D163" s="422"/>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420"/>
      <c r="B164" s="138"/>
      <c r="C164" s="421"/>
      <c r="D164" s="422"/>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420"/>
      <c r="B165" s="138"/>
      <c r="C165" s="421"/>
      <c r="D165" s="422"/>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420"/>
      <c r="B166" s="138"/>
      <c r="C166" s="421"/>
      <c r="D166" s="422"/>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420"/>
      <c r="B167" s="138"/>
      <c r="C167" s="421"/>
      <c r="D167" s="422"/>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420"/>
      <c r="B168" s="138"/>
      <c r="C168" s="421"/>
      <c r="D168" s="422"/>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420"/>
      <c r="B169" s="138"/>
      <c r="C169" s="421"/>
      <c r="D169" s="422"/>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420"/>
      <c r="B170" s="138"/>
      <c r="C170" s="421"/>
      <c r="D170" s="422"/>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420"/>
      <c r="B171" s="138"/>
      <c r="C171" s="421"/>
      <c r="D171" s="422"/>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420"/>
      <c r="B172" s="138"/>
      <c r="C172" s="421"/>
      <c r="D172" s="422"/>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420"/>
      <c r="B173" s="138"/>
      <c r="C173" s="421"/>
      <c r="D173" s="422"/>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420"/>
      <c r="B174" s="138"/>
      <c r="C174" s="421"/>
      <c r="D174" s="422"/>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420"/>
      <c r="B175" s="138"/>
      <c r="C175" s="421"/>
      <c r="D175" s="422"/>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420"/>
      <c r="B176" s="138"/>
      <c r="C176" s="421"/>
      <c r="D176" s="422"/>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420"/>
      <c r="B177" s="138"/>
      <c r="C177" s="421"/>
      <c r="D177" s="422"/>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420"/>
      <c r="B178" s="138"/>
      <c r="C178" s="421"/>
      <c r="D178" s="422"/>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420"/>
      <c r="B179" s="138"/>
      <c r="C179" s="421"/>
      <c r="D179" s="422"/>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420"/>
      <c r="B180" s="138"/>
      <c r="C180" s="421"/>
      <c r="D180" s="422"/>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420"/>
      <c r="B181" s="138"/>
      <c r="C181" s="421"/>
      <c r="D181" s="422"/>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420"/>
      <c r="B182" s="138"/>
      <c r="C182" s="421"/>
      <c r="D182" s="422"/>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420"/>
      <c r="B183" s="138"/>
      <c r="C183" s="421"/>
      <c r="D183" s="422"/>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420"/>
      <c r="B184" s="138"/>
      <c r="C184" s="421"/>
      <c r="D184" s="422"/>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420"/>
      <c r="B185" s="138"/>
      <c r="C185" s="421"/>
      <c r="D185" s="422"/>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420"/>
      <c r="B186" s="138"/>
      <c r="C186" s="421"/>
      <c r="D186" s="422"/>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420"/>
      <c r="B187" s="138"/>
      <c r="C187" s="421"/>
      <c r="D187" s="422"/>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420"/>
      <c r="B188" s="138"/>
      <c r="C188" s="421"/>
      <c r="D188" s="422"/>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420"/>
      <c r="B189" s="138"/>
      <c r="C189" s="421"/>
      <c r="D189" s="422"/>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420"/>
      <c r="B190" s="138"/>
      <c r="C190" s="421"/>
      <c r="D190" s="422"/>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420"/>
      <c r="B191" s="138"/>
      <c r="C191" s="421"/>
      <c r="D191" s="422"/>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420"/>
      <c r="B192" s="138"/>
      <c r="C192" s="421"/>
      <c r="D192" s="422"/>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420"/>
      <c r="B193" s="138"/>
      <c r="C193" s="421"/>
      <c r="D193" s="422"/>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420"/>
      <c r="B194" s="138"/>
      <c r="C194" s="421"/>
      <c r="D194" s="422"/>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420"/>
      <c r="B195" s="138"/>
      <c r="C195" s="421"/>
      <c r="D195" s="422"/>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420"/>
      <c r="B196" s="138"/>
      <c r="C196" s="421"/>
      <c r="D196" s="422"/>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420"/>
      <c r="B197" s="138"/>
      <c r="C197" s="421"/>
      <c r="D197" s="422"/>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420"/>
      <c r="B198" s="138"/>
      <c r="C198" s="421"/>
      <c r="D198" s="422"/>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420"/>
      <c r="B199" s="138"/>
      <c r="C199" s="421"/>
      <c r="D199" s="422"/>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420"/>
      <c r="B200" s="138"/>
      <c r="C200" s="421"/>
      <c r="D200" s="422"/>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420"/>
      <c r="B201" s="138"/>
      <c r="C201" s="421"/>
      <c r="D201" s="422"/>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420"/>
      <c r="B202" s="138"/>
      <c r="C202" s="421"/>
      <c r="D202" s="422"/>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420"/>
      <c r="B203" s="138"/>
      <c r="C203" s="421"/>
      <c r="D203" s="422"/>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420"/>
      <c r="B204" s="138"/>
      <c r="C204" s="421"/>
      <c r="D204" s="422"/>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420"/>
      <c r="B205" s="138"/>
      <c r="C205" s="421"/>
      <c r="D205" s="422"/>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420"/>
      <c r="B206" s="138"/>
      <c r="C206" s="421"/>
      <c r="D206" s="422"/>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420"/>
      <c r="B207" s="138"/>
      <c r="C207" s="421"/>
      <c r="D207" s="422"/>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420"/>
      <c r="B208" s="138"/>
      <c r="C208" s="421"/>
      <c r="D208" s="422"/>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420"/>
      <c r="B209" s="138"/>
      <c r="C209" s="421"/>
      <c r="D209" s="422"/>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420"/>
      <c r="B210" s="138"/>
      <c r="C210" s="421"/>
      <c r="D210" s="422"/>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420"/>
      <c r="B211" s="138"/>
      <c r="C211" s="421"/>
      <c r="D211" s="422"/>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420"/>
      <c r="B212" s="138"/>
      <c r="C212" s="421"/>
      <c r="D212" s="422"/>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420"/>
      <c r="B213" s="138"/>
      <c r="C213" s="421"/>
      <c r="D213" s="422"/>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420"/>
      <c r="B214" s="138"/>
      <c r="C214" s="421"/>
      <c r="D214" s="422"/>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420"/>
      <c r="B215" s="138"/>
      <c r="C215" s="421"/>
      <c r="D215" s="422"/>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420"/>
      <c r="B216" s="138"/>
      <c r="C216" s="421"/>
      <c r="D216" s="422"/>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420"/>
      <c r="B217" s="138"/>
      <c r="C217" s="421"/>
      <c r="D217" s="422"/>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420"/>
      <c r="B218" s="138"/>
      <c r="C218" s="421"/>
      <c r="D218" s="422"/>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420"/>
      <c r="B219" s="138"/>
      <c r="C219" s="421"/>
      <c r="D219" s="422"/>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420"/>
      <c r="B220" s="138"/>
      <c r="C220" s="421"/>
      <c r="D220" s="422"/>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420"/>
      <c r="B221" s="138"/>
      <c r="C221" s="421"/>
      <c r="D221" s="422"/>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420"/>
      <c r="B222" s="138"/>
      <c r="C222" s="421"/>
      <c r="D222" s="422"/>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420"/>
      <c r="B223" s="138"/>
      <c r="C223" s="421"/>
      <c r="D223" s="422"/>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420"/>
      <c r="B224" s="138"/>
      <c r="C224" s="421"/>
      <c r="D224" s="422"/>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420"/>
      <c r="B225" s="138"/>
      <c r="C225" s="421"/>
      <c r="D225" s="422"/>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420"/>
      <c r="B226" s="138"/>
      <c r="C226" s="421"/>
      <c r="D226" s="422"/>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420"/>
      <c r="B227" s="138"/>
      <c r="C227" s="421"/>
      <c r="D227" s="422"/>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420"/>
      <c r="B228" s="138"/>
      <c r="C228" s="421"/>
      <c r="D228" s="422"/>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420"/>
      <c r="B229" s="138"/>
      <c r="C229" s="421"/>
      <c r="D229" s="422"/>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420"/>
      <c r="B230" s="138"/>
      <c r="C230" s="421"/>
      <c r="D230" s="422"/>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420"/>
      <c r="B231" s="138"/>
      <c r="C231" s="421"/>
      <c r="D231" s="422"/>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420"/>
      <c r="B232" s="138"/>
      <c r="C232" s="421"/>
      <c r="D232" s="422"/>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420"/>
      <c r="B233" s="138"/>
      <c r="C233" s="421"/>
      <c r="D233" s="422"/>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420"/>
      <c r="B234" s="138"/>
      <c r="C234" s="421"/>
      <c r="D234" s="422"/>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420"/>
      <c r="B235" s="138"/>
      <c r="C235" s="421"/>
      <c r="D235" s="422"/>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420"/>
      <c r="B236" s="138"/>
      <c r="C236" s="421"/>
      <c r="D236" s="422"/>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420"/>
      <c r="B237" s="138"/>
      <c r="C237" s="421"/>
      <c r="D237" s="422"/>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420"/>
      <c r="B238" s="138"/>
      <c r="C238" s="421"/>
      <c r="D238" s="422"/>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420"/>
      <c r="B239" s="138"/>
      <c r="C239" s="421"/>
      <c r="D239" s="422"/>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420"/>
      <c r="B240" s="138"/>
      <c r="C240" s="421"/>
      <c r="D240" s="422"/>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420"/>
      <c r="B241" s="138"/>
      <c r="C241" s="421"/>
      <c r="D241" s="422"/>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420"/>
      <c r="B242" s="138"/>
      <c r="C242" s="421"/>
      <c r="D242" s="422"/>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420"/>
      <c r="B243" s="138"/>
      <c r="C243" s="421"/>
      <c r="D243" s="422"/>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420"/>
      <c r="B244" s="138"/>
      <c r="C244" s="421"/>
      <c r="D244" s="422"/>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420"/>
      <c r="B245" s="138"/>
      <c r="C245" s="421"/>
      <c r="D245" s="422"/>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420"/>
      <c r="B246" s="138"/>
      <c r="C246" s="421"/>
      <c r="D246" s="422"/>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420"/>
      <c r="B247" s="138"/>
      <c r="C247" s="421"/>
      <c r="D247" s="422"/>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420"/>
      <c r="B248" s="138"/>
      <c r="C248" s="421"/>
      <c r="D248" s="422"/>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420"/>
      <c r="B249" s="138"/>
      <c r="C249" s="421"/>
      <c r="D249" s="422"/>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420"/>
      <c r="B250" s="138"/>
      <c r="C250" s="421"/>
      <c r="D250" s="422"/>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420"/>
      <c r="B251" s="138"/>
      <c r="C251" s="421"/>
      <c r="D251" s="422"/>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420"/>
      <c r="B252" s="138"/>
      <c r="C252" s="421"/>
      <c r="D252" s="422"/>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420"/>
      <c r="B253" s="138"/>
      <c r="C253" s="421"/>
      <c r="D253" s="422"/>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420"/>
      <c r="B254" s="138"/>
      <c r="C254" s="421"/>
      <c r="D254" s="422"/>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420"/>
      <c r="B255" s="138"/>
      <c r="C255" s="421"/>
      <c r="D255" s="422"/>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420"/>
      <c r="B256" s="138"/>
      <c r="C256" s="421"/>
      <c r="D256" s="422"/>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420"/>
      <c r="B257" s="138"/>
      <c r="C257" s="421"/>
      <c r="D257" s="422"/>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420"/>
      <c r="B258" s="138"/>
      <c r="C258" s="421"/>
      <c r="D258" s="422"/>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420"/>
      <c r="B259" s="138"/>
      <c r="C259" s="421"/>
      <c r="D259" s="422"/>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420"/>
      <c r="B260" s="138"/>
      <c r="C260" s="421"/>
      <c r="D260" s="422"/>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420"/>
      <c r="B261" s="138"/>
      <c r="C261" s="421"/>
      <c r="D261" s="422"/>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420"/>
      <c r="B262" s="138"/>
      <c r="C262" s="421"/>
      <c r="D262" s="422"/>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420"/>
      <c r="B263" s="138"/>
      <c r="C263" s="421"/>
      <c r="D263" s="422"/>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420"/>
      <c r="B264" s="138"/>
      <c r="C264" s="421"/>
      <c r="D264" s="422"/>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420"/>
      <c r="B265" s="138"/>
      <c r="C265" s="421"/>
      <c r="D265" s="422"/>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420"/>
      <c r="B266" s="138"/>
      <c r="C266" s="421"/>
      <c r="D266" s="422"/>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420"/>
      <c r="B267" s="138"/>
      <c r="C267" s="421"/>
      <c r="D267" s="422"/>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420"/>
      <c r="B268" s="138"/>
      <c r="C268" s="421"/>
      <c r="D268" s="422"/>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420"/>
      <c r="B269" s="138"/>
      <c r="C269" s="421"/>
      <c r="D269" s="422"/>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420"/>
      <c r="B270" s="138"/>
      <c r="C270" s="421"/>
      <c r="D270" s="422"/>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420"/>
      <c r="B271" s="138"/>
      <c r="C271" s="421"/>
      <c r="D271" s="422"/>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420"/>
      <c r="B272" s="138"/>
      <c r="C272" s="421"/>
      <c r="D272" s="422"/>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420"/>
      <c r="B273" s="138"/>
      <c r="C273" s="421"/>
      <c r="D273" s="422"/>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420"/>
      <c r="B274" s="138"/>
      <c r="C274" s="421"/>
      <c r="D274" s="422"/>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420"/>
      <c r="B275" s="138"/>
      <c r="C275" s="421"/>
      <c r="D275" s="422"/>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420"/>
      <c r="B276" s="138"/>
      <c r="C276" s="421"/>
      <c r="D276" s="422"/>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420"/>
      <c r="B277" s="138"/>
      <c r="C277" s="421"/>
      <c r="D277" s="422"/>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420"/>
      <c r="B278" s="138"/>
      <c r="C278" s="421"/>
      <c r="D278" s="422"/>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420"/>
      <c r="B279" s="138"/>
      <c r="C279" s="421"/>
      <c r="D279" s="422"/>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420"/>
      <c r="B280" s="138"/>
      <c r="C280" s="421"/>
      <c r="D280" s="422"/>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420"/>
      <c r="B281" s="138"/>
      <c r="C281" s="421"/>
      <c r="D281" s="422"/>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420"/>
      <c r="B282" s="138"/>
      <c r="C282" s="421"/>
      <c r="D282" s="422"/>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420"/>
      <c r="B283" s="138"/>
      <c r="C283" s="421"/>
      <c r="D283" s="422"/>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420"/>
      <c r="B284" s="138"/>
      <c r="C284" s="421"/>
      <c r="D284" s="422"/>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420"/>
      <c r="B285" s="138"/>
      <c r="C285" s="421"/>
      <c r="D285" s="422"/>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420"/>
      <c r="B286" s="138"/>
      <c r="C286" s="421"/>
      <c r="D286" s="422"/>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420"/>
      <c r="B287" s="138"/>
      <c r="C287" s="421"/>
      <c r="D287" s="422"/>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420"/>
      <c r="B288" s="138"/>
      <c r="C288" s="421"/>
      <c r="D288" s="422"/>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420"/>
      <c r="B289" s="138"/>
      <c r="C289" s="421"/>
      <c r="D289" s="422"/>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420"/>
      <c r="B290" s="138"/>
      <c r="C290" s="421"/>
      <c r="D290" s="422"/>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420"/>
      <c r="B291" s="138"/>
      <c r="C291" s="421"/>
      <c r="D291" s="422"/>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420"/>
      <c r="B292" s="138"/>
      <c r="C292" s="421"/>
      <c r="D292" s="422"/>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420"/>
      <c r="B293" s="138"/>
      <c r="C293" s="421"/>
      <c r="D293" s="422"/>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420"/>
      <c r="B294" s="138"/>
      <c r="C294" s="421"/>
      <c r="D294" s="422"/>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420"/>
      <c r="B295" s="138"/>
      <c r="C295" s="421"/>
      <c r="D295" s="422"/>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420"/>
      <c r="B296" s="138"/>
      <c r="C296" s="421"/>
      <c r="D296" s="422"/>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420"/>
      <c r="B297" s="138"/>
      <c r="C297" s="421"/>
      <c r="D297" s="422"/>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420"/>
      <c r="B298" s="138"/>
      <c r="C298" s="421"/>
      <c r="D298" s="422"/>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420"/>
      <c r="B299" s="138"/>
      <c r="C299" s="421"/>
      <c r="D299" s="422"/>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420"/>
      <c r="B300" s="138"/>
      <c r="C300" s="421"/>
      <c r="D300" s="422"/>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420"/>
      <c r="B301" s="138"/>
      <c r="C301" s="421"/>
      <c r="D301" s="422"/>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420"/>
      <c r="B302" s="138"/>
      <c r="C302" s="421"/>
      <c r="D302" s="422"/>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420"/>
      <c r="B303" s="138"/>
      <c r="C303" s="421"/>
      <c r="D303" s="422"/>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420"/>
      <c r="B304" s="138"/>
      <c r="C304" s="421"/>
      <c r="D304" s="422"/>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420"/>
      <c r="B305" s="138"/>
      <c r="C305" s="421"/>
      <c r="D305" s="422"/>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420"/>
      <c r="B306" s="138"/>
      <c r="C306" s="421"/>
      <c r="D306" s="422"/>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420"/>
      <c r="B307" s="138"/>
      <c r="C307" s="421"/>
      <c r="D307" s="422"/>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420"/>
      <c r="B308" s="138"/>
      <c r="C308" s="421"/>
      <c r="D308" s="422"/>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420"/>
      <c r="B309" s="138"/>
      <c r="C309" s="421"/>
      <c r="D309" s="422"/>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420"/>
      <c r="B310" s="138"/>
      <c r="C310" s="421"/>
      <c r="D310" s="422"/>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420"/>
      <c r="B311" s="138"/>
      <c r="C311" s="421"/>
      <c r="D311" s="422"/>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420"/>
      <c r="B312" s="138"/>
      <c r="C312" s="421"/>
      <c r="D312" s="422"/>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420"/>
      <c r="B313" s="138"/>
      <c r="C313" s="421"/>
      <c r="D313" s="422"/>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420"/>
      <c r="B314" s="138"/>
      <c r="C314" s="421"/>
      <c r="D314" s="422"/>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420"/>
      <c r="B315" s="138"/>
      <c r="C315" s="421"/>
      <c r="D315" s="422"/>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420"/>
      <c r="B316" s="138"/>
      <c r="C316" s="421"/>
      <c r="D316" s="422"/>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420"/>
      <c r="B317" s="138"/>
      <c r="C317" s="421"/>
      <c r="D317" s="422"/>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420"/>
      <c r="B318" s="138"/>
      <c r="C318" s="421"/>
      <c r="D318" s="422"/>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420"/>
      <c r="B319" s="138"/>
      <c r="C319" s="421"/>
      <c r="D319" s="422"/>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420"/>
      <c r="B320" s="138"/>
      <c r="C320" s="421"/>
      <c r="D320" s="422"/>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420"/>
      <c r="B321" s="138"/>
      <c r="C321" s="421"/>
      <c r="D321" s="422"/>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420"/>
      <c r="B322" s="138"/>
      <c r="C322" s="421"/>
      <c r="D322" s="422"/>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420"/>
      <c r="B323" s="138"/>
      <c r="C323" s="421"/>
      <c r="D323" s="422"/>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420"/>
      <c r="B324" s="138"/>
      <c r="C324" s="421"/>
      <c r="D324" s="422"/>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420"/>
      <c r="B325" s="138"/>
      <c r="C325" s="421"/>
      <c r="D325" s="422"/>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420"/>
      <c r="B326" s="138"/>
      <c r="C326" s="421"/>
      <c r="D326" s="422"/>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420"/>
      <c r="B327" s="138"/>
      <c r="C327" s="421"/>
      <c r="D327" s="422"/>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420"/>
      <c r="B328" s="138"/>
      <c r="C328" s="421"/>
      <c r="D328" s="422"/>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420"/>
      <c r="B329" s="138"/>
      <c r="C329" s="421"/>
      <c r="D329" s="422"/>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420"/>
      <c r="B330" s="138"/>
      <c r="C330" s="421"/>
      <c r="D330" s="422"/>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420"/>
      <c r="B331" s="138"/>
      <c r="C331" s="421"/>
      <c r="D331" s="422"/>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420"/>
      <c r="B332" s="138"/>
      <c r="C332" s="421"/>
      <c r="D332" s="422"/>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420"/>
      <c r="B333" s="138"/>
      <c r="C333" s="421"/>
      <c r="D333" s="422"/>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420"/>
      <c r="B334" s="138"/>
      <c r="C334" s="421"/>
      <c r="D334" s="422"/>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420"/>
      <c r="B335" s="138"/>
      <c r="C335" s="421"/>
      <c r="D335" s="422"/>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420"/>
      <c r="B336" s="138"/>
      <c r="C336" s="421"/>
      <c r="D336" s="422"/>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420"/>
      <c r="B337" s="138"/>
      <c r="C337" s="421"/>
      <c r="D337" s="422"/>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420"/>
      <c r="B338" s="138"/>
      <c r="C338" s="421"/>
      <c r="D338" s="422"/>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420"/>
      <c r="B339" s="138"/>
      <c r="C339" s="421"/>
      <c r="D339" s="422"/>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420"/>
      <c r="B340" s="138"/>
      <c r="C340" s="421"/>
      <c r="D340" s="422"/>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420"/>
      <c r="B341" s="138"/>
      <c r="C341" s="421"/>
      <c r="D341" s="422"/>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420"/>
      <c r="B342" s="138"/>
      <c r="C342" s="421"/>
      <c r="D342" s="422"/>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420"/>
      <c r="B343" s="138"/>
      <c r="C343" s="421"/>
      <c r="D343" s="422"/>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420"/>
      <c r="B344" s="138"/>
      <c r="C344" s="421"/>
      <c r="D344" s="422"/>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420"/>
      <c r="B345" s="138"/>
      <c r="C345" s="421"/>
      <c r="D345" s="422"/>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420"/>
      <c r="B346" s="138"/>
      <c r="C346" s="421"/>
      <c r="D346" s="422"/>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420"/>
      <c r="B347" s="138"/>
      <c r="C347" s="421"/>
      <c r="D347" s="422"/>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420"/>
      <c r="B348" s="138"/>
      <c r="C348" s="421"/>
      <c r="D348" s="422"/>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420"/>
      <c r="B349" s="138"/>
      <c r="C349" s="421"/>
      <c r="D349" s="422"/>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420"/>
      <c r="B350" s="138"/>
      <c r="C350" s="421"/>
      <c r="D350" s="422"/>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420"/>
      <c r="B351" s="138"/>
      <c r="C351" s="421"/>
      <c r="D351" s="422"/>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420"/>
      <c r="B352" s="138"/>
      <c r="C352" s="421"/>
      <c r="D352" s="422"/>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420"/>
      <c r="B353" s="138"/>
      <c r="C353" s="421"/>
      <c r="D353" s="422"/>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420"/>
      <c r="B354" s="138"/>
      <c r="C354" s="421"/>
      <c r="D354" s="422"/>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420"/>
      <c r="B355" s="138"/>
      <c r="C355" s="421"/>
      <c r="D355" s="422"/>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420"/>
      <c r="B356" s="138"/>
      <c r="C356" s="421"/>
      <c r="D356" s="422"/>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420"/>
      <c r="B357" s="138"/>
      <c r="C357" s="421"/>
      <c r="D357" s="422"/>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420"/>
      <c r="B358" s="138"/>
      <c r="C358" s="421"/>
      <c r="D358" s="422"/>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420"/>
      <c r="B359" s="138"/>
      <c r="C359" s="421"/>
      <c r="D359" s="422"/>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420"/>
      <c r="B360" s="138"/>
      <c r="C360" s="421"/>
      <c r="D360" s="422"/>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420"/>
      <c r="B361" s="138"/>
      <c r="C361" s="421"/>
      <c r="D361" s="422"/>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420"/>
      <c r="B362" s="138"/>
      <c r="C362" s="421"/>
      <c r="D362" s="422"/>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420"/>
      <c r="B363" s="138"/>
      <c r="C363" s="421"/>
      <c r="D363" s="422"/>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420"/>
      <c r="B364" s="138"/>
      <c r="C364" s="421"/>
      <c r="D364" s="422"/>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420"/>
      <c r="B365" s="138"/>
      <c r="C365" s="421"/>
      <c r="D365" s="422"/>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420"/>
      <c r="B366" s="138"/>
      <c r="C366" s="421"/>
      <c r="D366" s="422"/>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420"/>
      <c r="B367" s="138"/>
      <c r="C367" s="421"/>
      <c r="D367" s="422"/>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420"/>
      <c r="B368" s="138"/>
      <c r="C368" s="421"/>
      <c r="D368" s="422"/>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420"/>
      <c r="B369" s="138"/>
      <c r="C369" s="421"/>
      <c r="D369" s="422"/>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420"/>
      <c r="B370" s="138"/>
      <c r="C370" s="421"/>
      <c r="D370" s="422"/>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420"/>
      <c r="B371" s="138"/>
      <c r="C371" s="421"/>
      <c r="D371" s="422"/>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420"/>
      <c r="B372" s="138"/>
      <c r="C372" s="421"/>
      <c r="D372" s="422"/>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420"/>
      <c r="B373" s="138"/>
      <c r="C373" s="421"/>
      <c r="D373" s="422"/>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420"/>
      <c r="B374" s="138"/>
      <c r="C374" s="421"/>
      <c r="D374" s="422"/>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420"/>
      <c r="B375" s="138"/>
      <c r="C375" s="421"/>
      <c r="D375" s="422"/>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420"/>
      <c r="B376" s="138"/>
      <c r="C376" s="421"/>
      <c r="D376" s="422"/>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420"/>
      <c r="B377" s="138"/>
      <c r="C377" s="421"/>
      <c r="D377" s="422"/>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420"/>
      <c r="B378" s="138"/>
      <c r="C378" s="421"/>
      <c r="D378" s="422"/>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420"/>
      <c r="B379" s="138"/>
      <c r="C379" s="421"/>
      <c r="D379" s="422"/>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420"/>
      <c r="B380" s="138"/>
      <c r="C380" s="421"/>
      <c r="D380" s="422"/>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420"/>
      <c r="B381" s="138"/>
      <c r="C381" s="421"/>
      <c r="D381" s="422"/>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420"/>
      <c r="B382" s="138"/>
      <c r="C382" s="421"/>
      <c r="D382" s="422"/>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420"/>
      <c r="B383" s="138"/>
      <c r="C383" s="421"/>
      <c r="D383" s="422"/>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420"/>
      <c r="B384" s="138"/>
      <c r="C384" s="421"/>
      <c r="D384" s="422"/>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420"/>
      <c r="B385" s="138"/>
      <c r="C385" s="421"/>
      <c r="D385" s="422"/>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420"/>
      <c r="B386" s="138"/>
      <c r="C386" s="421"/>
      <c r="D386" s="422"/>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420"/>
      <c r="B387" s="138"/>
      <c r="C387" s="421"/>
      <c r="D387" s="422"/>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420"/>
      <c r="B388" s="138"/>
      <c r="C388" s="421"/>
      <c r="D388" s="422"/>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420"/>
      <c r="B389" s="138"/>
      <c r="C389" s="421"/>
      <c r="D389" s="422"/>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420"/>
      <c r="B390" s="138"/>
      <c r="C390" s="421"/>
      <c r="D390" s="422"/>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420"/>
      <c r="B391" s="138"/>
      <c r="C391" s="421"/>
      <c r="D391" s="422"/>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420"/>
      <c r="B392" s="138"/>
      <c r="C392" s="421"/>
      <c r="D392" s="422"/>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420"/>
      <c r="B393" s="138"/>
      <c r="C393" s="421"/>
      <c r="D393" s="422"/>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420"/>
      <c r="B394" s="138"/>
      <c r="C394" s="421"/>
      <c r="D394" s="422"/>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420"/>
      <c r="B395" s="138"/>
      <c r="C395" s="421"/>
      <c r="D395" s="422"/>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420"/>
      <c r="B396" s="138"/>
      <c r="C396" s="421"/>
      <c r="D396" s="422"/>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420"/>
      <c r="B397" s="138"/>
      <c r="C397" s="421"/>
      <c r="D397" s="422"/>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420"/>
      <c r="B398" s="138"/>
      <c r="C398" s="421"/>
      <c r="D398" s="422"/>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420"/>
      <c r="B399" s="138"/>
      <c r="C399" s="421"/>
      <c r="D399" s="422"/>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420"/>
      <c r="B400" s="138"/>
      <c r="C400" s="421"/>
      <c r="D400" s="422"/>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420"/>
      <c r="B401" s="138"/>
      <c r="C401" s="421"/>
      <c r="D401" s="422"/>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420"/>
      <c r="B402" s="138"/>
      <c r="C402" s="421"/>
      <c r="D402" s="422"/>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420"/>
      <c r="B403" s="138"/>
      <c r="C403" s="421"/>
      <c r="D403" s="422"/>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420"/>
      <c r="B404" s="138"/>
      <c r="C404" s="421"/>
      <c r="D404" s="422"/>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420"/>
      <c r="B405" s="138"/>
      <c r="C405" s="421"/>
      <c r="D405" s="422"/>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420"/>
      <c r="B406" s="138"/>
      <c r="C406" s="421"/>
      <c r="D406" s="422"/>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420"/>
      <c r="B407" s="138"/>
      <c r="C407" s="421"/>
      <c r="D407" s="422"/>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420"/>
      <c r="B408" s="138"/>
      <c r="C408" s="421"/>
      <c r="D408" s="422"/>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420"/>
      <c r="B409" s="138"/>
      <c r="C409" s="421"/>
      <c r="D409" s="422"/>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420"/>
      <c r="B410" s="138"/>
      <c r="C410" s="421"/>
      <c r="D410" s="422"/>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420"/>
      <c r="B411" s="138"/>
      <c r="C411" s="421"/>
      <c r="D411" s="422"/>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420"/>
      <c r="B412" s="138"/>
      <c r="C412" s="421"/>
      <c r="D412" s="422"/>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420"/>
      <c r="B413" s="138"/>
      <c r="C413" s="421"/>
      <c r="D413" s="422"/>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420"/>
      <c r="B414" s="138"/>
      <c r="C414" s="421"/>
      <c r="D414" s="422"/>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420"/>
      <c r="B415" s="138"/>
      <c r="C415" s="421"/>
      <c r="D415" s="422"/>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420"/>
      <c r="B416" s="138"/>
      <c r="C416" s="421"/>
      <c r="D416" s="422"/>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420"/>
      <c r="B417" s="138"/>
      <c r="C417" s="421"/>
      <c r="D417" s="422"/>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420"/>
      <c r="B418" s="138"/>
      <c r="C418" s="421"/>
      <c r="D418" s="422"/>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420"/>
      <c r="B419" s="138"/>
      <c r="C419" s="421"/>
      <c r="D419" s="422"/>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420"/>
      <c r="B420" s="138"/>
      <c r="C420" s="421"/>
      <c r="D420" s="422"/>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420"/>
      <c r="B421" s="138"/>
      <c r="C421" s="421"/>
      <c r="D421" s="422"/>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420"/>
      <c r="B422" s="138"/>
      <c r="C422" s="421"/>
      <c r="D422" s="422"/>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420"/>
      <c r="B423" s="138"/>
      <c r="C423" s="421"/>
      <c r="D423" s="422"/>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420"/>
      <c r="B424" s="138"/>
      <c r="C424" s="421"/>
      <c r="D424" s="422"/>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420"/>
      <c r="B425" s="138"/>
      <c r="C425" s="421"/>
      <c r="D425" s="422"/>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420"/>
      <c r="B426" s="138"/>
      <c r="C426" s="421"/>
      <c r="D426" s="422"/>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420"/>
      <c r="B427" s="138"/>
      <c r="C427" s="421"/>
      <c r="D427" s="422"/>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420"/>
      <c r="B428" s="138"/>
      <c r="C428" s="421"/>
      <c r="D428" s="422"/>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420"/>
      <c r="B429" s="138"/>
      <c r="C429" s="421"/>
      <c r="D429" s="422"/>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420"/>
      <c r="B430" s="138"/>
      <c r="C430" s="421"/>
      <c r="D430" s="422"/>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420"/>
      <c r="B431" s="138"/>
      <c r="C431" s="421"/>
      <c r="D431" s="422"/>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420"/>
      <c r="B432" s="138"/>
      <c r="C432" s="421"/>
      <c r="D432" s="422"/>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420"/>
      <c r="B433" s="138"/>
      <c r="C433" s="421"/>
      <c r="D433" s="422"/>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420"/>
      <c r="B434" s="138"/>
      <c r="C434" s="421"/>
      <c r="D434" s="422"/>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420"/>
      <c r="B435" s="138"/>
      <c r="C435" s="421"/>
      <c r="D435" s="422"/>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420"/>
      <c r="B436" s="138"/>
      <c r="C436" s="421"/>
      <c r="D436" s="422"/>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420"/>
      <c r="B437" s="138"/>
      <c r="C437" s="421"/>
      <c r="D437" s="422"/>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420"/>
      <c r="B438" s="138"/>
      <c r="C438" s="421"/>
      <c r="D438" s="422"/>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420"/>
      <c r="B439" s="138"/>
      <c r="C439" s="421"/>
      <c r="D439" s="422"/>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420"/>
      <c r="B440" s="138"/>
      <c r="C440" s="421"/>
      <c r="D440" s="422"/>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420"/>
      <c r="B441" s="138"/>
      <c r="C441" s="421"/>
      <c r="D441" s="422"/>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420"/>
      <c r="B442" s="138"/>
      <c r="C442" s="421"/>
      <c r="D442" s="422"/>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420"/>
      <c r="B443" s="138"/>
      <c r="C443" s="421"/>
      <c r="D443" s="422"/>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420"/>
      <c r="B444" s="138"/>
      <c r="C444" s="421"/>
      <c r="D444" s="422"/>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420"/>
      <c r="B445" s="138"/>
      <c r="C445" s="421"/>
      <c r="D445" s="422"/>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420"/>
      <c r="B446" s="138"/>
      <c r="C446" s="421"/>
      <c r="D446" s="422"/>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420"/>
      <c r="B447" s="138"/>
      <c r="C447" s="421"/>
      <c r="D447" s="422"/>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420"/>
      <c r="B448" s="138"/>
      <c r="C448" s="421"/>
      <c r="D448" s="422"/>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420"/>
      <c r="B449" s="138"/>
      <c r="C449" s="421"/>
      <c r="D449" s="422"/>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420"/>
      <c r="B450" s="138"/>
      <c r="C450" s="421"/>
      <c r="D450" s="422"/>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420"/>
      <c r="B451" s="138"/>
      <c r="C451" s="421"/>
      <c r="D451" s="422"/>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420"/>
      <c r="B452" s="138"/>
      <c r="C452" s="421"/>
      <c r="D452" s="422"/>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420"/>
      <c r="B453" s="138"/>
      <c r="C453" s="421"/>
      <c r="D453" s="422"/>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420"/>
      <c r="B454" s="138"/>
      <c r="C454" s="421"/>
      <c r="D454" s="422"/>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420"/>
      <c r="B455" s="138"/>
      <c r="C455" s="421"/>
      <c r="D455" s="422"/>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420"/>
      <c r="B456" s="138"/>
      <c r="C456" s="421"/>
      <c r="D456" s="422"/>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420"/>
      <c r="B457" s="138"/>
      <c r="C457" s="421"/>
      <c r="D457" s="422"/>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420"/>
      <c r="B458" s="138"/>
      <c r="C458" s="421"/>
      <c r="D458" s="422"/>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420"/>
      <c r="B459" s="138"/>
      <c r="C459" s="421"/>
      <c r="D459" s="422"/>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420"/>
      <c r="B460" s="138"/>
      <c r="C460" s="421"/>
      <c r="D460" s="422"/>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420"/>
      <c r="B461" s="138"/>
      <c r="C461" s="421"/>
      <c r="D461" s="422"/>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420"/>
      <c r="B462" s="138"/>
      <c r="C462" s="421"/>
      <c r="D462" s="422"/>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420"/>
      <c r="B463" s="138"/>
      <c r="C463" s="421"/>
      <c r="D463" s="422"/>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420"/>
      <c r="B464" s="138"/>
      <c r="C464" s="421"/>
      <c r="D464" s="422"/>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420"/>
      <c r="B465" s="138"/>
      <c r="C465" s="421"/>
      <c r="D465" s="422"/>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420"/>
      <c r="B466" s="138"/>
      <c r="C466" s="421"/>
      <c r="D466" s="422"/>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420"/>
      <c r="B467" s="138"/>
      <c r="C467" s="421"/>
      <c r="D467" s="422"/>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420"/>
      <c r="B468" s="138"/>
      <c r="C468" s="421"/>
      <c r="D468" s="422"/>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420"/>
      <c r="B469" s="138"/>
      <c r="C469" s="421"/>
      <c r="D469" s="422"/>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420"/>
      <c r="B470" s="138"/>
      <c r="C470" s="421"/>
      <c r="D470" s="422"/>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420"/>
      <c r="B471" s="138"/>
      <c r="C471" s="421"/>
      <c r="D471" s="422"/>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420"/>
      <c r="B472" s="138"/>
      <c r="C472" s="421"/>
      <c r="D472" s="422"/>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420"/>
      <c r="B473" s="138"/>
      <c r="C473" s="421"/>
      <c r="D473" s="422"/>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420"/>
      <c r="B474" s="138"/>
      <c r="C474" s="421"/>
      <c r="D474" s="422"/>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420"/>
      <c r="B475" s="138"/>
      <c r="C475" s="421"/>
      <c r="D475" s="422"/>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420"/>
      <c r="B476" s="138"/>
      <c r="C476" s="421"/>
      <c r="D476" s="422"/>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420"/>
      <c r="B477" s="138"/>
      <c r="C477" s="421"/>
      <c r="D477" s="422"/>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420"/>
      <c r="B478" s="138"/>
      <c r="C478" s="421"/>
      <c r="D478" s="422"/>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420"/>
      <c r="B479" s="138"/>
      <c r="C479" s="421"/>
      <c r="D479" s="422"/>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420"/>
      <c r="B480" s="138"/>
      <c r="C480" s="421"/>
      <c r="D480" s="422"/>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420"/>
      <c r="B481" s="138"/>
      <c r="C481" s="421"/>
      <c r="D481" s="422"/>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420"/>
      <c r="B482" s="138"/>
      <c r="C482" s="421"/>
      <c r="D482" s="422"/>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420"/>
      <c r="B483" s="138"/>
      <c r="C483" s="421"/>
      <c r="D483" s="422"/>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420"/>
      <c r="B484" s="138"/>
      <c r="C484" s="421"/>
      <c r="D484" s="422"/>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420"/>
      <c r="B485" s="138"/>
      <c r="C485" s="421"/>
      <c r="D485" s="422"/>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420"/>
      <c r="B486" s="138"/>
      <c r="C486" s="421"/>
      <c r="D486" s="422"/>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420"/>
      <c r="B487" s="138"/>
      <c r="C487" s="421"/>
      <c r="D487" s="422"/>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420"/>
      <c r="B488" s="138"/>
      <c r="C488" s="421"/>
      <c r="D488" s="422"/>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420"/>
      <c r="B489" s="138"/>
      <c r="C489" s="421"/>
      <c r="D489" s="422"/>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420"/>
      <c r="B490" s="138"/>
      <c r="C490" s="421"/>
      <c r="D490" s="422"/>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420"/>
      <c r="B491" s="138"/>
      <c r="C491" s="421"/>
      <c r="D491" s="422"/>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420"/>
      <c r="B492" s="138"/>
      <c r="C492" s="421"/>
      <c r="D492" s="422"/>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420"/>
      <c r="B493" s="138"/>
      <c r="C493" s="421"/>
      <c r="D493" s="422"/>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420"/>
      <c r="B494" s="138"/>
      <c r="C494" s="421"/>
      <c r="D494" s="422"/>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420"/>
      <c r="B495" s="138"/>
      <c r="C495" s="421"/>
      <c r="D495" s="422"/>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420"/>
      <c r="B496" s="138"/>
      <c r="C496" s="421"/>
      <c r="D496" s="422"/>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420"/>
      <c r="B497" s="138"/>
      <c r="C497" s="421"/>
      <c r="D497" s="422"/>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420"/>
      <c r="B498" s="138"/>
      <c r="C498" s="421"/>
      <c r="D498" s="422"/>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420"/>
      <c r="B499" s="138"/>
      <c r="C499" s="421"/>
      <c r="D499" s="422"/>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420"/>
      <c r="B500" s="138"/>
      <c r="C500" s="421"/>
      <c r="D500" s="422"/>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420"/>
      <c r="B501" s="138"/>
      <c r="C501" s="421"/>
      <c r="D501" s="422"/>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420"/>
      <c r="B502" s="138"/>
      <c r="C502" s="421"/>
      <c r="D502" s="422"/>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420"/>
      <c r="B503" s="138"/>
      <c r="C503" s="421"/>
      <c r="D503" s="422"/>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420"/>
      <c r="B504" s="138"/>
      <c r="C504" s="421"/>
      <c r="D504" s="422"/>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420"/>
      <c r="B505" s="138"/>
      <c r="C505" s="421"/>
      <c r="D505" s="422"/>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420"/>
      <c r="B506" s="138"/>
      <c r="C506" s="421"/>
      <c r="D506" s="422"/>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420"/>
      <c r="B507" s="138"/>
      <c r="C507" s="421"/>
      <c r="D507" s="422"/>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420"/>
      <c r="B508" s="138"/>
      <c r="C508" s="421"/>
      <c r="D508" s="422"/>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420"/>
      <c r="B509" s="138"/>
      <c r="C509" s="421"/>
      <c r="D509" s="422"/>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420"/>
      <c r="B510" s="138"/>
      <c r="C510" s="421"/>
      <c r="D510" s="422"/>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420"/>
      <c r="B511" s="138"/>
      <c r="C511" s="421"/>
      <c r="D511" s="422"/>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420"/>
      <c r="B512" s="138"/>
      <c r="C512" s="421"/>
      <c r="D512" s="422"/>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420"/>
      <c r="B513" s="138"/>
      <c r="C513" s="421"/>
      <c r="D513" s="422"/>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420"/>
      <c r="B514" s="138"/>
      <c r="C514" s="421"/>
      <c r="D514" s="422"/>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420"/>
      <c r="B515" s="138"/>
      <c r="C515" s="421"/>
      <c r="D515" s="422"/>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420"/>
      <c r="B516" s="138"/>
      <c r="C516" s="421"/>
      <c r="D516" s="422"/>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420"/>
      <c r="B517" s="138"/>
      <c r="C517" s="421"/>
      <c r="D517" s="422"/>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420"/>
      <c r="B518" s="138"/>
      <c r="C518" s="421"/>
      <c r="D518" s="422"/>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420"/>
      <c r="B519" s="138"/>
      <c r="C519" s="421"/>
      <c r="D519" s="422"/>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420"/>
      <c r="B520" s="138"/>
      <c r="C520" s="421"/>
      <c r="D520" s="422"/>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420"/>
      <c r="B521" s="138"/>
      <c r="C521" s="421"/>
      <c r="D521" s="422"/>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420"/>
      <c r="B522" s="138"/>
      <c r="C522" s="421"/>
      <c r="D522" s="422"/>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420"/>
      <c r="B523" s="138"/>
      <c r="C523" s="421"/>
      <c r="D523" s="422"/>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420"/>
      <c r="B524" s="138"/>
      <c r="C524" s="421"/>
      <c r="D524" s="422"/>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420"/>
      <c r="B525" s="138"/>
      <c r="C525" s="421"/>
      <c r="D525" s="422"/>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420"/>
      <c r="B526" s="138"/>
      <c r="C526" s="421"/>
      <c r="D526" s="422"/>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420"/>
      <c r="B527" s="138"/>
      <c r="C527" s="421"/>
      <c r="D527" s="422"/>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420"/>
      <c r="B528" s="138"/>
      <c r="C528" s="421"/>
      <c r="D528" s="422"/>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420"/>
      <c r="B529" s="138"/>
      <c r="C529" s="421"/>
      <c r="D529" s="422"/>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420"/>
      <c r="B530" s="138"/>
      <c r="C530" s="421"/>
      <c r="D530" s="422"/>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420"/>
      <c r="B531" s="138"/>
      <c r="C531" s="421"/>
      <c r="D531" s="422"/>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420"/>
      <c r="B532" s="138"/>
      <c r="C532" s="421"/>
      <c r="D532" s="422"/>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420"/>
      <c r="B533" s="138"/>
      <c r="C533" s="421"/>
      <c r="D533" s="422"/>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420"/>
      <c r="B534" s="138"/>
      <c r="C534" s="421"/>
      <c r="D534" s="422"/>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420"/>
      <c r="B535" s="138"/>
      <c r="C535" s="421"/>
      <c r="D535" s="422"/>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420"/>
      <c r="B536" s="138"/>
      <c r="C536" s="421"/>
      <c r="D536" s="422"/>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420"/>
      <c r="B537" s="138"/>
      <c r="C537" s="421"/>
      <c r="D537" s="422"/>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420"/>
      <c r="B538" s="138"/>
      <c r="C538" s="421"/>
      <c r="D538" s="422"/>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420"/>
      <c r="B539" s="138"/>
      <c r="C539" s="421"/>
      <c r="D539" s="422"/>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420"/>
      <c r="B540" s="138"/>
      <c r="C540" s="421"/>
      <c r="D540" s="422"/>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420"/>
      <c r="B541" s="138"/>
      <c r="C541" s="421"/>
      <c r="D541" s="422"/>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420"/>
      <c r="B542" s="138"/>
      <c r="C542" s="421"/>
      <c r="D542" s="422"/>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420"/>
      <c r="B543" s="138"/>
      <c r="C543" s="421"/>
      <c r="D543" s="422"/>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420"/>
      <c r="B544" s="138"/>
      <c r="C544" s="421"/>
      <c r="D544" s="422"/>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420"/>
      <c r="B545" s="138"/>
      <c r="C545" s="421"/>
      <c r="D545" s="422"/>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420"/>
      <c r="B546" s="138"/>
      <c r="C546" s="421"/>
      <c r="D546" s="422"/>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420"/>
      <c r="B547" s="138"/>
      <c r="C547" s="421"/>
      <c r="D547" s="422"/>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420"/>
      <c r="B548" s="138"/>
      <c r="C548" s="421"/>
      <c r="D548" s="422"/>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420"/>
      <c r="B549" s="138"/>
      <c r="C549" s="421"/>
      <c r="D549" s="422"/>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420"/>
      <c r="B550" s="138"/>
      <c r="C550" s="421"/>
      <c r="D550" s="422"/>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420"/>
      <c r="B551" s="138"/>
      <c r="C551" s="421"/>
      <c r="D551" s="422"/>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420"/>
      <c r="B552" s="138"/>
      <c r="C552" s="421"/>
      <c r="D552" s="422"/>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420"/>
      <c r="B553" s="138"/>
      <c r="C553" s="421"/>
      <c r="D553" s="422"/>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420"/>
      <c r="B554" s="138"/>
      <c r="C554" s="421"/>
      <c r="D554" s="422"/>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420"/>
      <c r="B555" s="138"/>
      <c r="C555" s="421"/>
      <c r="D555" s="422"/>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420"/>
      <c r="B556" s="138"/>
      <c r="C556" s="421"/>
      <c r="D556" s="422"/>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420"/>
      <c r="B557" s="138"/>
      <c r="C557" s="421"/>
      <c r="D557" s="422"/>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420"/>
      <c r="B558" s="138"/>
      <c r="C558" s="421"/>
      <c r="D558" s="422"/>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420"/>
      <c r="B559" s="138"/>
      <c r="C559" s="421"/>
      <c r="D559" s="422"/>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420"/>
      <c r="B560" s="138"/>
      <c r="C560" s="421"/>
      <c r="D560" s="422"/>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420"/>
      <c r="B561" s="138"/>
      <c r="C561" s="421"/>
      <c r="D561" s="422"/>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420"/>
      <c r="B562" s="138"/>
      <c r="C562" s="421"/>
      <c r="D562" s="422"/>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420"/>
      <c r="B563" s="138"/>
      <c r="C563" s="421"/>
      <c r="D563" s="422"/>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420"/>
      <c r="B564" s="138"/>
      <c r="C564" s="421"/>
      <c r="D564" s="422"/>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420"/>
      <c r="B565" s="138"/>
      <c r="C565" s="421"/>
      <c r="D565" s="422"/>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420"/>
      <c r="B566" s="138"/>
      <c r="C566" s="421"/>
      <c r="D566" s="422"/>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420"/>
      <c r="B567" s="138"/>
      <c r="C567" s="421"/>
      <c r="D567" s="422"/>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420"/>
      <c r="B568" s="138"/>
      <c r="C568" s="421"/>
      <c r="D568" s="422"/>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420"/>
      <c r="B569" s="138"/>
      <c r="C569" s="421"/>
      <c r="D569" s="422"/>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420"/>
      <c r="B570" s="138"/>
      <c r="C570" s="421"/>
      <c r="D570" s="422"/>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420"/>
      <c r="B571" s="138"/>
      <c r="C571" s="421"/>
      <c r="D571" s="422"/>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420"/>
      <c r="B572" s="138"/>
      <c r="C572" s="421"/>
      <c r="D572" s="422"/>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420"/>
      <c r="B573" s="138"/>
      <c r="C573" s="421"/>
      <c r="D573" s="422"/>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420"/>
      <c r="B574" s="138"/>
      <c r="C574" s="421"/>
      <c r="D574" s="422"/>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420"/>
      <c r="B575" s="138"/>
      <c r="C575" s="421"/>
      <c r="D575" s="422"/>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420"/>
      <c r="B576" s="138"/>
      <c r="C576" s="421"/>
      <c r="D576" s="422"/>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420"/>
      <c r="B577" s="138"/>
      <c r="C577" s="421"/>
      <c r="D577" s="422"/>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420"/>
      <c r="B578" s="138"/>
      <c r="C578" s="421"/>
      <c r="D578" s="422"/>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420"/>
      <c r="B579" s="138"/>
      <c r="C579" s="421"/>
      <c r="D579" s="422"/>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420"/>
      <c r="B580" s="138"/>
      <c r="C580" s="421"/>
      <c r="D580" s="422"/>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420"/>
      <c r="B581" s="138"/>
      <c r="C581" s="421"/>
      <c r="D581" s="422"/>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420"/>
      <c r="B582" s="138"/>
      <c r="C582" s="421"/>
      <c r="D582" s="422"/>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420"/>
      <c r="B583" s="138"/>
      <c r="C583" s="421"/>
      <c r="D583" s="422"/>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420"/>
      <c r="B584" s="138"/>
      <c r="C584" s="421"/>
      <c r="D584" s="422"/>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420"/>
      <c r="B585" s="138"/>
      <c r="C585" s="421"/>
      <c r="D585" s="422"/>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420"/>
      <c r="B586" s="138"/>
      <c r="C586" s="421"/>
      <c r="D586" s="422"/>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420"/>
      <c r="B587" s="138"/>
      <c r="C587" s="421"/>
      <c r="D587" s="422"/>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420"/>
      <c r="B588" s="138"/>
      <c r="C588" s="421"/>
      <c r="D588" s="422"/>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420"/>
      <c r="B589" s="138"/>
      <c r="C589" s="421"/>
      <c r="D589" s="422"/>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420"/>
      <c r="B590" s="138"/>
      <c r="C590" s="421"/>
      <c r="D590" s="422"/>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420"/>
      <c r="B591" s="138"/>
      <c r="C591" s="421"/>
      <c r="D591" s="422"/>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420"/>
      <c r="B592" s="138"/>
      <c r="C592" s="421"/>
      <c r="D592" s="422"/>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420"/>
      <c r="B593" s="138"/>
      <c r="C593" s="421"/>
      <c r="D593" s="422"/>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420"/>
      <c r="B594" s="138"/>
      <c r="C594" s="421"/>
      <c r="D594" s="422"/>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420"/>
      <c r="B595" s="138"/>
      <c r="C595" s="421"/>
      <c r="D595" s="422"/>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420"/>
      <c r="B596" s="138"/>
      <c r="C596" s="421"/>
      <c r="D596" s="422"/>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420"/>
      <c r="B597" s="138"/>
      <c r="C597" s="421"/>
      <c r="D597" s="422"/>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420"/>
      <c r="B598" s="138"/>
      <c r="C598" s="421"/>
      <c r="D598" s="422"/>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420"/>
      <c r="B599" s="138"/>
      <c r="C599" s="421"/>
      <c r="D599" s="422"/>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420"/>
      <c r="B600" s="138"/>
      <c r="C600" s="421"/>
      <c r="D600" s="422"/>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420"/>
      <c r="B601" s="138"/>
      <c r="C601" s="421"/>
      <c r="D601" s="422"/>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420"/>
      <c r="B602" s="138"/>
      <c r="C602" s="421"/>
      <c r="D602" s="422"/>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420"/>
      <c r="B603" s="138"/>
      <c r="C603" s="421"/>
      <c r="D603" s="422"/>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420"/>
      <c r="B604" s="138"/>
      <c r="C604" s="421"/>
      <c r="D604" s="422"/>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420"/>
      <c r="B605" s="138"/>
      <c r="C605" s="421"/>
      <c r="D605" s="422"/>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420"/>
      <c r="B606" s="138"/>
      <c r="C606" s="421"/>
      <c r="D606" s="422"/>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420"/>
      <c r="B607" s="138"/>
      <c r="C607" s="421"/>
      <c r="D607" s="422"/>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420"/>
      <c r="B608" s="138"/>
      <c r="C608" s="421"/>
      <c r="D608" s="422"/>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420"/>
      <c r="B609" s="138"/>
      <c r="C609" s="421"/>
      <c r="D609" s="422"/>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420"/>
      <c r="B610" s="138"/>
      <c r="C610" s="421"/>
      <c r="D610" s="422"/>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420"/>
      <c r="B611" s="138"/>
      <c r="C611" s="421"/>
      <c r="D611" s="422"/>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420"/>
      <c r="B612" s="138"/>
      <c r="C612" s="421"/>
      <c r="D612" s="422"/>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420"/>
      <c r="B613" s="138"/>
      <c r="C613" s="421"/>
      <c r="D613" s="422"/>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420"/>
      <c r="B614" s="138"/>
      <c r="C614" s="421"/>
      <c r="D614" s="422"/>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420"/>
      <c r="B615" s="138"/>
      <c r="C615" s="421"/>
      <c r="D615" s="422"/>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420"/>
      <c r="B616" s="138"/>
      <c r="C616" s="421"/>
      <c r="D616" s="422"/>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420"/>
      <c r="B617" s="138"/>
      <c r="C617" s="421"/>
      <c r="D617" s="422"/>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420"/>
      <c r="B618" s="138"/>
      <c r="C618" s="421"/>
      <c r="D618" s="422"/>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420"/>
      <c r="B619" s="138"/>
      <c r="C619" s="421"/>
      <c r="D619" s="422"/>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420"/>
      <c r="B620" s="138"/>
      <c r="C620" s="421"/>
      <c r="D620" s="422"/>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420"/>
      <c r="B621" s="138"/>
      <c r="C621" s="421"/>
      <c r="D621" s="422"/>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420"/>
      <c r="B622" s="138"/>
      <c r="C622" s="421"/>
      <c r="D622" s="422"/>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420"/>
      <c r="B623" s="138"/>
      <c r="C623" s="421"/>
      <c r="D623" s="422"/>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420"/>
      <c r="B624" s="138"/>
      <c r="C624" s="421"/>
      <c r="D624" s="422"/>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420"/>
      <c r="B625" s="138"/>
      <c r="C625" s="421"/>
      <c r="D625" s="422"/>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420"/>
      <c r="B626" s="138"/>
      <c r="C626" s="421"/>
      <c r="D626" s="422"/>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420"/>
      <c r="B627" s="138"/>
      <c r="C627" s="421"/>
      <c r="D627" s="422"/>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420"/>
      <c r="B628" s="138"/>
      <c r="C628" s="421"/>
      <c r="D628" s="422"/>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420"/>
      <c r="B629" s="138"/>
      <c r="C629" s="421"/>
      <c r="D629" s="422"/>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420"/>
      <c r="B630" s="138"/>
      <c r="C630" s="421"/>
      <c r="D630" s="422"/>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420"/>
      <c r="B631" s="138"/>
      <c r="C631" s="421"/>
      <c r="D631" s="422"/>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420"/>
      <c r="B632" s="138"/>
      <c r="C632" s="421"/>
      <c r="D632" s="422"/>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420"/>
      <c r="B633" s="138"/>
      <c r="C633" s="421"/>
      <c r="D633" s="422"/>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420"/>
      <c r="B634" s="138"/>
      <c r="C634" s="421"/>
      <c r="D634" s="422"/>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420"/>
      <c r="B635" s="138"/>
      <c r="C635" s="421"/>
      <c r="D635" s="422"/>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420"/>
      <c r="B636" s="138"/>
      <c r="C636" s="421"/>
      <c r="D636" s="422"/>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420"/>
      <c r="B637" s="138"/>
      <c r="C637" s="421"/>
      <c r="D637" s="422"/>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420"/>
      <c r="B638" s="138"/>
      <c r="C638" s="421"/>
      <c r="D638" s="422"/>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420"/>
      <c r="B639" s="138"/>
      <c r="C639" s="421"/>
      <c r="D639" s="422"/>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420"/>
      <c r="B640" s="138"/>
      <c r="C640" s="421"/>
      <c r="D640" s="422"/>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420"/>
      <c r="B641" s="138"/>
      <c r="C641" s="421"/>
      <c r="D641" s="422"/>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420"/>
      <c r="B642" s="138"/>
      <c r="C642" s="421"/>
      <c r="D642" s="422"/>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420"/>
      <c r="B643" s="138"/>
      <c r="C643" s="421"/>
      <c r="D643" s="422"/>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420"/>
      <c r="B644" s="138"/>
      <c r="C644" s="421"/>
      <c r="D644" s="422"/>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420"/>
      <c r="B645" s="138"/>
      <c r="C645" s="421"/>
      <c r="D645" s="422"/>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420"/>
      <c r="B646" s="138"/>
      <c r="C646" s="421"/>
      <c r="D646" s="422"/>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420"/>
      <c r="B647" s="138"/>
      <c r="C647" s="421"/>
      <c r="D647" s="422"/>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420"/>
      <c r="B648" s="138"/>
      <c r="C648" s="421"/>
      <c r="D648" s="422"/>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420"/>
      <c r="B649" s="138"/>
      <c r="C649" s="421"/>
      <c r="D649" s="422"/>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420"/>
      <c r="B650" s="138"/>
      <c r="C650" s="421"/>
      <c r="D650" s="422"/>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420"/>
      <c r="B651" s="138"/>
      <c r="C651" s="421"/>
      <c r="D651" s="422"/>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420"/>
      <c r="B652" s="138"/>
      <c r="C652" s="421"/>
      <c r="D652" s="422"/>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420"/>
      <c r="B653" s="138"/>
      <c r="C653" s="421"/>
      <c r="D653" s="422"/>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420"/>
      <c r="B654" s="138"/>
      <c r="C654" s="421"/>
      <c r="D654" s="422"/>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420"/>
      <c r="B655" s="138"/>
      <c r="C655" s="421"/>
      <c r="D655" s="422"/>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420"/>
      <c r="B656" s="138"/>
      <c r="C656" s="421"/>
      <c r="D656" s="422"/>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420"/>
      <c r="B657" s="138"/>
      <c r="C657" s="421"/>
      <c r="D657" s="422"/>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420"/>
      <c r="B658" s="138"/>
      <c r="C658" s="421"/>
      <c r="D658" s="422"/>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420"/>
      <c r="B659" s="138"/>
      <c r="C659" s="421"/>
      <c r="D659" s="422"/>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420"/>
      <c r="B660" s="138"/>
      <c r="C660" s="421"/>
      <c r="D660" s="422"/>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420"/>
      <c r="B661" s="138"/>
      <c r="C661" s="421"/>
      <c r="D661" s="422"/>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420"/>
      <c r="B662" s="138"/>
      <c r="C662" s="421"/>
      <c r="D662" s="422"/>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420"/>
      <c r="B663" s="138"/>
      <c r="C663" s="421"/>
      <c r="D663" s="422"/>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420"/>
      <c r="B664" s="138"/>
      <c r="C664" s="421"/>
      <c r="D664" s="422"/>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420"/>
      <c r="B665" s="138"/>
      <c r="C665" s="421"/>
      <c r="D665" s="422"/>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420"/>
      <c r="B666" s="138"/>
      <c r="C666" s="421"/>
      <c r="D666" s="422"/>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420"/>
      <c r="B667" s="138"/>
      <c r="C667" s="421"/>
      <c r="D667" s="422"/>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420"/>
      <c r="B668" s="138"/>
      <c r="C668" s="421"/>
      <c r="D668" s="422"/>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420"/>
      <c r="B669" s="138"/>
      <c r="C669" s="421"/>
      <c r="D669" s="422"/>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420"/>
      <c r="B670" s="138"/>
      <c r="C670" s="421"/>
      <c r="D670" s="422"/>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420"/>
      <c r="B671" s="138"/>
      <c r="C671" s="421"/>
      <c r="D671" s="422"/>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420"/>
      <c r="B672" s="138"/>
      <c r="C672" s="421"/>
      <c r="D672" s="422"/>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420"/>
      <c r="B673" s="138"/>
      <c r="C673" s="421"/>
      <c r="D673" s="422"/>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420"/>
      <c r="B674" s="138"/>
      <c r="C674" s="421"/>
      <c r="D674" s="422"/>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420"/>
      <c r="B675" s="138"/>
      <c r="C675" s="421"/>
      <c r="D675" s="422"/>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420"/>
      <c r="B676" s="138"/>
      <c r="C676" s="421"/>
      <c r="D676" s="422"/>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420"/>
      <c r="B677" s="138"/>
      <c r="C677" s="421"/>
      <c r="D677" s="422"/>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420"/>
      <c r="B678" s="138"/>
      <c r="C678" s="421"/>
      <c r="D678" s="422"/>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420"/>
      <c r="B679" s="138"/>
      <c r="C679" s="421"/>
      <c r="D679" s="422"/>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420"/>
      <c r="B680" s="138"/>
      <c r="C680" s="421"/>
      <c r="D680" s="422"/>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420"/>
      <c r="B681" s="138"/>
      <c r="C681" s="421"/>
      <c r="D681" s="422"/>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420"/>
      <c r="B682" s="138"/>
      <c r="C682" s="421"/>
      <c r="D682" s="422"/>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420"/>
      <c r="B683" s="138"/>
      <c r="C683" s="421"/>
      <c r="D683" s="422"/>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420"/>
      <c r="B684" s="138"/>
      <c r="C684" s="421"/>
      <c r="D684" s="422"/>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420"/>
      <c r="B685" s="138"/>
      <c r="C685" s="421"/>
      <c r="D685" s="422"/>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420"/>
      <c r="B686" s="138"/>
      <c r="C686" s="421"/>
      <c r="D686" s="422"/>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420"/>
      <c r="B687" s="138"/>
      <c r="C687" s="421"/>
      <c r="D687" s="422"/>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420"/>
      <c r="B688" s="138"/>
      <c r="C688" s="421"/>
      <c r="D688" s="422"/>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420"/>
      <c r="B689" s="138"/>
      <c r="C689" s="421"/>
      <c r="D689" s="422"/>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420"/>
      <c r="B690" s="138"/>
      <c r="C690" s="421"/>
      <c r="D690" s="422"/>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420"/>
      <c r="B691" s="138"/>
      <c r="C691" s="421"/>
      <c r="D691" s="422"/>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420"/>
      <c r="B692" s="138"/>
      <c r="C692" s="421"/>
      <c r="D692" s="422"/>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420"/>
      <c r="B693" s="138"/>
      <c r="C693" s="421"/>
      <c r="D693" s="422"/>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420"/>
      <c r="B694" s="138"/>
      <c r="C694" s="421"/>
      <c r="D694" s="422"/>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420"/>
      <c r="B695" s="138"/>
      <c r="C695" s="421"/>
      <c r="D695" s="422"/>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420"/>
      <c r="B696" s="138"/>
      <c r="C696" s="421"/>
      <c r="D696" s="422"/>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420"/>
      <c r="B697" s="138"/>
      <c r="C697" s="421"/>
      <c r="D697" s="422"/>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420"/>
      <c r="B698" s="138"/>
      <c r="C698" s="421"/>
      <c r="D698" s="422"/>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420"/>
      <c r="B699" s="138"/>
      <c r="C699" s="421"/>
      <c r="D699" s="422"/>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420"/>
      <c r="B700" s="138"/>
      <c r="C700" s="421"/>
      <c r="D700" s="422"/>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420"/>
      <c r="B701" s="138"/>
      <c r="C701" s="421"/>
      <c r="D701" s="422"/>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420"/>
      <c r="B702" s="138"/>
      <c r="C702" s="421"/>
      <c r="D702" s="422"/>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420"/>
      <c r="B703" s="138"/>
      <c r="C703" s="421"/>
      <c r="D703" s="422"/>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420"/>
      <c r="B704" s="138"/>
      <c r="C704" s="421"/>
      <c r="D704" s="422"/>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420"/>
      <c r="B705" s="138"/>
      <c r="C705" s="421"/>
      <c r="D705" s="422"/>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420"/>
      <c r="B706" s="138"/>
      <c r="C706" s="421"/>
      <c r="D706" s="422"/>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420"/>
      <c r="B707" s="138"/>
      <c r="C707" s="421"/>
      <c r="D707" s="422"/>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420"/>
      <c r="B708" s="138"/>
      <c r="C708" s="421"/>
      <c r="D708" s="422"/>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420"/>
      <c r="B709" s="138"/>
      <c r="C709" s="421"/>
      <c r="D709" s="422"/>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420"/>
      <c r="B710" s="138"/>
      <c r="C710" s="421"/>
      <c r="D710" s="422"/>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420"/>
      <c r="B711" s="138"/>
      <c r="C711" s="421"/>
      <c r="D711" s="422"/>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420"/>
      <c r="B712" s="138"/>
      <c r="C712" s="421"/>
      <c r="D712" s="422"/>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420"/>
      <c r="B713" s="138"/>
      <c r="C713" s="421"/>
      <c r="D713" s="422"/>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420"/>
      <c r="B714" s="138"/>
      <c r="C714" s="421"/>
      <c r="D714" s="422"/>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420"/>
      <c r="B715" s="138"/>
      <c r="C715" s="421"/>
      <c r="D715" s="422"/>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420"/>
      <c r="B716" s="138"/>
      <c r="C716" s="421"/>
      <c r="D716" s="422"/>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420"/>
      <c r="B717" s="138"/>
      <c r="C717" s="421"/>
      <c r="D717" s="422"/>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420"/>
      <c r="B718" s="138"/>
      <c r="C718" s="421"/>
      <c r="D718" s="422"/>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420"/>
      <c r="B719" s="138"/>
      <c r="C719" s="421"/>
      <c r="D719" s="422"/>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420"/>
      <c r="B720" s="138"/>
      <c r="C720" s="421"/>
      <c r="D720" s="422"/>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420"/>
      <c r="B721" s="138"/>
      <c r="C721" s="421"/>
      <c r="D721" s="422"/>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420"/>
      <c r="B722" s="138"/>
      <c r="C722" s="421"/>
      <c r="D722" s="422"/>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420"/>
      <c r="B723" s="138"/>
      <c r="C723" s="421"/>
      <c r="D723" s="422"/>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420"/>
      <c r="B724" s="138"/>
      <c r="C724" s="421"/>
      <c r="D724" s="422"/>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420"/>
      <c r="B725" s="138"/>
      <c r="C725" s="421"/>
      <c r="D725" s="422"/>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420"/>
      <c r="B726" s="138"/>
      <c r="C726" s="421"/>
      <c r="D726" s="422"/>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420"/>
      <c r="B727" s="138"/>
      <c r="C727" s="421"/>
      <c r="D727" s="422"/>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420"/>
      <c r="B728" s="138"/>
      <c r="C728" s="421"/>
      <c r="D728" s="422"/>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420"/>
      <c r="B729" s="138"/>
      <c r="C729" s="421"/>
      <c r="D729" s="422"/>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420"/>
      <c r="B730" s="138"/>
      <c r="C730" s="421"/>
      <c r="D730" s="422"/>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420"/>
      <c r="B731" s="138"/>
      <c r="C731" s="421"/>
      <c r="D731" s="422"/>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420"/>
      <c r="B732" s="138"/>
      <c r="C732" s="421"/>
      <c r="D732" s="422"/>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420"/>
      <c r="B733" s="138"/>
      <c r="C733" s="421"/>
      <c r="D733" s="422"/>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420"/>
      <c r="B734" s="138"/>
      <c r="C734" s="421"/>
      <c r="D734" s="422"/>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420"/>
      <c r="B735" s="138"/>
      <c r="C735" s="421"/>
      <c r="D735" s="422"/>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420"/>
      <c r="B736" s="138"/>
      <c r="C736" s="421"/>
      <c r="D736" s="422"/>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420"/>
      <c r="B737" s="138"/>
      <c r="C737" s="421"/>
      <c r="D737" s="422"/>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420"/>
      <c r="B738" s="138"/>
      <c r="C738" s="421"/>
      <c r="D738" s="422"/>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420"/>
      <c r="B739" s="138"/>
      <c r="C739" s="421"/>
      <c r="D739" s="422"/>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420"/>
      <c r="B740" s="138"/>
      <c r="C740" s="421"/>
      <c r="D740" s="422"/>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420"/>
      <c r="B741" s="138"/>
      <c r="C741" s="421"/>
      <c r="D741" s="422"/>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420"/>
      <c r="B742" s="138"/>
      <c r="C742" s="421"/>
      <c r="D742" s="422"/>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420"/>
      <c r="B743" s="138"/>
      <c r="C743" s="421"/>
      <c r="D743" s="422"/>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420"/>
      <c r="B744" s="138"/>
      <c r="C744" s="421"/>
      <c r="D744" s="422"/>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420"/>
      <c r="B745" s="138"/>
      <c r="C745" s="421"/>
      <c r="D745" s="422"/>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420"/>
      <c r="B746" s="138"/>
      <c r="C746" s="421"/>
      <c r="D746" s="422"/>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420"/>
      <c r="B747" s="138"/>
      <c r="C747" s="421"/>
      <c r="D747" s="422"/>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420"/>
      <c r="B748" s="138"/>
      <c r="C748" s="421"/>
      <c r="D748" s="422"/>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420"/>
      <c r="B749" s="138"/>
      <c r="C749" s="421"/>
      <c r="D749" s="422"/>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420"/>
      <c r="B750" s="138"/>
      <c r="C750" s="421"/>
      <c r="D750" s="422"/>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420"/>
      <c r="B751" s="138"/>
      <c r="C751" s="421"/>
      <c r="D751" s="422"/>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420"/>
      <c r="B752" s="138"/>
      <c r="C752" s="421"/>
      <c r="D752" s="422"/>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420"/>
      <c r="B753" s="138"/>
      <c r="C753" s="421"/>
      <c r="D753" s="422"/>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420"/>
      <c r="B754" s="138"/>
      <c r="C754" s="421"/>
      <c r="D754" s="422"/>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420"/>
      <c r="B755" s="138"/>
      <c r="C755" s="421"/>
      <c r="D755" s="422"/>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420"/>
      <c r="B756" s="138"/>
      <c r="C756" s="421"/>
      <c r="D756" s="422"/>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420"/>
      <c r="B757" s="138"/>
      <c r="C757" s="421"/>
      <c r="D757" s="422"/>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420"/>
      <c r="B758" s="138"/>
      <c r="C758" s="421"/>
      <c r="D758" s="422"/>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420"/>
      <c r="B759" s="138"/>
      <c r="C759" s="421"/>
      <c r="D759" s="422"/>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420"/>
      <c r="B760" s="138"/>
      <c r="C760" s="421"/>
      <c r="D760" s="422"/>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420"/>
      <c r="B761" s="138"/>
      <c r="C761" s="421"/>
      <c r="D761" s="422"/>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420"/>
      <c r="B762" s="138"/>
      <c r="C762" s="421"/>
      <c r="D762" s="422"/>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420"/>
      <c r="B763" s="138"/>
      <c r="C763" s="421"/>
      <c r="D763" s="422"/>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420"/>
      <c r="B764" s="138"/>
      <c r="C764" s="421"/>
      <c r="D764" s="422"/>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420"/>
      <c r="B765" s="138"/>
      <c r="C765" s="421"/>
      <c r="D765" s="422"/>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420"/>
      <c r="B766" s="138"/>
      <c r="C766" s="421"/>
      <c r="D766" s="422"/>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420"/>
      <c r="B767" s="138"/>
      <c r="C767" s="421"/>
      <c r="D767" s="422"/>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420"/>
      <c r="B768" s="138"/>
      <c r="C768" s="421"/>
      <c r="D768" s="422"/>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420"/>
      <c r="B769" s="138"/>
      <c r="C769" s="421"/>
      <c r="D769" s="422"/>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420"/>
      <c r="B770" s="138"/>
      <c r="C770" s="421"/>
      <c r="D770" s="422"/>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420"/>
      <c r="B771" s="138"/>
      <c r="C771" s="421"/>
      <c r="D771" s="422"/>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420"/>
      <c r="B772" s="138"/>
      <c r="C772" s="421"/>
      <c r="D772" s="422"/>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420"/>
      <c r="B773" s="138"/>
      <c r="C773" s="421"/>
      <c r="D773" s="422"/>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420"/>
      <c r="B774" s="138"/>
      <c r="C774" s="421"/>
      <c r="D774" s="422"/>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420"/>
      <c r="B775" s="138"/>
      <c r="C775" s="421"/>
      <c r="D775" s="422"/>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420"/>
      <c r="B776" s="138"/>
      <c r="C776" s="421"/>
      <c r="D776" s="422"/>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420"/>
      <c r="B777" s="138"/>
      <c r="C777" s="421"/>
      <c r="D777" s="422"/>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420"/>
      <c r="B778" s="138"/>
      <c r="C778" s="421"/>
      <c r="D778" s="422"/>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420"/>
      <c r="B779" s="138"/>
      <c r="C779" s="421"/>
      <c r="D779" s="422"/>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420"/>
      <c r="B780" s="138"/>
      <c r="C780" s="421"/>
      <c r="D780" s="422"/>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420"/>
      <c r="B781" s="138"/>
      <c r="C781" s="421"/>
      <c r="D781" s="422"/>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420"/>
      <c r="B782" s="138"/>
      <c r="C782" s="421"/>
      <c r="D782" s="422"/>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420"/>
      <c r="B783" s="138"/>
      <c r="C783" s="421"/>
      <c r="D783" s="422"/>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420"/>
      <c r="B784" s="138"/>
      <c r="C784" s="421"/>
      <c r="D784" s="422"/>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420"/>
      <c r="B785" s="138"/>
      <c r="C785" s="421"/>
      <c r="D785" s="422"/>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420"/>
      <c r="B786" s="138"/>
      <c r="C786" s="421"/>
      <c r="D786" s="422"/>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420"/>
      <c r="B787" s="138"/>
      <c r="C787" s="421"/>
      <c r="D787" s="422"/>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420"/>
      <c r="B788" s="138"/>
      <c r="C788" s="421"/>
      <c r="D788" s="422"/>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420"/>
      <c r="B789" s="138"/>
      <c r="C789" s="421"/>
      <c r="D789" s="422"/>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420"/>
      <c r="B790" s="138"/>
      <c r="C790" s="421"/>
      <c r="D790" s="422"/>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420"/>
      <c r="B791" s="138"/>
      <c r="C791" s="421"/>
      <c r="D791" s="422"/>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420"/>
      <c r="B792" s="138"/>
      <c r="C792" s="421"/>
      <c r="D792" s="422"/>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420"/>
      <c r="B793" s="138"/>
      <c r="C793" s="421"/>
      <c r="D793" s="422"/>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420"/>
      <c r="B794" s="138"/>
      <c r="C794" s="421"/>
      <c r="D794" s="422"/>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420"/>
      <c r="B795" s="138"/>
      <c r="C795" s="421"/>
      <c r="D795" s="422"/>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420"/>
      <c r="B796" s="138"/>
      <c r="C796" s="421"/>
      <c r="D796" s="422"/>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420"/>
      <c r="B797" s="138"/>
      <c r="C797" s="421"/>
      <c r="D797" s="422"/>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420"/>
      <c r="B798" s="138"/>
      <c r="C798" s="421"/>
      <c r="D798" s="422"/>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420"/>
      <c r="B799" s="138"/>
      <c r="C799" s="421"/>
      <c r="D799" s="422"/>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420"/>
      <c r="B800" s="138"/>
      <c r="C800" s="421"/>
      <c r="D800" s="422"/>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420"/>
      <c r="B801" s="138"/>
      <c r="C801" s="421"/>
      <c r="D801" s="422"/>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420"/>
      <c r="B802" s="138"/>
      <c r="C802" s="421"/>
      <c r="D802" s="422"/>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420"/>
      <c r="B803" s="138"/>
      <c r="C803" s="421"/>
      <c r="D803" s="422"/>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420"/>
      <c r="B804" s="138"/>
      <c r="C804" s="421"/>
      <c r="D804" s="422"/>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420"/>
      <c r="B805" s="138"/>
      <c r="C805" s="421"/>
      <c r="D805" s="422"/>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420"/>
      <c r="B806" s="138"/>
      <c r="C806" s="421"/>
      <c r="D806" s="422"/>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420"/>
      <c r="B807" s="138"/>
      <c r="C807" s="421"/>
      <c r="D807" s="422"/>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420"/>
      <c r="B808" s="138"/>
      <c r="C808" s="421"/>
      <c r="D808" s="422"/>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420"/>
      <c r="B809" s="138"/>
      <c r="C809" s="421"/>
      <c r="D809" s="422"/>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420"/>
      <c r="B810" s="138"/>
      <c r="C810" s="421"/>
      <c r="D810" s="422"/>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420"/>
      <c r="B811" s="138"/>
      <c r="C811" s="421"/>
      <c r="D811" s="422"/>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420"/>
      <c r="B812" s="138"/>
      <c r="C812" s="421"/>
      <c r="D812" s="422"/>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420"/>
      <c r="B813" s="138"/>
      <c r="C813" s="421"/>
      <c r="D813" s="422"/>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420"/>
      <c r="B814" s="138"/>
      <c r="C814" s="421"/>
      <c r="D814" s="422"/>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420"/>
      <c r="B815" s="138"/>
      <c r="C815" s="421"/>
      <c r="D815" s="422"/>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420"/>
      <c r="B816" s="138"/>
      <c r="C816" s="421"/>
      <c r="D816" s="422"/>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420"/>
      <c r="B817" s="138"/>
      <c r="C817" s="421"/>
      <c r="D817" s="422"/>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420"/>
      <c r="B818" s="138"/>
      <c r="C818" s="421"/>
      <c r="D818" s="422"/>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420"/>
      <c r="B819" s="138"/>
      <c r="C819" s="421"/>
      <c r="D819" s="422"/>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420"/>
      <c r="B820" s="138"/>
      <c r="C820" s="421"/>
      <c r="D820" s="422"/>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420"/>
      <c r="B821" s="138"/>
      <c r="C821" s="421"/>
      <c r="D821" s="422"/>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420"/>
      <c r="B822" s="138"/>
      <c r="C822" s="421"/>
      <c r="D822" s="422"/>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420"/>
      <c r="B823" s="138"/>
      <c r="C823" s="421"/>
      <c r="D823" s="422"/>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420"/>
      <c r="B824" s="138"/>
      <c r="C824" s="421"/>
      <c r="D824" s="422"/>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420"/>
      <c r="B825" s="138"/>
      <c r="C825" s="421"/>
      <c r="D825" s="422"/>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420"/>
      <c r="B826" s="138"/>
      <c r="C826" s="421"/>
      <c r="D826" s="422"/>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420"/>
      <c r="B827" s="138"/>
      <c r="C827" s="421"/>
      <c r="D827" s="422"/>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420"/>
      <c r="B828" s="138"/>
      <c r="C828" s="421"/>
      <c r="D828" s="422"/>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420"/>
      <c r="B829" s="138"/>
      <c r="C829" s="421"/>
      <c r="D829" s="422"/>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420"/>
      <c r="B830" s="138"/>
      <c r="C830" s="421"/>
      <c r="D830" s="422"/>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420"/>
      <c r="B831" s="138"/>
      <c r="C831" s="421"/>
      <c r="D831" s="422"/>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420"/>
      <c r="B832" s="138"/>
      <c r="C832" s="421"/>
      <c r="D832" s="422"/>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420"/>
      <c r="B833" s="138"/>
      <c r="C833" s="421"/>
      <c r="D833" s="422"/>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420"/>
      <c r="B834" s="138"/>
      <c r="C834" s="421"/>
      <c r="D834" s="422"/>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420"/>
      <c r="B835" s="138"/>
      <c r="C835" s="421"/>
      <c r="D835" s="422"/>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420"/>
      <c r="B836" s="138"/>
      <c r="C836" s="421"/>
      <c r="D836" s="422"/>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420"/>
      <c r="B837" s="138"/>
      <c r="C837" s="421"/>
      <c r="D837" s="422"/>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420"/>
      <c r="B838" s="138"/>
      <c r="C838" s="421"/>
      <c r="D838" s="422"/>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420"/>
      <c r="B839" s="138"/>
      <c r="C839" s="421"/>
      <c r="D839" s="422"/>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420"/>
      <c r="B840" s="138"/>
      <c r="C840" s="421"/>
      <c r="D840" s="422"/>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420"/>
      <c r="B841" s="138"/>
      <c r="C841" s="421"/>
      <c r="D841" s="422"/>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420"/>
      <c r="B842" s="138"/>
      <c r="C842" s="421"/>
      <c r="D842" s="422"/>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420"/>
      <c r="B843" s="138"/>
      <c r="C843" s="421"/>
      <c r="D843" s="422"/>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420"/>
      <c r="B844" s="138"/>
      <c r="C844" s="421"/>
      <c r="D844" s="422"/>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420"/>
      <c r="B845" s="138"/>
      <c r="C845" s="421"/>
      <c r="D845" s="422"/>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420"/>
      <c r="B846" s="138"/>
      <c r="C846" s="421"/>
      <c r="D846" s="422"/>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420"/>
      <c r="B847" s="138"/>
      <c r="C847" s="421"/>
      <c r="D847" s="422"/>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420"/>
      <c r="B848" s="138"/>
      <c r="C848" s="421"/>
      <c r="D848" s="422"/>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420"/>
      <c r="B849" s="138"/>
      <c r="C849" s="421"/>
      <c r="D849" s="422"/>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420"/>
      <c r="B850" s="138"/>
      <c r="C850" s="421"/>
      <c r="D850" s="422"/>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420"/>
      <c r="B851" s="138"/>
      <c r="C851" s="421"/>
      <c r="D851" s="422"/>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420"/>
      <c r="B852" s="138"/>
      <c r="C852" s="421"/>
      <c r="D852" s="422"/>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420"/>
      <c r="B853" s="138"/>
      <c r="C853" s="421"/>
      <c r="D853" s="422"/>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420"/>
      <c r="B854" s="138"/>
      <c r="C854" s="421"/>
      <c r="D854" s="422"/>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420"/>
      <c r="B855" s="138"/>
      <c r="C855" s="421"/>
      <c r="D855" s="422"/>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420"/>
      <c r="B856" s="138"/>
      <c r="C856" s="421"/>
      <c r="D856" s="422"/>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420"/>
      <c r="B857" s="138"/>
      <c r="C857" s="421"/>
      <c r="D857" s="422"/>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420"/>
      <c r="B858" s="138"/>
      <c r="C858" s="421"/>
      <c r="D858" s="422"/>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420"/>
      <c r="B859" s="138"/>
      <c r="C859" s="421"/>
      <c r="D859" s="422"/>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420"/>
      <c r="B860" s="138"/>
      <c r="C860" s="421"/>
      <c r="D860" s="422"/>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420"/>
      <c r="B861" s="138"/>
      <c r="C861" s="421"/>
      <c r="D861" s="422"/>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420"/>
      <c r="B862" s="138"/>
      <c r="C862" s="421"/>
      <c r="D862" s="422"/>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420"/>
      <c r="B863" s="138"/>
      <c r="C863" s="421"/>
      <c r="D863" s="422"/>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420"/>
      <c r="B864" s="138"/>
      <c r="C864" s="421"/>
      <c r="D864" s="422"/>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420"/>
      <c r="B865" s="138"/>
      <c r="C865" s="421"/>
      <c r="D865" s="422"/>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420"/>
      <c r="B866" s="138"/>
      <c r="C866" s="421"/>
      <c r="D866" s="422"/>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420"/>
      <c r="B867" s="138"/>
      <c r="C867" s="421"/>
      <c r="D867" s="422"/>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420"/>
      <c r="B868" s="138"/>
      <c r="C868" s="421"/>
      <c r="D868" s="422"/>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420"/>
      <c r="B869" s="138"/>
      <c r="C869" s="421"/>
      <c r="D869" s="422"/>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420"/>
      <c r="B870" s="138"/>
      <c r="C870" s="421"/>
      <c r="D870" s="422"/>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420"/>
      <c r="B871" s="138"/>
      <c r="C871" s="421"/>
      <c r="D871" s="422"/>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420"/>
      <c r="B872" s="138"/>
      <c r="C872" s="421"/>
      <c r="D872" s="422"/>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420"/>
      <c r="B873" s="138"/>
      <c r="C873" s="421"/>
      <c r="D873" s="422"/>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420"/>
      <c r="B874" s="138"/>
      <c r="C874" s="421"/>
      <c r="D874" s="422"/>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420"/>
      <c r="B875" s="138"/>
      <c r="C875" s="421"/>
      <c r="D875" s="422"/>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420"/>
      <c r="B876" s="138"/>
      <c r="C876" s="421"/>
      <c r="D876" s="422"/>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420"/>
      <c r="B877" s="138"/>
      <c r="C877" s="421"/>
      <c r="D877" s="422"/>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420"/>
      <c r="B878" s="138"/>
      <c r="C878" s="421"/>
      <c r="D878" s="422"/>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420"/>
      <c r="B879" s="138"/>
      <c r="C879" s="421"/>
      <c r="D879" s="422"/>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420"/>
      <c r="B880" s="138"/>
      <c r="C880" s="421"/>
      <c r="D880" s="422"/>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420"/>
      <c r="B881" s="138"/>
      <c r="C881" s="421"/>
      <c r="D881" s="422"/>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420"/>
      <c r="B882" s="138"/>
      <c r="C882" s="421"/>
      <c r="D882" s="422"/>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420"/>
      <c r="B883" s="138"/>
      <c r="C883" s="421"/>
      <c r="D883" s="422"/>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420"/>
      <c r="B884" s="138"/>
      <c r="C884" s="421"/>
      <c r="D884" s="422"/>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420"/>
      <c r="B885" s="138"/>
      <c r="C885" s="421"/>
      <c r="D885" s="422"/>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420"/>
      <c r="B886" s="138"/>
      <c r="C886" s="421"/>
      <c r="D886" s="422"/>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420"/>
      <c r="B887" s="138"/>
      <c r="C887" s="421"/>
      <c r="D887" s="422"/>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420"/>
      <c r="B888" s="138"/>
      <c r="C888" s="421"/>
      <c r="D888" s="422"/>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420"/>
      <c r="B889" s="138"/>
      <c r="C889" s="421"/>
      <c r="D889" s="422"/>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420"/>
      <c r="B890" s="138"/>
      <c r="C890" s="421"/>
      <c r="D890" s="422"/>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420"/>
      <c r="B891" s="138"/>
      <c r="C891" s="421"/>
      <c r="D891" s="422"/>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420"/>
      <c r="B892" s="138"/>
      <c r="C892" s="421"/>
      <c r="D892" s="422"/>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420"/>
      <c r="B893" s="138"/>
      <c r="C893" s="421"/>
      <c r="D893" s="422"/>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420"/>
      <c r="B894" s="138"/>
      <c r="C894" s="421"/>
      <c r="D894" s="422"/>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420"/>
      <c r="B895" s="138"/>
      <c r="C895" s="421"/>
      <c r="D895" s="422"/>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420"/>
      <c r="B896" s="138"/>
      <c r="C896" s="421"/>
      <c r="D896" s="422"/>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420"/>
      <c r="B897" s="138"/>
      <c r="C897" s="421"/>
      <c r="D897" s="422"/>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420"/>
      <c r="B898" s="138"/>
      <c r="C898" s="421"/>
      <c r="D898" s="422"/>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420"/>
      <c r="B899" s="138"/>
      <c r="C899" s="421"/>
      <c r="D899" s="422"/>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420"/>
      <c r="B900" s="138"/>
      <c r="C900" s="421"/>
      <c r="D900" s="422"/>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420"/>
      <c r="B901" s="138"/>
      <c r="C901" s="421"/>
      <c r="D901" s="422"/>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420"/>
      <c r="B902" s="138"/>
      <c r="C902" s="421"/>
      <c r="D902" s="422"/>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420"/>
      <c r="B903" s="138"/>
      <c r="C903" s="421"/>
      <c r="D903" s="422"/>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420"/>
      <c r="B904" s="138"/>
      <c r="C904" s="421"/>
      <c r="D904" s="422"/>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420"/>
      <c r="B905" s="138"/>
      <c r="C905" s="421"/>
      <c r="D905" s="422"/>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420"/>
      <c r="B906" s="138"/>
      <c r="C906" s="421"/>
      <c r="D906" s="422"/>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420"/>
      <c r="B907" s="138"/>
      <c r="C907" s="421"/>
      <c r="D907" s="422"/>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420"/>
      <c r="B908" s="138"/>
      <c r="C908" s="421"/>
      <c r="D908" s="422"/>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420"/>
      <c r="B909" s="138"/>
      <c r="C909" s="421"/>
      <c r="D909" s="422"/>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420"/>
      <c r="B910" s="138"/>
      <c r="C910" s="421"/>
      <c r="D910" s="422"/>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420"/>
      <c r="B911" s="138"/>
      <c r="C911" s="421"/>
      <c r="D911" s="422"/>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420"/>
      <c r="B912" s="138"/>
      <c r="C912" s="421"/>
      <c r="D912" s="422"/>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420"/>
      <c r="B913" s="138"/>
      <c r="C913" s="421"/>
      <c r="D913" s="422"/>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420"/>
      <c r="B914" s="138"/>
      <c r="C914" s="421"/>
      <c r="D914" s="422"/>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420"/>
      <c r="B915" s="138"/>
      <c r="C915" s="421"/>
      <c r="D915" s="422"/>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420"/>
      <c r="B916" s="138"/>
      <c r="C916" s="421"/>
      <c r="D916" s="422"/>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420"/>
      <c r="B917" s="138"/>
      <c r="C917" s="421"/>
      <c r="D917" s="422"/>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420"/>
      <c r="B918" s="138"/>
      <c r="C918" s="421"/>
      <c r="D918" s="422"/>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420"/>
      <c r="B919" s="138"/>
      <c r="C919" s="421"/>
      <c r="D919" s="422"/>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420"/>
      <c r="B920" s="138"/>
      <c r="C920" s="421"/>
      <c r="D920" s="422"/>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420"/>
      <c r="B921" s="138"/>
      <c r="C921" s="421"/>
      <c r="D921" s="422"/>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420"/>
      <c r="B922" s="138"/>
      <c r="C922" s="421"/>
      <c r="D922" s="422"/>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420"/>
      <c r="B923" s="138"/>
      <c r="C923" s="421"/>
      <c r="D923" s="422"/>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420"/>
      <c r="B924" s="138"/>
      <c r="C924" s="421"/>
      <c r="D924" s="422"/>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420"/>
      <c r="B925" s="138"/>
      <c r="C925" s="421"/>
      <c r="D925" s="422"/>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420"/>
      <c r="B926" s="138"/>
      <c r="C926" s="421"/>
      <c r="D926" s="422"/>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420"/>
      <c r="B927" s="138"/>
      <c r="C927" s="421"/>
      <c r="D927" s="422"/>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420"/>
      <c r="B928" s="138"/>
      <c r="C928" s="421"/>
      <c r="D928" s="422"/>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420"/>
      <c r="B929" s="138"/>
      <c r="C929" s="421"/>
      <c r="D929" s="422"/>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420"/>
      <c r="B930" s="138"/>
      <c r="C930" s="421"/>
      <c r="D930" s="422"/>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420"/>
      <c r="B931" s="138"/>
      <c r="C931" s="421"/>
      <c r="D931" s="422"/>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420"/>
      <c r="B932" s="138"/>
      <c r="C932" s="421"/>
      <c r="D932" s="422"/>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420"/>
      <c r="B933" s="138"/>
      <c r="C933" s="421"/>
      <c r="D933" s="422"/>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420"/>
      <c r="B934" s="138"/>
      <c r="C934" s="421"/>
      <c r="D934" s="422"/>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420"/>
      <c r="B935" s="138"/>
      <c r="C935" s="421"/>
      <c r="D935" s="422"/>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420"/>
      <c r="B936" s="138"/>
      <c r="C936" s="421"/>
      <c r="D936" s="422"/>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420"/>
      <c r="B937" s="138"/>
      <c r="C937" s="421"/>
      <c r="D937" s="422"/>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420"/>
      <c r="B938" s="138"/>
      <c r="C938" s="421"/>
      <c r="D938" s="422"/>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420"/>
      <c r="B939" s="138"/>
      <c r="C939" s="421"/>
      <c r="D939" s="422"/>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420"/>
      <c r="B940" s="138"/>
      <c r="C940" s="421"/>
      <c r="D940" s="422"/>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420"/>
      <c r="B941" s="138"/>
      <c r="C941" s="421"/>
      <c r="D941" s="422"/>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420"/>
      <c r="B942" s="138"/>
      <c r="C942" s="421"/>
      <c r="D942" s="422"/>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420"/>
      <c r="B943" s="138"/>
      <c r="C943" s="421"/>
      <c r="D943" s="422"/>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420"/>
      <c r="B944" s="138"/>
      <c r="C944" s="421"/>
      <c r="D944" s="422"/>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420"/>
      <c r="B945" s="138"/>
      <c r="C945" s="421"/>
      <c r="D945" s="422"/>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420"/>
      <c r="B946" s="138"/>
      <c r="C946" s="421"/>
      <c r="D946" s="422"/>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420"/>
      <c r="B947" s="138"/>
      <c r="C947" s="421"/>
      <c r="D947" s="422"/>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420"/>
      <c r="B948" s="138"/>
      <c r="C948" s="421"/>
      <c r="D948" s="422"/>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420"/>
      <c r="B949" s="138"/>
      <c r="C949" s="421"/>
      <c r="D949" s="422"/>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420"/>
      <c r="B950" s="138"/>
      <c r="C950" s="421"/>
      <c r="D950" s="422"/>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420"/>
      <c r="B951" s="138"/>
      <c r="C951" s="421"/>
      <c r="D951" s="422"/>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420"/>
      <c r="B952" s="138"/>
      <c r="C952" s="421"/>
      <c r="D952" s="422"/>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420"/>
      <c r="B953" s="138"/>
      <c r="C953" s="421"/>
      <c r="D953" s="422"/>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420"/>
      <c r="B954" s="138"/>
      <c r="C954" s="421"/>
      <c r="D954" s="422"/>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420"/>
      <c r="B955" s="138"/>
      <c r="C955" s="421"/>
      <c r="D955" s="422"/>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420"/>
      <c r="B956" s="138"/>
      <c r="C956" s="421"/>
      <c r="D956" s="422"/>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420"/>
      <c r="B957" s="138"/>
      <c r="C957" s="421"/>
      <c r="D957" s="422"/>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420"/>
      <c r="B958" s="138"/>
      <c r="C958" s="421"/>
      <c r="D958" s="422"/>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420"/>
      <c r="B959" s="138"/>
      <c r="C959" s="421"/>
      <c r="D959" s="422"/>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420"/>
      <c r="B960" s="138"/>
      <c r="C960" s="421"/>
      <c r="D960" s="422"/>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420"/>
      <c r="B961" s="138"/>
      <c r="C961" s="421"/>
      <c r="D961" s="422"/>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420"/>
      <c r="B962" s="138"/>
      <c r="C962" s="421"/>
      <c r="D962" s="422"/>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420"/>
      <c r="B963" s="138"/>
      <c r="C963" s="421"/>
      <c r="D963" s="422"/>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420"/>
      <c r="B964" s="138"/>
      <c r="C964" s="421"/>
      <c r="D964" s="422"/>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420"/>
      <c r="B965" s="138"/>
      <c r="C965" s="421"/>
      <c r="D965" s="422"/>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420"/>
      <c r="B966" s="138"/>
      <c r="C966" s="421"/>
      <c r="D966" s="422"/>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420"/>
      <c r="B967" s="138"/>
      <c r="C967" s="421"/>
      <c r="D967" s="422"/>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420"/>
      <c r="B968" s="138"/>
      <c r="C968" s="421"/>
      <c r="D968" s="422"/>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420"/>
      <c r="B969" s="138"/>
      <c r="C969" s="421"/>
      <c r="D969" s="422"/>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420"/>
      <c r="B970" s="138"/>
      <c r="C970" s="421"/>
      <c r="D970" s="422"/>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420"/>
      <c r="B971" s="138"/>
      <c r="C971" s="421"/>
      <c r="D971" s="422"/>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420"/>
      <c r="B972" s="138"/>
      <c r="C972" s="421"/>
      <c r="D972" s="422"/>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420"/>
      <c r="B973" s="138"/>
      <c r="C973" s="421"/>
      <c r="D973" s="422"/>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420"/>
      <c r="B974" s="138"/>
      <c r="C974" s="421"/>
      <c r="D974" s="422"/>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420"/>
      <c r="B975" s="138"/>
      <c r="C975" s="421"/>
      <c r="D975" s="422"/>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420"/>
      <c r="B976" s="138"/>
      <c r="C976" s="421"/>
      <c r="D976" s="422"/>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420"/>
      <c r="B977" s="138"/>
      <c r="C977" s="421"/>
      <c r="D977" s="422"/>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420"/>
      <c r="B978" s="138"/>
      <c r="C978" s="421"/>
      <c r="D978" s="422"/>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420"/>
      <c r="B979" s="138"/>
      <c r="C979" s="421"/>
      <c r="D979" s="422"/>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420"/>
      <c r="B980" s="138"/>
      <c r="C980" s="421"/>
      <c r="D980" s="422"/>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420"/>
      <c r="B981" s="138"/>
      <c r="C981" s="421"/>
      <c r="D981" s="422"/>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420"/>
      <c r="B982" s="138"/>
      <c r="C982" s="421"/>
      <c r="D982" s="422"/>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420"/>
      <c r="B983" s="138"/>
      <c r="C983" s="421"/>
      <c r="D983" s="422"/>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420"/>
      <c r="B984" s="138"/>
      <c r="C984" s="421"/>
      <c r="D984" s="422"/>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420"/>
      <c r="B985" s="138"/>
      <c r="C985" s="421"/>
      <c r="D985" s="422"/>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420"/>
      <c r="B986" s="138"/>
      <c r="C986" s="421"/>
      <c r="D986" s="422"/>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420"/>
      <c r="B987" s="138"/>
      <c r="C987" s="421"/>
      <c r="D987" s="422"/>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420"/>
      <c r="B988" s="138"/>
      <c r="C988" s="421"/>
      <c r="D988" s="422"/>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420"/>
      <c r="B989" s="138"/>
      <c r="C989" s="421"/>
      <c r="D989" s="422"/>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c r="A990" s="420"/>
      <c r="B990" s="138"/>
      <c r="C990" s="421"/>
      <c r="D990" s="422"/>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c r="A991" s="420"/>
      <c r="B991" s="138"/>
      <c r="C991" s="421"/>
      <c r="D991" s="422"/>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c r="A992" s="420"/>
      <c r="B992" s="138"/>
      <c r="C992" s="421"/>
      <c r="D992" s="422"/>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c r="A993" s="420"/>
      <c r="B993" s="138"/>
      <c r="C993" s="421"/>
      <c r="D993" s="422"/>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c r="A994" s="420"/>
      <c r="B994" s="138"/>
      <c r="C994" s="421"/>
      <c r="D994" s="422"/>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c r="A995" s="420"/>
      <c r="B995" s="138"/>
      <c r="C995" s="421"/>
      <c r="D995" s="422"/>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c r="A996" s="420"/>
      <c r="B996" s="138"/>
      <c r="C996" s="421"/>
      <c r="D996" s="422"/>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c r="A997" s="420"/>
      <c r="B997" s="138"/>
      <c r="C997" s="421"/>
      <c r="D997" s="422"/>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c r="A998" s="420"/>
      <c r="B998" s="138"/>
      <c r="C998" s="421"/>
      <c r="D998" s="422"/>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c r="A999" s="420"/>
      <c r="B999" s="138"/>
      <c r="C999" s="421"/>
      <c r="D999" s="422"/>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c r="A1000" s="420"/>
      <c r="B1000" s="138"/>
      <c r="C1000" s="421"/>
      <c r="D1000" s="422"/>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c r="A1001" s="420"/>
      <c r="B1001" s="138"/>
      <c r="C1001" s="421"/>
      <c r="D1001" s="422"/>
      <c r="E1001" s="127"/>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row r="1002">
      <c r="A1002" s="420"/>
      <c r="B1002" s="138"/>
      <c r="C1002" s="421"/>
      <c r="D1002" s="422"/>
      <c r="E1002" s="127"/>
      <c r="F1002" s="127"/>
      <c r="G1002" s="127"/>
      <c r="H1002" s="127"/>
      <c r="I1002" s="127"/>
      <c r="J1002" s="127"/>
      <c r="K1002" s="127"/>
      <c r="L1002" s="127"/>
      <c r="M1002" s="127"/>
      <c r="N1002" s="127"/>
      <c r="O1002" s="127"/>
      <c r="P1002" s="127"/>
      <c r="Q1002" s="127"/>
      <c r="R1002" s="127"/>
      <c r="S1002" s="127"/>
      <c r="T1002" s="127"/>
      <c r="U1002" s="127"/>
      <c r="V1002" s="127"/>
      <c r="W1002" s="127"/>
      <c r="X1002" s="127"/>
      <c r="Y1002" s="127"/>
      <c r="Z1002" s="127"/>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23" t="s">
        <v>6917</v>
      </c>
      <c r="B1" s="307" t="str">
        <f>IFERROR(__xludf.DUMMYFUNCTION("GOOGLETRANSLATE(A1,""zh-tw"",""ja"")"),"このチュートリアルは、モバイルデバイス向けの公式クラウドセーブシステムが完成する前に、モバイルセーブデータを移行したい方向けです。
※英語チュートリアル動画提供：Gabriel B※")</f>
        <v>このチュートリアルは、モバイルデバイス向けの公式クラウドセーブシステムが完成する前に、モバイルセーブデータを移行したい方向けです。
※英語チュートリアル動画提供：Gabriel B※</v>
      </c>
      <c r="C1" s="424" t="str">
        <f>IFERROR(__xludf.DUMMYFUNCTION("GOOGLETRANSLATE(A1,""zh-tw"",""en"")"),"This tutorial is for those who want to transfer their mobile save data before the official cloud save system for mobile devices is complete.
※English tutorial video provided by Gabriel B※")</f>
        <v>This tutorial is for those who want to transfer their mobile save data before the official cloud save system for mobile devices is complete.
※English tutorial video provided by Gabriel B※</v>
      </c>
      <c r="D1" s="42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26"/>
      <c r="F1" s="427" t="s">
        <v>6918</v>
      </c>
      <c r="G1" s="428"/>
      <c r="H1" s="428"/>
      <c r="I1" s="428"/>
      <c r="J1" s="428"/>
      <c r="K1" s="428"/>
      <c r="L1" s="428"/>
      <c r="M1" s="428"/>
      <c r="N1" s="428"/>
      <c r="O1" s="428"/>
      <c r="P1" s="428"/>
      <c r="Q1" s="428"/>
      <c r="R1" s="428"/>
    </row>
    <row r="2">
      <c r="A2" s="429" t="s">
        <v>6919</v>
      </c>
      <c r="B2" s="105" t="str">
        <f>IFERROR(__xludf.DUMMYFUNCTION("GOOGLETRANSLATE(A2,""zh-tw"",""ja"")"),"1 - Google Play で「ファイル マネージャー」を検索してインストールします。")</f>
        <v>1 - Google Play で「ファイル マネージャー」を検索してインストールします。</v>
      </c>
      <c r="C2" s="219" t="str">
        <f>IFERROR(__xludf.DUMMYFUNCTION("GOOGLETRANSLATE(A2,""zh-tw"",""en"")"),"1 - Search for ""File Manager"" on Google Play and install it.")</f>
        <v>1 - Search for "File Manager" on Google Play and install it.</v>
      </c>
      <c r="D2" s="430" t="str">
        <f>IFERROR(__xludf.DUMMYFUNCTION("GOOGLETRANSLATE(A2,""zh-tw"",""zh"")"),"1 - 在google play上搜寻 档案管理员 安装。")</f>
        <v>1 - 在google play上搜寻 档案管理员 安装。</v>
      </c>
      <c r="E2" s="431" t="s">
        <v>6920</v>
      </c>
      <c r="F2" s="432" t="s">
        <v>6921</v>
      </c>
      <c r="G2" s="140"/>
      <c r="H2" s="140"/>
      <c r="I2" s="140"/>
      <c r="J2" s="140"/>
      <c r="K2" s="140"/>
      <c r="L2" s="140"/>
      <c r="M2" s="140"/>
      <c r="N2" s="140"/>
      <c r="O2" s="140"/>
      <c r="P2" s="140"/>
      <c r="Q2" s="140"/>
      <c r="R2" s="140"/>
    </row>
    <row r="3">
      <c r="A3" s="429" t="s">
        <v>6922</v>
      </c>
      <c r="B3" s="105" t="str">
        <f>IFERROR(__xludf.DUMMYFUNCTION("GOOGLETRANSLATE(A3,""zh-tw"",""ja"")"),"2 - ファイル エクスプローラー アプリケーションを開き、Documents/sister_save (古いゲーム バージョンの場合) を見つけて、その中のすべてのファイルをコピーして保存します。")</f>
        <v>2 - ファイル エクスプローラー アプリケーションを開き、Documents/sister_save (古いゲーム バージョンの場合) を見つけて、その中のすべてのファイルをコピーして保存します。</v>
      </c>
      <c r="C3" s="219" t="str">
        <f>IFERROR(__xludf.DUMMYFUNCTION("GOOGLETRANSLATE(A3,""zh-tw"",""en"")"),"2 - Open the File Explorer application and locate Documents/sister_save (in older game versions), copy all the files inside and save it.")</f>
        <v>2 - Open the File Explorer application and locate Documents/sister_save (in older game versions), copy all the files inside and save it.</v>
      </c>
      <c r="D3" s="43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31" t="s">
        <v>6923</v>
      </c>
      <c r="F3" s="432" t="s">
        <v>6924</v>
      </c>
      <c r="G3" s="140"/>
      <c r="H3" s="140"/>
      <c r="I3" s="140"/>
      <c r="J3" s="140"/>
      <c r="K3" s="140"/>
      <c r="L3" s="140"/>
      <c r="M3" s="140"/>
      <c r="N3" s="140"/>
      <c r="O3" s="140"/>
      <c r="P3" s="140"/>
      <c r="Q3" s="140"/>
      <c r="R3" s="140"/>
    </row>
    <row r="4">
      <c r="A4" s="429" t="s">
        <v>6925</v>
      </c>
      <c r="B4" s="105" t="str">
        <f>IFERROR(__xludf.DUMMYFUNCTION("GOOGLETRANSLATE(A4,""zh-tw"",""ja"")"),"3 - 最新バージョンのゲームをインストールし、ゲーム内に任意のセーブファイルを作成する必要があります。
（このセーブファイルは移行後に上書きされ、削除されますのでご注意ください。）")</f>
        <v>3 - 最新バージョンのゲームをインストールし、ゲーム内に任意のセーブファイルを作成する必要があります。
（このセーブファイルは移行後に上書きされ、削除されますのでご注意ください。）</v>
      </c>
      <c r="C4" s="219" t="str">
        <f>IFERROR(__xludf.DUMMYFUNCTION("GOOGLETRANSLATE(A4,""zh-tw"",""en"")"),"3 - You must install the latest version of the game and create an arbitrary save file within the game.
(Please note that this save file will be overwritten and deleted after the transfer.)")</f>
        <v>3 - You must install the latest version of the game and create an arbitrary save file within the game.
(Please note that this save file will be overwritten and deleted after the transfer.)</v>
      </c>
      <c r="D4" s="43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31" t="s">
        <v>6926</v>
      </c>
      <c r="F4" s="432" t="s">
        <v>6927</v>
      </c>
      <c r="G4" s="140"/>
      <c r="H4" s="140"/>
      <c r="I4" s="140"/>
      <c r="J4" s="140"/>
      <c r="K4" s="140"/>
      <c r="L4" s="140"/>
      <c r="M4" s="140"/>
      <c r="N4" s="140"/>
      <c r="O4" s="140"/>
      <c r="P4" s="140"/>
      <c r="Q4" s="140"/>
      <c r="R4" s="140"/>
    </row>
    <row r="5">
      <c r="A5" s="429" t="s">
        <v>6928</v>
      </c>
      <c r="B5" s="105" t="str">
        <f>IFERROR(__xludf.DUMMYFUNCTION("GOOGLETRANSLATE(A5,""zh-tw"",""ja"")"),"4 - ファイル エクスプローラー アプリケーションを再度開き、[新しいゲーム バージョン] フォルダー内の Documents/sister_save を見つけて、フォルダー内の手順 2 の保存ファイルを「上書き」します。")</f>
        <v>4 - ファイル エクスプローラー アプリケーションを再度開き、[新しいゲーム バージョン] フォルダー内の Documents/sister_save を見つけて、フォルダー内の手順 2 の保存ファイルを「上書き」します。</v>
      </c>
      <c r="C5" s="219" t="str">
        <f>IFERROR(__xludf.DUMMYFUNCTION("GOOGLETRANSLATE(A5,""zh-tw"",""en"")"),"4 - Reopen the File Explorer application, find Documents/sister_save in the [New Game Version] folder, and ""overwrite"" the save file from step 2 in the folder.")</f>
        <v>4 - Reopen the File Explorer application, find Documents/sister_save in the [New Game Version] folder, and "overwrite" the save file from step 2 in the folder.</v>
      </c>
      <c r="D5" s="43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31" t="s">
        <v>6929</v>
      </c>
      <c r="F5" s="432" t="s">
        <v>6930</v>
      </c>
      <c r="G5" s="140"/>
      <c r="H5" s="140"/>
      <c r="I5" s="140"/>
      <c r="J5" s="140"/>
      <c r="K5" s="140"/>
      <c r="L5" s="140"/>
      <c r="M5" s="140"/>
      <c r="N5" s="140"/>
      <c r="O5" s="140"/>
      <c r="P5" s="140"/>
      <c r="Q5" s="140"/>
      <c r="R5" s="140"/>
    </row>
    <row r="6">
      <c r="A6" s="433" t="s">
        <v>6931</v>
      </c>
      <c r="B6" s="434" t="s">
        <v>6932</v>
      </c>
      <c r="C6" s="435" t="s">
        <v>6933</v>
      </c>
      <c r="D6" s="436" t="s">
        <v>6934</v>
      </c>
      <c r="E6" s="437" t="s">
        <v>6935</v>
      </c>
      <c r="F6" s="438" t="s">
        <v>6936</v>
      </c>
      <c r="G6" s="140"/>
      <c r="H6" s="140"/>
      <c r="I6" s="140"/>
      <c r="J6" s="140"/>
      <c r="K6" s="140"/>
      <c r="L6" s="140"/>
      <c r="M6" s="140"/>
      <c r="N6" s="140"/>
      <c r="O6" s="140"/>
      <c r="P6" s="140"/>
      <c r="Q6" s="140"/>
      <c r="R6" s="140"/>
    </row>
    <row r="7">
      <c r="A7" s="439"/>
      <c r="B7" s="140"/>
      <c r="C7" s="439"/>
      <c r="D7" s="140"/>
      <c r="E7" s="440"/>
      <c r="F7" s="205"/>
      <c r="G7" s="140"/>
      <c r="H7" s="140"/>
      <c r="I7" s="140"/>
      <c r="J7" s="140"/>
      <c r="K7" s="140"/>
      <c r="L7" s="140"/>
      <c r="M7" s="140"/>
      <c r="N7" s="140"/>
      <c r="O7" s="140"/>
      <c r="P7" s="140"/>
      <c r="Q7" s="140"/>
      <c r="R7" s="140"/>
    </row>
    <row r="8">
      <c r="A8" s="439"/>
      <c r="B8" s="140"/>
      <c r="C8" s="140"/>
      <c r="D8" s="140"/>
      <c r="E8" s="140"/>
      <c r="F8" s="205"/>
      <c r="G8" s="140"/>
      <c r="H8" s="140"/>
      <c r="I8" s="140"/>
      <c r="J8" s="140"/>
      <c r="K8" s="140"/>
      <c r="L8" s="140"/>
      <c r="M8" s="140"/>
      <c r="N8" s="140"/>
      <c r="O8" s="140"/>
      <c r="P8" s="140"/>
      <c r="Q8" s="140"/>
      <c r="R8" s="140"/>
    </row>
    <row r="9">
      <c r="A9" s="439"/>
      <c r="B9" s="140"/>
      <c r="C9" s="140"/>
      <c r="D9" s="140"/>
      <c r="E9" s="140"/>
      <c r="F9" s="205"/>
      <c r="G9" s="140"/>
      <c r="H9" s="140"/>
      <c r="I9" s="140"/>
      <c r="J9" s="140"/>
      <c r="K9" s="140"/>
      <c r="L9" s="140"/>
      <c r="M9" s="140"/>
      <c r="N9" s="140"/>
      <c r="O9" s="140"/>
      <c r="P9" s="140"/>
      <c r="Q9" s="140"/>
      <c r="R9" s="140"/>
    </row>
    <row r="10">
      <c r="A10" s="439"/>
      <c r="B10" s="140"/>
      <c r="C10" s="140"/>
      <c r="D10" s="140"/>
      <c r="E10" s="140"/>
      <c r="F10" s="205"/>
      <c r="G10" s="140"/>
      <c r="H10" s="140"/>
      <c r="I10" s="140"/>
      <c r="J10" s="140"/>
      <c r="K10" s="140"/>
      <c r="L10" s="140"/>
      <c r="M10" s="140"/>
      <c r="N10" s="140"/>
      <c r="O10" s="140"/>
      <c r="P10" s="140"/>
      <c r="Q10" s="140"/>
      <c r="R10" s="140"/>
    </row>
    <row r="11">
      <c r="A11" s="439"/>
      <c r="B11" s="140"/>
      <c r="C11" s="140"/>
      <c r="D11" s="140"/>
      <c r="E11" s="140"/>
      <c r="F11" s="205"/>
      <c r="G11" s="140"/>
      <c r="H11" s="140"/>
      <c r="I11" s="140"/>
      <c r="J11" s="140"/>
      <c r="K11" s="140"/>
      <c r="L11" s="140"/>
      <c r="M11" s="140"/>
      <c r="N11" s="140"/>
      <c r="O11" s="140"/>
      <c r="P11" s="140"/>
      <c r="Q11" s="140"/>
      <c r="R11" s="140"/>
    </row>
    <row r="12">
      <c r="A12" s="439"/>
      <c r="B12" s="140"/>
      <c r="C12" s="140"/>
      <c r="D12" s="140"/>
      <c r="E12" s="140"/>
      <c r="F12" s="205"/>
      <c r="G12" s="140"/>
      <c r="H12" s="140"/>
      <c r="I12" s="140"/>
      <c r="J12" s="140"/>
      <c r="K12" s="140"/>
      <c r="L12" s="140"/>
      <c r="M12" s="140"/>
      <c r="N12" s="140"/>
      <c r="O12" s="140"/>
      <c r="P12" s="140"/>
      <c r="Q12" s="140"/>
      <c r="R12" s="140"/>
    </row>
    <row r="13">
      <c r="A13" s="439"/>
      <c r="B13" s="140"/>
      <c r="C13" s="140"/>
      <c r="D13" s="140"/>
      <c r="E13" s="140"/>
      <c r="F13" s="205"/>
      <c r="G13" s="140"/>
      <c r="H13" s="140"/>
      <c r="I13" s="140"/>
      <c r="J13" s="140"/>
      <c r="K13" s="140"/>
      <c r="L13" s="140"/>
      <c r="M13" s="140"/>
      <c r="N13" s="140"/>
      <c r="O13" s="140"/>
      <c r="P13" s="140"/>
      <c r="Q13" s="140"/>
      <c r="R13" s="140"/>
    </row>
    <row r="14">
      <c r="A14" s="439"/>
      <c r="B14" s="140"/>
      <c r="C14" s="140"/>
      <c r="D14" s="140"/>
      <c r="E14" s="140"/>
      <c r="F14" s="205"/>
      <c r="G14" s="140"/>
      <c r="H14" s="140"/>
      <c r="I14" s="140"/>
      <c r="J14" s="140"/>
      <c r="K14" s="140"/>
      <c r="L14" s="140"/>
      <c r="M14" s="140"/>
      <c r="N14" s="140"/>
      <c r="O14" s="140"/>
      <c r="P14" s="140"/>
      <c r="Q14" s="140"/>
      <c r="R14" s="140"/>
    </row>
    <row r="15">
      <c r="A15" s="439"/>
      <c r="B15" s="140"/>
      <c r="C15" s="140"/>
      <c r="D15" s="140"/>
      <c r="E15" s="140"/>
      <c r="F15" s="205"/>
      <c r="G15" s="140"/>
      <c r="H15" s="140"/>
      <c r="I15" s="140"/>
      <c r="J15" s="140"/>
      <c r="K15" s="140"/>
      <c r="L15" s="140"/>
      <c r="M15" s="140"/>
      <c r="N15" s="140"/>
      <c r="O15" s="140"/>
      <c r="P15" s="140"/>
      <c r="Q15" s="140"/>
      <c r="R15" s="140"/>
    </row>
    <row r="16">
      <c r="A16" s="439"/>
      <c r="B16" s="140"/>
      <c r="C16" s="140"/>
      <c r="D16" s="140"/>
      <c r="E16" s="140"/>
      <c r="F16" s="205"/>
      <c r="G16" s="140"/>
      <c r="H16" s="140"/>
      <c r="I16" s="140"/>
      <c r="J16" s="140"/>
      <c r="K16" s="140"/>
      <c r="L16" s="140"/>
      <c r="M16" s="140"/>
      <c r="N16" s="140"/>
      <c r="O16" s="140"/>
      <c r="P16" s="140"/>
      <c r="Q16" s="140"/>
      <c r="R16" s="140"/>
    </row>
    <row r="17">
      <c r="A17" s="439"/>
      <c r="B17" s="140"/>
      <c r="C17" s="140"/>
      <c r="D17" s="140"/>
      <c r="E17" s="140"/>
      <c r="F17" s="205"/>
      <c r="G17" s="140"/>
      <c r="H17" s="140"/>
      <c r="I17" s="140"/>
      <c r="J17" s="140"/>
      <c r="K17" s="140"/>
      <c r="L17" s="140"/>
      <c r="M17" s="140"/>
      <c r="N17" s="140"/>
      <c r="O17" s="140"/>
      <c r="P17" s="140"/>
      <c r="Q17" s="140"/>
      <c r="R17" s="140"/>
    </row>
    <row r="18">
      <c r="A18" s="439"/>
      <c r="B18" s="140"/>
      <c r="C18" s="140"/>
      <c r="D18" s="140"/>
      <c r="E18" s="140"/>
      <c r="F18" s="205"/>
      <c r="G18" s="140"/>
      <c r="H18" s="140"/>
      <c r="I18" s="140"/>
      <c r="J18" s="140"/>
      <c r="K18" s="140"/>
      <c r="L18" s="140"/>
      <c r="M18" s="140"/>
      <c r="N18" s="140"/>
      <c r="O18" s="140"/>
      <c r="P18" s="140"/>
      <c r="Q18" s="140"/>
      <c r="R18" s="140"/>
    </row>
    <row r="19">
      <c r="A19" s="439"/>
      <c r="B19" s="140"/>
      <c r="C19" s="140"/>
      <c r="D19" s="140"/>
      <c r="E19" s="140"/>
      <c r="F19" s="205"/>
      <c r="G19" s="140"/>
      <c r="H19" s="140"/>
      <c r="I19" s="140"/>
      <c r="J19" s="140"/>
      <c r="K19" s="140"/>
      <c r="L19" s="140"/>
      <c r="M19" s="140"/>
      <c r="N19" s="140"/>
      <c r="O19" s="140"/>
      <c r="P19" s="140"/>
      <c r="Q19" s="140"/>
      <c r="R19" s="140"/>
    </row>
    <row r="20">
      <c r="A20" s="439"/>
      <c r="B20" s="140"/>
      <c r="C20" s="140"/>
      <c r="D20" s="140"/>
      <c r="E20" s="140"/>
      <c r="F20" s="205"/>
      <c r="G20" s="140"/>
      <c r="H20" s="140"/>
      <c r="I20" s="140"/>
      <c r="J20" s="140"/>
      <c r="K20" s="140"/>
      <c r="L20" s="140"/>
      <c r="M20" s="140"/>
      <c r="N20" s="140"/>
      <c r="O20" s="140"/>
      <c r="P20" s="140"/>
      <c r="Q20" s="140"/>
      <c r="R20" s="140"/>
    </row>
    <row r="21">
      <c r="A21" s="439"/>
      <c r="B21" s="140"/>
      <c r="C21" s="140"/>
      <c r="D21" s="140"/>
      <c r="E21" s="140"/>
      <c r="F21" s="205"/>
      <c r="G21" s="140"/>
      <c r="H21" s="140"/>
      <c r="I21" s="140"/>
      <c r="J21" s="140"/>
      <c r="K21" s="140"/>
      <c r="L21" s="140"/>
      <c r="M21" s="140"/>
      <c r="N21" s="140"/>
      <c r="O21" s="140"/>
      <c r="P21" s="140"/>
      <c r="Q21" s="140"/>
      <c r="R21" s="140"/>
    </row>
    <row r="22">
      <c r="A22" s="439"/>
      <c r="B22" s="140"/>
      <c r="C22" s="140"/>
      <c r="D22" s="140"/>
      <c r="E22" s="140"/>
      <c r="F22" s="205"/>
      <c r="G22" s="140"/>
      <c r="H22" s="140"/>
      <c r="I22" s="140"/>
      <c r="J22" s="140"/>
      <c r="K22" s="140"/>
      <c r="L22" s="140"/>
      <c r="M22" s="140"/>
      <c r="N22" s="140"/>
      <c r="O22" s="140"/>
      <c r="P22" s="140"/>
      <c r="Q22" s="140"/>
      <c r="R22" s="140"/>
    </row>
    <row r="23">
      <c r="A23" s="439"/>
      <c r="B23" s="140"/>
      <c r="C23" s="140"/>
      <c r="D23" s="140"/>
      <c r="E23" s="140"/>
      <c r="F23" s="205"/>
      <c r="G23" s="140"/>
      <c r="H23" s="140"/>
      <c r="I23" s="140"/>
      <c r="J23" s="140"/>
      <c r="K23" s="140"/>
      <c r="L23" s="140"/>
      <c r="M23" s="140"/>
      <c r="N23" s="140"/>
      <c r="O23" s="140"/>
      <c r="P23" s="140"/>
      <c r="Q23" s="140"/>
      <c r="R23" s="140"/>
    </row>
    <row r="24">
      <c r="A24" s="439"/>
      <c r="B24" s="140"/>
      <c r="C24" s="140"/>
      <c r="D24" s="140"/>
      <c r="E24" s="140"/>
      <c r="F24" s="205"/>
      <c r="G24" s="140"/>
      <c r="H24" s="140"/>
      <c r="I24" s="140"/>
      <c r="J24" s="140"/>
      <c r="K24" s="140"/>
      <c r="L24" s="140"/>
      <c r="M24" s="140"/>
      <c r="N24" s="140"/>
      <c r="O24" s="140"/>
      <c r="P24" s="140"/>
      <c r="Q24" s="140"/>
      <c r="R24" s="140"/>
    </row>
    <row r="25">
      <c r="A25" s="439"/>
      <c r="B25" s="140"/>
      <c r="C25" s="140"/>
      <c r="D25" s="140"/>
      <c r="E25" s="140"/>
      <c r="F25" s="205"/>
      <c r="G25" s="140"/>
      <c r="H25" s="140"/>
      <c r="I25" s="140"/>
      <c r="J25" s="140"/>
      <c r="K25" s="140"/>
      <c r="L25" s="140"/>
      <c r="M25" s="140"/>
      <c r="N25" s="140"/>
      <c r="O25" s="140"/>
      <c r="P25" s="140"/>
      <c r="Q25" s="140"/>
      <c r="R25" s="140"/>
    </row>
    <row r="26">
      <c r="A26" s="439"/>
      <c r="B26" s="140"/>
      <c r="C26" s="140"/>
      <c r="D26" s="140"/>
      <c r="E26" s="140"/>
      <c r="F26" s="205"/>
      <c r="G26" s="140"/>
      <c r="H26" s="140"/>
      <c r="I26" s="140"/>
      <c r="J26" s="140"/>
      <c r="K26" s="140"/>
      <c r="L26" s="140"/>
      <c r="M26" s="140"/>
      <c r="N26" s="140"/>
      <c r="O26" s="140"/>
      <c r="P26" s="140"/>
      <c r="Q26" s="140"/>
      <c r="R26" s="140"/>
    </row>
    <row r="27">
      <c r="A27" s="439"/>
      <c r="B27" s="140"/>
      <c r="C27" s="140"/>
      <c r="D27" s="140"/>
      <c r="E27" s="140"/>
      <c r="F27" s="205"/>
      <c r="G27" s="140"/>
      <c r="H27" s="140"/>
      <c r="I27" s="140"/>
      <c r="J27" s="140"/>
      <c r="K27" s="140"/>
      <c r="L27" s="140"/>
      <c r="M27" s="140"/>
      <c r="N27" s="140"/>
      <c r="O27" s="140"/>
      <c r="P27" s="140"/>
      <c r="Q27" s="140"/>
      <c r="R27" s="140"/>
    </row>
    <row r="28">
      <c r="A28" s="439"/>
      <c r="B28" s="140"/>
      <c r="C28" s="140"/>
      <c r="D28" s="140"/>
      <c r="E28" s="140"/>
      <c r="F28" s="205"/>
      <c r="G28" s="140"/>
      <c r="H28" s="140"/>
      <c r="I28" s="140"/>
      <c r="J28" s="140"/>
      <c r="K28" s="140"/>
      <c r="L28" s="140"/>
      <c r="M28" s="140"/>
      <c r="N28" s="140"/>
      <c r="O28" s="140"/>
      <c r="P28" s="140"/>
      <c r="Q28" s="140"/>
      <c r="R28" s="140"/>
    </row>
    <row r="29">
      <c r="A29" s="439"/>
      <c r="B29" s="140"/>
      <c r="C29" s="140"/>
      <c r="D29" s="140"/>
      <c r="E29" s="140"/>
      <c r="F29" s="205"/>
      <c r="G29" s="140"/>
      <c r="H29" s="140"/>
      <c r="I29" s="140"/>
      <c r="J29" s="140"/>
      <c r="K29" s="140"/>
      <c r="L29" s="140"/>
      <c r="M29" s="140"/>
      <c r="N29" s="140"/>
      <c r="O29" s="140"/>
      <c r="P29" s="140"/>
      <c r="Q29" s="140"/>
      <c r="R29" s="140"/>
    </row>
    <row r="30">
      <c r="A30" s="439"/>
      <c r="B30" s="140"/>
      <c r="C30" s="140"/>
      <c r="D30" s="140"/>
      <c r="E30" s="140"/>
      <c r="F30" s="205"/>
      <c r="G30" s="140"/>
      <c r="H30" s="140"/>
      <c r="I30" s="140"/>
      <c r="J30" s="140"/>
      <c r="K30" s="140"/>
      <c r="L30" s="140"/>
      <c r="M30" s="140"/>
      <c r="N30" s="140"/>
      <c r="O30" s="140"/>
      <c r="P30" s="140"/>
      <c r="Q30" s="140"/>
      <c r="R30" s="140"/>
    </row>
    <row r="31">
      <c r="A31" s="439"/>
      <c r="B31" s="140"/>
      <c r="C31" s="140"/>
      <c r="D31" s="140"/>
      <c r="E31" s="140"/>
      <c r="F31" s="205"/>
      <c r="G31" s="140"/>
      <c r="H31" s="140"/>
      <c r="I31" s="140"/>
      <c r="J31" s="140"/>
      <c r="K31" s="140"/>
      <c r="L31" s="140"/>
      <c r="M31" s="140"/>
      <c r="N31" s="140"/>
      <c r="O31" s="140"/>
      <c r="P31" s="140"/>
      <c r="Q31" s="140"/>
      <c r="R31" s="140"/>
    </row>
    <row r="32">
      <c r="A32" s="140"/>
      <c r="B32" s="140"/>
      <c r="C32" s="140"/>
      <c r="D32" s="140"/>
      <c r="E32" s="140"/>
      <c r="F32" s="205"/>
      <c r="G32" s="140"/>
      <c r="H32" s="140"/>
      <c r="I32" s="140"/>
      <c r="J32" s="140"/>
      <c r="K32" s="140"/>
      <c r="L32" s="140"/>
      <c r="M32" s="140"/>
      <c r="N32" s="140"/>
      <c r="O32" s="140"/>
      <c r="P32" s="140"/>
      <c r="Q32" s="140"/>
      <c r="R32" s="140"/>
    </row>
    <row r="33">
      <c r="A33" s="140"/>
      <c r="B33" s="140"/>
      <c r="C33" s="140"/>
      <c r="D33" s="140"/>
      <c r="E33" s="140"/>
      <c r="F33" s="205"/>
      <c r="G33" s="140"/>
      <c r="H33" s="140"/>
      <c r="I33" s="140"/>
      <c r="J33" s="140"/>
      <c r="K33" s="140"/>
      <c r="L33" s="140"/>
      <c r="M33" s="140"/>
      <c r="N33" s="140"/>
      <c r="O33" s="140"/>
      <c r="P33" s="140"/>
      <c r="Q33" s="140"/>
      <c r="R33" s="140"/>
    </row>
    <row r="34">
      <c r="A34" s="140"/>
      <c r="B34" s="140"/>
      <c r="C34" s="140"/>
      <c r="D34" s="140"/>
      <c r="E34" s="140"/>
      <c r="F34" s="205"/>
      <c r="G34" s="140"/>
      <c r="H34" s="140"/>
      <c r="I34" s="140"/>
      <c r="J34" s="140"/>
      <c r="K34" s="140"/>
      <c r="L34" s="140"/>
      <c r="M34" s="140"/>
      <c r="N34" s="140"/>
      <c r="O34" s="140"/>
      <c r="P34" s="140"/>
      <c r="Q34" s="140"/>
      <c r="R34" s="140"/>
    </row>
    <row r="35">
      <c r="A35" s="140"/>
      <c r="B35" s="140"/>
      <c r="C35" s="140"/>
      <c r="D35" s="140"/>
      <c r="E35" s="140"/>
      <c r="F35" s="205"/>
      <c r="G35" s="140"/>
      <c r="H35" s="140"/>
      <c r="I35" s="140"/>
      <c r="J35" s="140"/>
      <c r="K35" s="140"/>
      <c r="L35" s="140"/>
      <c r="M35" s="140"/>
      <c r="N35" s="140"/>
      <c r="O35" s="140"/>
      <c r="P35" s="140"/>
      <c r="Q35" s="140"/>
      <c r="R35" s="140"/>
    </row>
    <row r="36">
      <c r="A36" s="140"/>
      <c r="B36" s="140"/>
      <c r="C36" s="140"/>
      <c r="D36" s="140"/>
      <c r="E36" s="140"/>
      <c r="F36" s="205"/>
      <c r="G36" s="140"/>
      <c r="H36" s="140"/>
      <c r="I36" s="140"/>
      <c r="J36" s="140"/>
      <c r="K36" s="140"/>
      <c r="L36" s="140"/>
      <c r="M36" s="140"/>
      <c r="N36" s="140"/>
      <c r="O36" s="140"/>
      <c r="P36" s="140"/>
      <c r="Q36" s="140"/>
      <c r="R36" s="140"/>
    </row>
    <row r="37">
      <c r="A37" s="140"/>
      <c r="B37" s="140"/>
      <c r="C37" s="140"/>
      <c r="D37" s="140"/>
      <c r="E37" s="140"/>
      <c r="F37" s="205"/>
      <c r="G37" s="140"/>
      <c r="H37" s="140"/>
      <c r="I37" s="140"/>
      <c r="J37" s="140"/>
      <c r="K37" s="140"/>
      <c r="L37" s="140"/>
      <c r="M37" s="140"/>
      <c r="N37" s="140"/>
      <c r="O37" s="140"/>
      <c r="P37" s="140"/>
      <c r="Q37" s="140"/>
      <c r="R37" s="140"/>
    </row>
    <row r="38">
      <c r="A38" s="140"/>
      <c r="B38" s="140"/>
      <c r="C38" s="140"/>
      <c r="D38" s="140"/>
      <c r="E38" s="140"/>
      <c r="F38" s="205"/>
      <c r="G38" s="140"/>
      <c r="H38" s="140"/>
      <c r="I38" s="140"/>
      <c r="J38" s="140"/>
      <c r="K38" s="140"/>
      <c r="L38" s="140"/>
      <c r="M38" s="140"/>
      <c r="N38" s="140"/>
      <c r="O38" s="140"/>
      <c r="P38" s="140"/>
      <c r="Q38" s="140"/>
      <c r="R38" s="140"/>
    </row>
    <row r="39">
      <c r="A39" s="140"/>
      <c r="B39" s="140"/>
      <c r="C39" s="140"/>
      <c r="D39" s="140"/>
      <c r="E39" s="140"/>
      <c r="F39" s="205"/>
      <c r="G39" s="140"/>
      <c r="H39" s="140"/>
      <c r="I39" s="140"/>
      <c r="J39" s="140"/>
      <c r="K39" s="140"/>
      <c r="L39" s="140"/>
      <c r="M39" s="140"/>
      <c r="N39" s="140"/>
      <c r="O39" s="140"/>
      <c r="P39" s="140"/>
      <c r="Q39" s="140"/>
      <c r="R39" s="140"/>
    </row>
    <row r="40">
      <c r="A40" s="140"/>
      <c r="B40" s="140"/>
      <c r="C40" s="140"/>
      <c r="D40" s="140"/>
      <c r="E40" s="140"/>
      <c r="F40" s="205"/>
      <c r="G40" s="140"/>
      <c r="H40" s="140"/>
      <c r="I40" s="140"/>
      <c r="J40" s="140"/>
      <c r="K40" s="140"/>
      <c r="L40" s="140"/>
      <c r="M40" s="140"/>
      <c r="N40" s="140"/>
      <c r="O40" s="140"/>
      <c r="P40" s="140"/>
      <c r="Q40" s="140"/>
      <c r="R40" s="140"/>
    </row>
    <row r="41">
      <c r="A41" s="140"/>
      <c r="B41" s="140"/>
      <c r="C41" s="140"/>
      <c r="D41" s="140"/>
      <c r="E41" s="140"/>
      <c r="F41" s="205"/>
      <c r="G41" s="140"/>
      <c r="H41" s="140"/>
      <c r="I41" s="140"/>
      <c r="J41" s="140"/>
      <c r="K41" s="140"/>
      <c r="L41" s="140"/>
      <c r="M41" s="140"/>
      <c r="N41" s="140"/>
      <c r="O41" s="140"/>
      <c r="P41" s="140"/>
      <c r="Q41" s="140"/>
      <c r="R41" s="140"/>
    </row>
    <row r="42">
      <c r="A42" s="140"/>
      <c r="B42" s="140"/>
      <c r="C42" s="140"/>
      <c r="D42" s="140"/>
      <c r="E42" s="140"/>
      <c r="F42" s="205"/>
      <c r="G42" s="140"/>
      <c r="H42" s="140"/>
      <c r="I42" s="140"/>
      <c r="J42" s="140"/>
      <c r="K42" s="140"/>
      <c r="L42" s="140"/>
      <c r="M42" s="140"/>
      <c r="N42" s="140"/>
      <c r="O42" s="140"/>
      <c r="P42" s="140"/>
      <c r="Q42" s="140"/>
      <c r="R42" s="140"/>
    </row>
    <row r="43">
      <c r="A43" s="140"/>
      <c r="B43" s="140"/>
      <c r="C43" s="140"/>
      <c r="D43" s="140"/>
      <c r="E43" s="140"/>
      <c r="F43" s="205"/>
      <c r="G43" s="140"/>
      <c r="H43" s="140"/>
      <c r="I43" s="140"/>
      <c r="J43" s="140"/>
      <c r="K43" s="140"/>
      <c r="L43" s="140"/>
      <c r="M43" s="140"/>
      <c r="N43" s="140"/>
      <c r="O43" s="140"/>
      <c r="P43" s="140"/>
      <c r="Q43" s="140"/>
      <c r="R43" s="140"/>
    </row>
    <row r="44">
      <c r="A44" s="140"/>
      <c r="B44" s="140"/>
      <c r="C44" s="140"/>
      <c r="D44" s="140"/>
      <c r="E44" s="140"/>
      <c r="F44" s="205"/>
      <c r="G44" s="140"/>
      <c r="H44" s="140"/>
      <c r="I44" s="140"/>
      <c r="J44" s="140"/>
      <c r="K44" s="140"/>
      <c r="L44" s="140"/>
      <c r="M44" s="140"/>
      <c r="N44" s="140"/>
      <c r="O44" s="140"/>
      <c r="P44" s="140"/>
      <c r="Q44" s="140"/>
      <c r="R44" s="140"/>
    </row>
    <row r="45">
      <c r="A45" s="140"/>
      <c r="B45" s="140"/>
      <c r="C45" s="140"/>
      <c r="D45" s="140"/>
      <c r="E45" s="140"/>
      <c r="F45" s="205"/>
      <c r="G45" s="140"/>
      <c r="H45" s="140"/>
      <c r="I45" s="140"/>
      <c r="J45" s="140"/>
      <c r="K45" s="140"/>
      <c r="L45" s="140"/>
      <c r="M45" s="140"/>
      <c r="N45" s="140"/>
      <c r="O45" s="140"/>
      <c r="P45" s="140"/>
      <c r="Q45" s="140"/>
      <c r="R45" s="140"/>
    </row>
    <row r="46">
      <c r="A46" s="140"/>
      <c r="B46" s="140"/>
      <c r="C46" s="140"/>
      <c r="D46" s="140"/>
      <c r="E46" s="140"/>
      <c r="F46" s="205"/>
      <c r="G46" s="140"/>
      <c r="H46" s="140"/>
      <c r="I46" s="140"/>
      <c r="J46" s="140"/>
      <c r="K46" s="140"/>
      <c r="L46" s="140"/>
      <c r="M46" s="140"/>
      <c r="N46" s="140"/>
      <c r="O46" s="140"/>
      <c r="P46" s="140"/>
      <c r="Q46" s="140"/>
      <c r="R46" s="140"/>
    </row>
    <row r="47">
      <c r="A47" s="140"/>
      <c r="B47" s="140"/>
      <c r="C47" s="140"/>
      <c r="D47" s="140"/>
      <c r="E47" s="140"/>
      <c r="F47" s="205"/>
      <c r="G47" s="140"/>
      <c r="H47" s="140"/>
      <c r="I47" s="140"/>
      <c r="J47" s="140"/>
      <c r="K47" s="140"/>
      <c r="L47" s="140"/>
      <c r="M47" s="140"/>
      <c r="N47" s="140"/>
      <c r="O47" s="140"/>
      <c r="P47" s="140"/>
      <c r="Q47" s="140"/>
      <c r="R47" s="140"/>
    </row>
    <row r="48">
      <c r="A48" s="140"/>
      <c r="B48" s="140"/>
      <c r="C48" s="140"/>
      <c r="D48" s="140"/>
      <c r="E48" s="140"/>
      <c r="F48" s="205"/>
      <c r="G48" s="140"/>
      <c r="H48" s="140"/>
      <c r="I48" s="140"/>
      <c r="J48" s="140"/>
      <c r="K48" s="140"/>
      <c r="L48" s="140"/>
      <c r="M48" s="140"/>
      <c r="N48" s="140"/>
      <c r="O48" s="140"/>
      <c r="P48" s="140"/>
      <c r="Q48" s="140"/>
      <c r="R48" s="140"/>
    </row>
    <row r="49">
      <c r="A49" s="140"/>
      <c r="B49" s="140"/>
      <c r="C49" s="140"/>
      <c r="D49" s="140"/>
      <c r="E49" s="140"/>
      <c r="F49" s="205"/>
      <c r="G49" s="140"/>
      <c r="H49" s="140"/>
      <c r="I49" s="140"/>
      <c r="J49" s="140"/>
      <c r="K49" s="140"/>
      <c r="L49" s="140"/>
      <c r="M49" s="140"/>
      <c r="N49" s="140"/>
      <c r="O49" s="140"/>
      <c r="P49" s="140"/>
      <c r="Q49" s="140"/>
      <c r="R49" s="140"/>
    </row>
    <row r="50">
      <c r="A50" s="140"/>
      <c r="B50" s="140"/>
      <c r="C50" s="140"/>
      <c r="D50" s="140"/>
      <c r="E50" s="140"/>
      <c r="F50" s="205"/>
      <c r="G50" s="140"/>
      <c r="H50" s="140"/>
      <c r="I50" s="140"/>
      <c r="J50" s="140"/>
      <c r="K50" s="140"/>
      <c r="L50" s="140"/>
      <c r="M50" s="140"/>
      <c r="N50" s="140"/>
      <c r="O50" s="140"/>
      <c r="P50" s="140"/>
      <c r="Q50" s="140"/>
      <c r="R50" s="140"/>
    </row>
    <row r="51">
      <c r="A51" s="140"/>
      <c r="B51" s="140"/>
      <c r="C51" s="140"/>
      <c r="D51" s="140"/>
      <c r="E51" s="140"/>
      <c r="F51" s="205"/>
      <c r="G51" s="140"/>
      <c r="H51" s="140"/>
      <c r="I51" s="140"/>
      <c r="J51" s="140"/>
      <c r="K51" s="140"/>
      <c r="L51" s="140"/>
      <c r="M51" s="140"/>
      <c r="N51" s="140"/>
      <c r="O51" s="140"/>
      <c r="P51" s="140"/>
      <c r="Q51" s="140"/>
      <c r="R51" s="140"/>
    </row>
    <row r="52">
      <c r="A52" s="140"/>
      <c r="B52" s="140"/>
      <c r="C52" s="140"/>
      <c r="D52" s="140"/>
      <c r="E52" s="140"/>
      <c r="F52" s="205"/>
      <c r="G52" s="140"/>
      <c r="H52" s="140"/>
      <c r="I52" s="140"/>
      <c r="J52" s="140"/>
      <c r="K52" s="140"/>
      <c r="L52" s="140"/>
      <c r="M52" s="140"/>
      <c r="N52" s="140"/>
      <c r="O52" s="140"/>
      <c r="P52" s="140"/>
      <c r="Q52" s="140"/>
      <c r="R52" s="140"/>
    </row>
    <row r="53">
      <c r="A53" s="140"/>
      <c r="B53" s="140"/>
      <c r="C53" s="140"/>
      <c r="D53" s="140"/>
      <c r="E53" s="140"/>
      <c r="F53" s="205"/>
      <c r="G53" s="140"/>
      <c r="H53" s="140"/>
      <c r="I53" s="140"/>
      <c r="J53" s="140"/>
      <c r="K53" s="140"/>
      <c r="L53" s="140"/>
      <c r="M53" s="140"/>
      <c r="N53" s="140"/>
      <c r="O53" s="140"/>
      <c r="P53" s="140"/>
      <c r="Q53" s="140"/>
      <c r="R53" s="140"/>
    </row>
    <row r="54">
      <c r="A54" s="140"/>
      <c r="B54" s="140"/>
      <c r="C54" s="140"/>
      <c r="D54" s="140"/>
      <c r="E54" s="140"/>
      <c r="F54" s="205"/>
      <c r="G54" s="140"/>
      <c r="H54" s="140"/>
      <c r="I54" s="140"/>
      <c r="J54" s="140"/>
      <c r="K54" s="140"/>
      <c r="L54" s="140"/>
      <c r="M54" s="140"/>
      <c r="N54" s="140"/>
      <c r="O54" s="140"/>
      <c r="P54" s="140"/>
      <c r="Q54" s="140"/>
      <c r="R54" s="140"/>
    </row>
    <row r="55">
      <c r="A55" s="140"/>
      <c r="B55" s="140"/>
      <c r="C55" s="140"/>
      <c r="D55" s="140"/>
      <c r="E55" s="140"/>
      <c r="F55" s="205"/>
      <c r="G55" s="140"/>
      <c r="H55" s="140"/>
      <c r="I55" s="140"/>
      <c r="J55" s="140"/>
      <c r="K55" s="140"/>
      <c r="L55" s="140"/>
      <c r="M55" s="140"/>
      <c r="N55" s="140"/>
      <c r="O55" s="140"/>
      <c r="P55" s="140"/>
      <c r="Q55" s="140"/>
      <c r="R55" s="140"/>
    </row>
    <row r="56">
      <c r="A56" s="140"/>
      <c r="B56" s="140"/>
      <c r="C56" s="140"/>
      <c r="D56" s="140"/>
      <c r="E56" s="140"/>
      <c r="F56" s="205"/>
      <c r="G56" s="140"/>
      <c r="H56" s="140"/>
      <c r="I56" s="140"/>
      <c r="J56" s="140"/>
      <c r="K56" s="140"/>
      <c r="L56" s="140"/>
      <c r="M56" s="140"/>
      <c r="N56" s="140"/>
      <c r="O56" s="140"/>
      <c r="P56" s="140"/>
      <c r="Q56" s="140"/>
      <c r="R56" s="140"/>
    </row>
    <row r="57">
      <c r="A57" s="140"/>
      <c r="B57" s="140"/>
      <c r="C57" s="140"/>
      <c r="D57" s="140"/>
      <c r="E57" s="140"/>
      <c r="F57" s="205"/>
      <c r="G57" s="140"/>
      <c r="H57" s="140"/>
      <c r="I57" s="140"/>
      <c r="J57" s="140"/>
      <c r="K57" s="140"/>
      <c r="L57" s="140"/>
      <c r="M57" s="140"/>
      <c r="N57" s="140"/>
      <c r="O57" s="140"/>
      <c r="P57" s="140"/>
      <c r="Q57" s="140"/>
      <c r="R57" s="140"/>
    </row>
    <row r="58">
      <c r="A58" s="140"/>
      <c r="B58" s="140"/>
      <c r="C58" s="140"/>
      <c r="D58" s="140"/>
      <c r="E58" s="140"/>
      <c r="F58" s="205"/>
      <c r="G58" s="140"/>
      <c r="H58" s="140"/>
      <c r="I58" s="140"/>
      <c r="J58" s="140"/>
      <c r="K58" s="140"/>
      <c r="L58" s="140"/>
      <c r="M58" s="140"/>
      <c r="N58" s="140"/>
      <c r="O58" s="140"/>
      <c r="P58" s="140"/>
      <c r="Q58" s="140"/>
      <c r="R58" s="140"/>
    </row>
    <row r="59">
      <c r="A59" s="140"/>
      <c r="B59" s="140"/>
      <c r="C59" s="140"/>
      <c r="D59" s="140"/>
      <c r="E59" s="140"/>
      <c r="F59" s="205"/>
      <c r="G59" s="140"/>
      <c r="H59" s="140"/>
      <c r="I59" s="140"/>
      <c r="J59" s="140"/>
      <c r="K59" s="140"/>
      <c r="L59" s="140"/>
      <c r="M59" s="140"/>
      <c r="N59" s="140"/>
      <c r="O59" s="140"/>
      <c r="P59" s="140"/>
      <c r="Q59" s="140"/>
      <c r="R59" s="140"/>
    </row>
    <row r="60">
      <c r="A60" s="140"/>
      <c r="B60" s="140"/>
      <c r="C60" s="140"/>
      <c r="D60" s="140"/>
      <c r="E60" s="140"/>
      <c r="F60" s="205"/>
      <c r="G60" s="140"/>
      <c r="H60" s="140"/>
      <c r="I60" s="140"/>
      <c r="J60" s="140"/>
      <c r="K60" s="140"/>
      <c r="L60" s="140"/>
      <c r="M60" s="140"/>
      <c r="N60" s="140"/>
      <c r="O60" s="140"/>
      <c r="P60" s="140"/>
      <c r="Q60" s="140"/>
      <c r="R60" s="140"/>
    </row>
    <row r="61">
      <c r="A61" s="140"/>
      <c r="B61" s="140"/>
      <c r="C61" s="140"/>
      <c r="D61" s="140"/>
      <c r="E61" s="140"/>
      <c r="F61" s="205"/>
      <c r="G61" s="140"/>
      <c r="H61" s="140"/>
      <c r="I61" s="140"/>
      <c r="J61" s="140"/>
      <c r="K61" s="140"/>
      <c r="L61" s="140"/>
      <c r="M61" s="140"/>
      <c r="N61" s="140"/>
      <c r="O61" s="140"/>
      <c r="P61" s="140"/>
      <c r="Q61" s="140"/>
      <c r="R61" s="140"/>
    </row>
    <row r="62">
      <c r="A62" s="140"/>
      <c r="B62" s="140"/>
      <c r="C62" s="140"/>
      <c r="D62" s="140"/>
      <c r="E62" s="140"/>
      <c r="F62" s="205"/>
      <c r="G62" s="140"/>
      <c r="H62" s="140"/>
      <c r="I62" s="140"/>
      <c r="J62" s="140"/>
      <c r="K62" s="140"/>
      <c r="L62" s="140"/>
      <c r="M62" s="140"/>
      <c r="N62" s="140"/>
      <c r="O62" s="140"/>
      <c r="P62" s="140"/>
      <c r="Q62" s="140"/>
      <c r="R62" s="140"/>
    </row>
    <row r="63">
      <c r="A63" s="140"/>
      <c r="B63" s="140"/>
      <c r="C63" s="140"/>
      <c r="D63" s="140"/>
      <c r="E63" s="140"/>
      <c r="F63" s="205"/>
      <c r="G63" s="140"/>
      <c r="H63" s="140"/>
      <c r="I63" s="140"/>
      <c r="J63" s="140"/>
      <c r="K63" s="140"/>
      <c r="L63" s="140"/>
      <c r="M63" s="140"/>
      <c r="N63" s="140"/>
      <c r="O63" s="140"/>
      <c r="P63" s="140"/>
      <c r="Q63" s="140"/>
      <c r="R63" s="140"/>
    </row>
    <row r="64">
      <c r="A64" s="140"/>
      <c r="B64" s="140"/>
      <c r="C64" s="140"/>
      <c r="D64" s="140"/>
      <c r="E64" s="140"/>
      <c r="F64" s="205"/>
      <c r="G64" s="140"/>
      <c r="H64" s="140"/>
      <c r="I64" s="140"/>
      <c r="J64" s="140"/>
      <c r="K64" s="140"/>
      <c r="L64" s="140"/>
      <c r="M64" s="140"/>
      <c r="N64" s="140"/>
      <c r="O64" s="140"/>
      <c r="P64" s="140"/>
      <c r="Q64" s="140"/>
      <c r="R64" s="140"/>
    </row>
    <row r="65">
      <c r="A65" s="140"/>
      <c r="B65" s="140"/>
      <c r="C65" s="140"/>
      <c r="D65" s="140"/>
      <c r="E65" s="140"/>
      <c r="F65" s="205"/>
      <c r="G65" s="140"/>
      <c r="H65" s="140"/>
      <c r="I65" s="140"/>
      <c r="J65" s="140"/>
      <c r="K65" s="140"/>
      <c r="L65" s="140"/>
      <c r="M65" s="140"/>
      <c r="N65" s="140"/>
      <c r="O65" s="140"/>
      <c r="P65" s="140"/>
      <c r="Q65" s="140"/>
      <c r="R65" s="140"/>
    </row>
    <row r="66">
      <c r="A66" s="140"/>
      <c r="B66" s="140"/>
      <c r="C66" s="140"/>
      <c r="D66" s="140"/>
      <c r="E66" s="140"/>
      <c r="F66" s="205"/>
      <c r="G66" s="140"/>
      <c r="H66" s="140"/>
      <c r="I66" s="140"/>
      <c r="J66" s="140"/>
      <c r="K66" s="140"/>
      <c r="L66" s="140"/>
      <c r="M66" s="140"/>
      <c r="N66" s="140"/>
      <c r="O66" s="140"/>
      <c r="P66" s="140"/>
      <c r="Q66" s="140"/>
      <c r="R66" s="140"/>
    </row>
    <row r="67">
      <c r="A67" s="140"/>
      <c r="B67" s="140"/>
      <c r="C67" s="140"/>
      <c r="D67" s="140"/>
      <c r="E67" s="140"/>
      <c r="F67" s="205"/>
      <c r="G67" s="140"/>
      <c r="H67" s="140"/>
      <c r="I67" s="140"/>
      <c r="J67" s="140"/>
      <c r="K67" s="140"/>
      <c r="L67" s="140"/>
      <c r="M67" s="140"/>
      <c r="N67" s="140"/>
      <c r="O67" s="140"/>
      <c r="P67" s="140"/>
      <c r="Q67" s="140"/>
      <c r="R67" s="140"/>
    </row>
    <row r="68">
      <c r="A68" s="140"/>
      <c r="B68" s="140"/>
      <c r="C68" s="140"/>
      <c r="D68" s="140"/>
      <c r="E68" s="140"/>
      <c r="F68" s="205"/>
      <c r="G68" s="140"/>
      <c r="H68" s="140"/>
      <c r="I68" s="140"/>
      <c r="J68" s="140"/>
      <c r="K68" s="140"/>
      <c r="L68" s="140"/>
      <c r="M68" s="140"/>
      <c r="N68" s="140"/>
      <c r="O68" s="140"/>
      <c r="P68" s="140"/>
      <c r="Q68" s="140"/>
      <c r="R68" s="140"/>
    </row>
    <row r="69">
      <c r="A69" s="140"/>
      <c r="B69" s="140"/>
      <c r="C69" s="140"/>
      <c r="D69" s="140"/>
      <c r="E69" s="140"/>
      <c r="F69" s="205"/>
      <c r="G69" s="140"/>
      <c r="H69" s="140"/>
      <c r="I69" s="140"/>
      <c r="J69" s="140"/>
      <c r="K69" s="140"/>
      <c r="L69" s="140"/>
      <c r="M69" s="140"/>
      <c r="N69" s="140"/>
      <c r="O69" s="140"/>
      <c r="P69" s="140"/>
      <c r="Q69" s="140"/>
      <c r="R69" s="140"/>
    </row>
    <row r="70">
      <c r="A70" s="140"/>
      <c r="B70" s="140"/>
      <c r="C70" s="140"/>
      <c r="D70" s="140"/>
      <c r="E70" s="140"/>
      <c r="F70" s="205"/>
      <c r="G70" s="140"/>
      <c r="H70" s="140"/>
      <c r="I70" s="140"/>
      <c r="J70" s="140"/>
      <c r="K70" s="140"/>
      <c r="L70" s="140"/>
      <c r="M70" s="140"/>
      <c r="N70" s="140"/>
      <c r="O70" s="140"/>
      <c r="P70" s="140"/>
      <c r="Q70" s="140"/>
      <c r="R70" s="140"/>
    </row>
    <row r="71">
      <c r="A71" s="140"/>
      <c r="B71" s="140"/>
      <c r="C71" s="140"/>
      <c r="D71" s="140"/>
      <c r="E71" s="140"/>
      <c r="F71" s="205"/>
      <c r="G71" s="140"/>
      <c r="H71" s="140"/>
      <c r="I71" s="140"/>
      <c r="J71" s="140"/>
      <c r="K71" s="140"/>
      <c r="L71" s="140"/>
      <c r="M71" s="140"/>
      <c r="N71" s="140"/>
      <c r="O71" s="140"/>
      <c r="P71" s="140"/>
      <c r="Q71" s="140"/>
      <c r="R71" s="140"/>
    </row>
    <row r="72">
      <c r="A72" s="140"/>
      <c r="B72" s="140"/>
      <c r="C72" s="140"/>
      <c r="D72" s="140"/>
      <c r="E72" s="140"/>
      <c r="F72" s="205"/>
      <c r="G72" s="140"/>
      <c r="H72" s="140"/>
      <c r="I72" s="140"/>
      <c r="J72" s="140"/>
      <c r="K72" s="140"/>
      <c r="L72" s="140"/>
      <c r="M72" s="140"/>
      <c r="N72" s="140"/>
      <c r="O72" s="140"/>
      <c r="P72" s="140"/>
      <c r="Q72" s="140"/>
      <c r="R72" s="140"/>
    </row>
    <row r="73">
      <c r="A73" s="140"/>
      <c r="B73" s="140"/>
      <c r="C73" s="140"/>
      <c r="D73" s="140"/>
      <c r="E73" s="140"/>
      <c r="F73" s="205"/>
      <c r="G73" s="140"/>
      <c r="H73" s="140"/>
      <c r="I73" s="140"/>
      <c r="J73" s="140"/>
      <c r="K73" s="140"/>
      <c r="L73" s="140"/>
      <c r="M73" s="140"/>
      <c r="N73" s="140"/>
      <c r="O73" s="140"/>
      <c r="P73" s="140"/>
      <c r="Q73" s="140"/>
      <c r="R73" s="140"/>
    </row>
    <row r="74">
      <c r="A74" s="140"/>
      <c r="B74" s="140"/>
      <c r="C74" s="140"/>
      <c r="D74" s="140"/>
      <c r="E74" s="140"/>
      <c r="F74" s="205"/>
      <c r="G74" s="140"/>
      <c r="H74" s="140"/>
      <c r="I74" s="140"/>
      <c r="J74" s="140"/>
      <c r="K74" s="140"/>
      <c r="L74" s="140"/>
      <c r="M74" s="140"/>
      <c r="N74" s="140"/>
      <c r="O74" s="140"/>
      <c r="P74" s="140"/>
      <c r="Q74" s="140"/>
      <c r="R74" s="140"/>
    </row>
    <row r="75">
      <c r="A75" s="140"/>
      <c r="B75" s="140"/>
      <c r="C75" s="140"/>
      <c r="D75" s="140"/>
      <c r="E75" s="140"/>
      <c r="F75" s="205"/>
      <c r="G75" s="140"/>
      <c r="H75" s="140"/>
      <c r="I75" s="140"/>
      <c r="J75" s="140"/>
      <c r="K75" s="140"/>
      <c r="L75" s="140"/>
      <c r="M75" s="140"/>
      <c r="N75" s="140"/>
      <c r="O75" s="140"/>
      <c r="P75" s="140"/>
      <c r="Q75" s="140"/>
      <c r="R75" s="140"/>
    </row>
    <row r="76">
      <c r="A76" s="140"/>
      <c r="B76" s="140"/>
      <c r="C76" s="140"/>
      <c r="D76" s="140"/>
      <c r="E76" s="140"/>
      <c r="F76" s="205"/>
      <c r="G76" s="140"/>
      <c r="H76" s="140"/>
      <c r="I76" s="140"/>
      <c r="J76" s="140"/>
      <c r="K76" s="140"/>
      <c r="L76" s="140"/>
      <c r="M76" s="140"/>
      <c r="N76" s="140"/>
      <c r="O76" s="140"/>
      <c r="P76" s="140"/>
      <c r="Q76" s="140"/>
      <c r="R76" s="140"/>
    </row>
    <row r="77">
      <c r="A77" s="140"/>
      <c r="B77" s="140"/>
      <c r="C77" s="140"/>
      <c r="D77" s="140"/>
      <c r="E77" s="140"/>
      <c r="F77" s="205"/>
      <c r="G77" s="140"/>
      <c r="H77" s="140"/>
      <c r="I77" s="140"/>
      <c r="J77" s="140"/>
      <c r="K77" s="140"/>
      <c r="L77" s="140"/>
      <c r="M77" s="140"/>
      <c r="N77" s="140"/>
      <c r="O77" s="140"/>
      <c r="P77" s="140"/>
      <c r="Q77" s="140"/>
      <c r="R77" s="140"/>
    </row>
    <row r="78">
      <c r="A78" s="140"/>
      <c r="B78" s="140"/>
      <c r="C78" s="140"/>
      <c r="D78" s="140"/>
      <c r="E78" s="140"/>
      <c r="F78" s="205"/>
      <c r="G78" s="140"/>
      <c r="H78" s="140"/>
      <c r="I78" s="140"/>
      <c r="J78" s="140"/>
      <c r="K78" s="140"/>
      <c r="L78" s="140"/>
      <c r="M78" s="140"/>
      <c r="N78" s="140"/>
      <c r="O78" s="140"/>
      <c r="P78" s="140"/>
      <c r="Q78" s="140"/>
      <c r="R78" s="140"/>
    </row>
    <row r="79">
      <c r="A79" s="140"/>
      <c r="B79" s="140"/>
      <c r="C79" s="140"/>
      <c r="D79" s="140"/>
      <c r="E79" s="140"/>
      <c r="F79" s="205"/>
      <c r="G79" s="140"/>
      <c r="H79" s="140"/>
      <c r="I79" s="140"/>
      <c r="J79" s="140"/>
      <c r="K79" s="140"/>
      <c r="L79" s="140"/>
      <c r="M79" s="140"/>
      <c r="N79" s="140"/>
      <c r="O79" s="140"/>
      <c r="P79" s="140"/>
      <c r="Q79" s="140"/>
      <c r="R79" s="140"/>
    </row>
    <row r="80">
      <c r="A80" s="140"/>
      <c r="B80" s="140"/>
      <c r="C80" s="140"/>
      <c r="D80" s="140"/>
      <c r="E80" s="140"/>
      <c r="F80" s="205"/>
      <c r="G80" s="140"/>
      <c r="H80" s="140"/>
      <c r="I80" s="140"/>
      <c r="J80" s="140"/>
      <c r="K80" s="140"/>
      <c r="L80" s="140"/>
      <c r="M80" s="140"/>
      <c r="N80" s="140"/>
      <c r="O80" s="140"/>
      <c r="P80" s="140"/>
      <c r="Q80" s="140"/>
      <c r="R80" s="140"/>
    </row>
    <row r="81">
      <c r="A81" s="140"/>
      <c r="B81" s="140"/>
      <c r="C81" s="140"/>
      <c r="D81" s="140"/>
      <c r="E81" s="140"/>
      <c r="F81" s="205"/>
      <c r="G81" s="140"/>
      <c r="H81" s="140"/>
      <c r="I81" s="140"/>
      <c r="J81" s="140"/>
      <c r="K81" s="140"/>
      <c r="L81" s="140"/>
      <c r="M81" s="140"/>
      <c r="N81" s="140"/>
      <c r="O81" s="140"/>
      <c r="P81" s="140"/>
      <c r="Q81" s="140"/>
      <c r="R81" s="140"/>
    </row>
    <row r="82">
      <c r="A82" s="140"/>
      <c r="B82" s="140"/>
      <c r="C82" s="140"/>
      <c r="D82" s="140"/>
      <c r="E82" s="140"/>
      <c r="F82" s="205"/>
      <c r="G82" s="140"/>
      <c r="H82" s="140"/>
      <c r="I82" s="140"/>
      <c r="J82" s="140"/>
      <c r="K82" s="140"/>
      <c r="L82" s="140"/>
      <c r="M82" s="140"/>
      <c r="N82" s="140"/>
      <c r="O82" s="140"/>
      <c r="P82" s="140"/>
      <c r="Q82" s="140"/>
      <c r="R82" s="140"/>
    </row>
    <row r="83">
      <c r="A83" s="140"/>
      <c r="B83" s="140"/>
      <c r="C83" s="140"/>
      <c r="D83" s="140"/>
      <c r="E83" s="140"/>
      <c r="F83" s="205"/>
      <c r="G83" s="140"/>
      <c r="H83" s="140"/>
      <c r="I83" s="140"/>
      <c r="J83" s="140"/>
      <c r="K83" s="140"/>
      <c r="L83" s="140"/>
      <c r="M83" s="140"/>
      <c r="N83" s="140"/>
      <c r="O83" s="140"/>
      <c r="P83" s="140"/>
      <c r="Q83" s="140"/>
      <c r="R83" s="140"/>
    </row>
    <row r="84">
      <c r="A84" s="140"/>
      <c r="B84" s="140"/>
      <c r="C84" s="140"/>
      <c r="D84" s="140"/>
      <c r="E84" s="140"/>
      <c r="F84" s="205"/>
      <c r="G84" s="140"/>
      <c r="H84" s="140"/>
      <c r="I84" s="140"/>
      <c r="J84" s="140"/>
      <c r="K84" s="140"/>
      <c r="L84" s="140"/>
      <c r="M84" s="140"/>
      <c r="N84" s="140"/>
      <c r="O84" s="140"/>
      <c r="P84" s="140"/>
      <c r="Q84" s="140"/>
      <c r="R84" s="140"/>
    </row>
    <row r="85">
      <c r="A85" s="140"/>
      <c r="B85" s="140"/>
      <c r="C85" s="140"/>
      <c r="D85" s="140"/>
      <c r="E85" s="140"/>
      <c r="F85" s="205"/>
      <c r="G85" s="140"/>
      <c r="H85" s="140"/>
      <c r="I85" s="140"/>
      <c r="J85" s="140"/>
      <c r="K85" s="140"/>
      <c r="L85" s="140"/>
      <c r="M85" s="140"/>
      <c r="N85" s="140"/>
      <c r="O85" s="140"/>
      <c r="P85" s="140"/>
      <c r="Q85" s="140"/>
      <c r="R85" s="140"/>
    </row>
    <row r="86">
      <c r="A86" s="140"/>
      <c r="B86" s="140"/>
      <c r="C86" s="140"/>
      <c r="D86" s="140"/>
      <c r="E86" s="140"/>
      <c r="F86" s="205"/>
      <c r="G86" s="140"/>
      <c r="H86" s="140"/>
      <c r="I86" s="140"/>
      <c r="J86" s="140"/>
      <c r="K86" s="140"/>
      <c r="L86" s="140"/>
      <c r="M86" s="140"/>
      <c r="N86" s="140"/>
      <c r="O86" s="140"/>
      <c r="P86" s="140"/>
      <c r="Q86" s="140"/>
      <c r="R86" s="140"/>
    </row>
    <row r="87">
      <c r="A87" s="140"/>
      <c r="B87" s="140"/>
      <c r="C87" s="140"/>
      <c r="D87" s="140"/>
      <c r="E87" s="140"/>
      <c r="F87" s="205"/>
      <c r="G87" s="140"/>
      <c r="H87" s="140"/>
      <c r="I87" s="140"/>
      <c r="J87" s="140"/>
      <c r="K87" s="140"/>
      <c r="L87" s="140"/>
      <c r="M87" s="140"/>
      <c r="N87" s="140"/>
      <c r="O87" s="140"/>
      <c r="P87" s="140"/>
      <c r="Q87" s="140"/>
      <c r="R87" s="140"/>
    </row>
    <row r="88">
      <c r="A88" s="140"/>
      <c r="B88" s="140"/>
      <c r="C88" s="140"/>
      <c r="D88" s="140"/>
      <c r="E88" s="140"/>
      <c r="F88" s="205"/>
      <c r="G88" s="140"/>
      <c r="H88" s="140"/>
      <c r="I88" s="140"/>
      <c r="J88" s="140"/>
      <c r="K88" s="140"/>
      <c r="L88" s="140"/>
      <c r="M88" s="140"/>
      <c r="N88" s="140"/>
      <c r="O88" s="140"/>
      <c r="P88" s="140"/>
      <c r="Q88" s="140"/>
      <c r="R88" s="140"/>
    </row>
    <row r="89">
      <c r="A89" s="140"/>
      <c r="B89" s="140"/>
      <c r="C89" s="140"/>
      <c r="D89" s="140"/>
      <c r="E89" s="140"/>
      <c r="F89" s="205"/>
      <c r="G89" s="140"/>
      <c r="H89" s="140"/>
      <c r="I89" s="140"/>
      <c r="J89" s="140"/>
      <c r="K89" s="140"/>
      <c r="L89" s="140"/>
      <c r="M89" s="140"/>
      <c r="N89" s="140"/>
      <c r="O89" s="140"/>
      <c r="P89" s="140"/>
      <c r="Q89" s="140"/>
      <c r="R89" s="140"/>
    </row>
    <row r="90">
      <c r="A90" s="140"/>
      <c r="B90" s="140"/>
      <c r="C90" s="140"/>
      <c r="D90" s="140"/>
      <c r="E90" s="140"/>
      <c r="F90" s="205"/>
      <c r="G90" s="140"/>
      <c r="H90" s="140"/>
      <c r="I90" s="140"/>
      <c r="J90" s="140"/>
      <c r="K90" s="140"/>
      <c r="L90" s="140"/>
      <c r="M90" s="140"/>
      <c r="N90" s="140"/>
      <c r="O90" s="140"/>
      <c r="P90" s="140"/>
      <c r="Q90" s="140"/>
      <c r="R90" s="140"/>
    </row>
    <row r="91">
      <c r="A91" s="140"/>
      <c r="B91" s="140"/>
      <c r="C91" s="140"/>
      <c r="D91" s="140"/>
      <c r="E91" s="140"/>
      <c r="F91" s="205"/>
      <c r="G91" s="140"/>
      <c r="H91" s="140"/>
      <c r="I91" s="140"/>
      <c r="J91" s="140"/>
      <c r="K91" s="140"/>
      <c r="L91" s="140"/>
      <c r="M91" s="140"/>
      <c r="N91" s="140"/>
      <c r="O91" s="140"/>
      <c r="P91" s="140"/>
      <c r="Q91" s="140"/>
      <c r="R91" s="140"/>
    </row>
    <row r="92">
      <c r="A92" s="140"/>
      <c r="B92" s="140"/>
      <c r="C92" s="140"/>
      <c r="D92" s="140"/>
      <c r="E92" s="140"/>
      <c r="F92" s="205"/>
      <c r="G92" s="140"/>
      <c r="H92" s="140"/>
      <c r="I92" s="140"/>
      <c r="J92" s="140"/>
      <c r="K92" s="140"/>
      <c r="L92" s="140"/>
      <c r="M92" s="140"/>
      <c r="N92" s="140"/>
      <c r="O92" s="140"/>
      <c r="P92" s="140"/>
      <c r="Q92" s="140"/>
      <c r="R92" s="140"/>
    </row>
    <row r="93">
      <c r="A93" s="140"/>
      <c r="B93" s="140"/>
      <c r="C93" s="140"/>
      <c r="D93" s="140"/>
      <c r="E93" s="140"/>
      <c r="F93" s="205"/>
      <c r="G93" s="140"/>
      <c r="H93" s="140"/>
      <c r="I93" s="140"/>
      <c r="J93" s="140"/>
      <c r="K93" s="140"/>
      <c r="L93" s="140"/>
      <c r="M93" s="140"/>
      <c r="N93" s="140"/>
      <c r="O93" s="140"/>
      <c r="P93" s="140"/>
      <c r="Q93" s="140"/>
      <c r="R93" s="140"/>
    </row>
    <row r="94">
      <c r="A94" s="140"/>
      <c r="B94" s="140"/>
      <c r="C94" s="140"/>
      <c r="D94" s="140"/>
      <c r="E94" s="140"/>
      <c r="F94" s="205"/>
      <c r="G94" s="140"/>
      <c r="H94" s="140"/>
      <c r="I94" s="140"/>
      <c r="J94" s="140"/>
      <c r="K94" s="140"/>
      <c r="L94" s="140"/>
      <c r="M94" s="140"/>
      <c r="N94" s="140"/>
      <c r="O94" s="140"/>
      <c r="P94" s="140"/>
      <c r="Q94" s="140"/>
      <c r="R94" s="140"/>
    </row>
    <row r="95">
      <c r="A95" s="140"/>
      <c r="B95" s="140"/>
      <c r="C95" s="140"/>
      <c r="D95" s="140"/>
      <c r="E95" s="140"/>
      <c r="F95" s="205"/>
      <c r="G95" s="140"/>
      <c r="H95" s="140"/>
      <c r="I95" s="140"/>
      <c r="J95" s="140"/>
      <c r="K95" s="140"/>
      <c r="L95" s="140"/>
      <c r="M95" s="140"/>
      <c r="N95" s="140"/>
      <c r="O95" s="140"/>
      <c r="P95" s="140"/>
      <c r="Q95" s="140"/>
      <c r="R95" s="140"/>
    </row>
    <row r="96">
      <c r="A96" s="140"/>
      <c r="B96" s="140"/>
      <c r="C96" s="140"/>
      <c r="D96" s="140"/>
      <c r="E96" s="140"/>
      <c r="F96" s="205"/>
      <c r="G96" s="140"/>
      <c r="H96" s="140"/>
      <c r="I96" s="140"/>
      <c r="J96" s="140"/>
      <c r="K96" s="140"/>
      <c r="L96" s="140"/>
      <c r="M96" s="140"/>
      <c r="N96" s="140"/>
      <c r="O96" s="140"/>
      <c r="P96" s="140"/>
      <c r="Q96" s="140"/>
      <c r="R96" s="140"/>
    </row>
    <row r="97">
      <c r="A97" s="140"/>
      <c r="B97" s="140"/>
      <c r="C97" s="140"/>
      <c r="D97" s="140"/>
      <c r="E97" s="140"/>
      <c r="F97" s="205"/>
      <c r="G97" s="140"/>
      <c r="H97" s="140"/>
      <c r="I97" s="140"/>
      <c r="J97" s="140"/>
      <c r="K97" s="140"/>
      <c r="L97" s="140"/>
      <c r="M97" s="140"/>
      <c r="N97" s="140"/>
      <c r="O97" s="140"/>
      <c r="P97" s="140"/>
      <c r="Q97" s="140"/>
      <c r="R97" s="140"/>
    </row>
    <row r="98">
      <c r="A98" s="140"/>
      <c r="B98" s="140"/>
      <c r="C98" s="140"/>
      <c r="D98" s="140"/>
      <c r="E98" s="140"/>
      <c r="F98" s="205"/>
      <c r="G98" s="140"/>
      <c r="H98" s="140"/>
      <c r="I98" s="140"/>
      <c r="J98" s="140"/>
      <c r="K98" s="140"/>
      <c r="L98" s="140"/>
      <c r="M98" s="140"/>
      <c r="N98" s="140"/>
      <c r="O98" s="140"/>
      <c r="P98" s="140"/>
      <c r="Q98" s="140"/>
      <c r="R98" s="140"/>
    </row>
    <row r="99">
      <c r="A99" s="140"/>
      <c r="B99" s="140"/>
      <c r="C99" s="140"/>
      <c r="D99" s="140"/>
      <c r="E99" s="140"/>
      <c r="F99" s="205"/>
      <c r="G99" s="140"/>
      <c r="H99" s="140"/>
      <c r="I99" s="140"/>
      <c r="J99" s="140"/>
      <c r="K99" s="140"/>
      <c r="L99" s="140"/>
      <c r="M99" s="140"/>
      <c r="N99" s="140"/>
      <c r="O99" s="140"/>
      <c r="P99" s="140"/>
      <c r="Q99" s="140"/>
      <c r="R99" s="140"/>
    </row>
    <row r="100">
      <c r="A100" s="140"/>
      <c r="B100" s="140"/>
      <c r="C100" s="140"/>
      <c r="D100" s="140"/>
      <c r="E100" s="140"/>
      <c r="F100" s="205"/>
      <c r="G100" s="140"/>
      <c r="H100" s="140"/>
      <c r="I100" s="140"/>
      <c r="J100" s="140"/>
      <c r="K100" s="140"/>
      <c r="L100" s="140"/>
      <c r="M100" s="140"/>
      <c r="N100" s="140"/>
      <c r="O100" s="140"/>
      <c r="P100" s="140"/>
      <c r="Q100" s="140"/>
      <c r="R100" s="140"/>
    </row>
    <row r="101">
      <c r="A101" s="140"/>
      <c r="B101" s="140"/>
      <c r="C101" s="140"/>
      <c r="D101" s="140"/>
      <c r="E101" s="140"/>
      <c r="F101" s="205"/>
      <c r="G101" s="140"/>
      <c r="H101" s="140"/>
      <c r="I101" s="140"/>
      <c r="J101" s="140"/>
      <c r="K101" s="140"/>
      <c r="L101" s="140"/>
      <c r="M101" s="140"/>
      <c r="N101" s="140"/>
      <c r="O101" s="140"/>
      <c r="P101" s="140"/>
      <c r="Q101" s="140"/>
      <c r="R101" s="140"/>
    </row>
    <row r="102">
      <c r="A102" s="140"/>
      <c r="B102" s="140"/>
      <c r="C102" s="140"/>
      <c r="D102" s="140"/>
      <c r="E102" s="140"/>
      <c r="F102" s="205"/>
      <c r="G102" s="140"/>
      <c r="H102" s="140"/>
      <c r="I102" s="140"/>
      <c r="J102" s="140"/>
      <c r="K102" s="140"/>
      <c r="L102" s="140"/>
      <c r="M102" s="140"/>
      <c r="N102" s="140"/>
      <c r="O102" s="140"/>
      <c r="P102" s="140"/>
      <c r="Q102" s="140"/>
      <c r="R102" s="140"/>
    </row>
    <row r="103">
      <c r="A103" s="140"/>
      <c r="B103" s="140"/>
      <c r="C103" s="140"/>
      <c r="D103" s="140"/>
      <c r="E103" s="140"/>
      <c r="F103" s="205"/>
      <c r="G103" s="140"/>
      <c r="H103" s="140"/>
      <c r="I103" s="140"/>
      <c r="J103" s="140"/>
      <c r="K103" s="140"/>
      <c r="L103" s="140"/>
      <c r="M103" s="140"/>
      <c r="N103" s="140"/>
      <c r="O103" s="140"/>
      <c r="P103" s="140"/>
      <c r="Q103" s="140"/>
      <c r="R103" s="140"/>
    </row>
    <row r="104">
      <c r="A104" s="140"/>
      <c r="B104" s="140"/>
      <c r="C104" s="140"/>
      <c r="D104" s="140"/>
      <c r="E104" s="140"/>
      <c r="F104" s="205"/>
      <c r="G104" s="140"/>
      <c r="H104" s="140"/>
      <c r="I104" s="140"/>
      <c r="J104" s="140"/>
      <c r="K104" s="140"/>
      <c r="L104" s="140"/>
      <c r="M104" s="140"/>
      <c r="N104" s="140"/>
      <c r="O104" s="140"/>
      <c r="P104" s="140"/>
      <c r="Q104" s="140"/>
      <c r="R104" s="140"/>
    </row>
    <row r="105">
      <c r="A105" s="140"/>
      <c r="B105" s="140"/>
      <c r="C105" s="140"/>
      <c r="D105" s="140"/>
      <c r="E105" s="140"/>
      <c r="F105" s="205"/>
      <c r="G105" s="140"/>
      <c r="H105" s="140"/>
      <c r="I105" s="140"/>
      <c r="J105" s="140"/>
      <c r="K105" s="140"/>
      <c r="L105" s="140"/>
      <c r="M105" s="140"/>
      <c r="N105" s="140"/>
      <c r="O105" s="140"/>
      <c r="P105" s="140"/>
      <c r="Q105" s="140"/>
      <c r="R105" s="140"/>
    </row>
    <row r="106">
      <c r="A106" s="140"/>
      <c r="B106" s="140"/>
      <c r="C106" s="140"/>
      <c r="D106" s="140"/>
      <c r="E106" s="140"/>
      <c r="F106" s="205"/>
      <c r="G106" s="140"/>
      <c r="H106" s="140"/>
      <c r="I106" s="140"/>
      <c r="J106" s="140"/>
      <c r="K106" s="140"/>
      <c r="L106" s="140"/>
      <c r="M106" s="140"/>
      <c r="N106" s="140"/>
      <c r="O106" s="140"/>
      <c r="P106" s="140"/>
      <c r="Q106" s="140"/>
      <c r="R106" s="140"/>
    </row>
    <row r="107">
      <c r="A107" s="140"/>
      <c r="B107" s="140"/>
      <c r="C107" s="140"/>
      <c r="D107" s="140"/>
      <c r="E107" s="140"/>
      <c r="F107" s="205"/>
      <c r="G107" s="140"/>
      <c r="H107" s="140"/>
      <c r="I107" s="140"/>
      <c r="J107" s="140"/>
      <c r="K107" s="140"/>
      <c r="L107" s="140"/>
      <c r="M107" s="140"/>
      <c r="N107" s="140"/>
      <c r="O107" s="140"/>
      <c r="P107" s="140"/>
      <c r="Q107" s="140"/>
      <c r="R107" s="140"/>
    </row>
    <row r="108">
      <c r="A108" s="140"/>
      <c r="B108" s="140"/>
      <c r="C108" s="140"/>
      <c r="D108" s="140"/>
      <c r="E108" s="140"/>
      <c r="F108" s="205"/>
      <c r="G108" s="140"/>
      <c r="H108" s="140"/>
      <c r="I108" s="140"/>
      <c r="J108" s="140"/>
      <c r="K108" s="140"/>
      <c r="L108" s="140"/>
      <c r="M108" s="140"/>
      <c r="N108" s="140"/>
      <c r="O108" s="140"/>
      <c r="P108" s="140"/>
      <c r="Q108" s="140"/>
      <c r="R108" s="140"/>
    </row>
    <row r="109">
      <c r="A109" s="140"/>
      <c r="B109" s="140"/>
      <c r="C109" s="140"/>
      <c r="D109" s="140"/>
      <c r="E109" s="140"/>
      <c r="F109" s="205"/>
      <c r="G109" s="140"/>
      <c r="H109" s="140"/>
      <c r="I109" s="140"/>
      <c r="J109" s="140"/>
      <c r="K109" s="140"/>
      <c r="L109" s="140"/>
      <c r="M109" s="140"/>
      <c r="N109" s="140"/>
      <c r="O109" s="140"/>
      <c r="P109" s="140"/>
      <c r="Q109" s="140"/>
      <c r="R109" s="140"/>
    </row>
    <row r="110">
      <c r="A110" s="140"/>
      <c r="B110" s="140"/>
      <c r="C110" s="140"/>
      <c r="D110" s="140"/>
      <c r="E110" s="140"/>
      <c r="F110" s="205"/>
      <c r="G110" s="140"/>
      <c r="H110" s="140"/>
      <c r="I110" s="140"/>
      <c r="J110" s="140"/>
      <c r="K110" s="140"/>
      <c r="L110" s="140"/>
      <c r="M110" s="140"/>
      <c r="N110" s="140"/>
      <c r="O110" s="140"/>
      <c r="P110" s="140"/>
      <c r="Q110" s="140"/>
      <c r="R110" s="140"/>
    </row>
    <row r="111">
      <c r="A111" s="140"/>
      <c r="B111" s="140"/>
      <c r="C111" s="140"/>
      <c r="D111" s="140"/>
      <c r="E111" s="140"/>
      <c r="F111" s="205"/>
      <c r="G111" s="140"/>
      <c r="H111" s="140"/>
      <c r="I111" s="140"/>
      <c r="J111" s="140"/>
      <c r="K111" s="140"/>
      <c r="L111" s="140"/>
      <c r="M111" s="140"/>
      <c r="N111" s="140"/>
      <c r="O111" s="140"/>
      <c r="P111" s="140"/>
      <c r="Q111" s="140"/>
      <c r="R111" s="140"/>
    </row>
    <row r="112">
      <c r="A112" s="140"/>
      <c r="B112" s="140"/>
      <c r="C112" s="140"/>
      <c r="D112" s="140"/>
      <c r="E112" s="140"/>
      <c r="F112" s="205"/>
      <c r="G112" s="140"/>
      <c r="H112" s="140"/>
      <c r="I112" s="140"/>
      <c r="J112" s="140"/>
      <c r="K112" s="140"/>
      <c r="L112" s="140"/>
      <c r="M112" s="140"/>
      <c r="N112" s="140"/>
      <c r="O112" s="140"/>
      <c r="P112" s="140"/>
      <c r="Q112" s="140"/>
      <c r="R112" s="140"/>
    </row>
    <row r="113">
      <c r="A113" s="140"/>
      <c r="B113" s="140"/>
      <c r="C113" s="140"/>
      <c r="D113" s="140"/>
      <c r="E113" s="140"/>
      <c r="F113" s="205"/>
      <c r="G113" s="140"/>
      <c r="H113" s="140"/>
      <c r="I113" s="140"/>
      <c r="J113" s="140"/>
      <c r="K113" s="140"/>
      <c r="L113" s="140"/>
      <c r="M113" s="140"/>
      <c r="N113" s="140"/>
      <c r="O113" s="140"/>
      <c r="P113" s="140"/>
      <c r="Q113" s="140"/>
      <c r="R113" s="140"/>
    </row>
    <row r="114">
      <c r="A114" s="140"/>
      <c r="B114" s="140"/>
      <c r="C114" s="140"/>
      <c r="D114" s="140"/>
      <c r="E114" s="140"/>
      <c r="F114" s="205"/>
      <c r="G114" s="140"/>
      <c r="H114" s="140"/>
      <c r="I114" s="140"/>
      <c r="J114" s="140"/>
      <c r="K114" s="140"/>
      <c r="L114" s="140"/>
      <c r="M114" s="140"/>
      <c r="N114" s="140"/>
      <c r="O114" s="140"/>
      <c r="P114" s="140"/>
      <c r="Q114" s="140"/>
      <c r="R114" s="140"/>
    </row>
    <row r="115">
      <c r="A115" s="140"/>
      <c r="B115" s="140"/>
      <c r="C115" s="140"/>
      <c r="D115" s="140"/>
      <c r="E115" s="140"/>
      <c r="F115" s="205"/>
      <c r="G115" s="140"/>
      <c r="H115" s="140"/>
      <c r="I115" s="140"/>
      <c r="J115" s="140"/>
      <c r="K115" s="140"/>
      <c r="L115" s="140"/>
      <c r="M115" s="140"/>
      <c r="N115" s="140"/>
      <c r="O115" s="140"/>
      <c r="P115" s="140"/>
      <c r="Q115" s="140"/>
      <c r="R115" s="140"/>
    </row>
    <row r="116">
      <c r="A116" s="140"/>
      <c r="B116" s="140"/>
      <c r="C116" s="140"/>
      <c r="D116" s="140"/>
      <c r="E116" s="140"/>
      <c r="F116" s="205"/>
      <c r="G116" s="140"/>
      <c r="H116" s="140"/>
      <c r="I116" s="140"/>
      <c r="J116" s="140"/>
      <c r="K116" s="140"/>
      <c r="L116" s="140"/>
      <c r="M116" s="140"/>
      <c r="N116" s="140"/>
      <c r="O116" s="140"/>
      <c r="P116" s="140"/>
      <c r="Q116" s="140"/>
      <c r="R116" s="140"/>
    </row>
    <row r="117">
      <c r="A117" s="140"/>
      <c r="B117" s="140"/>
      <c r="C117" s="140"/>
      <c r="D117" s="140"/>
      <c r="E117" s="140"/>
      <c r="F117" s="205"/>
      <c r="G117" s="140"/>
      <c r="H117" s="140"/>
      <c r="I117" s="140"/>
      <c r="J117" s="140"/>
      <c r="K117" s="140"/>
      <c r="L117" s="140"/>
      <c r="M117" s="140"/>
      <c r="N117" s="140"/>
      <c r="O117" s="140"/>
      <c r="P117" s="140"/>
      <c r="Q117" s="140"/>
      <c r="R117" s="140"/>
    </row>
    <row r="118">
      <c r="A118" s="140"/>
      <c r="B118" s="140"/>
      <c r="C118" s="140"/>
      <c r="D118" s="140"/>
      <c r="E118" s="140"/>
      <c r="F118" s="205"/>
      <c r="G118" s="140"/>
      <c r="H118" s="140"/>
      <c r="I118" s="140"/>
      <c r="J118" s="140"/>
      <c r="K118" s="140"/>
      <c r="L118" s="140"/>
      <c r="M118" s="140"/>
      <c r="N118" s="140"/>
      <c r="O118" s="140"/>
      <c r="P118" s="140"/>
      <c r="Q118" s="140"/>
      <c r="R118" s="140"/>
    </row>
    <row r="119">
      <c r="A119" s="140"/>
      <c r="B119" s="140"/>
      <c r="C119" s="140"/>
      <c r="D119" s="140"/>
      <c r="E119" s="140"/>
      <c r="F119" s="205"/>
      <c r="G119" s="140"/>
      <c r="H119" s="140"/>
      <c r="I119" s="140"/>
      <c r="J119" s="140"/>
      <c r="K119" s="140"/>
      <c r="L119" s="140"/>
      <c r="M119" s="140"/>
      <c r="N119" s="140"/>
      <c r="O119" s="140"/>
      <c r="P119" s="140"/>
      <c r="Q119" s="140"/>
      <c r="R119" s="140"/>
    </row>
    <row r="120">
      <c r="A120" s="140"/>
      <c r="B120" s="140"/>
      <c r="C120" s="140"/>
      <c r="D120" s="140"/>
      <c r="E120" s="140"/>
      <c r="F120" s="205"/>
      <c r="G120" s="140"/>
      <c r="H120" s="140"/>
      <c r="I120" s="140"/>
      <c r="J120" s="140"/>
      <c r="K120" s="140"/>
      <c r="L120" s="140"/>
      <c r="M120" s="140"/>
      <c r="N120" s="140"/>
      <c r="O120" s="140"/>
      <c r="P120" s="140"/>
      <c r="Q120" s="140"/>
      <c r="R120" s="140"/>
    </row>
    <row r="121">
      <c r="A121" s="140"/>
      <c r="B121" s="140"/>
      <c r="C121" s="140"/>
      <c r="D121" s="140"/>
      <c r="E121" s="140"/>
      <c r="F121" s="205"/>
      <c r="G121" s="140"/>
      <c r="H121" s="140"/>
      <c r="I121" s="140"/>
      <c r="J121" s="140"/>
      <c r="K121" s="140"/>
      <c r="L121" s="140"/>
      <c r="M121" s="140"/>
      <c r="N121" s="140"/>
      <c r="O121" s="140"/>
      <c r="P121" s="140"/>
      <c r="Q121" s="140"/>
      <c r="R121" s="140"/>
    </row>
    <row r="122">
      <c r="A122" s="140"/>
      <c r="B122" s="140"/>
      <c r="C122" s="140"/>
      <c r="D122" s="140"/>
      <c r="E122" s="140"/>
      <c r="F122" s="205"/>
      <c r="G122" s="140"/>
      <c r="H122" s="140"/>
      <c r="I122" s="140"/>
      <c r="J122" s="140"/>
      <c r="K122" s="140"/>
      <c r="L122" s="140"/>
      <c r="M122" s="140"/>
      <c r="N122" s="140"/>
      <c r="O122" s="140"/>
      <c r="P122" s="140"/>
      <c r="Q122" s="140"/>
      <c r="R122" s="140"/>
    </row>
    <row r="123">
      <c r="A123" s="140"/>
      <c r="B123" s="140"/>
      <c r="C123" s="140"/>
      <c r="D123" s="140"/>
      <c r="E123" s="140"/>
      <c r="F123" s="205"/>
      <c r="G123" s="140"/>
      <c r="H123" s="140"/>
      <c r="I123" s="140"/>
      <c r="J123" s="140"/>
      <c r="K123" s="140"/>
      <c r="L123" s="140"/>
      <c r="M123" s="140"/>
      <c r="N123" s="140"/>
      <c r="O123" s="140"/>
      <c r="P123" s="140"/>
      <c r="Q123" s="140"/>
      <c r="R123" s="140"/>
    </row>
    <row r="124">
      <c r="A124" s="140"/>
      <c r="B124" s="140"/>
      <c r="C124" s="140"/>
      <c r="D124" s="140"/>
      <c r="E124" s="140"/>
      <c r="F124" s="205"/>
      <c r="G124" s="140"/>
      <c r="H124" s="140"/>
      <c r="I124" s="140"/>
      <c r="J124" s="140"/>
      <c r="K124" s="140"/>
      <c r="L124" s="140"/>
      <c r="M124" s="140"/>
      <c r="N124" s="140"/>
      <c r="O124" s="140"/>
      <c r="P124" s="140"/>
      <c r="Q124" s="140"/>
      <c r="R124" s="140"/>
    </row>
    <row r="125">
      <c r="A125" s="140"/>
      <c r="B125" s="140"/>
      <c r="C125" s="140"/>
      <c r="D125" s="140"/>
      <c r="E125" s="140"/>
      <c r="F125" s="205"/>
      <c r="G125" s="140"/>
      <c r="H125" s="140"/>
      <c r="I125" s="140"/>
      <c r="J125" s="140"/>
      <c r="K125" s="140"/>
      <c r="L125" s="140"/>
      <c r="M125" s="140"/>
      <c r="N125" s="140"/>
      <c r="O125" s="140"/>
      <c r="P125" s="140"/>
      <c r="Q125" s="140"/>
      <c r="R125" s="140"/>
    </row>
    <row r="126">
      <c r="A126" s="140"/>
      <c r="B126" s="140"/>
      <c r="C126" s="140"/>
      <c r="D126" s="140"/>
      <c r="E126" s="140"/>
      <c r="F126" s="205"/>
      <c r="G126" s="140"/>
      <c r="H126" s="140"/>
      <c r="I126" s="140"/>
      <c r="J126" s="140"/>
      <c r="K126" s="140"/>
      <c r="L126" s="140"/>
      <c r="M126" s="140"/>
      <c r="N126" s="140"/>
      <c r="O126" s="140"/>
      <c r="P126" s="140"/>
      <c r="Q126" s="140"/>
      <c r="R126" s="140"/>
    </row>
    <row r="127">
      <c r="A127" s="140"/>
      <c r="B127" s="140"/>
      <c r="C127" s="140"/>
      <c r="D127" s="140"/>
      <c r="E127" s="140"/>
      <c r="F127" s="205"/>
      <c r="G127" s="140"/>
      <c r="H127" s="140"/>
      <c r="I127" s="140"/>
      <c r="J127" s="140"/>
      <c r="K127" s="140"/>
      <c r="L127" s="140"/>
      <c r="M127" s="140"/>
      <c r="N127" s="140"/>
      <c r="O127" s="140"/>
      <c r="P127" s="140"/>
      <c r="Q127" s="140"/>
      <c r="R127" s="140"/>
    </row>
    <row r="128">
      <c r="A128" s="140"/>
      <c r="B128" s="140"/>
      <c r="C128" s="140"/>
      <c r="D128" s="140"/>
      <c r="E128" s="140"/>
      <c r="F128" s="205"/>
      <c r="G128" s="140"/>
      <c r="H128" s="140"/>
      <c r="I128" s="140"/>
      <c r="J128" s="140"/>
      <c r="K128" s="140"/>
      <c r="L128" s="140"/>
      <c r="M128" s="140"/>
      <c r="N128" s="140"/>
      <c r="O128" s="140"/>
      <c r="P128" s="140"/>
      <c r="Q128" s="140"/>
      <c r="R128" s="140"/>
    </row>
    <row r="129">
      <c r="A129" s="140"/>
      <c r="B129" s="140"/>
      <c r="C129" s="140"/>
      <c r="D129" s="140"/>
      <c r="E129" s="140"/>
      <c r="F129" s="205"/>
      <c r="G129" s="140"/>
      <c r="H129" s="140"/>
      <c r="I129" s="140"/>
      <c r="J129" s="140"/>
      <c r="K129" s="140"/>
      <c r="L129" s="140"/>
      <c r="M129" s="140"/>
      <c r="N129" s="140"/>
      <c r="O129" s="140"/>
      <c r="P129" s="140"/>
      <c r="Q129" s="140"/>
      <c r="R129" s="140"/>
    </row>
    <row r="130">
      <c r="A130" s="140"/>
      <c r="B130" s="140"/>
      <c r="C130" s="140"/>
      <c r="D130" s="140"/>
      <c r="E130" s="140"/>
      <c r="F130" s="205"/>
      <c r="G130" s="140"/>
      <c r="H130" s="140"/>
      <c r="I130" s="140"/>
      <c r="J130" s="140"/>
      <c r="K130" s="140"/>
      <c r="L130" s="140"/>
      <c r="M130" s="140"/>
      <c r="N130" s="140"/>
      <c r="O130" s="140"/>
      <c r="P130" s="140"/>
      <c r="Q130" s="140"/>
      <c r="R130" s="140"/>
    </row>
    <row r="131">
      <c r="A131" s="140"/>
      <c r="B131" s="140"/>
      <c r="C131" s="140"/>
      <c r="D131" s="140"/>
      <c r="E131" s="140"/>
      <c r="F131" s="205"/>
      <c r="G131" s="140"/>
      <c r="H131" s="140"/>
      <c r="I131" s="140"/>
      <c r="J131" s="140"/>
      <c r="K131" s="140"/>
      <c r="L131" s="140"/>
      <c r="M131" s="140"/>
      <c r="N131" s="140"/>
      <c r="O131" s="140"/>
      <c r="P131" s="140"/>
      <c r="Q131" s="140"/>
      <c r="R131" s="140"/>
    </row>
    <row r="132">
      <c r="A132" s="140"/>
      <c r="B132" s="140"/>
      <c r="C132" s="140"/>
      <c r="D132" s="140"/>
      <c r="E132" s="140"/>
      <c r="F132" s="205"/>
      <c r="G132" s="140"/>
      <c r="H132" s="140"/>
      <c r="I132" s="140"/>
      <c r="J132" s="140"/>
      <c r="K132" s="140"/>
      <c r="L132" s="140"/>
      <c r="M132" s="140"/>
      <c r="N132" s="140"/>
      <c r="O132" s="140"/>
      <c r="P132" s="140"/>
      <c r="Q132" s="140"/>
      <c r="R132" s="140"/>
    </row>
    <row r="133">
      <c r="A133" s="140"/>
      <c r="B133" s="140"/>
      <c r="C133" s="140"/>
      <c r="D133" s="140"/>
      <c r="E133" s="140"/>
      <c r="F133" s="205"/>
      <c r="G133" s="140"/>
      <c r="H133" s="140"/>
      <c r="I133" s="140"/>
      <c r="J133" s="140"/>
      <c r="K133" s="140"/>
      <c r="L133" s="140"/>
      <c r="M133" s="140"/>
      <c r="N133" s="140"/>
      <c r="O133" s="140"/>
      <c r="P133" s="140"/>
      <c r="Q133" s="140"/>
      <c r="R133" s="140"/>
    </row>
    <row r="134">
      <c r="A134" s="140"/>
      <c r="B134" s="140"/>
      <c r="C134" s="140"/>
      <c r="D134" s="140"/>
      <c r="E134" s="140"/>
      <c r="F134" s="205"/>
      <c r="G134" s="140"/>
      <c r="H134" s="140"/>
      <c r="I134" s="140"/>
      <c r="J134" s="140"/>
      <c r="K134" s="140"/>
      <c r="L134" s="140"/>
      <c r="M134" s="140"/>
      <c r="N134" s="140"/>
      <c r="O134" s="140"/>
      <c r="P134" s="140"/>
      <c r="Q134" s="140"/>
      <c r="R134" s="140"/>
    </row>
    <row r="135">
      <c r="A135" s="140"/>
      <c r="B135" s="140"/>
      <c r="C135" s="140"/>
      <c r="D135" s="140"/>
      <c r="E135" s="140"/>
      <c r="F135" s="205"/>
      <c r="G135" s="140"/>
      <c r="H135" s="140"/>
      <c r="I135" s="140"/>
      <c r="J135" s="140"/>
      <c r="K135" s="140"/>
      <c r="L135" s="140"/>
      <c r="M135" s="140"/>
      <c r="N135" s="140"/>
      <c r="O135" s="140"/>
      <c r="P135" s="140"/>
      <c r="Q135" s="140"/>
      <c r="R135" s="140"/>
    </row>
    <row r="136">
      <c r="A136" s="140"/>
      <c r="B136" s="140"/>
      <c r="C136" s="140"/>
      <c r="D136" s="140"/>
      <c r="E136" s="140"/>
      <c r="F136" s="205"/>
      <c r="G136" s="140"/>
      <c r="H136" s="140"/>
      <c r="I136" s="140"/>
      <c r="J136" s="140"/>
      <c r="K136" s="140"/>
      <c r="L136" s="140"/>
      <c r="M136" s="140"/>
      <c r="N136" s="140"/>
      <c r="O136" s="140"/>
      <c r="P136" s="140"/>
      <c r="Q136" s="140"/>
      <c r="R136" s="140"/>
    </row>
    <row r="137">
      <c r="A137" s="140"/>
      <c r="B137" s="140"/>
      <c r="C137" s="140"/>
      <c r="D137" s="140"/>
      <c r="E137" s="140"/>
      <c r="F137" s="205"/>
      <c r="G137" s="140"/>
      <c r="H137" s="140"/>
      <c r="I137" s="140"/>
      <c r="J137" s="140"/>
      <c r="K137" s="140"/>
      <c r="L137" s="140"/>
      <c r="M137" s="140"/>
      <c r="N137" s="140"/>
      <c r="O137" s="140"/>
      <c r="P137" s="140"/>
      <c r="Q137" s="140"/>
      <c r="R137" s="140"/>
    </row>
    <row r="138">
      <c r="A138" s="140"/>
      <c r="B138" s="140"/>
      <c r="C138" s="140"/>
      <c r="D138" s="140"/>
      <c r="E138" s="140"/>
      <c r="F138" s="205"/>
      <c r="G138" s="140"/>
      <c r="H138" s="140"/>
      <c r="I138" s="140"/>
      <c r="J138" s="140"/>
      <c r="K138" s="140"/>
      <c r="L138" s="140"/>
      <c r="M138" s="140"/>
      <c r="N138" s="140"/>
      <c r="O138" s="140"/>
      <c r="P138" s="140"/>
      <c r="Q138" s="140"/>
      <c r="R138" s="140"/>
    </row>
    <row r="139">
      <c r="A139" s="140"/>
      <c r="B139" s="140"/>
      <c r="C139" s="140"/>
      <c r="D139" s="140"/>
      <c r="E139" s="140"/>
      <c r="F139" s="205"/>
      <c r="G139" s="140"/>
      <c r="H139" s="140"/>
      <c r="I139" s="140"/>
      <c r="J139" s="140"/>
      <c r="K139" s="140"/>
      <c r="L139" s="140"/>
      <c r="M139" s="140"/>
      <c r="N139" s="140"/>
      <c r="O139" s="140"/>
      <c r="P139" s="140"/>
      <c r="Q139" s="140"/>
      <c r="R139" s="140"/>
    </row>
    <row r="140">
      <c r="A140" s="140"/>
      <c r="B140" s="140"/>
      <c r="C140" s="140"/>
      <c r="D140" s="140"/>
      <c r="E140" s="140"/>
      <c r="F140" s="205"/>
      <c r="G140" s="140"/>
      <c r="H140" s="140"/>
      <c r="I140" s="140"/>
      <c r="J140" s="140"/>
      <c r="K140" s="140"/>
      <c r="L140" s="140"/>
      <c r="M140" s="140"/>
      <c r="N140" s="140"/>
      <c r="O140" s="140"/>
      <c r="P140" s="140"/>
      <c r="Q140" s="140"/>
      <c r="R140" s="140"/>
    </row>
    <row r="141">
      <c r="A141" s="140"/>
      <c r="B141" s="140"/>
      <c r="C141" s="140"/>
      <c r="D141" s="140"/>
      <c r="E141" s="140"/>
      <c r="F141" s="205"/>
      <c r="G141" s="140"/>
      <c r="H141" s="140"/>
      <c r="I141" s="140"/>
      <c r="J141" s="140"/>
      <c r="K141" s="140"/>
      <c r="L141" s="140"/>
      <c r="M141" s="140"/>
      <c r="N141" s="140"/>
      <c r="O141" s="140"/>
      <c r="P141" s="140"/>
      <c r="Q141" s="140"/>
      <c r="R141" s="140"/>
    </row>
    <row r="142">
      <c r="A142" s="140"/>
      <c r="B142" s="140"/>
      <c r="C142" s="140"/>
      <c r="D142" s="140"/>
      <c r="E142" s="140"/>
      <c r="F142" s="205"/>
      <c r="G142" s="140"/>
      <c r="H142" s="140"/>
      <c r="I142" s="140"/>
      <c r="J142" s="140"/>
      <c r="K142" s="140"/>
      <c r="L142" s="140"/>
      <c r="M142" s="140"/>
      <c r="N142" s="140"/>
      <c r="O142" s="140"/>
      <c r="P142" s="140"/>
      <c r="Q142" s="140"/>
      <c r="R142" s="140"/>
    </row>
    <row r="143">
      <c r="A143" s="140"/>
      <c r="B143" s="140"/>
      <c r="C143" s="140"/>
      <c r="D143" s="140"/>
      <c r="E143" s="140"/>
      <c r="F143" s="205"/>
      <c r="G143" s="140"/>
      <c r="H143" s="140"/>
      <c r="I143" s="140"/>
      <c r="J143" s="140"/>
      <c r="K143" s="140"/>
      <c r="L143" s="140"/>
      <c r="M143" s="140"/>
      <c r="N143" s="140"/>
      <c r="O143" s="140"/>
      <c r="P143" s="140"/>
      <c r="Q143" s="140"/>
      <c r="R143" s="140"/>
    </row>
    <row r="144">
      <c r="A144" s="140"/>
      <c r="B144" s="140"/>
      <c r="C144" s="140"/>
      <c r="D144" s="140"/>
      <c r="E144" s="140"/>
      <c r="F144" s="205"/>
      <c r="G144" s="140"/>
      <c r="H144" s="140"/>
      <c r="I144" s="140"/>
      <c r="J144" s="140"/>
      <c r="K144" s="140"/>
      <c r="L144" s="140"/>
      <c r="M144" s="140"/>
      <c r="N144" s="140"/>
      <c r="O144" s="140"/>
      <c r="P144" s="140"/>
      <c r="Q144" s="140"/>
      <c r="R144" s="140"/>
    </row>
    <row r="145">
      <c r="A145" s="140"/>
      <c r="B145" s="140"/>
      <c r="C145" s="140"/>
      <c r="D145" s="140"/>
      <c r="E145" s="140"/>
      <c r="F145" s="205"/>
      <c r="G145" s="140"/>
      <c r="H145" s="140"/>
      <c r="I145" s="140"/>
      <c r="J145" s="140"/>
      <c r="K145" s="140"/>
      <c r="L145" s="140"/>
      <c r="M145" s="140"/>
      <c r="N145" s="140"/>
      <c r="O145" s="140"/>
      <c r="P145" s="140"/>
      <c r="Q145" s="140"/>
      <c r="R145" s="140"/>
    </row>
    <row r="146">
      <c r="A146" s="140"/>
      <c r="B146" s="140"/>
      <c r="C146" s="140"/>
      <c r="D146" s="140"/>
      <c r="E146" s="140"/>
      <c r="F146" s="205"/>
      <c r="G146" s="140"/>
      <c r="H146" s="140"/>
      <c r="I146" s="140"/>
      <c r="J146" s="140"/>
      <c r="K146" s="140"/>
      <c r="L146" s="140"/>
      <c r="M146" s="140"/>
      <c r="N146" s="140"/>
      <c r="O146" s="140"/>
      <c r="P146" s="140"/>
      <c r="Q146" s="140"/>
      <c r="R146" s="140"/>
    </row>
    <row r="147">
      <c r="A147" s="140"/>
      <c r="B147" s="140"/>
      <c r="C147" s="140"/>
      <c r="D147" s="140"/>
      <c r="E147" s="140"/>
      <c r="F147" s="205"/>
      <c r="G147" s="140"/>
      <c r="H147" s="140"/>
      <c r="I147" s="140"/>
      <c r="J147" s="140"/>
      <c r="K147" s="140"/>
      <c r="L147" s="140"/>
      <c r="M147" s="140"/>
      <c r="N147" s="140"/>
      <c r="O147" s="140"/>
      <c r="P147" s="140"/>
      <c r="Q147" s="140"/>
      <c r="R147" s="140"/>
    </row>
    <row r="148">
      <c r="A148" s="140"/>
      <c r="B148" s="140"/>
      <c r="C148" s="140"/>
      <c r="D148" s="140"/>
      <c r="E148" s="140"/>
      <c r="F148" s="205"/>
      <c r="G148" s="140"/>
      <c r="H148" s="140"/>
      <c r="I148" s="140"/>
      <c r="J148" s="140"/>
      <c r="K148" s="140"/>
      <c r="L148" s="140"/>
      <c r="M148" s="140"/>
      <c r="N148" s="140"/>
      <c r="O148" s="140"/>
      <c r="P148" s="140"/>
      <c r="Q148" s="140"/>
      <c r="R148" s="140"/>
    </row>
    <row r="149">
      <c r="A149" s="140"/>
      <c r="B149" s="140"/>
      <c r="C149" s="140"/>
      <c r="D149" s="140"/>
      <c r="E149" s="140"/>
      <c r="F149" s="205"/>
      <c r="G149" s="140"/>
      <c r="H149" s="140"/>
      <c r="I149" s="140"/>
      <c r="J149" s="140"/>
      <c r="K149" s="140"/>
      <c r="L149" s="140"/>
      <c r="M149" s="140"/>
      <c r="N149" s="140"/>
      <c r="O149" s="140"/>
      <c r="P149" s="140"/>
      <c r="Q149" s="140"/>
      <c r="R149" s="140"/>
    </row>
    <row r="150">
      <c r="A150" s="140"/>
      <c r="B150" s="140"/>
      <c r="C150" s="140"/>
      <c r="D150" s="140"/>
      <c r="E150" s="140"/>
      <c r="F150" s="205"/>
      <c r="G150" s="140"/>
      <c r="H150" s="140"/>
      <c r="I150" s="140"/>
      <c r="J150" s="140"/>
      <c r="K150" s="140"/>
      <c r="L150" s="140"/>
      <c r="M150" s="140"/>
      <c r="N150" s="140"/>
      <c r="O150" s="140"/>
      <c r="P150" s="140"/>
      <c r="Q150" s="140"/>
      <c r="R150" s="140"/>
    </row>
    <row r="151">
      <c r="A151" s="140"/>
      <c r="B151" s="140"/>
      <c r="C151" s="140"/>
      <c r="D151" s="140"/>
      <c r="E151" s="140"/>
      <c r="F151" s="205"/>
      <c r="G151" s="140"/>
      <c r="H151" s="140"/>
      <c r="I151" s="140"/>
      <c r="J151" s="140"/>
      <c r="K151" s="140"/>
      <c r="L151" s="140"/>
      <c r="M151" s="140"/>
      <c r="N151" s="140"/>
      <c r="O151" s="140"/>
      <c r="P151" s="140"/>
      <c r="Q151" s="140"/>
      <c r="R151" s="140"/>
    </row>
    <row r="152">
      <c r="A152" s="140"/>
      <c r="B152" s="140"/>
      <c r="C152" s="140"/>
      <c r="D152" s="140"/>
      <c r="E152" s="140"/>
      <c r="F152" s="205"/>
      <c r="G152" s="140"/>
      <c r="H152" s="140"/>
      <c r="I152" s="140"/>
      <c r="J152" s="140"/>
      <c r="K152" s="140"/>
      <c r="L152" s="140"/>
      <c r="M152" s="140"/>
      <c r="N152" s="140"/>
      <c r="O152" s="140"/>
      <c r="P152" s="140"/>
      <c r="Q152" s="140"/>
      <c r="R152" s="140"/>
    </row>
    <row r="153">
      <c r="A153" s="140"/>
      <c r="B153" s="140"/>
      <c r="C153" s="140"/>
      <c r="D153" s="140"/>
      <c r="E153" s="140"/>
      <c r="F153" s="205"/>
      <c r="G153" s="140"/>
      <c r="H153" s="140"/>
      <c r="I153" s="140"/>
      <c r="J153" s="140"/>
      <c r="K153" s="140"/>
      <c r="L153" s="140"/>
      <c r="M153" s="140"/>
      <c r="N153" s="140"/>
      <c r="O153" s="140"/>
      <c r="P153" s="140"/>
      <c r="Q153" s="140"/>
      <c r="R153" s="140"/>
    </row>
    <row r="154">
      <c r="A154" s="140"/>
      <c r="B154" s="140"/>
      <c r="C154" s="140"/>
      <c r="D154" s="140"/>
      <c r="E154" s="140"/>
      <c r="F154" s="205"/>
      <c r="G154" s="140"/>
      <c r="H154" s="140"/>
      <c r="I154" s="140"/>
      <c r="J154" s="140"/>
      <c r="K154" s="140"/>
      <c r="L154" s="140"/>
      <c r="M154" s="140"/>
      <c r="N154" s="140"/>
      <c r="O154" s="140"/>
      <c r="P154" s="140"/>
      <c r="Q154" s="140"/>
      <c r="R154" s="140"/>
    </row>
    <row r="155">
      <c r="A155" s="140"/>
      <c r="B155" s="140"/>
      <c r="C155" s="140"/>
      <c r="D155" s="140"/>
      <c r="E155" s="140"/>
      <c r="F155" s="205"/>
      <c r="G155" s="140"/>
      <c r="H155" s="140"/>
      <c r="I155" s="140"/>
      <c r="J155" s="140"/>
      <c r="K155" s="140"/>
      <c r="L155" s="140"/>
      <c r="M155" s="140"/>
      <c r="N155" s="140"/>
      <c r="O155" s="140"/>
      <c r="P155" s="140"/>
      <c r="Q155" s="140"/>
      <c r="R155" s="140"/>
    </row>
    <row r="156">
      <c r="A156" s="140"/>
      <c r="B156" s="140"/>
      <c r="C156" s="140"/>
      <c r="D156" s="140"/>
      <c r="E156" s="140"/>
      <c r="F156" s="205"/>
      <c r="G156" s="140"/>
      <c r="H156" s="140"/>
      <c r="I156" s="140"/>
      <c r="J156" s="140"/>
      <c r="K156" s="140"/>
      <c r="L156" s="140"/>
      <c r="M156" s="140"/>
      <c r="N156" s="140"/>
      <c r="O156" s="140"/>
      <c r="P156" s="140"/>
      <c r="Q156" s="140"/>
      <c r="R156" s="140"/>
    </row>
    <row r="157">
      <c r="A157" s="140"/>
      <c r="B157" s="140"/>
      <c r="C157" s="140"/>
      <c r="D157" s="140"/>
      <c r="E157" s="140"/>
      <c r="F157" s="205"/>
      <c r="G157" s="140"/>
      <c r="H157" s="140"/>
      <c r="I157" s="140"/>
      <c r="J157" s="140"/>
      <c r="K157" s="140"/>
      <c r="L157" s="140"/>
      <c r="M157" s="140"/>
      <c r="N157" s="140"/>
      <c r="O157" s="140"/>
      <c r="P157" s="140"/>
      <c r="Q157" s="140"/>
      <c r="R157" s="140"/>
    </row>
    <row r="158">
      <c r="A158" s="140"/>
      <c r="B158" s="140"/>
      <c r="C158" s="140"/>
      <c r="D158" s="140"/>
      <c r="E158" s="140"/>
      <c r="F158" s="205"/>
      <c r="G158" s="140"/>
      <c r="H158" s="140"/>
      <c r="I158" s="140"/>
      <c r="J158" s="140"/>
      <c r="K158" s="140"/>
      <c r="L158" s="140"/>
      <c r="M158" s="140"/>
      <c r="N158" s="140"/>
      <c r="O158" s="140"/>
      <c r="P158" s="140"/>
      <c r="Q158" s="140"/>
      <c r="R158" s="140"/>
    </row>
    <row r="159">
      <c r="A159" s="140"/>
      <c r="B159" s="140"/>
      <c r="C159" s="140"/>
      <c r="D159" s="140"/>
      <c r="E159" s="140"/>
      <c r="F159" s="205"/>
      <c r="G159" s="140"/>
      <c r="H159" s="140"/>
      <c r="I159" s="140"/>
      <c r="J159" s="140"/>
      <c r="K159" s="140"/>
      <c r="L159" s="140"/>
      <c r="M159" s="140"/>
      <c r="N159" s="140"/>
      <c r="O159" s="140"/>
      <c r="P159" s="140"/>
      <c r="Q159" s="140"/>
      <c r="R159" s="140"/>
    </row>
    <row r="160">
      <c r="A160" s="140"/>
      <c r="B160" s="140"/>
      <c r="C160" s="140"/>
      <c r="D160" s="140"/>
      <c r="E160" s="140"/>
      <c r="F160" s="205"/>
      <c r="G160" s="140"/>
      <c r="H160" s="140"/>
      <c r="I160" s="140"/>
      <c r="J160" s="140"/>
      <c r="K160" s="140"/>
      <c r="L160" s="140"/>
      <c r="M160" s="140"/>
      <c r="N160" s="140"/>
      <c r="O160" s="140"/>
      <c r="P160" s="140"/>
      <c r="Q160" s="140"/>
      <c r="R160" s="140"/>
    </row>
    <row r="161">
      <c r="A161" s="140"/>
      <c r="B161" s="140"/>
      <c r="C161" s="140"/>
      <c r="D161" s="140"/>
      <c r="E161" s="140"/>
      <c r="F161" s="205"/>
      <c r="G161" s="140"/>
      <c r="H161" s="140"/>
      <c r="I161" s="140"/>
      <c r="J161" s="140"/>
      <c r="K161" s="140"/>
      <c r="L161" s="140"/>
      <c r="M161" s="140"/>
      <c r="N161" s="140"/>
      <c r="O161" s="140"/>
      <c r="P161" s="140"/>
      <c r="Q161" s="140"/>
      <c r="R161" s="140"/>
    </row>
    <row r="162">
      <c r="A162" s="140"/>
      <c r="B162" s="140"/>
      <c r="C162" s="140"/>
      <c r="D162" s="140"/>
      <c r="E162" s="140"/>
      <c r="F162" s="205"/>
      <c r="G162" s="140"/>
      <c r="H162" s="140"/>
      <c r="I162" s="140"/>
      <c r="J162" s="140"/>
      <c r="K162" s="140"/>
      <c r="L162" s="140"/>
      <c r="M162" s="140"/>
      <c r="N162" s="140"/>
      <c r="O162" s="140"/>
      <c r="P162" s="140"/>
      <c r="Q162" s="140"/>
      <c r="R162" s="140"/>
    </row>
    <row r="163">
      <c r="A163" s="140"/>
      <c r="B163" s="140"/>
      <c r="C163" s="140"/>
      <c r="D163" s="140"/>
      <c r="E163" s="140"/>
      <c r="F163" s="205"/>
      <c r="G163" s="140"/>
      <c r="H163" s="140"/>
      <c r="I163" s="140"/>
      <c r="J163" s="140"/>
      <c r="K163" s="140"/>
      <c r="L163" s="140"/>
      <c r="M163" s="140"/>
      <c r="N163" s="140"/>
      <c r="O163" s="140"/>
      <c r="P163" s="140"/>
      <c r="Q163" s="140"/>
      <c r="R163" s="140"/>
    </row>
    <row r="164">
      <c r="A164" s="140"/>
      <c r="B164" s="140"/>
      <c r="C164" s="140"/>
      <c r="D164" s="140"/>
      <c r="E164" s="140"/>
      <c r="F164" s="205"/>
      <c r="G164" s="140"/>
      <c r="H164" s="140"/>
      <c r="I164" s="140"/>
      <c r="J164" s="140"/>
      <c r="K164" s="140"/>
      <c r="L164" s="140"/>
      <c r="M164" s="140"/>
      <c r="N164" s="140"/>
      <c r="O164" s="140"/>
      <c r="P164" s="140"/>
      <c r="Q164" s="140"/>
      <c r="R164" s="140"/>
    </row>
    <row r="165">
      <c r="A165" s="140"/>
      <c r="B165" s="140"/>
      <c r="C165" s="140"/>
      <c r="D165" s="140"/>
      <c r="E165" s="140"/>
      <c r="F165" s="205"/>
      <c r="G165" s="140"/>
      <c r="H165" s="140"/>
      <c r="I165" s="140"/>
      <c r="J165" s="140"/>
      <c r="K165" s="140"/>
      <c r="L165" s="140"/>
      <c r="M165" s="140"/>
      <c r="N165" s="140"/>
      <c r="O165" s="140"/>
      <c r="P165" s="140"/>
      <c r="Q165" s="140"/>
      <c r="R165" s="140"/>
    </row>
    <row r="166">
      <c r="A166" s="140"/>
      <c r="B166" s="140"/>
      <c r="C166" s="140"/>
      <c r="D166" s="140"/>
      <c r="E166" s="140"/>
      <c r="F166" s="205"/>
      <c r="G166" s="140"/>
      <c r="H166" s="140"/>
      <c r="I166" s="140"/>
      <c r="J166" s="140"/>
      <c r="K166" s="140"/>
      <c r="L166" s="140"/>
      <c r="M166" s="140"/>
      <c r="N166" s="140"/>
      <c r="O166" s="140"/>
      <c r="P166" s="140"/>
      <c r="Q166" s="140"/>
      <c r="R166" s="140"/>
    </row>
    <row r="167">
      <c r="A167" s="140"/>
      <c r="B167" s="140"/>
      <c r="C167" s="140"/>
      <c r="D167" s="140"/>
      <c r="E167" s="140"/>
      <c r="F167" s="205"/>
      <c r="G167" s="140"/>
      <c r="H167" s="140"/>
      <c r="I167" s="140"/>
      <c r="J167" s="140"/>
      <c r="K167" s="140"/>
      <c r="L167" s="140"/>
      <c r="M167" s="140"/>
      <c r="N167" s="140"/>
      <c r="O167" s="140"/>
      <c r="P167" s="140"/>
      <c r="Q167" s="140"/>
      <c r="R167" s="140"/>
    </row>
    <row r="168">
      <c r="A168" s="140"/>
      <c r="B168" s="140"/>
      <c r="C168" s="140"/>
      <c r="D168" s="140"/>
      <c r="E168" s="140"/>
      <c r="F168" s="205"/>
      <c r="G168" s="140"/>
      <c r="H168" s="140"/>
      <c r="I168" s="140"/>
      <c r="J168" s="140"/>
      <c r="K168" s="140"/>
      <c r="L168" s="140"/>
      <c r="M168" s="140"/>
      <c r="N168" s="140"/>
      <c r="O168" s="140"/>
      <c r="P168" s="140"/>
      <c r="Q168" s="140"/>
      <c r="R168" s="140"/>
    </row>
    <row r="169">
      <c r="A169" s="140"/>
      <c r="B169" s="140"/>
      <c r="C169" s="140"/>
      <c r="D169" s="140"/>
      <c r="E169" s="140"/>
      <c r="F169" s="205"/>
      <c r="G169" s="140"/>
      <c r="H169" s="140"/>
      <c r="I169" s="140"/>
      <c r="J169" s="140"/>
      <c r="K169" s="140"/>
      <c r="L169" s="140"/>
      <c r="M169" s="140"/>
      <c r="N169" s="140"/>
      <c r="O169" s="140"/>
      <c r="P169" s="140"/>
      <c r="Q169" s="140"/>
      <c r="R169" s="140"/>
    </row>
    <row r="170">
      <c r="A170" s="140"/>
      <c r="B170" s="140"/>
      <c r="C170" s="140"/>
      <c r="D170" s="140"/>
      <c r="E170" s="140"/>
      <c r="F170" s="205"/>
      <c r="G170" s="140"/>
      <c r="H170" s="140"/>
      <c r="I170" s="140"/>
      <c r="J170" s="140"/>
      <c r="K170" s="140"/>
      <c r="L170" s="140"/>
      <c r="M170" s="140"/>
      <c r="N170" s="140"/>
      <c r="O170" s="140"/>
      <c r="P170" s="140"/>
      <c r="Q170" s="140"/>
      <c r="R170" s="140"/>
    </row>
    <row r="171">
      <c r="A171" s="140"/>
      <c r="B171" s="140"/>
      <c r="C171" s="140"/>
      <c r="D171" s="140"/>
      <c r="E171" s="140"/>
      <c r="F171" s="205"/>
      <c r="G171" s="140"/>
      <c r="H171" s="140"/>
      <c r="I171" s="140"/>
      <c r="J171" s="140"/>
      <c r="K171" s="140"/>
      <c r="L171" s="140"/>
      <c r="M171" s="140"/>
      <c r="N171" s="140"/>
      <c r="O171" s="140"/>
      <c r="P171" s="140"/>
      <c r="Q171" s="140"/>
      <c r="R171" s="140"/>
    </row>
    <row r="172">
      <c r="A172" s="140"/>
      <c r="B172" s="140"/>
      <c r="C172" s="140"/>
      <c r="D172" s="140"/>
      <c r="E172" s="140"/>
      <c r="F172" s="205"/>
      <c r="G172" s="140"/>
      <c r="H172" s="140"/>
      <c r="I172" s="140"/>
      <c r="J172" s="140"/>
      <c r="K172" s="140"/>
      <c r="L172" s="140"/>
      <c r="M172" s="140"/>
      <c r="N172" s="140"/>
      <c r="O172" s="140"/>
      <c r="P172" s="140"/>
      <c r="Q172" s="140"/>
      <c r="R172" s="140"/>
    </row>
    <row r="173">
      <c r="A173" s="140"/>
      <c r="B173" s="140"/>
      <c r="C173" s="140"/>
      <c r="D173" s="140"/>
      <c r="E173" s="140"/>
      <c r="F173" s="205"/>
      <c r="G173" s="140"/>
      <c r="H173" s="140"/>
      <c r="I173" s="140"/>
      <c r="J173" s="140"/>
      <c r="K173" s="140"/>
      <c r="L173" s="140"/>
      <c r="M173" s="140"/>
      <c r="N173" s="140"/>
      <c r="O173" s="140"/>
      <c r="P173" s="140"/>
      <c r="Q173" s="140"/>
      <c r="R173" s="140"/>
    </row>
    <row r="174">
      <c r="A174" s="140"/>
      <c r="B174" s="140"/>
      <c r="C174" s="140"/>
      <c r="D174" s="140"/>
      <c r="E174" s="140"/>
      <c r="F174" s="205"/>
      <c r="G174" s="140"/>
      <c r="H174" s="140"/>
      <c r="I174" s="140"/>
      <c r="J174" s="140"/>
      <c r="K174" s="140"/>
      <c r="L174" s="140"/>
      <c r="M174" s="140"/>
      <c r="N174" s="140"/>
      <c r="O174" s="140"/>
      <c r="P174" s="140"/>
      <c r="Q174" s="140"/>
      <c r="R174" s="140"/>
    </row>
    <row r="175">
      <c r="A175" s="140"/>
      <c r="B175" s="140"/>
      <c r="C175" s="140"/>
      <c r="D175" s="140"/>
      <c r="E175" s="140"/>
      <c r="F175" s="205"/>
      <c r="G175" s="140"/>
      <c r="H175" s="140"/>
      <c r="I175" s="140"/>
      <c r="J175" s="140"/>
      <c r="K175" s="140"/>
      <c r="L175" s="140"/>
      <c r="M175" s="140"/>
      <c r="N175" s="140"/>
      <c r="O175" s="140"/>
      <c r="P175" s="140"/>
      <c r="Q175" s="140"/>
      <c r="R175" s="140"/>
    </row>
    <row r="176">
      <c r="A176" s="140"/>
      <c r="B176" s="140"/>
      <c r="C176" s="140"/>
      <c r="D176" s="140"/>
      <c r="E176" s="140"/>
      <c r="F176" s="205"/>
      <c r="G176" s="140"/>
      <c r="H176" s="140"/>
      <c r="I176" s="140"/>
      <c r="J176" s="140"/>
      <c r="K176" s="140"/>
      <c r="L176" s="140"/>
      <c r="M176" s="140"/>
      <c r="N176" s="140"/>
      <c r="O176" s="140"/>
      <c r="P176" s="140"/>
      <c r="Q176" s="140"/>
      <c r="R176" s="140"/>
    </row>
    <row r="177">
      <c r="A177" s="140"/>
      <c r="B177" s="140"/>
      <c r="C177" s="140"/>
      <c r="D177" s="140"/>
      <c r="E177" s="140"/>
      <c r="F177" s="205"/>
      <c r="G177" s="140"/>
      <c r="H177" s="140"/>
      <c r="I177" s="140"/>
      <c r="J177" s="140"/>
      <c r="K177" s="140"/>
      <c r="L177" s="140"/>
      <c r="M177" s="140"/>
      <c r="N177" s="140"/>
      <c r="O177" s="140"/>
      <c r="P177" s="140"/>
      <c r="Q177" s="140"/>
      <c r="R177" s="140"/>
    </row>
    <row r="178">
      <c r="A178" s="140"/>
      <c r="B178" s="140"/>
      <c r="C178" s="140"/>
      <c r="D178" s="140"/>
      <c r="E178" s="140"/>
      <c r="F178" s="205"/>
      <c r="G178" s="140"/>
      <c r="H178" s="140"/>
      <c r="I178" s="140"/>
      <c r="J178" s="140"/>
      <c r="K178" s="140"/>
      <c r="L178" s="140"/>
      <c r="M178" s="140"/>
      <c r="N178" s="140"/>
      <c r="O178" s="140"/>
      <c r="P178" s="140"/>
      <c r="Q178" s="140"/>
      <c r="R178" s="140"/>
    </row>
    <row r="179">
      <c r="A179" s="140"/>
      <c r="B179" s="140"/>
      <c r="C179" s="140"/>
      <c r="D179" s="140"/>
      <c r="E179" s="140"/>
      <c r="F179" s="205"/>
      <c r="G179" s="140"/>
      <c r="H179" s="140"/>
      <c r="I179" s="140"/>
      <c r="J179" s="140"/>
      <c r="K179" s="140"/>
      <c r="L179" s="140"/>
      <c r="M179" s="140"/>
      <c r="N179" s="140"/>
      <c r="O179" s="140"/>
      <c r="P179" s="140"/>
      <c r="Q179" s="140"/>
      <c r="R179" s="140"/>
    </row>
    <row r="180">
      <c r="A180" s="140"/>
      <c r="B180" s="140"/>
      <c r="C180" s="140"/>
      <c r="D180" s="140"/>
      <c r="E180" s="140"/>
      <c r="F180" s="205"/>
      <c r="G180" s="140"/>
      <c r="H180" s="140"/>
      <c r="I180" s="140"/>
      <c r="J180" s="140"/>
      <c r="K180" s="140"/>
      <c r="L180" s="140"/>
      <c r="M180" s="140"/>
      <c r="N180" s="140"/>
      <c r="O180" s="140"/>
      <c r="P180" s="140"/>
      <c r="Q180" s="140"/>
      <c r="R180" s="140"/>
    </row>
    <row r="181">
      <c r="A181" s="140"/>
      <c r="B181" s="140"/>
      <c r="C181" s="140"/>
      <c r="D181" s="140"/>
      <c r="E181" s="140"/>
      <c r="F181" s="205"/>
      <c r="G181" s="140"/>
      <c r="H181" s="140"/>
      <c r="I181" s="140"/>
      <c r="J181" s="140"/>
      <c r="K181" s="140"/>
      <c r="L181" s="140"/>
      <c r="M181" s="140"/>
      <c r="N181" s="140"/>
      <c r="O181" s="140"/>
      <c r="P181" s="140"/>
      <c r="Q181" s="140"/>
      <c r="R181" s="140"/>
    </row>
    <row r="182">
      <c r="A182" s="140"/>
      <c r="B182" s="140"/>
      <c r="C182" s="140"/>
      <c r="D182" s="140"/>
      <c r="E182" s="140"/>
      <c r="F182" s="205"/>
      <c r="G182" s="140"/>
      <c r="H182" s="140"/>
      <c r="I182" s="140"/>
      <c r="J182" s="140"/>
      <c r="K182" s="140"/>
      <c r="L182" s="140"/>
      <c r="M182" s="140"/>
      <c r="N182" s="140"/>
      <c r="O182" s="140"/>
      <c r="P182" s="140"/>
      <c r="Q182" s="140"/>
      <c r="R182" s="140"/>
    </row>
    <row r="183">
      <c r="A183" s="140"/>
      <c r="B183" s="140"/>
      <c r="C183" s="140"/>
      <c r="D183" s="140"/>
      <c r="E183" s="140"/>
      <c r="F183" s="205"/>
      <c r="G183" s="140"/>
      <c r="H183" s="140"/>
      <c r="I183" s="140"/>
      <c r="J183" s="140"/>
      <c r="K183" s="140"/>
      <c r="L183" s="140"/>
      <c r="M183" s="140"/>
      <c r="N183" s="140"/>
      <c r="O183" s="140"/>
      <c r="P183" s="140"/>
      <c r="Q183" s="140"/>
      <c r="R183" s="140"/>
    </row>
    <row r="184">
      <c r="A184" s="140"/>
      <c r="B184" s="140"/>
      <c r="C184" s="140"/>
      <c r="D184" s="140"/>
      <c r="E184" s="140"/>
      <c r="F184" s="205"/>
      <c r="G184" s="140"/>
      <c r="H184" s="140"/>
      <c r="I184" s="140"/>
      <c r="J184" s="140"/>
      <c r="K184" s="140"/>
      <c r="L184" s="140"/>
      <c r="M184" s="140"/>
      <c r="N184" s="140"/>
      <c r="O184" s="140"/>
      <c r="P184" s="140"/>
      <c r="Q184" s="140"/>
      <c r="R184" s="140"/>
    </row>
    <row r="185">
      <c r="A185" s="140"/>
      <c r="B185" s="140"/>
      <c r="C185" s="140"/>
      <c r="D185" s="140"/>
      <c r="E185" s="140"/>
      <c r="F185" s="205"/>
      <c r="G185" s="140"/>
      <c r="H185" s="140"/>
      <c r="I185" s="140"/>
      <c r="J185" s="140"/>
      <c r="K185" s="140"/>
      <c r="L185" s="140"/>
      <c r="M185" s="140"/>
      <c r="N185" s="140"/>
      <c r="O185" s="140"/>
      <c r="P185" s="140"/>
      <c r="Q185" s="140"/>
      <c r="R185" s="140"/>
    </row>
    <row r="186">
      <c r="A186" s="140"/>
      <c r="B186" s="140"/>
      <c r="C186" s="140"/>
      <c r="D186" s="140"/>
      <c r="E186" s="140"/>
      <c r="F186" s="205"/>
      <c r="G186" s="140"/>
      <c r="H186" s="140"/>
      <c r="I186" s="140"/>
      <c r="J186" s="140"/>
      <c r="K186" s="140"/>
      <c r="L186" s="140"/>
      <c r="M186" s="140"/>
      <c r="N186" s="140"/>
      <c r="O186" s="140"/>
      <c r="P186" s="140"/>
      <c r="Q186" s="140"/>
      <c r="R186" s="140"/>
    </row>
    <row r="187">
      <c r="A187" s="140"/>
      <c r="B187" s="140"/>
      <c r="C187" s="140"/>
      <c r="D187" s="140"/>
      <c r="E187" s="140"/>
      <c r="F187" s="205"/>
      <c r="G187" s="140"/>
      <c r="H187" s="140"/>
      <c r="I187" s="140"/>
      <c r="J187" s="140"/>
      <c r="K187" s="140"/>
      <c r="L187" s="140"/>
      <c r="M187" s="140"/>
      <c r="N187" s="140"/>
      <c r="O187" s="140"/>
      <c r="P187" s="140"/>
      <c r="Q187" s="140"/>
      <c r="R187" s="140"/>
    </row>
    <row r="188">
      <c r="A188" s="140"/>
      <c r="B188" s="140"/>
      <c r="C188" s="140"/>
      <c r="D188" s="140"/>
      <c r="E188" s="140"/>
      <c r="F188" s="205"/>
      <c r="G188" s="140"/>
      <c r="H188" s="140"/>
      <c r="I188" s="140"/>
      <c r="J188" s="140"/>
      <c r="K188" s="140"/>
      <c r="L188" s="140"/>
      <c r="M188" s="140"/>
      <c r="N188" s="140"/>
      <c r="O188" s="140"/>
      <c r="P188" s="140"/>
      <c r="Q188" s="140"/>
      <c r="R188" s="140"/>
    </row>
    <row r="189">
      <c r="A189" s="140"/>
      <c r="B189" s="140"/>
      <c r="C189" s="140"/>
      <c r="D189" s="140"/>
      <c r="E189" s="140"/>
      <c r="F189" s="205"/>
      <c r="G189" s="140"/>
      <c r="H189" s="140"/>
      <c r="I189" s="140"/>
      <c r="J189" s="140"/>
      <c r="K189" s="140"/>
      <c r="L189" s="140"/>
      <c r="M189" s="140"/>
      <c r="N189" s="140"/>
      <c r="O189" s="140"/>
      <c r="P189" s="140"/>
      <c r="Q189" s="140"/>
      <c r="R189" s="140"/>
    </row>
    <row r="190">
      <c r="A190" s="140"/>
      <c r="B190" s="140"/>
      <c r="C190" s="140"/>
      <c r="D190" s="140"/>
      <c r="E190" s="140"/>
      <c r="F190" s="205"/>
      <c r="G190" s="140"/>
      <c r="H190" s="140"/>
      <c r="I190" s="140"/>
      <c r="J190" s="140"/>
      <c r="K190" s="140"/>
      <c r="L190" s="140"/>
      <c r="M190" s="140"/>
      <c r="N190" s="140"/>
      <c r="O190" s="140"/>
      <c r="P190" s="140"/>
      <c r="Q190" s="140"/>
      <c r="R190" s="140"/>
    </row>
    <row r="191">
      <c r="A191" s="140"/>
      <c r="B191" s="140"/>
      <c r="C191" s="140"/>
      <c r="D191" s="140"/>
      <c r="E191" s="140"/>
      <c r="F191" s="205"/>
      <c r="G191" s="140"/>
      <c r="H191" s="140"/>
      <c r="I191" s="140"/>
      <c r="J191" s="140"/>
      <c r="K191" s="140"/>
      <c r="L191" s="140"/>
      <c r="M191" s="140"/>
      <c r="N191" s="140"/>
      <c r="O191" s="140"/>
      <c r="P191" s="140"/>
      <c r="Q191" s="140"/>
      <c r="R191" s="140"/>
    </row>
    <row r="192">
      <c r="A192" s="140"/>
      <c r="B192" s="140"/>
      <c r="C192" s="140"/>
      <c r="D192" s="140"/>
      <c r="E192" s="140"/>
      <c r="F192" s="205"/>
      <c r="G192" s="140"/>
      <c r="H192" s="140"/>
      <c r="I192" s="140"/>
      <c r="J192" s="140"/>
      <c r="K192" s="140"/>
      <c r="L192" s="140"/>
      <c r="M192" s="140"/>
      <c r="N192" s="140"/>
      <c r="O192" s="140"/>
      <c r="P192" s="140"/>
      <c r="Q192" s="140"/>
      <c r="R192" s="140"/>
    </row>
    <row r="193">
      <c r="A193" s="140"/>
      <c r="B193" s="140"/>
      <c r="C193" s="140"/>
      <c r="D193" s="140"/>
      <c r="E193" s="140"/>
      <c r="F193" s="205"/>
      <c r="G193" s="140"/>
      <c r="H193" s="140"/>
      <c r="I193" s="140"/>
      <c r="J193" s="140"/>
      <c r="K193" s="140"/>
      <c r="L193" s="140"/>
      <c r="M193" s="140"/>
      <c r="N193" s="140"/>
      <c r="O193" s="140"/>
      <c r="P193" s="140"/>
      <c r="Q193" s="140"/>
      <c r="R193" s="140"/>
    </row>
    <row r="194">
      <c r="A194" s="140"/>
      <c r="B194" s="140"/>
      <c r="C194" s="140"/>
      <c r="D194" s="140"/>
      <c r="E194" s="140"/>
      <c r="F194" s="205"/>
      <c r="G194" s="140"/>
      <c r="H194" s="140"/>
      <c r="I194" s="140"/>
      <c r="J194" s="140"/>
      <c r="K194" s="140"/>
      <c r="L194" s="140"/>
      <c r="M194" s="140"/>
      <c r="N194" s="140"/>
      <c r="O194" s="140"/>
      <c r="P194" s="140"/>
      <c r="Q194" s="140"/>
      <c r="R194" s="140"/>
    </row>
    <row r="195">
      <c r="A195" s="140"/>
      <c r="B195" s="140"/>
      <c r="C195" s="140"/>
      <c r="D195" s="140"/>
      <c r="E195" s="140"/>
      <c r="F195" s="205"/>
      <c r="G195" s="140"/>
      <c r="H195" s="140"/>
      <c r="I195" s="140"/>
      <c r="J195" s="140"/>
      <c r="K195" s="140"/>
      <c r="L195" s="140"/>
      <c r="M195" s="140"/>
      <c r="N195" s="140"/>
      <c r="O195" s="140"/>
      <c r="P195" s="140"/>
      <c r="Q195" s="140"/>
      <c r="R195" s="140"/>
    </row>
    <row r="196">
      <c r="A196" s="140"/>
      <c r="B196" s="140"/>
      <c r="C196" s="140"/>
      <c r="D196" s="140"/>
      <c r="E196" s="140"/>
      <c r="F196" s="205"/>
      <c r="G196" s="140"/>
      <c r="H196" s="140"/>
      <c r="I196" s="140"/>
      <c r="J196" s="140"/>
      <c r="K196" s="140"/>
      <c r="L196" s="140"/>
      <c r="M196" s="140"/>
      <c r="N196" s="140"/>
      <c r="O196" s="140"/>
      <c r="P196" s="140"/>
      <c r="Q196" s="140"/>
      <c r="R196" s="140"/>
    </row>
    <row r="197">
      <c r="A197" s="140"/>
      <c r="B197" s="140"/>
      <c r="C197" s="140"/>
      <c r="D197" s="140"/>
      <c r="E197" s="140"/>
      <c r="F197" s="205"/>
      <c r="G197" s="140"/>
      <c r="H197" s="140"/>
      <c r="I197" s="140"/>
      <c r="J197" s="140"/>
      <c r="K197" s="140"/>
      <c r="L197" s="140"/>
      <c r="M197" s="140"/>
      <c r="N197" s="140"/>
      <c r="O197" s="140"/>
      <c r="P197" s="140"/>
      <c r="Q197" s="140"/>
      <c r="R197" s="140"/>
    </row>
    <row r="198">
      <c r="A198" s="140"/>
      <c r="B198" s="140"/>
      <c r="C198" s="140"/>
      <c r="D198" s="140"/>
      <c r="E198" s="140"/>
      <c r="F198" s="205"/>
      <c r="G198" s="140"/>
      <c r="H198" s="140"/>
      <c r="I198" s="140"/>
      <c r="J198" s="140"/>
      <c r="K198" s="140"/>
      <c r="L198" s="140"/>
      <c r="M198" s="140"/>
      <c r="N198" s="140"/>
      <c r="O198" s="140"/>
      <c r="P198" s="140"/>
      <c r="Q198" s="140"/>
      <c r="R198" s="140"/>
    </row>
    <row r="199">
      <c r="A199" s="140"/>
      <c r="B199" s="140"/>
      <c r="C199" s="140"/>
      <c r="D199" s="140"/>
      <c r="E199" s="140"/>
      <c r="F199" s="205"/>
      <c r="G199" s="140"/>
      <c r="H199" s="140"/>
      <c r="I199" s="140"/>
      <c r="J199" s="140"/>
      <c r="K199" s="140"/>
      <c r="L199" s="140"/>
      <c r="M199" s="140"/>
      <c r="N199" s="140"/>
      <c r="O199" s="140"/>
      <c r="P199" s="140"/>
      <c r="Q199" s="140"/>
      <c r="R199" s="140"/>
    </row>
    <row r="200">
      <c r="A200" s="140"/>
      <c r="B200" s="140"/>
      <c r="C200" s="140"/>
      <c r="D200" s="140"/>
      <c r="E200" s="140"/>
      <c r="F200" s="205"/>
      <c r="G200" s="140"/>
      <c r="H200" s="140"/>
      <c r="I200" s="140"/>
      <c r="J200" s="140"/>
      <c r="K200" s="140"/>
      <c r="L200" s="140"/>
      <c r="M200" s="140"/>
      <c r="N200" s="140"/>
      <c r="O200" s="140"/>
      <c r="P200" s="140"/>
      <c r="Q200" s="140"/>
      <c r="R200" s="140"/>
    </row>
    <row r="201">
      <c r="A201" s="140"/>
      <c r="B201" s="140"/>
      <c r="C201" s="140"/>
      <c r="D201" s="140"/>
      <c r="E201" s="140"/>
      <c r="F201" s="205"/>
      <c r="G201" s="140"/>
      <c r="H201" s="140"/>
      <c r="I201" s="140"/>
      <c r="J201" s="140"/>
      <c r="K201" s="140"/>
      <c r="L201" s="140"/>
      <c r="M201" s="140"/>
      <c r="N201" s="140"/>
      <c r="O201" s="140"/>
      <c r="P201" s="140"/>
      <c r="Q201" s="140"/>
      <c r="R201" s="140"/>
    </row>
    <row r="202">
      <c r="A202" s="140"/>
      <c r="B202" s="140"/>
      <c r="C202" s="140"/>
      <c r="D202" s="140"/>
      <c r="E202" s="140"/>
      <c r="F202" s="205"/>
      <c r="G202" s="140"/>
      <c r="H202" s="140"/>
      <c r="I202" s="140"/>
      <c r="J202" s="140"/>
      <c r="K202" s="140"/>
      <c r="L202" s="140"/>
      <c r="M202" s="140"/>
      <c r="N202" s="140"/>
      <c r="O202" s="140"/>
      <c r="P202" s="140"/>
      <c r="Q202" s="140"/>
      <c r="R202" s="140"/>
    </row>
    <row r="203">
      <c r="A203" s="140"/>
      <c r="B203" s="140"/>
      <c r="C203" s="140"/>
      <c r="D203" s="140"/>
      <c r="E203" s="140"/>
      <c r="F203" s="205"/>
      <c r="G203" s="140"/>
      <c r="H203" s="140"/>
      <c r="I203" s="140"/>
      <c r="J203" s="140"/>
      <c r="K203" s="140"/>
      <c r="L203" s="140"/>
      <c r="M203" s="140"/>
      <c r="N203" s="140"/>
      <c r="O203" s="140"/>
      <c r="P203" s="140"/>
      <c r="Q203" s="140"/>
      <c r="R203" s="140"/>
    </row>
    <row r="204">
      <c r="A204" s="140"/>
      <c r="B204" s="140"/>
      <c r="C204" s="140"/>
      <c r="D204" s="140"/>
      <c r="E204" s="140"/>
      <c r="F204" s="205"/>
      <c r="G204" s="140"/>
      <c r="H204" s="140"/>
      <c r="I204" s="140"/>
      <c r="J204" s="140"/>
      <c r="K204" s="140"/>
      <c r="L204" s="140"/>
      <c r="M204" s="140"/>
      <c r="N204" s="140"/>
      <c r="O204" s="140"/>
      <c r="P204" s="140"/>
      <c r="Q204" s="140"/>
      <c r="R204" s="140"/>
    </row>
    <row r="205">
      <c r="A205" s="140"/>
      <c r="B205" s="140"/>
      <c r="C205" s="140"/>
      <c r="D205" s="140"/>
      <c r="E205" s="140"/>
      <c r="F205" s="205"/>
      <c r="G205" s="140"/>
      <c r="H205" s="140"/>
      <c r="I205" s="140"/>
      <c r="J205" s="140"/>
      <c r="K205" s="140"/>
      <c r="L205" s="140"/>
      <c r="M205" s="140"/>
      <c r="N205" s="140"/>
      <c r="O205" s="140"/>
      <c r="P205" s="140"/>
      <c r="Q205" s="140"/>
      <c r="R205" s="140"/>
    </row>
    <row r="206">
      <c r="A206" s="140"/>
      <c r="B206" s="140"/>
      <c r="C206" s="140"/>
      <c r="D206" s="140"/>
      <c r="E206" s="140"/>
      <c r="F206" s="205"/>
      <c r="G206" s="140"/>
      <c r="H206" s="140"/>
      <c r="I206" s="140"/>
      <c r="J206" s="140"/>
      <c r="K206" s="140"/>
      <c r="L206" s="140"/>
      <c r="M206" s="140"/>
      <c r="N206" s="140"/>
      <c r="O206" s="140"/>
      <c r="P206" s="140"/>
      <c r="Q206" s="140"/>
      <c r="R206" s="140"/>
    </row>
    <row r="207">
      <c r="A207" s="140"/>
      <c r="B207" s="140"/>
      <c r="C207" s="140"/>
      <c r="D207" s="140"/>
      <c r="E207" s="140"/>
      <c r="F207" s="205"/>
      <c r="G207" s="140"/>
      <c r="H207" s="140"/>
      <c r="I207" s="140"/>
      <c r="J207" s="140"/>
      <c r="K207" s="140"/>
      <c r="L207" s="140"/>
      <c r="M207" s="140"/>
      <c r="N207" s="140"/>
      <c r="O207" s="140"/>
      <c r="P207" s="140"/>
      <c r="Q207" s="140"/>
      <c r="R207" s="140"/>
    </row>
    <row r="208">
      <c r="A208" s="140"/>
      <c r="B208" s="140"/>
      <c r="C208" s="140"/>
      <c r="D208" s="140"/>
      <c r="E208" s="140"/>
      <c r="F208" s="205"/>
      <c r="G208" s="140"/>
      <c r="H208" s="140"/>
      <c r="I208" s="140"/>
      <c r="J208" s="140"/>
      <c r="K208" s="140"/>
      <c r="L208" s="140"/>
      <c r="M208" s="140"/>
      <c r="N208" s="140"/>
      <c r="O208" s="140"/>
      <c r="P208" s="140"/>
      <c r="Q208" s="140"/>
      <c r="R208" s="140"/>
    </row>
    <row r="209">
      <c r="A209" s="140"/>
      <c r="B209" s="140"/>
      <c r="C209" s="140"/>
      <c r="D209" s="140"/>
      <c r="E209" s="140"/>
      <c r="F209" s="205"/>
      <c r="G209" s="140"/>
      <c r="H209" s="140"/>
      <c r="I209" s="140"/>
      <c r="J209" s="140"/>
      <c r="K209" s="140"/>
      <c r="L209" s="140"/>
      <c r="M209" s="140"/>
      <c r="N209" s="140"/>
      <c r="O209" s="140"/>
      <c r="P209" s="140"/>
      <c r="Q209" s="140"/>
      <c r="R209" s="140"/>
    </row>
    <row r="210">
      <c r="A210" s="140"/>
      <c r="B210" s="140"/>
      <c r="C210" s="140"/>
      <c r="D210" s="140"/>
      <c r="E210" s="140"/>
      <c r="F210" s="205"/>
      <c r="G210" s="140"/>
      <c r="H210" s="140"/>
      <c r="I210" s="140"/>
      <c r="J210" s="140"/>
      <c r="K210" s="140"/>
      <c r="L210" s="140"/>
      <c r="M210" s="140"/>
      <c r="N210" s="140"/>
      <c r="O210" s="140"/>
      <c r="P210" s="140"/>
      <c r="Q210" s="140"/>
      <c r="R210" s="140"/>
    </row>
    <row r="211">
      <c r="A211" s="140"/>
      <c r="B211" s="140"/>
      <c r="C211" s="140"/>
      <c r="D211" s="140"/>
      <c r="E211" s="140"/>
      <c r="F211" s="205"/>
      <c r="G211" s="140"/>
      <c r="H211" s="140"/>
      <c r="I211" s="140"/>
      <c r="J211" s="140"/>
      <c r="K211" s="140"/>
      <c r="L211" s="140"/>
      <c r="M211" s="140"/>
      <c r="N211" s="140"/>
      <c r="O211" s="140"/>
      <c r="P211" s="140"/>
      <c r="Q211" s="140"/>
      <c r="R211" s="140"/>
    </row>
    <row r="212">
      <c r="A212" s="140"/>
      <c r="B212" s="140"/>
      <c r="C212" s="140"/>
      <c r="D212" s="140"/>
      <c r="E212" s="140"/>
      <c r="F212" s="205"/>
      <c r="G212" s="140"/>
      <c r="H212" s="140"/>
      <c r="I212" s="140"/>
      <c r="J212" s="140"/>
      <c r="K212" s="140"/>
      <c r="L212" s="140"/>
      <c r="M212" s="140"/>
      <c r="N212" s="140"/>
      <c r="O212" s="140"/>
      <c r="P212" s="140"/>
      <c r="Q212" s="140"/>
      <c r="R212" s="140"/>
    </row>
    <row r="213">
      <c r="A213" s="140"/>
      <c r="B213" s="140"/>
      <c r="C213" s="140"/>
      <c r="D213" s="140"/>
      <c r="E213" s="140"/>
      <c r="F213" s="205"/>
      <c r="G213" s="140"/>
      <c r="H213" s="140"/>
      <c r="I213" s="140"/>
      <c r="J213" s="140"/>
      <c r="K213" s="140"/>
      <c r="L213" s="140"/>
      <c r="M213" s="140"/>
      <c r="N213" s="140"/>
      <c r="O213" s="140"/>
      <c r="P213" s="140"/>
      <c r="Q213" s="140"/>
      <c r="R213" s="140"/>
    </row>
    <row r="214">
      <c r="A214" s="140"/>
      <c r="B214" s="140"/>
      <c r="C214" s="140"/>
      <c r="D214" s="140"/>
      <c r="E214" s="140"/>
      <c r="F214" s="205"/>
      <c r="G214" s="140"/>
      <c r="H214" s="140"/>
      <c r="I214" s="140"/>
      <c r="J214" s="140"/>
      <c r="K214" s="140"/>
      <c r="L214" s="140"/>
      <c r="M214" s="140"/>
      <c r="N214" s="140"/>
      <c r="O214" s="140"/>
      <c r="P214" s="140"/>
      <c r="Q214" s="140"/>
      <c r="R214" s="140"/>
    </row>
    <row r="215">
      <c r="A215" s="140"/>
      <c r="B215" s="140"/>
      <c r="C215" s="140"/>
      <c r="D215" s="140"/>
      <c r="E215" s="140"/>
      <c r="F215" s="205"/>
      <c r="G215" s="140"/>
      <c r="H215" s="140"/>
      <c r="I215" s="140"/>
      <c r="J215" s="140"/>
      <c r="K215" s="140"/>
      <c r="L215" s="140"/>
      <c r="M215" s="140"/>
      <c r="N215" s="140"/>
      <c r="O215" s="140"/>
      <c r="P215" s="140"/>
      <c r="Q215" s="140"/>
      <c r="R215" s="140"/>
    </row>
    <row r="216">
      <c r="A216" s="140"/>
      <c r="B216" s="140"/>
      <c r="C216" s="140"/>
      <c r="D216" s="140"/>
      <c r="E216" s="140"/>
      <c r="F216" s="205"/>
      <c r="G216" s="140"/>
      <c r="H216" s="140"/>
      <c r="I216" s="140"/>
      <c r="J216" s="140"/>
      <c r="K216" s="140"/>
      <c r="L216" s="140"/>
      <c r="M216" s="140"/>
      <c r="N216" s="140"/>
      <c r="O216" s="140"/>
      <c r="P216" s="140"/>
      <c r="Q216" s="140"/>
      <c r="R216" s="140"/>
    </row>
    <row r="217">
      <c r="A217" s="140"/>
      <c r="B217" s="140"/>
      <c r="C217" s="140"/>
      <c r="D217" s="140"/>
      <c r="E217" s="140"/>
      <c r="F217" s="205"/>
      <c r="G217" s="140"/>
      <c r="H217" s="140"/>
      <c r="I217" s="140"/>
      <c r="J217" s="140"/>
      <c r="K217" s="140"/>
      <c r="L217" s="140"/>
      <c r="M217" s="140"/>
      <c r="N217" s="140"/>
      <c r="O217" s="140"/>
      <c r="P217" s="140"/>
      <c r="Q217" s="140"/>
      <c r="R217" s="140"/>
    </row>
    <row r="218">
      <c r="A218" s="140"/>
      <c r="B218" s="140"/>
      <c r="C218" s="140"/>
      <c r="D218" s="140"/>
      <c r="E218" s="140"/>
      <c r="F218" s="205"/>
      <c r="G218" s="140"/>
      <c r="H218" s="140"/>
      <c r="I218" s="140"/>
      <c r="J218" s="140"/>
      <c r="K218" s="140"/>
      <c r="L218" s="140"/>
      <c r="M218" s="140"/>
      <c r="N218" s="140"/>
      <c r="O218" s="140"/>
      <c r="P218" s="140"/>
      <c r="Q218" s="140"/>
      <c r="R218" s="140"/>
    </row>
    <row r="219">
      <c r="A219" s="140"/>
      <c r="B219" s="140"/>
      <c r="C219" s="140"/>
      <c r="D219" s="140"/>
      <c r="E219" s="140"/>
      <c r="F219" s="205"/>
      <c r="G219" s="140"/>
      <c r="H219" s="140"/>
      <c r="I219" s="140"/>
      <c r="J219" s="140"/>
      <c r="K219" s="140"/>
      <c r="L219" s="140"/>
      <c r="M219" s="140"/>
      <c r="N219" s="140"/>
      <c r="O219" s="140"/>
      <c r="P219" s="140"/>
      <c r="Q219" s="140"/>
      <c r="R219" s="140"/>
    </row>
    <row r="220">
      <c r="A220" s="140"/>
      <c r="B220" s="140"/>
      <c r="C220" s="140"/>
      <c r="D220" s="140"/>
      <c r="E220" s="140"/>
      <c r="F220" s="205"/>
      <c r="G220" s="140"/>
      <c r="H220" s="140"/>
      <c r="I220" s="140"/>
      <c r="J220" s="140"/>
      <c r="K220" s="140"/>
      <c r="L220" s="140"/>
      <c r="M220" s="140"/>
      <c r="N220" s="140"/>
      <c r="O220" s="140"/>
      <c r="P220" s="140"/>
      <c r="Q220" s="140"/>
      <c r="R220" s="140"/>
    </row>
    <row r="221">
      <c r="A221" s="140"/>
      <c r="B221" s="140"/>
      <c r="C221" s="140"/>
      <c r="D221" s="140"/>
      <c r="E221" s="140"/>
      <c r="F221" s="205"/>
      <c r="G221" s="140"/>
      <c r="H221" s="140"/>
      <c r="I221" s="140"/>
      <c r="J221" s="140"/>
      <c r="K221" s="140"/>
      <c r="L221" s="140"/>
      <c r="M221" s="140"/>
      <c r="N221" s="140"/>
      <c r="O221" s="140"/>
      <c r="P221" s="140"/>
      <c r="Q221" s="140"/>
      <c r="R221" s="140"/>
    </row>
    <row r="222">
      <c r="A222" s="140"/>
      <c r="B222" s="140"/>
      <c r="C222" s="140"/>
      <c r="D222" s="140"/>
      <c r="E222" s="140"/>
      <c r="F222" s="205"/>
      <c r="G222" s="140"/>
      <c r="H222" s="140"/>
      <c r="I222" s="140"/>
      <c r="J222" s="140"/>
      <c r="K222" s="140"/>
      <c r="L222" s="140"/>
      <c r="M222" s="140"/>
      <c r="N222" s="140"/>
      <c r="O222" s="140"/>
      <c r="P222" s="140"/>
      <c r="Q222" s="140"/>
      <c r="R222" s="140"/>
    </row>
    <row r="223">
      <c r="A223" s="140"/>
      <c r="B223" s="140"/>
      <c r="C223" s="140"/>
      <c r="D223" s="140"/>
      <c r="E223" s="140"/>
      <c r="F223" s="205"/>
      <c r="G223" s="140"/>
      <c r="H223" s="140"/>
      <c r="I223" s="140"/>
      <c r="J223" s="140"/>
      <c r="K223" s="140"/>
      <c r="L223" s="140"/>
      <c r="M223" s="140"/>
      <c r="N223" s="140"/>
      <c r="O223" s="140"/>
      <c r="P223" s="140"/>
      <c r="Q223" s="140"/>
      <c r="R223" s="140"/>
    </row>
    <row r="224">
      <c r="A224" s="140"/>
      <c r="B224" s="140"/>
      <c r="C224" s="140"/>
      <c r="D224" s="140"/>
      <c r="E224" s="140"/>
      <c r="F224" s="205"/>
      <c r="G224" s="140"/>
      <c r="H224" s="140"/>
      <c r="I224" s="140"/>
      <c r="J224" s="140"/>
      <c r="K224" s="140"/>
      <c r="L224" s="140"/>
      <c r="M224" s="140"/>
      <c r="N224" s="140"/>
      <c r="O224" s="140"/>
      <c r="P224" s="140"/>
      <c r="Q224" s="140"/>
      <c r="R224" s="140"/>
    </row>
    <row r="225">
      <c r="A225" s="140"/>
      <c r="B225" s="140"/>
      <c r="C225" s="140"/>
      <c r="D225" s="140"/>
      <c r="E225" s="140"/>
      <c r="F225" s="205"/>
      <c r="G225" s="140"/>
      <c r="H225" s="140"/>
      <c r="I225" s="140"/>
      <c r="J225" s="140"/>
      <c r="K225" s="140"/>
      <c r="L225" s="140"/>
      <c r="M225" s="140"/>
      <c r="N225" s="140"/>
      <c r="O225" s="140"/>
      <c r="P225" s="140"/>
      <c r="Q225" s="140"/>
      <c r="R225" s="140"/>
    </row>
    <row r="226">
      <c r="A226" s="140"/>
      <c r="B226" s="140"/>
      <c r="C226" s="140"/>
      <c r="D226" s="140"/>
      <c r="E226" s="140"/>
      <c r="F226" s="205"/>
      <c r="G226" s="140"/>
      <c r="H226" s="140"/>
      <c r="I226" s="140"/>
      <c r="J226" s="140"/>
      <c r="K226" s="140"/>
      <c r="L226" s="140"/>
      <c r="M226" s="140"/>
      <c r="N226" s="140"/>
      <c r="O226" s="140"/>
      <c r="P226" s="140"/>
      <c r="Q226" s="140"/>
      <c r="R226" s="140"/>
    </row>
    <row r="227">
      <c r="A227" s="140"/>
      <c r="B227" s="140"/>
      <c r="C227" s="140"/>
      <c r="D227" s="140"/>
      <c r="E227" s="140"/>
      <c r="F227" s="205"/>
      <c r="G227" s="140"/>
      <c r="H227" s="140"/>
      <c r="I227" s="140"/>
      <c r="J227" s="140"/>
      <c r="K227" s="140"/>
      <c r="L227" s="140"/>
      <c r="M227" s="140"/>
      <c r="N227" s="140"/>
      <c r="O227" s="140"/>
      <c r="P227" s="140"/>
      <c r="Q227" s="140"/>
      <c r="R227" s="140"/>
    </row>
    <row r="228">
      <c r="A228" s="140"/>
      <c r="B228" s="140"/>
      <c r="C228" s="140"/>
      <c r="D228" s="140"/>
      <c r="E228" s="140"/>
      <c r="F228" s="205"/>
      <c r="G228" s="140"/>
      <c r="H228" s="140"/>
      <c r="I228" s="140"/>
      <c r="J228" s="140"/>
      <c r="K228" s="140"/>
      <c r="L228" s="140"/>
      <c r="M228" s="140"/>
      <c r="N228" s="140"/>
      <c r="O228" s="140"/>
      <c r="P228" s="140"/>
      <c r="Q228" s="140"/>
      <c r="R228" s="140"/>
    </row>
    <row r="229">
      <c r="A229" s="140"/>
      <c r="B229" s="140"/>
      <c r="C229" s="140"/>
      <c r="D229" s="140"/>
      <c r="E229" s="140"/>
      <c r="F229" s="205"/>
      <c r="G229" s="140"/>
      <c r="H229" s="140"/>
      <c r="I229" s="140"/>
      <c r="J229" s="140"/>
      <c r="K229" s="140"/>
      <c r="L229" s="140"/>
      <c r="M229" s="140"/>
      <c r="N229" s="140"/>
      <c r="O229" s="140"/>
      <c r="P229" s="140"/>
      <c r="Q229" s="140"/>
      <c r="R229" s="140"/>
    </row>
    <row r="230">
      <c r="A230" s="140"/>
      <c r="B230" s="140"/>
      <c r="C230" s="140"/>
      <c r="D230" s="140"/>
      <c r="E230" s="140"/>
      <c r="F230" s="205"/>
      <c r="G230" s="140"/>
      <c r="H230" s="140"/>
      <c r="I230" s="140"/>
      <c r="J230" s="140"/>
      <c r="K230" s="140"/>
      <c r="L230" s="140"/>
      <c r="M230" s="140"/>
      <c r="N230" s="140"/>
      <c r="O230" s="140"/>
      <c r="P230" s="140"/>
      <c r="Q230" s="140"/>
      <c r="R230" s="140"/>
    </row>
    <row r="231">
      <c r="A231" s="140"/>
      <c r="B231" s="140"/>
      <c r="C231" s="140"/>
      <c r="D231" s="140"/>
      <c r="E231" s="140"/>
      <c r="F231" s="205"/>
      <c r="G231" s="140"/>
      <c r="H231" s="140"/>
      <c r="I231" s="140"/>
      <c r="J231" s="140"/>
      <c r="K231" s="140"/>
      <c r="L231" s="140"/>
      <c r="M231" s="140"/>
      <c r="N231" s="140"/>
      <c r="O231" s="140"/>
      <c r="P231" s="140"/>
      <c r="Q231" s="140"/>
      <c r="R231" s="140"/>
    </row>
    <row r="232">
      <c r="A232" s="140"/>
      <c r="B232" s="140"/>
      <c r="C232" s="140"/>
      <c r="D232" s="140"/>
      <c r="E232" s="140"/>
      <c r="F232" s="205"/>
      <c r="G232" s="140"/>
      <c r="H232" s="140"/>
      <c r="I232" s="140"/>
      <c r="J232" s="140"/>
      <c r="K232" s="140"/>
      <c r="L232" s="140"/>
      <c r="M232" s="140"/>
      <c r="N232" s="140"/>
      <c r="O232" s="140"/>
      <c r="P232" s="140"/>
      <c r="Q232" s="140"/>
      <c r="R232" s="140"/>
    </row>
    <row r="233">
      <c r="A233" s="140"/>
      <c r="B233" s="140"/>
      <c r="C233" s="140"/>
      <c r="D233" s="140"/>
      <c r="E233" s="140"/>
      <c r="F233" s="205"/>
      <c r="G233" s="140"/>
      <c r="H233" s="140"/>
      <c r="I233" s="140"/>
      <c r="J233" s="140"/>
      <c r="K233" s="140"/>
      <c r="L233" s="140"/>
      <c r="M233" s="140"/>
      <c r="N233" s="140"/>
      <c r="O233" s="140"/>
      <c r="P233" s="140"/>
      <c r="Q233" s="140"/>
      <c r="R233" s="140"/>
    </row>
    <row r="234">
      <c r="A234" s="140"/>
      <c r="B234" s="140"/>
      <c r="C234" s="140"/>
      <c r="D234" s="140"/>
      <c r="E234" s="140"/>
      <c r="F234" s="205"/>
      <c r="G234" s="140"/>
      <c r="H234" s="140"/>
      <c r="I234" s="140"/>
      <c r="J234" s="140"/>
      <c r="K234" s="140"/>
      <c r="L234" s="140"/>
      <c r="M234" s="140"/>
      <c r="N234" s="140"/>
      <c r="O234" s="140"/>
      <c r="P234" s="140"/>
      <c r="Q234" s="140"/>
      <c r="R234" s="140"/>
    </row>
    <row r="235">
      <c r="A235" s="140"/>
      <c r="B235" s="140"/>
      <c r="C235" s="140"/>
      <c r="D235" s="140"/>
      <c r="E235" s="140"/>
      <c r="F235" s="205"/>
      <c r="G235" s="140"/>
      <c r="H235" s="140"/>
      <c r="I235" s="140"/>
      <c r="J235" s="140"/>
      <c r="K235" s="140"/>
      <c r="L235" s="140"/>
      <c r="M235" s="140"/>
      <c r="N235" s="140"/>
      <c r="O235" s="140"/>
      <c r="P235" s="140"/>
      <c r="Q235" s="140"/>
      <c r="R235" s="140"/>
    </row>
    <row r="236">
      <c r="A236" s="140"/>
      <c r="B236" s="140"/>
      <c r="C236" s="140"/>
      <c r="D236" s="140"/>
      <c r="E236" s="140"/>
      <c r="F236" s="205"/>
      <c r="G236" s="140"/>
      <c r="H236" s="140"/>
      <c r="I236" s="140"/>
      <c r="J236" s="140"/>
      <c r="K236" s="140"/>
      <c r="L236" s="140"/>
      <c r="M236" s="140"/>
      <c r="N236" s="140"/>
      <c r="O236" s="140"/>
      <c r="P236" s="140"/>
      <c r="Q236" s="140"/>
      <c r="R236" s="140"/>
    </row>
    <row r="237">
      <c r="A237" s="140"/>
      <c r="B237" s="140"/>
      <c r="C237" s="140"/>
      <c r="D237" s="140"/>
      <c r="E237" s="140"/>
      <c r="F237" s="205"/>
      <c r="G237" s="140"/>
      <c r="H237" s="140"/>
      <c r="I237" s="140"/>
      <c r="J237" s="140"/>
      <c r="K237" s="140"/>
      <c r="L237" s="140"/>
      <c r="M237" s="140"/>
      <c r="N237" s="140"/>
      <c r="O237" s="140"/>
      <c r="P237" s="140"/>
      <c r="Q237" s="140"/>
      <c r="R237" s="140"/>
    </row>
    <row r="238">
      <c r="A238" s="140"/>
      <c r="B238" s="140"/>
      <c r="C238" s="140"/>
      <c r="D238" s="140"/>
      <c r="E238" s="140"/>
      <c r="F238" s="205"/>
      <c r="G238" s="140"/>
      <c r="H238" s="140"/>
      <c r="I238" s="140"/>
      <c r="J238" s="140"/>
      <c r="K238" s="140"/>
      <c r="L238" s="140"/>
      <c r="M238" s="140"/>
      <c r="N238" s="140"/>
      <c r="O238" s="140"/>
      <c r="P238" s="140"/>
      <c r="Q238" s="140"/>
      <c r="R238" s="140"/>
    </row>
    <row r="239">
      <c r="A239" s="140"/>
      <c r="B239" s="140"/>
      <c r="C239" s="140"/>
      <c r="D239" s="140"/>
      <c r="E239" s="140"/>
      <c r="F239" s="205"/>
      <c r="G239" s="140"/>
      <c r="H239" s="140"/>
      <c r="I239" s="140"/>
      <c r="J239" s="140"/>
      <c r="K239" s="140"/>
      <c r="L239" s="140"/>
      <c r="M239" s="140"/>
      <c r="N239" s="140"/>
      <c r="O239" s="140"/>
      <c r="P239" s="140"/>
      <c r="Q239" s="140"/>
      <c r="R239" s="140"/>
    </row>
    <row r="240">
      <c r="A240" s="140"/>
      <c r="B240" s="140"/>
      <c r="C240" s="140"/>
      <c r="D240" s="140"/>
      <c r="E240" s="140"/>
      <c r="F240" s="205"/>
      <c r="G240" s="140"/>
      <c r="H240" s="140"/>
      <c r="I240" s="140"/>
      <c r="J240" s="140"/>
      <c r="K240" s="140"/>
      <c r="L240" s="140"/>
      <c r="M240" s="140"/>
      <c r="N240" s="140"/>
      <c r="O240" s="140"/>
      <c r="P240" s="140"/>
      <c r="Q240" s="140"/>
      <c r="R240" s="140"/>
    </row>
    <row r="241">
      <c r="A241" s="140"/>
      <c r="B241" s="140"/>
      <c r="C241" s="140"/>
      <c r="D241" s="140"/>
      <c r="E241" s="140"/>
      <c r="F241" s="205"/>
      <c r="G241" s="140"/>
      <c r="H241" s="140"/>
      <c r="I241" s="140"/>
      <c r="J241" s="140"/>
      <c r="K241" s="140"/>
      <c r="L241" s="140"/>
      <c r="M241" s="140"/>
      <c r="N241" s="140"/>
      <c r="O241" s="140"/>
      <c r="P241" s="140"/>
      <c r="Q241" s="140"/>
      <c r="R241" s="140"/>
    </row>
    <row r="242">
      <c r="A242" s="140"/>
      <c r="B242" s="140"/>
      <c r="C242" s="140"/>
      <c r="D242" s="140"/>
      <c r="E242" s="140"/>
      <c r="F242" s="205"/>
      <c r="G242" s="140"/>
      <c r="H242" s="140"/>
      <c r="I242" s="140"/>
      <c r="J242" s="140"/>
      <c r="K242" s="140"/>
      <c r="L242" s="140"/>
      <c r="M242" s="140"/>
      <c r="N242" s="140"/>
      <c r="O242" s="140"/>
      <c r="P242" s="140"/>
      <c r="Q242" s="140"/>
      <c r="R242" s="140"/>
    </row>
    <row r="243">
      <c r="A243" s="140"/>
      <c r="B243" s="140"/>
      <c r="C243" s="140"/>
      <c r="D243" s="140"/>
      <c r="E243" s="140"/>
      <c r="F243" s="205"/>
      <c r="G243" s="140"/>
      <c r="H243" s="140"/>
      <c r="I243" s="140"/>
      <c r="J243" s="140"/>
      <c r="K243" s="140"/>
      <c r="L243" s="140"/>
      <c r="M243" s="140"/>
      <c r="N243" s="140"/>
      <c r="O243" s="140"/>
      <c r="P243" s="140"/>
      <c r="Q243" s="140"/>
      <c r="R243" s="140"/>
    </row>
    <row r="244">
      <c r="A244" s="140"/>
      <c r="B244" s="140"/>
      <c r="C244" s="140"/>
      <c r="D244" s="140"/>
      <c r="E244" s="140"/>
      <c r="F244" s="205"/>
      <c r="G244" s="140"/>
      <c r="H244" s="140"/>
      <c r="I244" s="140"/>
      <c r="J244" s="140"/>
      <c r="K244" s="140"/>
      <c r="L244" s="140"/>
      <c r="M244" s="140"/>
      <c r="N244" s="140"/>
      <c r="O244" s="140"/>
      <c r="P244" s="140"/>
      <c r="Q244" s="140"/>
      <c r="R244" s="140"/>
    </row>
    <row r="245">
      <c r="A245" s="140"/>
      <c r="B245" s="140"/>
      <c r="C245" s="140"/>
      <c r="D245" s="140"/>
      <c r="E245" s="140"/>
      <c r="F245" s="205"/>
      <c r="G245" s="140"/>
      <c r="H245" s="140"/>
      <c r="I245" s="140"/>
      <c r="J245" s="140"/>
      <c r="K245" s="140"/>
      <c r="L245" s="140"/>
      <c r="M245" s="140"/>
      <c r="N245" s="140"/>
      <c r="O245" s="140"/>
      <c r="P245" s="140"/>
      <c r="Q245" s="140"/>
      <c r="R245" s="140"/>
    </row>
    <row r="246">
      <c r="A246" s="140"/>
      <c r="B246" s="140"/>
      <c r="C246" s="140"/>
      <c r="D246" s="140"/>
      <c r="E246" s="140"/>
      <c r="F246" s="205"/>
      <c r="G246" s="140"/>
      <c r="H246" s="140"/>
      <c r="I246" s="140"/>
      <c r="J246" s="140"/>
      <c r="K246" s="140"/>
      <c r="L246" s="140"/>
      <c r="M246" s="140"/>
      <c r="N246" s="140"/>
      <c r="O246" s="140"/>
      <c r="P246" s="140"/>
      <c r="Q246" s="140"/>
      <c r="R246" s="140"/>
    </row>
    <row r="247">
      <c r="A247" s="140"/>
      <c r="B247" s="140"/>
      <c r="C247" s="140"/>
      <c r="D247" s="140"/>
      <c r="E247" s="140"/>
      <c r="F247" s="205"/>
      <c r="G247" s="140"/>
      <c r="H247" s="140"/>
      <c r="I247" s="140"/>
      <c r="J247" s="140"/>
      <c r="K247" s="140"/>
      <c r="L247" s="140"/>
      <c r="M247" s="140"/>
      <c r="N247" s="140"/>
      <c r="O247" s="140"/>
      <c r="P247" s="140"/>
      <c r="Q247" s="140"/>
      <c r="R247" s="140"/>
    </row>
    <row r="248">
      <c r="A248" s="140"/>
      <c r="B248" s="140"/>
      <c r="C248" s="140"/>
      <c r="D248" s="140"/>
      <c r="E248" s="140"/>
      <c r="F248" s="205"/>
      <c r="G248" s="140"/>
      <c r="H248" s="140"/>
      <c r="I248" s="140"/>
      <c r="J248" s="140"/>
      <c r="K248" s="140"/>
      <c r="L248" s="140"/>
      <c r="M248" s="140"/>
      <c r="N248" s="140"/>
      <c r="O248" s="140"/>
      <c r="P248" s="140"/>
      <c r="Q248" s="140"/>
      <c r="R248" s="140"/>
    </row>
    <row r="249">
      <c r="A249" s="140"/>
      <c r="B249" s="140"/>
      <c r="C249" s="140"/>
      <c r="D249" s="140"/>
      <c r="E249" s="140"/>
      <c r="F249" s="205"/>
      <c r="G249" s="140"/>
      <c r="H249" s="140"/>
      <c r="I249" s="140"/>
      <c r="J249" s="140"/>
      <c r="K249" s="140"/>
      <c r="L249" s="140"/>
      <c r="M249" s="140"/>
      <c r="N249" s="140"/>
      <c r="O249" s="140"/>
      <c r="P249" s="140"/>
      <c r="Q249" s="140"/>
      <c r="R249" s="140"/>
    </row>
    <row r="250">
      <c r="A250" s="140"/>
      <c r="B250" s="140"/>
      <c r="C250" s="140"/>
      <c r="D250" s="140"/>
      <c r="E250" s="140"/>
      <c r="F250" s="205"/>
      <c r="G250" s="140"/>
      <c r="H250" s="140"/>
      <c r="I250" s="140"/>
      <c r="J250" s="140"/>
      <c r="K250" s="140"/>
      <c r="L250" s="140"/>
      <c r="M250" s="140"/>
      <c r="N250" s="140"/>
      <c r="O250" s="140"/>
      <c r="P250" s="140"/>
      <c r="Q250" s="140"/>
      <c r="R250" s="140"/>
    </row>
    <row r="251">
      <c r="A251" s="140"/>
      <c r="B251" s="140"/>
      <c r="C251" s="140"/>
      <c r="D251" s="140"/>
      <c r="E251" s="140"/>
      <c r="F251" s="205"/>
      <c r="G251" s="140"/>
      <c r="H251" s="140"/>
      <c r="I251" s="140"/>
      <c r="J251" s="140"/>
      <c r="K251" s="140"/>
      <c r="L251" s="140"/>
      <c r="M251" s="140"/>
      <c r="N251" s="140"/>
      <c r="O251" s="140"/>
      <c r="P251" s="140"/>
      <c r="Q251" s="140"/>
      <c r="R251" s="140"/>
    </row>
    <row r="252">
      <c r="A252" s="140"/>
      <c r="B252" s="140"/>
      <c r="C252" s="140"/>
      <c r="D252" s="140"/>
      <c r="E252" s="140"/>
      <c r="F252" s="205"/>
      <c r="G252" s="140"/>
      <c r="H252" s="140"/>
      <c r="I252" s="140"/>
      <c r="J252" s="140"/>
      <c r="K252" s="140"/>
      <c r="L252" s="140"/>
      <c r="M252" s="140"/>
      <c r="N252" s="140"/>
      <c r="O252" s="140"/>
      <c r="P252" s="140"/>
      <c r="Q252" s="140"/>
      <c r="R252" s="140"/>
    </row>
    <row r="253">
      <c r="A253" s="140"/>
      <c r="B253" s="140"/>
      <c r="C253" s="140"/>
      <c r="D253" s="140"/>
      <c r="E253" s="140"/>
      <c r="F253" s="205"/>
      <c r="G253" s="140"/>
      <c r="H253" s="140"/>
      <c r="I253" s="140"/>
      <c r="J253" s="140"/>
      <c r="K253" s="140"/>
      <c r="L253" s="140"/>
      <c r="M253" s="140"/>
      <c r="N253" s="140"/>
      <c r="O253" s="140"/>
      <c r="P253" s="140"/>
      <c r="Q253" s="140"/>
      <c r="R253" s="140"/>
    </row>
    <row r="254">
      <c r="A254" s="140"/>
      <c r="B254" s="140"/>
      <c r="C254" s="140"/>
      <c r="D254" s="140"/>
      <c r="E254" s="140"/>
      <c r="F254" s="205"/>
      <c r="G254" s="140"/>
      <c r="H254" s="140"/>
      <c r="I254" s="140"/>
      <c r="J254" s="140"/>
      <c r="K254" s="140"/>
      <c r="L254" s="140"/>
      <c r="M254" s="140"/>
      <c r="N254" s="140"/>
      <c r="O254" s="140"/>
      <c r="P254" s="140"/>
      <c r="Q254" s="140"/>
      <c r="R254" s="140"/>
    </row>
    <row r="255">
      <c r="A255" s="140"/>
      <c r="B255" s="140"/>
      <c r="C255" s="140"/>
      <c r="D255" s="140"/>
      <c r="E255" s="140"/>
      <c r="F255" s="205"/>
      <c r="G255" s="140"/>
      <c r="H255" s="140"/>
      <c r="I255" s="140"/>
      <c r="J255" s="140"/>
      <c r="K255" s="140"/>
      <c r="L255" s="140"/>
      <c r="M255" s="140"/>
      <c r="N255" s="140"/>
      <c r="O255" s="140"/>
      <c r="P255" s="140"/>
      <c r="Q255" s="140"/>
      <c r="R255" s="140"/>
    </row>
    <row r="256">
      <c r="A256" s="140"/>
      <c r="B256" s="140"/>
      <c r="C256" s="140"/>
      <c r="D256" s="140"/>
      <c r="E256" s="140"/>
      <c r="F256" s="205"/>
      <c r="G256" s="140"/>
      <c r="H256" s="140"/>
      <c r="I256" s="140"/>
      <c r="J256" s="140"/>
      <c r="K256" s="140"/>
      <c r="L256" s="140"/>
      <c r="M256" s="140"/>
      <c r="N256" s="140"/>
      <c r="O256" s="140"/>
      <c r="P256" s="140"/>
      <c r="Q256" s="140"/>
      <c r="R256" s="140"/>
    </row>
    <row r="257">
      <c r="A257" s="140"/>
      <c r="B257" s="140"/>
      <c r="C257" s="140"/>
      <c r="D257" s="140"/>
      <c r="E257" s="140"/>
      <c r="F257" s="205"/>
      <c r="G257" s="140"/>
      <c r="H257" s="140"/>
      <c r="I257" s="140"/>
      <c r="J257" s="140"/>
      <c r="K257" s="140"/>
      <c r="L257" s="140"/>
      <c r="M257" s="140"/>
      <c r="N257" s="140"/>
      <c r="O257" s="140"/>
      <c r="P257" s="140"/>
      <c r="Q257" s="140"/>
      <c r="R257" s="140"/>
    </row>
    <row r="258">
      <c r="A258" s="140"/>
      <c r="B258" s="140"/>
      <c r="C258" s="140"/>
      <c r="D258" s="140"/>
      <c r="E258" s="140"/>
      <c r="F258" s="205"/>
      <c r="G258" s="140"/>
      <c r="H258" s="140"/>
      <c r="I258" s="140"/>
      <c r="J258" s="140"/>
      <c r="K258" s="140"/>
      <c r="L258" s="140"/>
      <c r="M258" s="140"/>
      <c r="N258" s="140"/>
      <c r="O258" s="140"/>
      <c r="P258" s="140"/>
      <c r="Q258" s="140"/>
      <c r="R258" s="140"/>
    </row>
    <row r="259">
      <c r="A259" s="140"/>
      <c r="B259" s="140"/>
      <c r="C259" s="140"/>
      <c r="D259" s="140"/>
      <c r="E259" s="140"/>
      <c r="F259" s="205"/>
      <c r="G259" s="140"/>
      <c r="H259" s="140"/>
      <c r="I259" s="140"/>
      <c r="J259" s="140"/>
      <c r="K259" s="140"/>
      <c r="L259" s="140"/>
      <c r="M259" s="140"/>
      <c r="N259" s="140"/>
      <c r="O259" s="140"/>
      <c r="P259" s="140"/>
      <c r="Q259" s="140"/>
      <c r="R259" s="140"/>
    </row>
    <row r="260">
      <c r="A260" s="140"/>
      <c r="B260" s="140"/>
      <c r="C260" s="140"/>
      <c r="D260" s="140"/>
      <c r="E260" s="140"/>
      <c r="F260" s="205"/>
      <c r="G260" s="140"/>
      <c r="H260" s="140"/>
      <c r="I260" s="140"/>
      <c r="J260" s="140"/>
      <c r="K260" s="140"/>
      <c r="L260" s="140"/>
      <c r="M260" s="140"/>
      <c r="N260" s="140"/>
      <c r="O260" s="140"/>
      <c r="P260" s="140"/>
      <c r="Q260" s="140"/>
      <c r="R260" s="140"/>
    </row>
    <row r="261">
      <c r="A261" s="140"/>
      <c r="B261" s="140"/>
      <c r="C261" s="140"/>
      <c r="D261" s="140"/>
      <c r="E261" s="140"/>
      <c r="F261" s="205"/>
      <c r="G261" s="140"/>
      <c r="H261" s="140"/>
      <c r="I261" s="140"/>
      <c r="J261" s="140"/>
      <c r="K261" s="140"/>
      <c r="L261" s="140"/>
      <c r="M261" s="140"/>
      <c r="N261" s="140"/>
      <c r="O261" s="140"/>
      <c r="P261" s="140"/>
      <c r="Q261" s="140"/>
      <c r="R261" s="140"/>
    </row>
    <row r="262">
      <c r="A262" s="140"/>
      <c r="B262" s="140"/>
      <c r="C262" s="140"/>
      <c r="D262" s="140"/>
      <c r="E262" s="140"/>
      <c r="F262" s="205"/>
      <c r="G262" s="140"/>
      <c r="H262" s="140"/>
      <c r="I262" s="140"/>
      <c r="J262" s="140"/>
      <c r="K262" s="140"/>
      <c r="L262" s="140"/>
      <c r="M262" s="140"/>
      <c r="N262" s="140"/>
      <c r="O262" s="140"/>
      <c r="P262" s="140"/>
      <c r="Q262" s="140"/>
      <c r="R262" s="140"/>
    </row>
    <row r="263">
      <c r="A263" s="140"/>
      <c r="B263" s="140"/>
      <c r="C263" s="140"/>
      <c r="D263" s="140"/>
      <c r="E263" s="140"/>
      <c r="F263" s="205"/>
      <c r="G263" s="140"/>
      <c r="H263" s="140"/>
      <c r="I263" s="140"/>
      <c r="J263" s="140"/>
      <c r="K263" s="140"/>
      <c r="L263" s="140"/>
      <c r="M263" s="140"/>
      <c r="N263" s="140"/>
      <c r="O263" s="140"/>
      <c r="P263" s="140"/>
      <c r="Q263" s="140"/>
      <c r="R263" s="140"/>
    </row>
    <row r="264">
      <c r="A264" s="140"/>
      <c r="B264" s="140"/>
      <c r="C264" s="140"/>
      <c r="D264" s="140"/>
      <c r="E264" s="140"/>
      <c r="F264" s="205"/>
      <c r="G264" s="140"/>
      <c r="H264" s="140"/>
      <c r="I264" s="140"/>
      <c r="J264" s="140"/>
      <c r="K264" s="140"/>
      <c r="L264" s="140"/>
      <c r="M264" s="140"/>
      <c r="N264" s="140"/>
      <c r="O264" s="140"/>
      <c r="P264" s="140"/>
      <c r="Q264" s="140"/>
      <c r="R264" s="140"/>
    </row>
    <row r="265">
      <c r="A265" s="140"/>
      <c r="B265" s="140"/>
      <c r="C265" s="140"/>
      <c r="D265" s="140"/>
      <c r="E265" s="140"/>
      <c r="F265" s="205"/>
      <c r="G265" s="140"/>
      <c r="H265" s="140"/>
      <c r="I265" s="140"/>
      <c r="J265" s="140"/>
      <c r="K265" s="140"/>
      <c r="L265" s="140"/>
      <c r="M265" s="140"/>
      <c r="N265" s="140"/>
      <c r="O265" s="140"/>
      <c r="P265" s="140"/>
      <c r="Q265" s="140"/>
      <c r="R265" s="140"/>
    </row>
    <row r="266">
      <c r="A266" s="140"/>
      <c r="B266" s="140"/>
      <c r="C266" s="140"/>
      <c r="D266" s="140"/>
      <c r="E266" s="140"/>
      <c r="F266" s="205"/>
      <c r="G266" s="140"/>
      <c r="H266" s="140"/>
      <c r="I266" s="140"/>
      <c r="J266" s="140"/>
      <c r="K266" s="140"/>
      <c r="L266" s="140"/>
      <c r="M266" s="140"/>
      <c r="N266" s="140"/>
      <c r="O266" s="140"/>
      <c r="P266" s="140"/>
      <c r="Q266" s="140"/>
      <c r="R266" s="140"/>
    </row>
    <row r="267">
      <c r="A267" s="140"/>
      <c r="B267" s="140"/>
      <c r="C267" s="140"/>
      <c r="D267" s="140"/>
      <c r="E267" s="140"/>
      <c r="F267" s="205"/>
      <c r="G267" s="140"/>
      <c r="H267" s="140"/>
      <c r="I267" s="140"/>
      <c r="J267" s="140"/>
      <c r="K267" s="140"/>
      <c r="L267" s="140"/>
      <c r="M267" s="140"/>
      <c r="N267" s="140"/>
      <c r="O267" s="140"/>
      <c r="P267" s="140"/>
      <c r="Q267" s="140"/>
      <c r="R267" s="140"/>
    </row>
    <row r="268">
      <c r="A268" s="140"/>
      <c r="B268" s="140"/>
      <c r="C268" s="140"/>
      <c r="D268" s="140"/>
      <c r="E268" s="140"/>
      <c r="F268" s="205"/>
      <c r="G268" s="140"/>
      <c r="H268" s="140"/>
      <c r="I268" s="140"/>
      <c r="J268" s="140"/>
      <c r="K268" s="140"/>
      <c r="L268" s="140"/>
      <c r="M268" s="140"/>
      <c r="N268" s="140"/>
      <c r="O268" s="140"/>
      <c r="P268" s="140"/>
      <c r="Q268" s="140"/>
      <c r="R268" s="140"/>
    </row>
    <row r="269">
      <c r="A269" s="140"/>
      <c r="B269" s="140"/>
      <c r="C269" s="140"/>
      <c r="D269" s="140"/>
      <c r="E269" s="140"/>
      <c r="F269" s="205"/>
      <c r="G269" s="140"/>
      <c r="H269" s="140"/>
      <c r="I269" s="140"/>
      <c r="J269" s="140"/>
      <c r="K269" s="140"/>
      <c r="L269" s="140"/>
      <c r="M269" s="140"/>
      <c r="N269" s="140"/>
      <c r="O269" s="140"/>
      <c r="P269" s="140"/>
      <c r="Q269" s="140"/>
      <c r="R269" s="140"/>
    </row>
    <row r="270">
      <c r="A270" s="140"/>
      <c r="B270" s="140"/>
      <c r="C270" s="140"/>
      <c r="D270" s="140"/>
      <c r="E270" s="140"/>
      <c r="F270" s="205"/>
      <c r="G270" s="140"/>
      <c r="H270" s="140"/>
      <c r="I270" s="140"/>
      <c r="J270" s="140"/>
      <c r="K270" s="140"/>
      <c r="L270" s="140"/>
      <c r="M270" s="140"/>
      <c r="N270" s="140"/>
      <c r="O270" s="140"/>
      <c r="P270" s="140"/>
      <c r="Q270" s="140"/>
      <c r="R270" s="140"/>
    </row>
    <row r="271">
      <c r="A271" s="140"/>
      <c r="B271" s="140"/>
      <c r="C271" s="140"/>
      <c r="D271" s="140"/>
      <c r="E271" s="140"/>
      <c r="F271" s="205"/>
      <c r="G271" s="140"/>
      <c r="H271" s="140"/>
      <c r="I271" s="140"/>
      <c r="J271" s="140"/>
      <c r="K271" s="140"/>
      <c r="L271" s="140"/>
      <c r="M271" s="140"/>
      <c r="N271" s="140"/>
      <c r="O271" s="140"/>
      <c r="P271" s="140"/>
      <c r="Q271" s="140"/>
      <c r="R271" s="140"/>
    </row>
    <row r="272">
      <c r="A272" s="140"/>
      <c r="B272" s="140"/>
      <c r="C272" s="140"/>
      <c r="D272" s="140"/>
      <c r="E272" s="140"/>
      <c r="F272" s="205"/>
      <c r="G272" s="140"/>
      <c r="H272" s="140"/>
      <c r="I272" s="140"/>
      <c r="J272" s="140"/>
      <c r="K272" s="140"/>
      <c r="L272" s="140"/>
      <c r="M272" s="140"/>
      <c r="N272" s="140"/>
      <c r="O272" s="140"/>
      <c r="P272" s="140"/>
      <c r="Q272" s="140"/>
      <c r="R272" s="140"/>
    </row>
    <row r="273">
      <c r="A273" s="140"/>
      <c r="B273" s="140"/>
      <c r="C273" s="140"/>
      <c r="D273" s="140"/>
      <c r="E273" s="140"/>
      <c r="F273" s="205"/>
      <c r="G273" s="140"/>
      <c r="H273" s="140"/>
      <c r="I273" s="140"/>
      <c r="J273" s="140"/>
      <c r="K273" s="140"/>
      <c r="L273" s="140"/>
      <c r="M273" s="140"/>
      <c r="N273" s="140"/>
      <c r="O273" s="140"/>
      <c r="P273" s="140"/>
      <c r="Q273" s="140"/>
      <c r="R273" s="140"/>
    </row>
    <row r="274">
      <c r="A274" s="140"/>
      <c r="B274" s="140"/>
      <c r="C274" s="140"/>
      <c r="D274" s="140"/>
      <c r="E274" s="140"/>
      <c r="F274" s="205"/>
      <c r="G274" s="140"/>
      <c r="H274" s="140"/>
      <c r="I274" s="140"/>
      <c r="J274" s="140"/>
      <c r="K274" s="140"/>
      <c r="L274" s="140"/>
      <c r="M274" s="140"/>
      <c r="N274" s="140"/>
      <c r="O274" s="140"/>
      <c r="P274" s="140"/>
      <c r="Q274" s="140"/>
      <c r="R274" s="140"/>
    </row>
    <row r="275">
      <c r="A275" s="140"/>
      <c r="B275" s="140"/>
      <c r="C275" s="140"/>
      <c r="D275" s="140"/>
      <c r="E275" s="140"/>
      <c r="F275" s="205"/>
      <c r="G275" s="140"/>
      <c r="H275" s="140"/>
      <c r="I275" s="140"/>
      <c r="J275" s="140"/>
      <c r="K275" s="140"/>
      <c r="L275" s="140"/>
      <c r="M275" s="140"/>
      <c r="N275" s="140"/>
      <c r="O275" s="140"/>
      <c r="P275" s="140"/>
      <c r="Q275" s="140"/>
      <c r="R275" s="140"/>
    </row>
    <row r="276">
      <c r="A276" s="140"/>
      <c r="B276" s="140"/>
      <c r="C276" s="140"/>
      <c r="D276" s="140"/>
      <c r="E276" s="140"/>
      <c r="F276" s="205"/>
      <c r="G276" s="140"/>
      <c r="H276" s="140"/>
      <c r="I276" s="140"/>
      <c r="J276" s="140"/>
      <c r="K276" s="140"/>
      <c r="L276" s="140"/>
      <c r="M276" s="140"/>
      <c r="N276" s="140"/>
      <c r="O276" s="140"/>
      <c r="P276" s="140"/>
      <c r="Q276" s="140"/>
      <c r="R276" s="140"/>
    </row>
    <row r="277">
      <c r="A277" s="140"/>
      <c r="B277" s="140"/>
      <c r="C277" s="140"/>
      <c r="D277" s="140"/>
      <c r="E277" s="140"/>
      <c r="F277" s="205"/>
      <c r="G277" s="140"/>
      <c r="H277" s="140"/>
      <c r="I277" s="140"/>
      <c r="J277" s="140"/>
      <c r="K277" s="140"/>
      <c r="L277" s="140"/>
      <c r="M277" s="140"/>
      <c r="N277" s="140"/>
      <c r="O277" s="140"/>
      <c r="P277" s="140"/>
      <c r="Q277" s="140"/>
      <c r="R277" s="140"/>
    </row>
    <row r="278">
      <c r="A278" s="140"/>
      <c r="B278" s="140"/>
      <c r="C278" s="140"/>
      <c r="D278" s="140"/>
      <c r="E278" s="140"/>
      <c r="F278" s="205"/>
      <c r="G278" s="140"/>
      <c r="H278" s="140"/>
      <c r="I278" s="140"/>
      <c r="J278" s="140"/>
      <c r="K278" s="140"/>
      <c r="L278" s="140"/>
      <c r="M278" s="140"/>
      <c r="N278" s="140"/>
      <c r="O278" s="140"/>
      <c r="P278" s="140"/>
      <c r="Q278" s="140"/>
      <c r="R278" s="140"/>
    </row>
    <row r="279">
      <c r="A279" s="140"/>
      <c r="B279" s="140"/>
      <c r="C279" s="140"/>
      <c r="D279" s="140"/>
      <c r="E279" s="140"/>
      <c r="F279" s="205"/>
      <c r="G279" s="140"/>
      <c r="H279" s="140"/>
      <c r="I279" s="140"/>
      <c r="J279" s="140"/>
      <c r="K279" s="140"/>
      <c r="L279" s="140"/>
      <c r="M279" s="140"/>
      <c r="N279" s="140"/>
      <c r="O279" s="140"/>
      <c r="P279" s="140"/>
      <c r="Q279" s="140"/>
      <c r="R279" s="140"/>
    </row>
    <row r="280">
      <c r="A280" s="140"/>
      <c r="B280" s="140"/>
      <c r="C280" s="140"/>
      <c r="D280" s="140"/>
      <c r="E280" s="140"/>
      <c r="F280" s="205"/>
      <c r="G280" s="140"/>
      <c r="H280" s="140"/>
      <c r="I280" s="140"/>
      <c r="J280" s="140"/>
      <c r="K280" s="140"/>
      <c r="L280" s="140"/>
      <c r="M280" s="140"/>
      <c r="N280" s="140"/>
      <c r="O280" s="140"/>
      <c r="P280" s="140"/>
      <c r="Q280" s="140"/>
      <c r="R280" s="140"/>
    </row>
    <row r="281">
      <c r="A281" s="140"/>
      <c r="B281" s="140"/>
      <c r="C281" s="140"/>
      <c r="D281" s="140"/>
      <c r="E281" s="140"/>
      <c r="F281" s="205"/>
      <c r="G281" s="140"/>
      <c r="H281" s="140"/>
      <c r="I281" s="140"/>
      <c r="J281" s="140"/>
      <c r="K281" s="140"/>
      <c r="L281" s="140"/>
      <c r="M281" s="140"/>
      <c r="N281" s="140"/>
      <c r="O281" s="140"/>
      <c r="P281" s="140"/>
      <c r="Q281" s="140"/>
      <c r="R281" s="140"/>
    </row>
    <row r="282">
      <c r="A282" s="140"/>
      <c r="B282" s="140"/>
      <c r="C282" s="140"/>
      <c r="D282" s="140"/>
      <c r="E282" s="140"/>
      <c r="F282" s="205"/>
      <c r="G282" s="140"/>
      <c r="H282" s="140"/>
      <c r="I282" s="140"/>
      <c r="J282" s="140"/>
      <c r="K282" s="140"/>
      <c r="L282" s="140"/>
      <c r="M282" s="140"/>
      <c r="N282" s="140"/>
      <c r="O282" s="140"/>
      <c r="P282" s="140"/>
      <c r="Q282" s="140"/>
      <c r="R282" s="140"/>
    </row>
    <row r="283">
      <c r="A283" s="140"/>
      <c r="B283" s="140"/>
      <c r="C283" s="140"/>
      <c r="D283" s="140"/>
      <c r="E283" s="140"/>
      <c r="F283" s="205"/>
      <c r="G283" s="140"/>
      <c r="H283" s="140"/>
      <c r="I283" s="140"/>
      <c r="J283" s="140"/>
      <c r="K283" s="140"/>
      <c r="L283" s="140"/>
      <c r="M283" s="140"/>
      <c r="N283" s="140"/>
      <c r="O283" s="140"/>
      <c r="P283" s="140"/>
      <c r="Q283" s="140"/>
      <c r="R283" s="140"/>
    </row>
    <row r="284">
      <c r="A284" s="140"/>
      <c r="B284" s="140"/>
      <c r="C284" s="140"/>
      <c r="D284" s="140"/>
      <c r="E284" s="140"/>
      <c r="F284" s="205"/>
      <c r="G284" s="140"/>
      <c r="H284" s="140"/>
      <c r="I284" s="140"/>
      <c r="J284" s="140"/>
      <c r="K284" s="140"/>
      <c r="L284" s="140"/>
      <c r="M284" s="140"/>
      <c r="N284" s="140"/>
      <c r="O284" s="140"/>
      <c r="P284" s="140"/>
      <c r="Q284" s="140"/>
      <c r="R284" s="140"/>
    </row>
    <row r="285">
      <c r="A285" s="140"/>
      <c r="B285" s="140"/>
      <c r="C285" s="140"/>
      <c r="D285" s="140"/>
      <c r="E285" s="140"/>
      <c r="F285" s="205"/>
      <c r="G285" s="140"/>
      <c r="H285" s="140"/>
      <c r="I285" s="140"/>
      <c r="J285" s="140"/>
      <c r="K285" s="140"/>
      <c r="L285" s="140"/>
      <c r="M285" s="140"/>
      <c r="N285" s="140"/>
      <c r="O285" s="140"/>
      <c r="P285" s="140"/>
      <c r="Q285" s="140"/>
      <c r="R285" s="140"/>
    </row>
    <row r="286">
      <c r="A286" s="140"/>
      <c r="B286" s="140"/>
      <c r="C286" s="140"/>
      <c r="D286" s="140"/>
      <c r="E286" s="140"/>
      <c r="F286" s="205"/>
      <c r="G286" s="140"/>
      <c r="H286" s="140"/>
      <c r="I286" s="140"/>
      <c r="J286" s="140"/>
      <c r="K286" s="140"/>
      <c r="L286" s="140"/>
      <c r="M286" s="140"/>
      <c r="N286" s="140"/>
      <c r="O286" s="140"/>
      <c r="P286" s="140"/>
      <c r="Q286" s="140"/>
      <c r="R286" s="140"/>
    </row>
    <row r="287">
      <c r="A287" s="140"/>
      <c r="B287" s="140"/>
      <c r="C287" s="140"/>
      <c r="D287" s="140"/>
      <c r="E287" s="140"/>
      <c r="F287" s="205"/>
      <c r="G287" s="140"/>
      <c r="H287" s="140"/>
      <c r="I287" s="140"/>
      <c r="J287" s="140"/>
      <c r="K287" s="140"/>
      <c r="L287" s="140"/>
      <c r="M287" s="140"/>
      <c r="N287" s="140"/>
      <c r="O287" s="140"/>
      <c r="P287" s="140"/>
      <c r="Q287" s="140"/>
      <c r="R287" s="140"/>
    </row>
    <row r="288">
      <c r="A288" s="140"/>
      <c r="B288" s="140"/>
      <c r="C288" s="140"/>
      <c r="D288" s="140"/>
      <c r="E288" s="140"/>
      <c r="F288" s="205"/>
      <c r="G288" s="140"/>
      <c r="H288" s="140"/>
      <c r="I288" s="140"/>
      <c r="J288" s="140"/>
      <c r="K288" s="140"/>
      <c r="L288" s="140"/>
      <c r="M288" s="140"/>
      <c r="N288" s="140"/>
      <c r="O288" s="140"/>
      <c r="P288" s="140"/>
      <c r="Q288" s="140"/>
      <c r="R288" s="140"/>
    </row>
    <row r="289">
      <c r="A289" s="140"/>
      <c r="B289" s="140"/>
      <c r="C289" s="140"/>
      <c r="D289" s="140"/>
      <c r="E289" s="140"/>
      <c r="F289" s="205"/>
      <c r="G289" s="140"/>
      <c r="H289" s="140"/>
      <c r="I289" s="140"/>
      <c r="J289" s="140"/>
      <c r="K289" s="140"/>
      <c r="L289" s="140"/>
      <c r="M289" s="140"/>
      <c r="N289" s="140"/>
      <c r="O289" s="140"/>
      <c r="P289" s="140"/>
      <c r="Q289" s="140"/>
      <c r="R289" s="140"/>
    </row>
    <row r="290">
      <c r="A290" s="140"/>
      <c r="B290" s="140"/>
      <c r="C290" s="140"/>
      <c r="D290" s="140"/>
      <c r="E290" s="140"/>
      <c r="F290" s="205"/>
      <c r="G290" s="140"/>
      <c r="H290" s="140"/>
      <c r="I290" s="140"/>
      <c r="J290" s="140"/>
      <c r="K290" s="140"/>
      <c r="L290" s="140"/>
      <c r="M290" s="140"/>
      <c r="N290" s="140"/>
      <c r="O290" s="140"/>
      <c r="P290" s="140"/>
      <c r="Q290" s="140"/>
      <c r="R290" s="140"/>
    </row>
    <row r="291">
      <c r="A291" s="140"/>
      <c r="B291" s="140"/>
      <c r="C291" s="140"/>
      <c r="D291" s="140"/>
      <c r="E291" s="140"/>
      <c r="F291" s="205"/>
      <c r="G291" s="140"/>
      <c r="H291" s="140"/>
      <c r="I291" s="140"/>
      <c r="J291" s="140"/>
      <c r="K291" s="140"/>
      <c r="L291" s="140"/>
      <c r="M291" s="140"/>
      <c r="N291" s="140"/>
      <c r="O291" s="140"/>
      <c r="P291" s="140"/>
      <c r="Q291" s="140"/>
      <c r="R291" s="140"/>
    </row>
    <row r="292">
      <c r="A292" s="140"/>
      <c r="B292" s="140"/>
      <c r="C292" s="140"/>
      <c r="D292" s="140"/>
      <c r="E292" s="140"/>
      <c r="F292" s="205"/>
      <c r="G292" s="140"/>
      <c r="H292" s="140"/>
      <c r="I292" s="140"/>
      <c r="J292" s="140"/>
      <c r="K292" s="140"/>
      <c r="L292" s="140"/>
      <c r="M292" s="140"/>
      <c r="N292" s="140"/>
      <c r="O292" s="140"/>
      <c r="P292" s="140"/>
      <c r="Q292" s="140"/>
      <c r="R292" s="140"/>
    </row>
    <row r="293">
      <c r="A293" s="140"/>
      <c r="B293" s="140"/>
      <c r="C293" s="140"/>
      <c r="D293" s="140"/>
      <c r="E293" s="140"/>
      <c r="F293" s="205"/>
      <c r="G293" s="140"/>
      <c r="H293" s="140"/>
      <c r="I293" s="140"/>
      <c r="J293" s="140"/>
      <c r="K293" s="140"/>
      <c r="L293" s="140"/>
      <c r="M293" s="140"/>
      <c r="N293" s="140"/>
      <c r="O293" s="140"/>
      <c r="P293" s="140"/>
      <c r="Q293" s="140"/>
      <c r="R293" s="140"/>
    </row>
    <row r="294">
      <c r="A294" s="140"/>
      <c r="B294" s="140"/>
      <c r="C294" s="140"/>
      <c r="D294" s="140"/>
      <c r="E294" s="140"/>
      <c r="F294" s="205"/>
      <c r="G294" s="140"/>
      <c r="H294" s="140"/>
      <c r="I294" s="140"/>
      <c r="J294" s="140"/>
      <c r="K294" s="140"/>
      <c r="L294" s="140"/>
      <c r="M294" s="140"/>
      <c r="N294" s="140"/>
      <c r="O294" s="140"/>
      <c r="P294" s="140"/>
      <c r="Q294" s="140"/>
      <c r="R294" s="140"/>
    </row>
    <row r="295">
      <c r="A295" s="140"/>
      <c r="B295" s="140"/>
      <c r="C295" s="140"/>
      <c r="D295" s="140"/>
      <c r="E295" s="140"/>
      <c r="F295" s="205"/>
      <c r="G295" s="140"/>
      <c r="H295" s="140"/>
      <c r="I295" s="140"/>
      <c r="J295" s="140"/>
      <c r="K295" s="140"/>
      <c r="L295" s="140"/>
      <c r="M295" s="140"/>
      <c r="N295" s="140"/>
      <c r="O295" s="140"/>
      <c r="P295" s="140"/>
      <c r="Q295" s="140"/>
      <c r="R295" s="140"/>
    </row>
    <row r="296">
      <c r="A296" s="140"/>
      <c r="B296" s="140"/>
      <c r="C296" s="140"/>
      <c r="D296" s="140"/>
      <c r="E296" s="140"/>
      <c r="F296" s="205"/>
      <c r="G296" s="140"/>
      <c r="H296" s="140"/>
      <c r="I296" s="140"/>
      <c r="J296" s="140"/>
      <c r="K296" s="140"/>
      <c r="L296" s="140"/>
      <c r="M296" s="140"/>
      <c r="N296" s="140"/>
      <c r="O296" s="140"/>
      <c r="P296" s="140"/>
      <c r="Q296" s="140"/>
      <c r="R296" s="140"/>
    </row>
    <row r="297">
      <c r="A297" s="140"/>
      <c r="B297" s="140"/>
      <c r="C297" s="140"/>
      <c r="D297" s="140"/>
      <c r="E297" s="140"/>
      <c r="F297" s="205"/>
      <c r="G297" s="140"/>
      <c r="H297" s="140"/>
      <c r="I297" s="140"/>
      <c r="J297" s="140"/>
      <c r="K297" s="140"/>
      <c r="L297" s="140"/>
      <c r="M297" s="140"/>
      <c r="N297" s="140"/>
      <c r="O297" s="140"/>
      <c r="P297" s="140"/>
      <c r="Q297" s="140"/>
      <c r="R297" s="140"/>
    </row>
    <row r="298">
      <c r="A298" s="140"/>
      <c r="B298" s="140"/>
      <c r="C298" s="140"/>
      <c r="D298" s="140"/>
      <c r="E298" s="140"/>
      <c r="F298" s="205"/>
      <c r="G298" s="140"/>
      <c r="H298" s="140"/>
      <c r="I298" s="140"/>
      <c r="J298" s="140"/>
      <c r="K298" s="140"/>
      <c r="L298" s="140"/>
      <c r="M298" s="140"/>
      <c r="N298" s="140"/>
      <c r="O298" s="140"/>
      <c r="P298" s="140"/>
      <c r="Q298" s="140"/>
      <c r="R298" s="140"/>
    </row>
    <row r="299">
      <c r="A299" s="140"/>
      <c r="B299" s="140"/>
      <c r="C299" s="140"/>
      <c r="D299" s="140"/>
      <c r="E299" s="140"/>
      <c r="F299" s="205"/>
      <c r="G299" s="140"/>
      <c r="H299" s="140"/>
      <c r="I299" s="140"/>
      <c r="J299" s="140"/>
      <c r="K299" s="140"/>
      <c r="L299" s="140"/>
      <c r="M299" s="140"/>
      <c r="N299" s="140"/>
      <c r="O299" s="140"/>
      <c r="P299" s="140"/>
      <c r="Q299" s="140"/>
      <c r="R299" s="140"/>
    </row>
    <row r="300">
      <c r="A300" s="140"/>
      <c r="B300" s="140"/>
      <c r="C300" s="140"/>
      <c r="D300" s="140"/>
      <c r="E300" s="140"/>
      <c r="F300" s="205"/>
      <c r="G300" s="140"/>
      <c r="H300" s="140"/>
      <c r="I300" s="140"/>
      <c r="J300" s="140"/>
      <c r="K300" s="140"/>
      <c r="L300" s="140"/>
      <c r="M300" s="140"/>
      <c r="N300" s="140"/>
      <c r="O300" s="140"/>
      <c r="P300" s="140"/>
      <c r="Q300" s="140"/>
      <c r="R300" s="140"/>
    </row>
    <row r="301">
      <c r="A301" s="140"/>
      <c r="B301" s="140"/>
      <c r="C301" s="140"/>
      <c r="D301" s="140"/>
      <c r="E301" s="140"/>
      <c r="F301" s="205"/>
      <c r="G301" s="140"/>
      <c r="H301" s="140"/>
      <c r="I301" s="140"/>
      <c r="J301" s="140"/>
      <c r="K301" s="140"/>
      <c r="L301" s="140"/>
      <c r="M301" s="140"/>
      <c r="N301" s="140"/>
      <c r="O301" s="140"/>
      <c r="P301" s="140"/>
      <c r="Q301" s="140"/>
      <c r="R301" s="140"/>
    </row>
    <row r="302">
      <c r="A302" s="140"/>
      <c r="B302" s="140"/>
      <c r="C302" s="140"/>
      <c r="D302" s="140"/>
      <c r="E302" s="140"/>
      <c r="F302" s="205"/>
      <c r="G302" s="140"/>
      <c r="H302" s="140"/>
      <c r="I302" s="140"/>
      <c r="J302" s="140"/>
      <c r="K302" s="140"/>
      <c r="L302" s="140"/>
      <c r="M302" s="140"/>
      <c r="N302" s="140"/>
      <c r="O302" s="140"/>
      <c r="P302" s="140"/>
      <c r="Q302" s="140"/>
      <c r="R302" s="140"/>
    </row>
    <row r="303">
      <c r="A303" s="140"/>
      <c r="B303" s="140"/>
      <c r="C303" s="140"/>
      <c r="D303" s="140"/>
      <c r="E303" s="140"/>
      <c r="F303" s="205"/>
      <c r="G303" s="140"/>
      <c r="H303" s="140"/>
      <c r="I303" s="140"/>
      <c r="J303" s="140"/>
      <c r="K303" s="140"/>
      <c r="L303" s="140"/>
      <c r="M303" s="140"/>
      <c r="N303" s="140"/>
      <c r="O303" s="140"/>
      <c r="P303" s="140"/>
      <c r="Q303" s="140"/>
      <c r="R303" s="140"/>
    </row>
    <row r="304">
      <c r="A304" s="140"/>
      <c r="B304" s="140"/>
      <c r="C304" s="140"/>
      <c r="D304" s="140"/>
      <c r="E304" s="140"/>
      <c r="F304" s="205"/>
      <c r="G304" s="140"/>
      <c r="H304" s="140"/>
      <c r="I304" s="140"/>
      <c r="J304" s="140"/>
      <c r="K304" s="140"/>
      <c r="L304" s="140"/>
      <c r="M304" s="140"/>
      <c r="N304" s="140"/>
      <c r="O304" s="140"/>
      <c r="P304" s="140"/>
      <c r="Q304" s="140"/>
      <c r="R304" s="140"/>
    </row>
    <row r="305">
      <c r="A305" s="140"/>
      <c r="B305" s="140"/>
      <c r="C305" s="140"/>
      <c r="D305" s="140"/>
      <c r="E305" s="140"/>
      <c r="F305" s="205"/>
      <c r="G305" s="140"/>
      <c r="H305" s="140"/>
      <c r="I305" s="140"/>
      <c r="J305" s="140"/>
      <c r="K305" s="140"/>
      <c r="L305" s="140"/>
      <c r="M305" s="140"/>
      <c r="N305" s="140"/>
      <c r="O305" s="140"/>
      <c r="P305" s="140"/>
      <c r="Q305" s="140"/>
      <c r="R305" s="140"/>
    </row>
    <row r="306">
      <c r="A306" s="140"/>
      <c r="B306" s="140"/>
      <c r="C306" s="140"/>
      <c r="D306" s="140"/>
      <c r="E306" s="140"/>
      <c r="F306" s="205"/>
      <c r="G306" s="140"/>
      <c r="H306" s="140"/>
      <c r="I306" s="140"/>
      <c r="J306" s="140"/>
      <c r="K306" s="140"/>
      <c r="L306" s="140"/>
      <c r="M306" s="140"/>
      <c r="N306" s="140"/>
      <c r="O306" s="140"/>
      <c r="P306" s="140"/>
      <c r="Q306" s="140"/>
      <c r="R306" s="140"/>
    </row>
    <row r="307">
      <c r="A307" s="140"/>
      <c r="B307" s="140"/>
      <c r="C307" s="140"/>
      <c r="D307" s="140"/>
      <c r="E307" s="140"/>
      <c r="F307" s="205"/>
      <c r="G307" s="140"/>
      <c r="H307" s="140"/>
      <c r="I307" s="140"/>
      <c r="J307" s="140"/>
      <c r="K307" s="140"/>
      <c r="L307" s="140"/>
      <c r="M307" s="140"/>
      <c r="N307" s="140"/>
      <c r="O307" s="140"/>
      <c r="P307" s="140"/>
      <c r="Q307" s="140"/>
      <c r="R307" s="140"/>
    </row>
    <row r="308">
      <c r="A308" s="140"/>
      <c r="B308" s="140"/>
      <c r="C308" s="140"/>
      <c r="D308" s="140"/>
      <c r="E308" s="140"/>
      <c r="F308" s="205"/>
      <c r="G308" s="140"/>
      <c r="H308" s="140"/>
      <c r="I308" s="140"/>
      <c r="J308" s="140"/>
      <c r="K308" s="140"/>
      <c r="L308" s="140"/>
      <c r="M308" s="140"/>
      <c r="N308" s="140"/>
      <c r="O308" s="140"/>
      <c r="P308" s="140"/>
      <c r="Q308" s="140"/>
      <c r="R308" s="140"/>
    </row>
    <row r="309">
      <c r="A309" s="140"/>
      <c r="B309" s="140"/>
      <c r="C309" s="140"/>
      <c r="D309" s="140"/>
      <c r="E309" s="140"/>
      <c r="F309" s="205"/>
      <c r="G309" s="140"/>
      <c r="H309" s="140"/>
      <c r="I309" s="140"/>
      <c r="J309" s="140"/>
      <c r="K309" s="140"/>
      <c r="L309" s="140"/>
      <c r="M309" s="140"/>
      <c r="N309" s="140"/>
      <c r="O309" s="140"/>
      <c r="P309" s="140"/>
      <c r="Q309" s="140"/>
      <c r="R309" s="140"/>
    </row>
    <row r="310">
      <c r="A310" s="140"/>
      <c r="B310" s="140"/>
      <c r="C310" s="140"/>
      <c r="D310" s="140"/>
      <c r="E310" s="140"/>
      <c r="F310" s="205"/>
      <c r="G310" s="140"/>
      <c r="H310" s="140"/>
      <c r="I310" s="140"/>
      <c r="J310" s="140"/>
      <c r="K310" s="140"/>
      <c r="L310" s="140"/>
      <c r="M310" s="140"/>
      <c r="N310" s="140"/>
      <c r="O310" s="140"/>
      <c r="P310" s="140"/>
      <c r="Q310" s="140"/>
      <c r="R310" s="140"/>
    </row>
    <row r="311">
      <c r="A311" s="140"/>
      <c r="B311" s="140"/>
      <c r="C311" s="140"/>
      <c r="D311" s="140"/>
      <c r="E311" s="140"/>
      <c r="F311" s="205"/>
      <c r="G311" s="140"/>
      <c r="H311" s="140"/>
      <c r="I311" s="140"/>
      <c r="J311" s="140"/>
      <c r="K311" s="140"/>
      <c r="L311" s="140"/>
      <c r="M311" s="140"/>
      <c r="N311" s="140"/>
      <c r="O311" s="140"/>
      <c r="P311" s="140"/>
      <c r="Q311" s="140"/>
      <c r="R311" s="140"/>
    </row>
    <row r="312">
      <c r="A312" s="140"/>
      <c r="B312" s="140"/>
      <c r="C312" s="140"/>
      <c r="D312" s="140"/>
      <c r="E312" s="140"/>
      <c r="F312" s="205"/>
      <c r="G312" s="140"/>
      <c r="H312" s="140"/>
      <c r="I312" s="140"/>
      <c r="J312" s="140"/>
      <c r="K312" s="140"/>
      <c r="L312" s="140"/>
      <c r="M312" s="140"/>
      <c r="N312" s="140"/>
      <c r="O312" s="140"/>
      <c r="P312" s="140"/>
      <c r="Q312" s="140"/>
      <c r="R312" s="140"/>
    </row>
    <row r="313">
      <c r="A313" s="140"/>
      <c r="B313" s="140"/>
      <c r="C313" s="140"/>
      <c r="D313" s="140"/>
      <c r="E313" s="140"/>
      <c r="F313" s="205"/>
      <c r="G313" s="140"/>
      <c r="H313" s="140"/>
      <c r="I313" s="140"/>
      <c r="J313" s="140"/>
      <c r="K313" s="140"/>
      <c r="L313" s="140"/>
      <c r="M313" s="140"/>
      <c r="N313" s="140"/>
      <c r="O313" s="140"/>
      <c r="P313" s="140"/>
      <c r="Q313" s="140"/>
      <c r="R313" s="140"/>
    </row>
    <row r="314">
      <c r="A314" s="140"/>
      <c r="B314" s="140"/>
      <c r="C314" s="140"/>
      <c r="D314" s="140"/>
      <c r="E314" s="140"/>
      <c r="F314" s="205"/>
      <c r="G314" s="140"/>
      <c r="H314" s="140"/>
      <c r="I314" s="140"/>
      <c r="J314" s="140"/>
      <c r="K314" s="140"/>
      <c r="L314" s="140"/>
      <c r="M314" s="140"/>
      <c r="N314" s="140"/>
      <c r="O314" s="140"/>
      <c r="P314" s="140"/>
      <c r="Q314" s="140"/>
      <c r="R314" s="140"/>
    </row>
    <row r="315">
      <c r="A315" s="140"/>
      <c r="B315" s="140"/>
      <c r="C315" s="140"/>
      <c r="D315" s="140"/>
      <c r="E315" s="140"/>
      <c r="F315" s="205"/>
      <c r="G315" s="140"/>
      <c r="H315" s="140"/>
      <c r="I315" s="140"/>
      <c r="J315" s="140"/>
      <c r="K315" s="140"/>
      <c r="L315" s="140"/>
      <c r="M315" s="140"/>
      <c r="N315" s="140"/>
      <c r="O315" s="140"/>
      <c r="P315" s="140"/>
      <c r="Q315" s="140"/>
      <c r="R315" s="140"/>
    </row>
    <row r="316">
      <c r="A316" s="140"/>
      <c r="B316" s="140"/>
      <c r="C316" s="140"/>
      <c r="D316" s="140"/>
      <c r="E316" s="140"/>
      <c r="F316" s="205"/>
      <c r="G316" s="140"/>
      <c r="H316" s="140"/>
      <c r="I316" s="140"/>
      <c r="J316" s="140"/>
      <c r="K316" s="140"/>
      <c r="L316" s="140"/>
      <c r="M316" s="140"/>
      <c r="N316" s="140"/>
      <c r="O316" s="140"/>
      <c r="P316" s="140"/>
      <c r="Q316" s="140"/>
      <c r="R316" s="140"/>
    </row>
    <row r="317">
      <c r="A317" s="140"/>
      <c r="B317" s="140"/>
      <c r="C317" s="140"/>
      <c r="D317" s="140"/>
      <c r="E317" s="140"/>
      <c r="F317" s="205"/>
      <c r="G317" s="140"/>
      <c r="H317" s="140"/>
      <c r="I317" s="140"/>
      <c r="J317" s="140"/>
      <c r="K317" s="140"/>
      <c r="L317" s="140"/>
      <c r="M317" s="140"/>
      <c r="N317" s="140"/>
      <c r="O317" s="140"/>
      <c r="P317" s="140"/>
      <c r="Q317" s="140"/>
      <c r="R317" s="140"/>
    </row>
    <row r="318">
      <c r="A318" s="140"/>
      <c r="B318" s="140"/>
      <c r="C318" s="140"/>
      <c r="D318" s="140"/>
      <c r="E318" s="140"/>
      <c r="F318" s="205"/>
      <c r="G318" s="140"/>
      <c r="H318" s="140"/>
      <c r="I318" s="140"/>
      <c r="J318" s="140"/>
      <c r="K318" s="140"/>
      <c r="L318" s="140"/>
      <c r="M318" s="140"/>
      <c r="N318" s="140"/>
      <c r="O318" s="140"/>
      <c r="P318" s="140"/>
      <c r="Q318" s="140"/>
      <c r="R318" s="140"/>
    </row>
    <row r="319">
      <c r="A319" s="140"/>
      <c r="B319" s="140"/>
      <c r="C319" s="140"/>
      <c r="D319" s="140"/>
      <c r="E319" s="140"/>
      <c r="F319" s="205"/>
      <c r="G319" s="140"/>
      <c r="H319" s="140"/>
      <c r="I319" s="140"/>
      <c r="J319" s="140"/>
      <c r="K319" s="140"/>
      <c r="L319" s="140"/>
      <c r="M319" s="140"/>
      <c r="N319" s="140"/>
      <c r="O319" s="140"/>
      <c r="P319" s="140"/>
      <c r="Q319" s="140"/>
      <c r="R319" s="140"/>
    </row>
    <row r="320">
      <c r="A320" s="140"/>
      <c r="B320" s="140"/>
      <c r="C320" s="140"/>
      <c r="D320" s="140"/>
      <c r="E320" s="140"/>
      <c r="F320" s="205"/>
      <c r="G320" s="140"/>
      <c r="H320" s="140"/>
      <c r="I320" s="140"/>
      <c r="J320" s="140"/>
      <c r="K320" s="140"/>
      <c r="L320" s="140"/>
      <c r="M320" s="140"/>
      <c r="N320" s="140"/>
      <c r="O320" s="140"/>
      <c r="P320" s="140"/>
      <c r="Q320" s="140"/>
      <c r="R320" s="140"/>
    </row>
    <row r="321">
      <c r="A321" s="140"/>
      <c r="B321" s="140"/>
      <c r="C321" s="140"/>
      <c r="D321" s="140"/>
      <c r="E321" s="140"/>
      <c r="F321" s="205"/>
      <c r="G321" s="140"/>
      <c r="H321" s="140"/>
      <c r="I321" s="140"/>
      <c r="J321" s="140"/>
      <c r="K321" s="140"/>
      <c r="L321" s="140"/>
      <c r="M321" s="140"/>
      <c r="N321" s="140"/>
      <c r="O321" s="140"/>
      <c r="P321" s="140"/>
      <c r="Q321" s="140"/>
      <c r="R321" s="140"/>
    </row>
    <row r="322">
      <c r="A322" s="140"/>
      <c r="B322" s="140"/>
      <c r="C322" s="140"/>
      <c r="D322" s="140"/>
      <c r="E322" s="140"/>
      <c r="F322" s="205"/>
      <c r="G322" s="140"/>
      <c r="H322" s="140"/>
      <c r="I322" s="140"/>
      <c r="J322" s="140"/>
      <c r="K322" s="140"/>
      <c r="L322" s="140"/>
      <c r="M322" s="140"/>
      <c r="N322" s="140"/>
      <c r="O322" s="140"/>
      <c r="P322" s="140"/>
      <c r="Q322" s="140"/>
      <c r="R322" s="140"/>
    </row>
    <row r="323">
      <c r="A323" s="140"/>
      <c r="B323" s="140"/>
      <c r="C323" s="140"/>
      <c r="D323" s="140"/>
      <c r="E323" s="140"/>
      <c r="F323" s="205"/>
      <c r="G323" s="140"/>
      <c r="H323" s="140"/>
      <c r="I323" s="140"/>
      <c r="J323" s="140"/>
      <c r="K323" s="140"/>
      <c r="L323" s="140"/>
      <c r="M323" s="140"/>
      <c r="N323" s="140"/>
      <c r="O323" s="140"/>
      <c r="P323" s="140"/>
      <c r="Q323" s="140"/>
      <c r="R323" s="140"/>
    </row>
    <row r="324">
      <c r="A324" s="140"/>
      <c r="B324" s="140"/>
      <c r="C324" s="140"/>
      <c r="D324" s="140"/>
      <c r="E324" s="140"/>
      <c r="F324" s="205"/>
      <c r="G324" s="140"/>
      <c r="H324" s="140"/>
      <c r="I324" s="140"/>
      <c r="J324" s="140"/>
      <c r="K324" s="140"/>
      <c r="L324" s="140"/>
      <c r="M324" s="140"/>
      <c r="N324" s="140"/>
      <c r="O324" s="140"/>
      <c r="P324" s="140"/>
      <c r="Q324" s="140"/>
      <c r="R324" s="140"/>
    </row>
    <row r="325">
      <c r="A325" s="140"/>
      <c r="B325" s="140"/>
      <c r="C325" s="140"/>
      <c r="D325" s="140"/>
      <c r="E325" s="140"/>
      <c r="F325" s="205"/>
      <c r="G325" s="140"/>
      <c r="H325" s="140"/>
      <c r="I325" s="140"/>
      <c r="J325" s="140"/>
      <c r="K325" s="140"/>
      <c r="L325" s="140"/>
      <c r="M325" s="140"/>
      <c r="N325" s="140"/>
      <c r="O325" s="140"/>
      <c r="P325" s="140"/>
      <c r="Q325" s="140"/>
      <c r="R325" s="140"/>
    </row>
    <row r="326">
      <c r="A326" s="140"/>
      <c r="B326" s="140"/>
      <c r="C326" s="140"/>
      <c r="D326" s="140"/>
      <c r="E326" s="140"/>
      <c r="F326" s="205"/>
      <c r="G326" s="140"/>
      <c r="H326" s="140"/>
      <c r="I326" s="140"/>
      <c r="J326" s="140"/>
      <c r="K326" s="140"/>
      <c r="L326" s="140"/>
      <c r="M326" s="140"/>
      <c r="N326" s="140"/>
      <c r="O326" s="140"/>
      <c r="P326" s="140"/>
      <c r="Q326" s="140"/>
      <c r="R326" s="140"/>
    </row>
    <row r="327">
      <c r="A327" s="140"/>
      <c r="B327" s="140"/>
      <c r="C327" s="140"/>
      <c r="D327" s="140"/>
      <c r="E327" s="140"/>
      <c r="F327" s="205"/>
      <c r="G327" s="140"/>
      <c r="H327" s="140"/>
      <c r="I327" s="140"/>
      <c r="J327" s="140"/>
      <c r="K327" s="140"/>
      <c r="L327" s="140"/>
      <c r="M327" s="140"/>
      <c r="N327" s="140"/>
      <c r="O327" s="140"/>
      <c r="P327" s="140"/>
      <c r="Q327" s="140"/>
      <c r="R327" s="140"/>
    </row>
    <row r="328">
      <c r="A328" s="140"/>
      <c r="B328" s="140"/>
      <c r="C328" s="140"/>
      <c r="D328" s="140"/>
      <c r="E328" s="140"/>
      <c r="F328" s="205"/>
      <c r="G328" s="140"/>
      <c r="H328" s="140"/>
      <c r="I328" s="140"/>
      <c r="J328" s="140"/>
      <c r="K328" s="140"/>
      <c r="L328" s="140"/>
      <c r="M328" s="140"/>
      <c r="N328" s="140"/>
      <c r="O328" s="140"/>
      <c r="P328" s="140"/>
      <c r="Q328" s="140"/>
      <c r="R328" s="140"/>
    </row>
    <row r="329">
      <c r="A329" s="140"/>
      <c r="B329" s="140"/>
      <c r="C329" s="140"/>
      <c r="D329" s="140"/>
      <c r="E329" s="140"/>
      <c r="F329" s="205"/>
      <c r="G329" s="140"/>
      <c r="H329" s="140"/>
      <c r="I329" s="140"/>
      <c r="J329" s="140"/>
      <c r="K329" s="140"/>
      <c r="L329" s="140"/>
      <c r="M329" s="140"/>
      <c r="N329" s="140"/>
      <c r="O329" s="140"/>
      <c r="P329" s="140"/>
      <c r="Q329" s="140"/>
      <c r="R329" s="140"/>
    </row>
    <row r="330">
      <c r="A330" s="140"/>
      <c r="B330" s="140"/>
      <c r="C330" s="140"/>
      <c r="D330" s="140"/>
      <c r="E330" s="140"/>
      <c r="F330" s="205"/>
      <c r="G330" s="140"/>
      <c r="H330" s="140"/>
      <c r="I330" s="140"/>
      <c r="J330" s="140"/>
      <c r="K330" s="140"/>
      <c r="L330" s="140"/>
      <c r="M330" s="140"/>
      <c r="N330" s="140"/>
      <c r="O330" s="140"/>
      <c r="P330" s="140"/>
      <c r="Q330" s="140"/>
      <c r="R330" s="140"/>
    </row>
    <row r="331">
      <c r="A331" s="140"/>
      <c r="B331" s="140"/>
      <c r="C331" s="140"/>
      <c r="D331" s="140"/>
      <c r="E331" s="140"/>
      <c r="F331" s="205"/>
      <c r="G331" s="140"/>
      <c r="H331" s="140"/>
      <c r="I331" s="140"/>
      <c r="J331" s="140"/>
      <c r="K331" s="140"/>
      <c r="L331" s="140"/>
      <c r="M331" s="140"/>
      <c r="N331" s="140"/>
      <c r="O331" s="140"/>
      <c r="P331" s="140"/>
      <c r="Q331" s="140"/>
      <c r="R331" s="140"/>
    </row>
    <row r="332">
      <c r="A332" s="140"/>
      <c r="B332" s="140"/>
      <c r="C332" s="140"/>
      <c r="D332" s="140"/>
      <c r="E332" s="140"/>
      <c r="F332" s="205"/>
      <c r="G332" s="140"/>
      <c r="H332" s="140"/>
      <c r="I332" s="140"/>
      <c r="J332" s="140"/>
      <c r="K332" s="140"/>
      <c r="L332" s="140"/>
      <c r="M332" s="140"/>
      <c r="N332" s="140"/>
      <c r="O332" s="140"/>
      <c r="P332" s="140"/>
      <c r="Q332" s="140"/>
      <c r="R332" s="140"/>
    </row>
    <row r="333">
      <c r="A333" s="140"/>
      <c r="B333" s="140"/>
      <c r="C333" s="140"/>
      <c r="D333" s="140"/>
      <c r="E333" s="140"/>
      <c r="F333" s="205"/>
      <c r="G333" s="140"/>
      <c r="H333" s="140"/>
      <c r="I333" s="140"/>
      <c r="J333" s="140"/>
      <c r="K333" s="140"/>
      <c r="L333" s="140"/>
      <c r="M333" s="140"/>
      <c r="N333" s="140"/>
      <c r="O333" s="140"/>
      <c r="P333" s="140"/>
      <c r="Q333" s="140"/>
      <c r="R333" s="140"/>
    </row>
    <row r="334">
      <c r="A334" s="140"/>
      <c r="B334" s="140"/>
      <c r="C334" s="140"/>
      <c r="D334" s="140"/>
      <c r="E334" s="140"/>
      <c r="F334" s="205"/>
      <c r="G334" s="140"/>
      <c r="H334" s="140"/>
      <c r="I334" s="140"/>
      <c r="J334" s="140"/>
      <c r="K334" s="140"/>
      <c r="L334" s="140"/>
      <c r="M334" s="140"/>
      <c r="N334" s="140"/>
      <c r="O334" s="140"/>
      <c r="P334" s="140"/>
      <c r="Q334" s="140"/>
      <c r="R334" s="140"/>
    </row>
    <row r="335">
      <c r="A335" s="140"/>
      <c r="B335" s="140"/>
      <c r="C335" s="140"/>
      <c r="D335" s="140"/>
      <c r="E335" s="140"/>
      <c r="F335" s="205"/>
      <c r="G335" s="140"/>
      <c r="H335" s="140"/>
      <c r="I335" s="140"/>
      <c r="J335" s="140"/>
      <c r="K335" s="140"/>
      <c r="L335" s="140"/>
      <c r="M335" s="140"/>
      <c r="N335" s="140"/>
      <c r="O335" s="140"/>
      <c r="P335" s="140"/>
      <c r="Q335" s="140"/>
      <c r="R335" s="140"/>
    </row>
    <row r="336">
      <c r="A336" s="140"/>
      <c r="B336" s="140"/>
      <c r="C336" s="140"/>
      <c r="D336" s="140"/>
      <c r="E336" s="140"/>
      <c r="F336" s="205"/>
      <c r="G336" s="140"/>
      <c r="H336" s="140"/>
      <c r="I336" s="140"/>
      <c r="J336" s="140"/>
      <c r="K336" s="140"/>
      <c r="L336" s="140"/>
      <c r="M336" s="140"/>
      <c r="N336" s="140"/>
      <c r="O336" s="140"/>
      <c r="P336" s="140"/>
      <c r="Q336" s="140"/>
      <c r="R336" s="140"/>
    </row>
    <row r="337">
      <c r="A337" s="140"/>
      <c r="B337" s="140"/>
      <c r="C337" s="140"/>
      <c r="D337" s="140"/>
      <c r="E337" s="140"/>
      <c r="F337" s="205"/>
      <c r="G337" s="140"/>
      <c r="H337" s="140"/>
      <c r="I337" s="140"/>
      <c r="J337" s="140"/>
      <c r="K337" s="140"/>
      <c r="L337" s="140"/>
      <c r="M337" s="140"/>
      <c r="N337" s="140"/>
      <c r="O337" s="140"/>
      <c r="P337" s="140"/>
      <c r="Q337" s="140"/>
      <c r="R337" s="140"/>
    </row>
    <row r="338">
      <c r="A338" s="140"/>
      <c r="B338" s="140"/>
      <c r="C338" s="140"/>
      <c r="D338" s="140"/>
      <c r="E338" s="140"/>
      <c r="F338" s="205"/>
      <c r="G338" s="140"/>
      <c r="H338" s="140"/>
      <c r="I338" s="140"/>
      <c r="J338" s="140"/>
      <c r="K338" s="140"/>
      <c r="L338" s="140"/>
      <c r="M338" s="140"/>
      <c r="N338" s="140"/>
      <c r="O338" s="140"/>
      <c r="P338" s="140"/>
      <c r="Q338" s="140"/>
      <c r="R338" s="140"/>
    </row>
    <row r="339">
      <c r="A339" s="140"/>
      <c r="B339" s="140"/>
      <c r="C339" s="140"/>
      <c r="D339" s="140"/>
      <c r="E339" s="140"/>
      <c r="F339" s="205"/>
      <c r="G339" s="140"/>
      <c r="H339" s="140"/>
      <c r="I339" s="140"/>
      <c r="J339" s="140"/>
      <c r="K339" s="140"/>
      <c r="L339" s="140"/>
      <c r="M339" s="140"/>
      <c r="N339" s="140"/>
      <c r="O339" s="140"/>
      <c r="P339" s="140"/>
      <c r="Q339" s="140"/>
      <c r="R339" s="140"/>
    </row>
    <row r="340">
      <c r="A340" s="140"/>
      <c r="B340" s="140"/>
      <c r="C340" s="140"/>
      <c r="D340" s="140"/>
      <c r="E340" s="140"/>
      <c r="F340" s="205"/>
      <c r="G340" s="140"/>
      <c r="H340" s="140"/>
      <c r="I340" s="140"/>
      <c r="J340" s="140"/>
      <c r="K340" s="140"/>
      <c r="L340" s="140"/>
      <c r="M340" s="140"/>
      <c r="N340" s="140"/>
      <c r="O340" s="140"/>
      <c r="P340" s="140"/>
      <c r="Q340" s="140"/>
      <c r="R340" s="140"/>
    </row>
    <row r="341">
      <c r="A341" s="140"/>
      <c r="B341" s="140"/>
      <c r="C341" s="140"/>
      <c r="D341" s="140"/>
      <c r="E341" s="140"/>
      <c r="F341" s="205"/>
      <c r="G341" s="140"/>
      <c r="H341" s="140"/>
      <c r="I341" s="140"/>
      <c r="J341" s="140"/>
      <c r="K341" s="140"/>
      <c r="L341" s="140"/>
      <c r="M341" s="140"/>
      <c r="N341" s="140"/>
      <c r="O341" s="140"/>
      <c r="P341" s="140"/>
      <c r="Q341" s="140"/>
      <c r="R341" s="140"/>
    </row>
    <row r="342">
      <c r="A342" s="140"/>
      <c r="B342" s="140"/>
      <c r="C342" s="140"/>
      <c r="D342" s="140"/>
      <c r="E342" s="140"/>
      <c r="F342" s="205"/>
      <c r="G342" s="140"/>
      <c r="H342" s="140"/>
      <c r="I342" s="140"/>
      <c r="J342" s="140"/>
      <c r="K342" s="140"/>
      <c r="L342" s="140"/>
      <c r="M342" s="140"/>
      <c r="N342" s="140"/>
      <c r="O342" s="140"/>
      <c r="P342" s="140"/>
      <c r="Q342" s="140"/>
      <c r="R342" s="140"/>
    </row>
    <row r="343">
      <c r="A343" s="140"/>
      <c r="B343" s="140"/>
      <c r="C343" s="140"/>
      <c r="D343" s="140"/>
      <c r="E343" s="140"/>
      <c r="F343" s="205"/>
      <c r="G343" s="140"/>
      <c r="H343" s="140"/>
      <c r="I343" s="140"/>
      <c r="J343" s="140"/>
      <c r="K343" s="140"/>
      <c r="L343" s="140"/>
      <c r="M343" s="140"/>
      <c r="N343" s="140"/>
      <c r="O343" s="140"/>
      <c r="P343" s="140"/>
      <c r="Q343" s="140"/>
      <c r="R343" s="140"/>
    </row>
    <row r="344">
      <c r="A344" s="140"/>
      <c r="B344" s="140"/>
      <c r="C344" s="140"/>
      <c r="D344" s="140"/>
      <c r="E344" s="140"/>
      <c r="F344" s="205"/>
      <c r="G344" s="140"/>
      <c r="H344" s="140"/>
      <c r="I344" s="140"/>
      <c r="J344" s="140"/>
      <c r="K344" s="140"/>
      <c r="L344" s="140"/>
      <c r="M344" s="140"/>
      <c r="N344" s="140"/>
      <c r="O344" s="140"/>
      <c r="P344" s="140"/>
      <c r="Q344" s="140"/>
      <c r="R344" s="140"/>
    </row>
    <row r="345">
      <c r="A345" s="140"/>
      <c r="B345" s="140"/>
      <c r="C345" s="140"/>
      <c r="D345" s="140"/>
      <c r="E345" s="140"/>
      <c r="F345" s="205"/>
      <c r="G345" s="140"/>
      <c r="H345" s="140"/>
      <c r="I345" s="140"/>
      <c r="J345" s="140"/>
      <c r="K345" s="140"/>
      <c r="L345" s="140"/>
      <c r="M345" s="140"/>
      <c r="N345" s="140"/>
      <c r="O345" s="140"/>
      <c r="P345" s="140"/>
      <c r="Q345" s="140"/>
      <c r="R345" s="140"/>
    </row>
    <row r="346">
      <c r="A346" s="140"/>
      <c r="B346" s="140"/>
      <c r="C346" s="140"/>
      <c r="D346" s="140"/>
      <c r="E346" s="140"/>
      <c r="F346" s="205"/>
      <c r="G346" s="140"/>
      <c r="H346" s="140"/>
      <c r="I346" s="140"/>
      <c r="J346" s="140"/>
      <c r="K346" s="140"/>
      <c r="L346" s="140"/>
      <c r="M346" s="140"/>
      <c r="N346" s="140"/>
      <c r="O346" s="140"/>
      <c r="P346" s="140"/>
      <c r="Q346" s="140"/>
      <c r="R346" s="140"/>
    </row>
    <row r="347">
      <c r="A347" s="140"/>
      <c r="B347" s="140"/>
      <c r="C347" s="140"/>
      <c r="D347" s="140"/>
      <c r="E347" s="140"/>
      <c r="F347" s="205"/>
      <c r="G347" s="140"/>
      <c r="H347" s="140"/>
      <c r="I347" s="140"/>
      <c r="J347" s="140"/>
      <c r="K347" s="140"/>
      <c r="L347" s="140"/>
      <c r="M347" s="140"/>
      <c r="N347" s="140"/>
      <c r="O347" s="140"/>
      <c r="P347" s="140"/>
      <c r="Q347" s="140"/>
      <c r="R347" s="140"/>
    </row>
    <row r="348">
      <c r="A348" s="140"/>
      <c r="B348" s="140"/>
      <c r="C348" s="140"/>
      <c r="D348" s="140"/>
      <c r="E348" s="140"/>
      <c r="F348" s="205"/>
      <c r="G348" s="140"/>
      <c r="H348" s="140"/>
      <c r="I348" s="140"/>
      <c r="J348" s="140"/>
      <c r="K348" s="140"/>
      <c r="L348" s="140"/>
      <c r="M348" s="140"/>
      <c r="N348" s="140"/>
      <c r="O348" s="140"/>
      <c r="P348" s="140"/>
      <c r="Q348" s="140"/>
      <c r="R348" s="140"/>
    </row>
    <row r="349">
      <c r="A349" s="140"/>
      <c r="B349" s="140"/>
      <c r="C349" s="140"/>
      <c r="D349" s="140"/>
      <c r="E349" s="140"/>
      <c r="F349" s="205"/>
      <c r="G349" s="140"/>
      <c r="H349" s="140"/>
      <c r="I349" s="140"/>
      <c r="J349" s="140"/>
      <c r="K349" s="140"/>
      <c r="L349" s="140"/>
      <c r="M349" s="140"/>
      <c r="N349" s="140"/>
      <c r="O349" s="140"/>
      <c r="P349" s="140"/>
      <c r="Q349" s="140"/>
      <c r="R349" s="140"/>
    </row>
    <row r="350">
      <c r="A350" s="140"/>
      <c r="B350" s="140"/>
      <c r="C350" s="140"/>
      <c r="D350" s="140"/>
      <c r="E350" s="140"/>
      <c r="F350" s="205"/>
      <c r="G350" s="140"/>
      <c r="H350" s="140"/>
      <c r="I350" s="140"/>
      <c r="J350" s="140"/>
      <c r="K350" s="140"/>
      <c r="L350" s="140"/>
      <c r="M350" s="140"/>
      <c r="N350" s="140"/>
      <c r="O350" s="140"/>
      <c r="P350" s="140"/>
      <c r="Q350" s="140"/>
      <c r="R350" s="140"/>
    </row>
    <row r="351">
      <c r="A351" s="140"/>
      <c r="B351" s="140"/>
      <c r="C351" s="140"/>
      <c r="D351" s="140"/>
      <c r="E351" s="140"/>
      <c r="F351" s="205"/>
      <c r="G351" s="140"/>
      <c r="H351" s="140"/>
      <c r="I351" s="140"/>
      <c r="J351" s="140"/>
      <c r="K351" s="140"/>
      <c r="L351" s="140"/>
      <c r="M351" s="140"/>
      <c r="N351" s="140"/>
      <c r="O351" s="140"/>
      <c r="P351" s="140"/>
      <c r="Q351" s="140"/>
      <c r="R351" s="140"/>
    </row>
    <row r="352">
      <c r="A352" s="140"/>
      <c r="B352" s="140"/>
      <c r="C352" s="140"/>
      <c r="D352" s="140"/>
      <c r="E352" s="140"/>
      <c r="F352" s="205"/>
      <c r="G352" s="140"/>
      <c r="H352" s="140"/>
      <c r="I352" s="140"/>
      <c r="J352" s="140"/>
      <c r="K352" s="140"/>
      <c r="L352" s="140"/>
      <c r="M352" s="140"/>
      <c r="N352" s="140"/>
      <c r="O352" s="140"/>
      <c r="P352" s="140"/>
      <c r="Q352" s="140"/>
      <c r="R352" s="140"/>
    </row>
    <row r="353">
      <c r="A353" s="140"/>
      <c r="B353" s="140"/>
      <c r="C353" s="140"/>
      <c r="D353" s="140"/>
      <c r="E353" s="140"/>
      <c r="F353" s="205"/>
      <c r="G353" s="140"/>
      <c r="H353" s="140"/>
      <c r="I353" s="140"/>
      <c r="J353" s="140"/>
      <c r="K353" s="140"/>
      <c r="L353" s="140"/>
      <c r="M353" s="140"/>
      <c r="N353" s="140"/>
      <c r="O353" s="140"/>
      <c r="P353" s="140"/>
      <c r="Q353" s="140"/>
      <c r="R353" s="140"/>
    </row>
    <row r="354">
      <c r="A354" s="140"/>
      <c r="B354" s="140"/>
      <c r="C354" s="140"/>
      <c r="D354" s="140"/>
      <c r="E354" s="140"/>
      <c r="F354" s="205"/>
      <c r="G354" s="140"/>
      <c r="H354" s="140"/>
      <c r="I354" s="140"/>
      <c r="J354" s="140"/>
      <c r="K354" s="140"/>
      <c r="L354" s="140"/>
      <c r="M354" s="140"/>
      <c r="N354" s="140"/>
      <c r="O354" s="140"/>
      <c r="P354" s="140"/>
      <c r="Q354" s="140"/>
      <c r="R354" s="140"/>
    </row>
    <row r="355">
      <c r="A355" s="140"/>
      <c r="B355" s="140"/>
      <c r="C355" s="140"/>
      <c r="D355" s="140"/>
      <c r="E355" s="140"/>
      <c r="F355" s="205"/>
      <c r="G355" s="140"/>
      <c r="H355" s="140"/>
      <c r="I355" s="140"/>
      <c r="J355" s="140"/>
      <c r="K355" s="140"/>
      <c r="L355" s="140"/>
      <c r="M355" s="140"/>
      <c r="N355" s="140"/>
      <c r="O355" s="140"/>
      <c r="P355" s="140"/>
      <c r="Q355" s="140"/>
      <c r="R355" s="140"/>
    </row>
    <row r="356">
      <c r="A356" s="140"/>
      <c r="B356" s="140"/>
      <c r="C356" s="140"/>
      <c r="D356" s="140"/>
      <c r="E356" s="140"/>
      <c r="F356" s="205"/>
      <c r="G356" s="140"/>
      <c r="H356" s="140"/>
      <c r="I356" s="140"/>
      <c r="J356" s="140"/>
      <c r="K356" s="140"/>
      <c r="L356" s="140"/>
      <c r="M356" s="140"/>
      <c r="N356" s="140"/>
      <c r="O356" s="140"/>
      <c r="P356" s="140"/>
      <c r="Q356" s="140"/>
      <c r="R356" s="140"/>
    </row>
    <row r="357">
      <c r="A357" s="140"/>
      <c r="B357" s="140"/>
      <c r="C357" s="140"/>
      <c r="D357" s="140"/>
      <c r="E357" s="140"/>
      <c r="F357" s="205"/>
      <c r="G357" s="140"/>
      <c r="H357" s="140"/>
      <c r="I357" s="140"/>
      <c r="J357" s="140"/>
      <c r="K357" s="140"/>
      <c r="L357" s="140"/>
      <c r="M357" s="140"/>
      <c r="N357" s="140"/>
      <c r="O357" s="140"/>
      <c r="P357" s="140"/>
      <c r="Q357" s="140"/>
      <c r="R357" s="140"/>
    </row>
    <row r="358">
      <c r="A358" s="140"/>
      <c r="B358" s="140"/>
      <c r="C358" s="140"/>
      <c r="D358" s="140"/>
      <c r="E358" s="140"/>
      <c r="F358" s="205"/>
      <c r="G358" s="140"/>
      <c r="H358" s="140"/>
      <c r="I358" s="140"/>
      <c r="J358" s="140"/>
      <c r="K358" s="140"/>
      <c r="L358" s="140"/>
      <c r="M358" s="140"/>
      <c r="N358" s="140"/>
      <c r="O358" s="140"/>
      <c r="P358" s="140"/>
      <c r="Q358" s="140"/>
      <c r="R358" s="140"/>
    </row>
    <row r="359">
      <c r="A359" s="140"/>
      <c r="B359" s="140"/>
      <c r="C359" s="140"/>
      <c r="D359" s="140"/>
      <c r="E359" s="140"/>
      <c r="F359" s="205"/>
      <c r="G359" s="140"/>
      <c r="H359" s="140"/>
      <c r="I359" s="140"/>
      <c r="J359" s="140"/>
      <c r="K359" s="140"/>
      <c r="L359" s="140"/>
      <c r="M359" s="140"/>
      <c r="N359" s="140"/>
      <c r="O359" s="140"/>
      <c r="P359" s="140"/>
      <c r="Q359" s="140"/>
      <c r="R359" s="140"/>
    </row>
    <row r="360">
      <c r="A360" s="140"/>
      <c r="B360" s="140"/>
      <c r="C360" s="140"/>
      <c r="D360" s="140"/>
      <c r="E360" s="140"/>
      <c r="F360" s="205"/>
      <c r="G360" s="140"/>
      <c r="H360" s="140"/>
      <c r="I360" s="140"/>
      <c r="J360" s="140"/>
      <c r="K360" s="140"/>
      <c r="L360" s="140"/>
      <c r="M360" s="140"/>
      <c r="N360" s="140"/>
      <c r="O360" s="140"/>
      <c r="P360" s="140"/>
      <c r="Q360" s="140"/>
      <c r="R360" s="140"/>
    </row>
    <row r="361">
      <c r="A361" s="140"/>
      <c r="B361" s="140"/>
      <c r="C361" s="140"/>
      <c r="D361" s="140"/>
      <c r="E361" s="140"/>
      <c r="F361" s="205"/>
      <c r="G361" s="140"/>
      <c r="H361" s="140"/>
      <c r="I361" s="140"/>
      <c r="J361" s="140"/>
      <c r="K361" s="140"/>
      <c r="L361" s="140"/>
      <c r="M361" s="140"/>
      <c r="N361" s="140"/>
      <c r="O361" s="140"/>
      <c r="P361" s="140"/>
      <c r="Q361" s="140"/>
      <c r="R361" s="140"/>
    </row>
    <row r="362">
      <c r="A362" s="140"/>
      <c r="B362" s="140"/>
      <c r="C362" s="140"/>
      <c r="D362" s="140"/>
      <c r="E362" s="140"/>
      <c r="F362" s="205"/>
      <c r="G362" s="140"/>
      <c r="H362" s="140"/>
      <c r="I362" s="140"/>
      <c r="J362" s="140"/>
      <c r="K362" s="140"/>
      <c r="L362" s="140"/>
      <c r="M362" s="140"/>
      <c r="N362" s="140"/>
      <c r="O362" s="140"/>
      <c r="P362" s="140"/>
      <c r="Q362" s="140"/>
      <c r="R362" s="140"/>
    </row>
    <row r="363">
      <c r="A363" s="140"/>
      <c r="B363" s="140"/>
      <c r="C363" s="140"/>
      <c r="D363" s="140"/>
      <c r="E363" s="140"/>
      <c r="F363" s="205"/>
      <c r="G363" s="140"/>
      <c r="H363" s="140"/>
      <c r="I363" s="140"/>
      <c r="J363" s="140"/>
      <c r="K363" s="140"/>
      <c r="L363" s="140"/>
      <c r="M363" s="140"/>
      <c r="N363" s="140"/>
      <c r="O363" s="140"/>
      <c r="P363" s="140"/>
      <c r="Q363" s="140"/>
      <c r="R363" s="140"/>
    </row>
    <row r="364">
      <c r="A364" s="140"/>
      <c r="B364" s="140"/>
      <c r="C364" s="140"/>
      <c r="D364" s="140"/>
      <c r="E364" s="140"/>
      <c r="F364" s="205"/>
      <c r="G364" s="140"/>
      <c r="H364" s="140"/>
      <c r="I364" s="140"/>
      <c r="J364" s="140"/>
      <c r="K364" s="140"/>
      <c r="L364" s="140"/>
      <c r="M364" s="140"/>
      <c r="N364" s="140"/>
      <c r="O364" s="140"/>
      <c r="P364" s="140"/>
      <c r="Q364" s="140"/>
      <c r="R364" s="140"/>
    </row>
    <row r="365">
      <c r="A365" s="140"/>
      <c r="B365" s="140"/>
      <c r="C365" s="140"/>
      <c r="D365" s="140"/>
      <c r="E365" s="140"/>
      <c r="F365" s="205"/>
      <c r="G365" s="140"/>
      <c r="H365" s="140"/>
      <c r="I365" s="140"/>
      <c r="J365" s="140"/>
      <c r="K365" s="140"/>
      <c r="L365" s="140"/>
      <c r="M365" s="140"/>
      <c r="N365" s="140"/>
      <c r="O365" s="140"/>
      <c r="P365" s="140"/>
      <c r="Q365" s="140"/>
      <c r="R365" s="140"/>
    </row>
    <row r="366">
      <c r="A366" s="140"/>
      <c r="B366" s="140"/>
      <c r="C366" s="140"/>
      <c r="D366" s="140"/>
      <c r="E366" s="140"/>
      <c r="F366" s="205"/>
      <c r="G366" s="140"/>
      <c r="H366" s="140"/>
      <c r="I366" s="140"/>
      <c r="J366" s="140"/>
      <c r="K366" s="140"/>
      <c r="L366" s="140"/>
      <c r="M366" s="140"/>
      <c r="N366" s="140"/>
      <c r="O366" s="140"/>
      <c r="P366" s="140"/>
      <c r="Q366" s="140"/>
      <c r="R366" s="140"/>
    </row>
    <row r="367">
      <c r="A367" s="140"/>
      <c r="B367" s="140"/>
      <c r="C367" s="140"/>
      <c r="D367" s="140"/>
      <c r="E367" s="140"/>
      <c r="F367" s="205"/>
      <c r="G367" s="140"/>
      <c r="H367" s="140"/>
      <c r="I367" s="140"/>
      <c r="J367" s="140"/>
      <c r="K367" s="140"/>
      <c r="L367" s="140"/>
      <c r="M367" s="140"/>
      <c r="N367" s="140"/>
      <c r="O367" s="140"/>
      <c r="P367" s="140"/>
      <c r="Q367" s="140"/>
      <c r="R367" s="140"/>
    </row>
    <row r="368">
      <c r="A368" s="140"/>
      <c r="B368" s="140"/>
      <c r="C368" s="140"/>
      <c r="D368" s="140"/>
      <c r="E368" s="140"/>
      <c r="F368" s="205"/>
      <c r="G368" s="140"/>
      <c r="H368" s="140"/>
      <c r="I368" s="140"/>
      <c r="J368" s="140"/>
      <c r="K368" s="140"/>
      <c r="L368" s="140"/>
      <c r="M368" s="140"/>
      <c r="N368" s="140"/>
      <c r="O368" s="140"/>
      <c r="P368" s="140"/>
      <c r="Q368" s="140"/>
      <c r="R368" s="140"/>
    </row>
    <row r="369">
      <c r="A369" s="140"/>
      <c r="B369" s="140"/>
      <c r="C369" s="140"/>
      <c r="D369" s="140"/>
      <c r="E369" s="140"/>
      <c r="F369" s="205"/>
      <c r="G369" s="140"/>
      <c r="H369" s="140"/>
      <c r="I369" s="140"/>
      <c r="J369" s="140"/>
      <c r="K369" s="140"/>
      <c r="L369" s="140"/>
      <c r="M369" s="140"/>
      <c r="N369" s="140"/>
      <c r="O369" s="140"/>
      <c r="P369" s="140"/>
      <c r="Q369" s="140"/>
      <c r="R369" s="140"/>
    </row>
    <row r="370">
      <c r="A370" s="140"/>
      <c r="B370" s="140"/>
      <c r="C370" s="140"/>
      <c r="D370" s="140"/>
      <c r="E370" s="140"/>
      <c r="F370" s="205"/>
      <c r="G370" s="140"/>
      <c r="H370" s="140"/>
      <c r="I370" s="140"/>
      <c r="J370" s="140"/>
      <c r="K370" s="140"/>
      <c r="L370" s="140"/>
      <c r="M370" s="140"/>
      <c r="N370" s="140"/>
      <c r="O370" s="140"/>
      <c r="P370" s="140"/>
      <c r="Q370" s="140"/>
      <c r="R370" s="140"/>
    </row>
    <row r="371">
      <c r="A371" s="140"/>
      <c r="B371" s="140"/>
      <c r="C371" s="140"/>
      <c r="D371" s="140"/>
      <c r="E371" s="140"/>
      <c r="F371" s="205"/>
      <c r="G371" s="140"/>
      <c r="H371" s="140"/>
      <c r="I371" s="140"/>
      <c r="J371" s="140"/>
      <c r="K371" s="140"/>
      <c r="L371" s="140"/>
      <c r="M371" s="140"/>
      <c r="N371" s="140"/>
      <c r="O371" s="140"/>
      <c r="P371" s="140"/>
      <c r="Q371" s="140"/>
      <c r="R371" s="140"/>
    </row>
    <row r="372">
      <c r="A372" s="140"/>
      <c r="B372" s="140"/>
      <c r="C372" s="140"/>
      <c r="D372" s="140"/>
      <c r="E372" s="140"/>
      <c r="F372" s="205"/>
      <c r="G372" s="140"/>
      <c r="H372" s="140"/>
      <c r="I372" s="140"/>
      <c r="J372" s="140"/>
      <c r="K372" s="140"/>
      <c r="L372" s="140"/>
      <c r="M372" s="140"/>
      <c r="N372" s="140"/>
      <c r="O372" s="140"/>
      <c r="P372" s="140"/>
      <c r="Q372" s="140"/>
      <c r="R372" s="140"/>
    </row>
    <row r="373">
      <c r="A373" s="140"/>
      <c r="B373" s="140"/>
      <c r="C373" s="140"/>
      <c r="D373" s="140"/>
      <c r="E373" s="140"/>
      <c r="F373" s="205"/>
      <c r="G373" s="140"/>
      <c r="H373" s="140"/>
      <c r="I373" s="140"/>
      <c r="J373" s="140"/>
      <c r="K373" s="140"/>
      <c r="L373" s="140"/>
      <c r="M373" s="140"/>
      <c r="N373" s="140"/>
      <c r="O373" s="140"/>
      <c r="P373" s="140"/>
      <c r="Q373" s="140"/>
      <c r="R373" s="140"/>
    </row>
    <row r="374">
      <c r="A374" s="140"/>
      <c r="B374" s="140"/>
      <c r="C374" s="140"/>
      <c r="D374" s="140"/>
      <c r="E374" s="140"/>
      <c r="F374" s="205"/>
      <c r="G374" s="140"/>
      <c r="H374" s="140"/>
      <c r="I374" s="140"/>
      <c r="J374" s="140"/>
      <c r="K374" s="140"/>
      <c r="L374" s="140"/>
      <c r="M374" s="140"/>
      <c r="N374" s="140"/>
      <c r="O374" s="140"/>
      <c r="P374" s="140"/>
      <c r="Q374" s="140"/>
      <c r="R374" s="140"/>
    </row>
    <row r="375">
      <c r="A375" s="140"/>
      <c r="B375" s="140"/>
      <c r="C375" s="140"/>
      <c r="D375" s="140"/>
      <c r="E375" s="140"/>
      <c r="F375" s="205"/>
      <c r="G375" s="140"/>
      <c r="H375" s="140"/>
      <c r="I375" s="140"/>
      <c r="J375" s="140"/>
      <c r="K375" s="140"/>
      <c r="L375" s="140"/>
      <c r="M375" s="140"/>
      <c r="N375" s="140"/>
      <c r="O375" s="140"/>
      <c r="P375" s="140"/>
      <c r="Q375" s="140"/>
      <c r="R375" s="140"/>
    </row>
    <row r="376">
      <c r="A376" s="140"/>
      <c r="B376" s="140"/>
      <c r="C376" s="140"/>
      <c r="D376" s="140"/>
      <c r="E376" s="140"/>
      <c r="F376" s="205"/>
      <c r="G376" s="140"/>
      <c r="H376" s="140"/>
      <c r="I376" s="140"/>
      <c r="J376" s="140"/>
      <c r="K376" s="140"/>
      <c r="L376" s="140"/>
      <c r="M376" s="140"/>
      <c r="N376" s="140"/>
      <c r="O376" s="140"/>
      <c r="P376" s="140"/>
      <c r="Q376" s="140"/>
      <c r="R376" s="140"/>
    </row>
    <row r="377">
      <c r="A377" s="140"/>
      <c r="B377" s="140"/>
      <c r="C377" s="140"/>
      <c r="D377" s="140"/>
      <c r="E377" s="140"/>
      <c r="F377" s="205"/>
      <c r="G377" s="140"/>
      <c r="H377" s="140"/>
      <c r="I377" s="140"/>
      <c r="J377" s="140"/>
      <c r="K377" s="140"/>
      <c r="L377" s="140"/>
      <c r="M377" s="140"/>
      <c r="N377" s="140"/>
      <c r="O377" s="140"/>
      <c r="P377" s="140"/>
      <c r="Q377" s="140"/>
      <c r="R377" s="140"/>
    </row>
    <row r="378">
      <c r="A378" s="140"/>
      <c r="B378" s="140"/>
      <c r="C378" s="140"/>
      <c r="D378" s="140"/>
      <c r="E378" s="140"/>
      <c r="F378" s="205"/>
      <c r="G378" s="140"/>
      <c r="H378" s="140"/>
      <c r="I378" s="140"/>
      <c r="J378" s="140"/>
      <c r="K378" s="140"/>
      <c r="L378" s="140"/>
      <c r="M378" s="140"/>
      <c r="N378" s="140"/>
      <c r="O378" s="140"/>
      <c r="P378" s="140"/>
      <c r="Q378" s="140"/>
      <c r="R378" s="140"/>
    </row>
    <row r="379">
      <c r="A379" s="140"/>
      <c r="B379" s="140"/>
      <c r="C379" s="140"/>
      <c r="D379" s="140"/>
      <c r="E379" s="140"/>
      <c r="F379" s="205"/>
      <c r="G379" s="140"/>
      <c r="H379" s="140"/>
      <c r="I379" s="140"/>
      <c r="J379" s="140"/>
      <c r="K379" s="140"/>
      <c r="L379" s="140"/>
      <c r="M379" s="140"/>
      <c r="N379" s="140"/>
      <c r="O379" s="140"/>
      <c r="P379" s="140"/>
      <c r="Q379" s="140"/>
      <c r="R379" s="140"/>
    </row>
    <row r="380">
      <c r="A380" s="140"/>
      <c r="B380" s="140"/>
      <c r="C380" s="140"/>
      <c r="D380" s="140"/>
      <c r="E380" s="140"/>
      <c r="F380" s="205"/>
      <c r="G380" s="140"/>
      <c r="H380" s="140"/>
      <c r="I380" s="140"/>
      <c r="J380" s="140"/>
      <c r="K380" s="140"/>
      <c r="L380" s="140"/>
      <c r="M380" s="140"/>
      <c r="N380" s="140"/>
      <c r="O380" s="140"/>
      <c r="P380" s="140"/>
      <c r="Q380" s="140"/>
      <c r="R380" s="140"/>
    </row>
    <row r="381">
      <c r="A381" s="140"/>
      <c r="B381" s="140"/>
      <c r="C381" s="140"/>
      <c r="D381" s="140"/>
      <c r="E381" s="140"/>
      <c r="F381" s="205"/>
      <c r="G381" s="140"/>
      <c r="H381" s="140"/>
      <c r="I381" s="140"/>
      <c r="J381" s="140"/>
      <c r="K381" s="140"/>
      <c r="L381" s="140"/>
      <c r="M381" s="140"/>
      <c r="N381" s="140"/>
      <c r="O381" s="140"/>
      <c r="P381" s="140"/>
      <c r="Q381" s="140"/>
      <c r="R381" s="140"/>
    </row>
    <row r="382">
      <c r="A382" s="140"/>
      <c r="B382" s="140"/>
      <c r="C382" s="140"/>
      <c r="D382" s="140"/>
      <c r="E382" s="140"/>
      <c r="F382" s="205"/>
      <c r="G382" s="140"/>
      <c r="H382" s="140"/>
      <c r="I382" s="140"/>
      <c r="J382" s="140"/>
      <c r="K382" s="140"/>
      <c r="L382" s="140"/>
      <c r="M382" s="140"/>
      <c r="N382" s="140"/>
      <c r="O382" s="140"/>
      <c r="P382" s="140"/>
      <c r="Q382" s="140"/>
      <c r="R382" s="140"/>
    </row>
    <row r="383">
      <c r="A383" s="140"/>
      <c r="B383" s="140"/>
      <c r="C383" s="140"/>
      <c r="D383" s="140"/>
      <c r="E383" s="140"/>
      <c r="F383" s="205"/>
      <c r="G383" s="140"/>
      <c r="H383" s="140"/>
      <c r="I383" s="140"/>
      <c r="J383" s="140"/>
      <c r="K383" s="140"/>
      <c r="L383" s="140"/>
      <c r="M383" s="140"/>
      <c r="N383" s="140"/>
      <c r="O383" s="140"/>
      <c r="P383" s="140"/>
      <c r="Q383" s="140"/>
      <c r="R383" s="140"/>
    </row>
    <row r="384">
      <c r="A384" s="140"/>
      <c r="B384" s="140"/>
      <c r="C384" s="140"/>
      <c r="D384" s="140"/>
      <c r="E384" s="140"/>
      <c r="F384" s="205"/>
      <c r="G384" s="140"/>
      <c r="H384" s="140"/>
      <c r="I384" s="140"/>
      <c r="J384" s="140"/>
      <c r="K384" s="140"/>
      <c r="L384" s="140"/>
      <c r="M384" s="140"/>
      <c r="N384" s="140"/>
      <c r="O384" s="140"/>
      <c r="P384" s="140"/>
      <c r="Q384" s="140"/>
      <c r="R384" s="140"/>
    </row>
    <row r="385">
      <c r="A385" s="140"/>
      <c r="B385" s="140"/>
      <c r="C385" s="140"/>
      <c r="D385" s="140"/>
      <c r="E385" s="140"/>
      <c r="F385" s="205"/>
      <c r="G385" s="140"/>
      <c r="H385" s="140"/>
      <c r="I385" s="140"/>
      <c r="J385" s="140"/>
      <c r="K385" s="140"/>
      <c r="L385" s="140"/>
      <c r="M385" s="140"/>
      <c r="N385" s="140"/>
      <c r="O385" s="140"/>
      <c r="P385" s="140"/>
      <c r="Q385" s="140"/>
      <c r="R385" s="140"/>
    </row>
    <row r="386">
      <c r="A386" s="140"/>
      <c r="B386" s="140"/>
      <c r="C386" s="140"/>
      <c r="D386" s="140"/>
      <c r="E386" s="140"/>
      <c r="F386" s="205"/>
      <c r="G386" s="140"/>
      <c r="H386" s="140"/>
      <c r="I386" s="140"/>
      <c r="J386" s="140"/>
      <c r="K386" s="140"/>
      <c r="L386" s="140"/>
      <c r="M386" s="140"/>
      <c r="N386" s="140"/>
      <c r="O386" s="140"/>
      <c r="P386" s="140"/>
      <c r="Q386" s="140"/>
      <c r="R386" s="140"/>
    </row>
    <row r="387">
      <c r="A387" s="140"/>
      <c r="B387" s="140"/>
      <c r="C387" s="140"/>
      <c r="D387" s="140"/>
      <c r="E387" s="140"/>
      <c r="F387" s="205"/>
      <c r="G387" s="140"/>
      <c r="H387" s="140"/>
      <c r="I387" s="140"/>
      <c r="J387" s="140"/>
      <c r="K387" s="140"/>
      <c r="L387" s="140"/>
      <c r="M387" s="140"/>
      <c r="N387" s="140"/>
      <c r="O387" s="140"/>
      <c r="P387" s="140"/>
      <c r="Q387" s="140"/>
      <c r="R387" s="140"/>
    </row>
    <row r="388">
      <c r="A388" s="140"/>
      <c r="B388" s="140"/>
      <c r="C388" s="140"/>
      <c r="D388" s="140"/>
      <c r="E388" s="140"/>
      <c r="F388" s="205"/>
      <c r="G388" s="140"/>
      <c r="H388" s="140"/>
      <c r="I388" s="140"/>
      <c r="J388" s="140"/>
      <c r="K388" s="140"/>
      <c r="L388" s="140"/>
      <c r="M388" s="140"/>
      <c r="N388" s="140"/>
      <c r="O388" s="140"/>
      <c r="P388" s="140"/>
      <c r="Q388" s="140"/>
      <c r="R388" s="140"/>
    </row>
    <row r="389">
      <c r="A389" s="140"/>
      <c r="B389" s="140"/>
      <c r="C389" s="140"/>
      <c r="D389" s="140"/>
      <c r="E389" s="140"/>
      <c r="F389" s="205"/>
      <c r="G389" s="140"/>
      <c r="H389" s="140"/>
      <c r="I389" s="140"/>
      <c r="J389" s="140"/>
      <c r="K389" s="140"/>
      <c r="L389" s="140"/>
      <c r="M389" s="140"/>
      <c r="N389" s="140"/>
      <c r="O389" s="140"/>
      <c r="P389" s="140"/>
      <c r="Q389" s="140"/>
      <c r="R389" s="140"/>
    </row>
    <row r="390">
      <c r="A390" s="140"/>
      <c r="B390" s="140"/>
      <c r="C390" s="140"/>
      <c r="D390" s="140"/>
      <c r="E390" s="140"/>
      <c r="F390" s="205"/>
      <c r="G390" s="140"/>
      <c r="H390" s="140"/>
      <c r="I390" s="140"/>
      <c r="J390" s="140"/>
      <c r="K390" s="140"/>
      <c r="L390" s="140"/>
      <c r="M390" s="140"/>
      <c r="N390" s="140"/>
      <c r="O390" s="140"/>
      <c r="P390" s="140"/>
      <c r="Q390" s="140"/>
      <c r="R390" s="140"/>
    </row>
    <row r="391">
      <c r="A391" s="140"/>
      <c r="B391" s="140"/>
      <c r="C391" s="140"/>
      <c r="D391" s="140"/>
      <c r="E391" s="140"/>
      <c r="F391" s="205"/>
      <c r="G391" s="140"/>
      <c r="H391" s="140"/>
      <c r="I391" s="140"/>
      <c r="J391" s="140"/>
      <c r="K391" s="140"/>
      <c r="L391" s="140"/>
      <c r="M391" s="140"/>
      <c r="N391" s="140"/>
      <c r="O391" s="140"/>
      <c r="P391" s="140"/>
      <c r="Q391" s="140"/>
      <c r="R391" s="140"/>
    </row>
    <row r="392">
      <c r="A392" s="140"/>
      <c r="B392" s="140"/>
      <c r="C392" s="140"/>
      <c r="D392" s="140"/>
      <c r="E392" s="140"/>
      <c r="F392" s="205"/>
      <c r="G392" s="140"/>
      <c r="H392" s="140"/>
      <c r="I392" s="140"/>
      <c r="J392" s="140"/>
      <c r="K392" s="140"/>
      <c r="L392" s="140"/>
      <c r="M392" s="140"/>
      <c r="N392" s="140"/>
      <c r="O392" s="140"/>
      <c r="P392" s="140"/>
      <c r="Q392" s="140"/>
      <c r="R392" s="140"/>
    </row>
    <row r="393">
      <c r="A393" s="140"/>
      <c r="B393" s="140"/>
      <c r="C393" s="140"/>
      <c r="D393" s="140"/>
      <c r="E393" s="140"/>
      <c r="F393" s="205"/>
      <c r="G393" s="140"/>
      <c r="H393" s="140"/>
      <c r="I393" s="140"/>
      <c r="J393" s="140"/>
      <c r="K393" s="140"/>
      <c r="L393" s="140"/>
      <c r="M393" s="140"/>
      <c r="N393" s="140"/>
      <c r="O393" s="140"/>
      <c r="P393" s="140"/>
      <c r="Q393" s="140"/>
      <c r="R393" s="140"/>
    </row>
    <row r="394">
      <c r="A394" s="140"/>
      <c r="B394" s="140"/>
      <c r="C394" s="140"/>
      <c r="D394" s="140"/>
      <c r="E394" s="140"/>
      <c r="F394" s="205"/>
      <c r="G394" s="140"/>
      <c r="H394" s="140"/>
      <c r="I394" s="140"/>
      <c r="J394" s="140"/>
      <c r="K394" s="140"/>
      <c r="L394" s="140"/>
      <c r="M394" s="140"/>
      <c r="N394" s="140"/>
      <c r="O394" s="140"/>
      <c r="P394" s="140"/>
      <c r="Q394" s="140"/>
      <c r="R394" s="140"/>
    </row>
    <row r="395">
      <c r="A395" s="140"/>
      <c r="B395" s="140"/>
      <c r="C395" s="140"/>
      <c r="D395" s="140"/>
      <c r="E395" s="140"/>
      <c r="F395" s="205"/>
      <c r="G395" s="140"/>
      <c r="H395" s="140"/>
      <c r="I395" s="140"/>
      <c r="J395" s="140"/>
      <c r="K395" s="140"/>
      <c r="L395" s="140"/>
      <c r="M395" s="140"/>
      <c r="N395" s="140"/>
      <c r="O395" s="140"/>
      <c r="P395" s="140"/>
      <c r="Q395" s="140"/>
      <c r="R395" s="140"/>
    </row>
    <row r="396">
      <c r="A396" s="140"/>
      <c r="B396" s="140"/>
      <c r="C396" s="140"/>
      <c r="D396" s="140"/>
      <c r="E396" s="140"/>
      <c r="F396" s="205"/>
      <c r="G396" s="140"/>
      <c r="H396" s="140"/>
      <c r="I396" s="140"/>
      <c r="J396" s="140"/>
      <c r="K396" s="140"/>
      <c r="L396" s="140"/>
      <c r="M396" s="140"/>
      <c r="N396" s="140"/>
      <c r="O396" s="140"/>
      <c r="P396" s="140"/>
      <c r="Q396" s="140"/>
      <c r="R396" s="140"/>
    </row>
    <row r="397">
      <c r="A397" s="140"/>
      <c r="B397" s="140"/>
      <c r="C397" s="140"/>
      <c r="D397" s="140"/>
      <c r="E397" s="140"/>
      <c r="F397" s="205"/>
      <c r="G397" s="140"/>
      <c r="H397" s="140"/>
      <c r="I397" s="140"/>
      <c r="J397" s="140"/>
      <c r="K397" s="140"/>
      <c r="L397" s="140"/>
      <c r="M397" s="140"/>
      <c r="N397" s="140"/>
      <c r="O397" s="140"/>
      <c r="P397" s="140"/>
      <c r="Q397" s="140"/>
      <c r="R397" s="140"/>
    </row>
    <row r="398">
      <c r="A398" s="140"/>
      <c r="B398" s="140"/>
      <c r="C398" s="140"/>
      <c r="D398" s="140"/>
      <c r="E398" s="140"/>
      <c r="F398" s="205"/>
      <c r="G398" s="140"/>
      <c r="H398" s="140"/>
      <c r="I398" s="140"/>
      <c r="J398" s="140"/>
      <c r="K398" s="140"/>
      <c r="L398" s="140"/>
      <c r="M398" s="140"/>
      <c r="N398" s="140"/>
      <c r="O398" s="140"/>
      <c r="P398" s="140"/>
      <c r="Q398" s="140"/>
      <c r="R398" s="140"/>
    </row>
    <row r="399">
      <c r="A399" s="140"/>
      <c r="B399" s="140"/>
      <c r="C399" s="140"/>
      <c r="D399" s="140"/>
      <c r="E399" s="140"/>
      <c r="F399" s="205"/>
      <c r="G399" s="140"/>
      <c r="H399" s="140"/>
      <c r="I399" s="140"/>
      <c r="J399" s="140"/>
      <c r="K399" s="140"/>
      <c r="L399" s="140"/>
      <c r="M399" s="140"/>
      <c r="N399" s="140"/>
      <c r="O399" s="140"/>
      <c r="P399" s="140"/>
      <c r="Q399" s="140"/>
      <c r="R399" s="140"/>
    </row>
    <row r="400">
      <c r="A400" s="140"/>
      <c r="B400" s="140"/>
      <c r="C400" s="140"/>
      <c r="D400" s="140"/>
      <c r="E400" s="140"/>
      <c r="F400" s="205"/>
      <c r="G400" s="140"/>
      <c r="H400" s="140"/>
      <c r="I400" s="140"/>
      <c r="J400" s="140"/>
      <c r="K400" s="140"/>
      <c r="L400" s="140"/>
      <c r="M400" s="140"/>
      <c r="N400" s="140"/>
      <c r="O400" s="140"/>
      <c r="P400" s="140"/>
      <c r="Q400" s="140"/>
      <c r="R400" s="140"/>
    </row>
    <row r="401">
      <c r="A401" s="140"/>
      <c r="B401" s="140"/>
      <c r="C401" s="140"/>
      <c r="D401" s="140"/>
      <c r="E401" s="140"/>
      <c r="F401" s="205"/>
      <c r="G401" s="140"/>
      <c r="H401" s="140"/>
      <c r="I401" s="140"/>
      <c r="J401" s="140"/>
      <c r="K401" s="140"/>
      <c r="L401" s="140"/>
      <c r="M401" s="140"/>
      <c r="N401" s="140"/>
      <c r="O401" s="140"/>
      <c r="P401" s="140"/>
      <c r="Q401" s="140"/>
      <c r="R401" s="140"/>
    </row>
    <row r="402">
      <c r="A402" s="140"/>
      <c r="B402" s="140"/>
      <c r="C402" s="140"/>
      <c r="D402" s="140"/>
      <c r="E402" s="140"/>
      <c r="F402" s="205"/>
      <c r="G402" s="140"/>
      <c r="H402" s="140"/>
      <c r="I402" s="140"/>
      <c r="J402" s="140"/>
      <c r="K402" s="140"/>
      <c r="L402" s="140"/>
      <c r="M402" s="140"/>
      <c r="N402" s="140"/>
      <c r="O402" s="140"/>
      <c r="P402" s="140"/>
      <c r="Q402" s="140"/>
      <c r="R402" s="140"/>
    </row>
    <row r="403">
      <c r="A403" s="140"/>
      <c r="B403" s="140"/>
      <c r="C403" s="140"/>
      <c r="D403" s="140"/>
      <c r="E403" s="140"/>
      <c r="F403" s="205"/>
      <c r="G403" s="140"/>
      <c r="H403" s="140"/>
      <c r="I403" s="140"/>
      <c r="J403" s="140"/>
      <c r="K403" s="140"/>
      <c r="L403" s="140"/>
      <c r="M403" s="140"/>
      <c r="N403" s="140"/>
      <c r="O403" s="140"/>
      <c r="P403" s="140"/>
      <c r="Q403" s="140"/>
      <c r="R403" s="140"/>
    </row>
    <row r="404">
      <c r="A404" s="140"/>
      <c r="B404" s="140"/>
      <c r="C404" s="140"/>
      <c r="D404" s="140"/>
      <c r="E404" s="140"/>
      <c r="F404" s="205"/>
      <c r="G404" s="140"/>
      <c r="H404" s="140"/>
      <c r="I404" s="140"/>
      <c r="J404" s="140"/>
      <c r="K404" s="140"/>
      <c r="L404" s="140"/>
      <c r="M404" s="140"/>
      <c r="N404" s="140"/>
      <c r="O404" s="140"/>
      <c r="P404" s="140"/>
      <c r="Q404" s="140"/>
      <c r="R404" s="140"/>
    </row>
    <row r="405">
      <c r="A405" s="140"/>
      <c r="B405" s="140"/>
      <c r="C405" s="140"/>
      <c r="D405" s="140"/>
      <c r="E405" s="140"/>
      <c r="F405" s="205"/>
      <c r="G405" s="140"/>
      <c r="H405" s="140"/>
      <c r="I405" s="140"/>
      <c r="J405" s="140"/>
      <c r="K405" s="140"/>
      <c r="L405" s="140"/>
      <c r="M405" s="140"/>
      <c r="N405" s="140"/>
      <c r="O405" s="140"/>
      <c r="P405" s="140"/>
      <c r="Q405" s="140"/>
      <c r="R405" s="140"/>
    </row>
    <row r="406">
      <c r="A406" s="140"/>
      <c r="B406" s="140"/>
      <c r="C406" s="140"/>
      <c r="D406" s="140"/>
      <c r="E406" s="140"/>
      <c r="F406" s="205"/>
      <c r="G406" s="140"/>
      <c r="H406" s="140"/>
      <c r="I406" s="140"/>
      <c r="J406" s="140"/>
      <c r="K406" s="140"/>
      <c r="L406" s="140"/>
      <c r="M406" s="140"/>
      <c r="N406" s="140"/>
      <c r="O406" s="140"/>
      <c r="P406" s="140"/>
      <c r="Q406" s="140"/>
      <c r="R406" s="140"/>
    </row>
    <row r="407">
      <c r="A407" s="140"/>
      <c r="B407" s="140"/>
      <c r="C407" s="140"/>
      <c r="D407" s="140"/>
      <c r="E407" s="140"/>
      <c r="F407" s="205"/>
      <c r="G407" s="140"/>
      <c r="H407" s="140"/>
      <c r="I407" s="140"/>
      <c r="J407" s="140"/>
      <c r="K407" s="140"/>
      <c r="L407" s="140"/>
      <c r="M407" s="140"/>
      <c r="N407" s="140"/>
      <c r="O407" s="140"/>
      <c r="P407" s="140"/>
      <c r="Q407" s="140"/>
      <c r="R407" s="140"/>
    </row>
    <row r="408">
      <c r="A408" s="140"/>
      <c r="B408" s="140"/>
      <c r="C408" s="140"/>
      <c r="D408" s="140"/>
      <c r="E408" s="140"/>
      <c r="F408" s="205"/>
      <c r="G408" s="140"/>
      <c r="H408" s="140"/>
      <c r="I408" s="140"/>
      <c r="J408" s="140"/>
      <c r="K408" s="140"/>
      <c r="L408" s="140"/>
      <c r="M408" s="140"/>
      <c r="N408" s="140"/>
      <c r="O408" s="140"/>
      <c r="P408" s="140"/>
      <c r="Q408" s="140"/>
      <c r="R408" s="140"/>
    </row>
    <row r="409">
      <c r="A409" s="140"/>
      <c r="B409" s="140"/>
      <c r="C409" s="140"/>
      <c r="D409" s="140"/>
      <c r="E409" s="140"/>
      <c r="F409" s="205"/>
      <c r="G409" s="140"/>
      <c r="H409" s="140"/>
      <c r="I409" s="140"/>
      <c r="J409" s="140"/>
      <c r="K409" s="140"/>
      <c r="L409" s="140"/>
      <c r="M409" s="140"/>
      <c r="N409" s="140"/>
      <c r="O409" s="140"/>
      <c r="P409" s="140"/>
      <c r="Q409" s="140"/>
      <c r="R409" s="140"/>
    </row>
    <row r="410">
      <c r="A410" s="140"/>
      <c r="B410" s="140"/>
      <c r="C410" s="140"/>
      <c r="D410" s="140"/>
      <c r="E410" s="140"/>
      <c r="F410" s="205"/>
      <c r="G410" s="140"/>
      <c r="H410" s="140"/>
      <c r="I410" s="140"/>
      <c r="J410" s="140"/>
      <c r="K410" s="140"/>
      <c r="L410" s="140"/>
      <c r="M410" s="140"/>
      <c r="N410" s="140"/>
      <c r="O410" s="140"/>
      <c r="P410" s="140"/>
      <c r="Q410" s="140"/>
      <c r="R410" s="140"/>
    </row>
    <row r="411">
      <c r="A411" s="140"/>
      <c r="B411" s="140"/>
      <c r="C411" s="140"/>
      <c r="D411" s="140"/>
      <c r="E411" s="140"/>
      <c r="F411" s="205"/>
      <c r="G411" s="140"/>
      <c r="H411" s="140"/>
      <c r="I411" s="140"/>
      <c r="J411" s="140"/>
      <c r="K411" s="140"/>
      <c r="L411" s="140"/>
      <c r="M411" s="140"/>
      <c r="N411" s="140"/>
      <c r="O411" s="140"/>
      <c r="P411" s="140"/>
      <c r="Q411" s="140"/>
      <c r="R411" s="140"/>
    </row>
    <row r="412">
      <c r="A412" s="140"/>
      <c r="B412" s="140"/>
      <c r="C412" s="140"/>
      <c r="D412" s="140"/>
      <c r="E412" s="140"/>
      <c r="F412" s="205"/>
      <c r="G412" s="140"/>
      <c r="H412" s="140"/>
      <c r="I412" s="140"/>
      <c r="J412" s="140"/>
      <c r="K412" s="140"/>
      <c r="L412" s="140"/>
      <c r="M412" s="140"/>
      <c r="N412" s="140"/>
      <c r="O412" s="140"/>
      <c r="P412" s="140"/>
      <c r="Q412" s="140"/>
      <c r="R412" s="140"/>
    </row>
    <row r="413">
      <c r="A413" s="140"/>
      <c r="B413" s="140"/>
      <c r="C413" s="140"/>
      <c r="D413" s="140"/>
      <c r="E413" s="140"/>
      <c r="F413" s="205"/>
      <c r="G413" s="140"/>
      <c r="H413" s="140"/>
      <c r="I413" s="140"/>
      <c r="J413" s="140"/>
      <c r="K413" s="140"/>
      <c r="L413" s="140"/>
      <c r="M413" s="140"/>
      <c r="N413" s="140"/>
      <c r="O413" s="140"/>
      <c r="P413" s="140"/>
      <c r="Q413" s="140"/>
      <c r="R413" s="140"/>
    </row>
    <row r="414">
      <c r="A414" s="140"/>
      <c r="B414" s="140"/>
      <c r="C414" s="140"/>
      <c r="D414" s="140"/>
      <c r="E414" s="140"/>
      <c r="F414" s="205"/>
      <c r="G414" s="140"/>
      <c r="H414" s="140"/>
      <c r="I414" s="140"/>
      <c r="J414" s="140"/>
      <c r="K414" s="140"/>
      <c r="L414" s="140"/>
      <c r="M414" s="140"/>
      <c r="N414" s="140"/>
      <c r="O414" s="140"/>
      <c r="P414" s="140"/>
      <c r="Q414" s="140"/>
      <c r="R414" s="140"/>
    </row>
    <row r="415">
      <c r="A415" s="140"/>
      <c r="B415" s="140"/>
      <c r="C415" s="140"/>
      <c r="D415" s="140"/>
      <c r="E415" s="140"/>
      <c r="F415" s="205"/>
      <c r="G415" s="140"/>
      <c r="H415" s="140"/>
      <c r="I415" s="140"/>
      <c r="J415" s="140"/>
      <c r="K415" s="140"/>
      <c r="L415" s="140"/>
      <c r="M415" s="140"/>
      <c r="N415" s="140"/>
      <c r="O415" s="140"/>
      <c r="P415" s="140"/>
      <c r="Q415" s="140"/>
      <c r="R415" s="140"/>
    </row>
    <row r="416">
      <c r="A416" s="140"/>
      <c r="B416" s="140"/>
      <c r="C416" s="140"/>
      <c r="D416" s="140"/>
      <c r="E416" s="140"/>
      <c r="F416" s="205"/>
      <c r="G416" s="140"/>
      <c r="H416" s="140"/>
      <c r="I416" s="140"/>
      <c r="J416" s="140"/>
      <c r="K416" s="140"/>
      <c r="L416" s="140"/>
      <c r="M416" s="140"/>
      <c r="N416" s="140"/>
      <c r="O416" s="140"/>
      <c r="P416" s="140"/>
      <c r="Q416" s="140"/>
      <c r="R416" s="140"/>
    </row>
    <row r="417">
      <c r="A417" s="140"/>
      <c r="B417" s="140"/>
      <c r="C417" s="140"/>
      <c r="D417" s="140"/>
      <c r="E417" s="140"/>
      <c r="F417" s="205"/>
      <c r="G417" s="140"/>
      <c r="H417" s="140"/>
      <c r="I417" s="140"/>
      <c r="J417" s="140"/>
      <c r="K417" s="140"/>
      <c r="L417" s="140"/>
      <c r="M417" s="140"/>
      <c r="N417" s="140"/>
      <c r="O417" s="140"/>
      <c r="P417" s="140"/>
      <c r="Q417" s="140"/>
      <c r="R417" s="140"/>
    </row>
    <row r="418">
      <c r="A418" s="140"/>
      <c r="B418" s="140"/>
      <c r="C418" s="140"/>
      <c r="D418" s="140"/>
      <c r="E418" s="140"/>
      <c r="F418" s="205"/>
      <c r="G418" s="140"/>
      <c r="H418" s="140"/>
      <c r="I418" s="140"/>
      <c r="J418" s="140"/>
      <c r="K418" s="140"/>
      <c r="L418" s="140"/>
      <c r="M418" s="140"/>
      <c r="N418" s="140"/>
      <c r="O418" s="140"/>
      <c r="P418" s="140"/>
      <c r="Q418" s="140"/>
      <c r="R418" s="140"/>
    </row>
    <row r="419">
      <c r="A419" s="140"/>
      <c r="B419" s="140"/>
      <c r="C419" s="140"/>
      <c r="D419" s="140"/>
      <c r="E419" s="140"/>
      <c r="F419" s="205"/>
      <c r="G419" s="140"/>
      <c r="H419" s="140"/>
      <c r="I419" s="140"/>
      <c r="J419" s="140"/>
      <c r="K419" s="140"/>
      <c r="L419" s="140"/>
      <c r="M419" s="140"/>
      <c r="N419" s="140"/>
      <c r="O419" s="140"/>
      <c r="P419" s="140"/>
      <c r="Q419" s="140"/>
      <c r="R419" s="140"/>
    </row>
    <row r="420">
      <c r="A420" s="140"/>
      <c r="B420" s="140"/>
      <c r="C420" s="140"/>
      <c r="D420" s="140"/>
      <c r="E420" s="140"/>
      <c r="F420" s="205"/>
      <c r="G420" s="140"/>
      <c r="H420" s="140"/>
      <c r="I420" s="140"/>
      <c r="J420" s="140"/>
      <c r="K420" s="140"/>
      <c r="L420" s="140"/>
      <c r="M420" s="140"/>
      <c r="N420" s="140"/>
      <c r="O420" s="140"/>
      <c r="P420" s="140"/>
      <c r="Q420" s="140"/>
      <c r="R420" s="140"/>
    </row>
    <row r="421">
      <c r="A421" s="140"/>
      <c r="B421" s="140"/>
      <c r="C421" s="140"/>
      <c r="D421" s="140"/>
      <c r="E421" s="140"/>
      <c r="F421" s="205"/>
      <c r="G421" s="140"/>
      <c r="H421" s="140"/>
      <c r="I421" s="140"/>
      <c r="J421" s="140"/>
      <c r="K421" s="140"/>
      <c r="L421" s="140"/>
      <c r="M421" s="140"/>
      <c r="N421" s="140"/>
      <c r="O421" s="140"/>
      <c r="P421" s="140"/>
      <c r="Q421" s="140"/>
      <c r="R421" s="140"/>
    </row>
    <row r="422">
      <c r="A422" s="140"/>
      <c r="B422" s="140"/>
      <c r="C422" s="140"/>
      <c r="D422" s="140"/>
      <c r="E422" s="140"/>
      <c r="F422" s="205"/>
      <c r="G422" s="140"/>
      <c r="H422" s="140"/>
      <c r="I422" s="140"/>
      <c r="J422" s="140"/>
      <c r="K422" s="140"/>
      <c r="L422" s="140"/>
      <c r="M422" s="140"/>
      <c r="N422" s="140"/>
      <c r="O422" s="140"/>
      <c r="P422" s="140"/>
      <c r="Q422" s="140"/>
      <c r="R422" s="140"/>
    </row>
    <row r="423">
      <c r="A423" s="140"/>
      <c r="B423" s="140"/>
      <c r="C423" s="140"/>
      <c r="D423" s="140"/>
      <c r="E423" s="140"/>
      <c r="F423" s="205"/>
      <c r="G423" s="140"/>
      <c r="H423" s="140"/>
      <c r="I423" s="140"/>
      <c r="J423" s="140"/>
      <c r="K423" s="140"/>
      <c r="L423" s="140"/>
      <c r="M423" s="140"/>
      <c r="N423" s="140"/>
      <c r="O423" s="140"/>
      <c r="P423" s="140"/>
      <c r="Q423" s="140"/>
      <c r="R423" s="140"/>
    </row>
    <row r="424">
      <c r="A424" s="140"/>
      <c r="B424" s="140"/>
      <c r="C424" s="140"/>
      <c r="D424" s="140"/>
      <c r="E424" s="140"/>
      <c r="F424" s="205"/>
      <c r="G424" s="140"/>
      <c r="H424" s="140"/>
      <c r="I424" s="140"/>
      <c r="J424" s="140"/>
      <c r="K424" s="140"/>
      <c r="L424" s="140"/>
      <c r="M424" s="140"/>
      <c r="N424" s="140"/>
      <c r="O424" s="140"/>
      <c r="P424" s="140"/>
      <c r="Q424" s="140"/>
      <c r="R424" s="140"/>
    </row>
    <row r="425">
      <c r="A425" s="140"/>
      <c r="B425" s="140"/>
      <c r="C425" s="140"/>
      <c r="D425" s="140"/>
      <c r="E425" s="140"/>
      <c r="F425" s="205"/>
      <c r="G425" s="140"/>
      <c r="H425" s="140"/>
      <c r="I425" s="140"/>
      <c r="J425" s="140"/>
      <c r="K425" s="140"/>
      <c r="L425" s="140"/>
      <c r="M425" s="140"/>
      <c r="N425" s="140"/>
      <c r="O425" s="140"/>
      <c r="P425" s="140"/>
      <c r="Q425" s="140"/>
      <c r="R425" s="140"/>
    </row>
    <row r="426">
      <c r="A426" s="140"/>
      <c r="B426" s="140"/>
      <c r="C426" s="140"/>
      <c r="D426" s="140"/>
      <c r="E426" s="140"/>
      <c r="F426" s="205"/>
      <c r="G426" s="140"/>
      <c r="H426" s="140"/>
      <c r="I426" s="140"/>
      <c r="J426" s="140"/>
      <c r="K426" s="140"/>
      <c r="L426" s="140"/>
      <c r="M426" s="140"/>
      <c r="N426" s="140"/>
      <c r="O426" s="140"/>
      <c r="P426" s="140"/>
      <c r="Q426" s="140"/>
      <c r="R426" s="140"/>
    </row>
    <row r="427">
      <c r="A427" s="140"/>
      <c r="B427" s="140"/>
      <c r="C427" s="140"/>
      <c r="D427" s="140"/>
      <c r="E427" s="140"/>
      <c r="F427" s="205"/>
      <c r="G427" s="140"/>
      <c r="H427" s="140"/>
      <c r="I427" s="140"/>
      <c r="J427" s="140"/>
      <c r="K427" s="140"/>
      <c r="L427" s="140"/>
      <c r="M427" s="140"/>
      <c r="N427" s="140"/>
      <c r="O427" s="140"/>
      <c r="P427" s="140"/>
      <c r="Q427" s="140"/>
      <c r="R427" s="140"/>
    </row>
    <row r="428">
      <c r="A428" s="140"/>
      <c r="B428" s="140"/>
      <c r="C428" s="140"/>
      <c r="D428" s="140"/>
      <c r="E428" s="140"/>
      <c r="F428" s="205"/>
      <c r="G428" s="140"/>
      <c r="H428" s="140"/>
      <c r="I428" s="140"/>
      <c r="J428" s="140"/>
      <c r="K428" s="140"/>
      <c r="L428" s="140"/>
      <c r="M428" s="140"/>
      <c r="N428" s="140"/>
      <c r="O428" s="140"/>
      <c r="P428" s="140"/>
      <c r="Q428" s="140"/>
      <c r="R428" s="140"/>
    </row>
    <row r="429">
      <c r="A429" s="140"/>
      <c r="B429" s="140"/>
      <c r="C429" s="140"/>
      <c r="D429" s="140"/>
      <c r="E429" s="140"/>
      <c r="F429" s="205"/>
      <c r="G429" s="140"/>
      <c r="H429" s="140"/>
      <c r="I429" s="140"/>
      <c r="J429" s="140"/>
      <c r="K429" s="140"/>
      <c r="L429" s="140"/>
      <c r="M429" s="140"/>
      <c r="N429" s="140"/>
      <c r="O429" s="140"/>
      <c r="P429" s="140"/>
      <c r="Q429" s="140"/>
      <c r="R429" s="140"/>
    </row>
    <row r="430">
      <c r="A430" s="140"/>
      <c r="B430" s="140"/>
      <c r="C430" s="140"/>
      <c r="D430" s="140"/>
      <c r="E430" s="140"/>
      <c r="F430" s="205"/>
      <c r="G430" s="140"/>
      <c r="H430" s="140"/>
      <c r="I430" s="140"/>
      <c r="J430" s="140"/>
      <c r="K430" s="140"/>
      <c r="L430" s="140"/>
      <c r="M430" s="140"/>
      <c r="N430" s="140"/>
      <c r="O430" s="140"/>
      <c r="P430" s="140"/>
      <c r="Q430" s="140"/>
      <c r="R430" s="140"/>
    </row>
    <row r="431">
      <c r="A431" s="140"/>
      <c r="B431" s="140"/>
      <c r="C431" s="140"/>
      <c r="D431" s="140"/>
      <c r="E431" s="140"/>
      <c r="F431" s="205"/>
      <c r="G431" s="140"/>
      <c r="H431" s="140"/>
      <c r="I431" s="140"/>
      <c r="J431" s="140"/>
      <c r="K431" s="140"/>
      <c r="L431" s="140"/>
      <c r="M431" s="140"/>
      <c r="N431" s="140"/>
      <c r="O431" s="140"/>
      <c r="P431" s="140"/>
      <c r="Q431" s="140"/>
      <c r="R431" s="140"/>
    </row>
    <row r="432">
      <c r="A432" s="140"/>
      <c r="B432" s="140"/>
      <c r="C432" s="140"/>
      <c r="D432" s="140"/>
      <c r="E432" s="140"/>
      <c r="F432" s="205"/>
      <c r="G432" s="140"/>
      <c r="H432" s="140"/>
      <c r="I432" s="140"/>
      <c r="J432" s="140"/>
      <c r="K432" s="140"/>
      <c r="L432" s="140"/>
      <c r="M432" s="140"/>
      <c r="N432" s="140"/>
      <c r="O432" s="140"/>
      <c r="P432" s="140"/>
      <c r="Q432" s="140"/>
      <c r="R432" s="140"/>
    </row>
    <row r="433">
      <c r="A433" s="140"/>
      <c r="B433" s="140"/>
      <c r="C433" s="140"/>
      <c r="D433" s="140"/>
      <c r="E433" s="140"/>
      <c r="F433" s="205"/>
      <c r="G433" s="140"/>
      <c r="H433" s="140"/>
      <c r="I433" s="140"/>
      <c r="J433" s="140"/>
      <c r="K433" s="140"/>
      <c r="L433" s="140"/>
      <c r="M433" s="140"/>
      <c r="N433" s="140"/>
      <c r="O433" s="140"/>
      <c r="P433" s="140"/>
      <c r="Q433" s="140"/>
      <c r="R433" s="140"/>
    </row>
    <row r="434">
      <c r="A434" s="140"/>
      <c r="B434" s="140"/>
      <c r="C434" s="140"/>
      <c r="D434" s="140"/>
      <c r="E434" s="140"/>
      <c r="F434" s="205"/>
      <c r="G434" s="140"/>
      <c r="H434" s="140"/>
      <c r="I434" s="140"/>
      <c r="J434" s="140"/>
      <c r="K434" s="140"/>
      <c r="L434" s="140"/>
      <c r="M434" s="140"/>
      <c r="N434" s="140"/>
      <c r="O434" s="140"/>
      <c r="P434" s="140"/>
      <c r="Q434" s="140"/>
      <c r="R434" s="140"/>
    </row>
    <row r="435">
      <c r="A435" s="140"/>
      <c r="B435" s="140"/>
      <c r="C435" s="140"/>
      <c r="D435" s="140"/>
      <c r="E435" s="140"/>
      <c r="F435" s="205"/>
      <c r="G435" s="140"/>
      <c r="H435" s="140"/>
      <c r="I435" s="140"/>
      <c r="J435" s="140"/>
      <c r="K435" s="140"/>
      <c r="L435" s="140"/>
      <c r="M435" s="140"/>
      <c r="N435" s="140"/>
      <c r="O435" s="140"/>
      <c r="P435" s="140"/>
      <c r="Q435" s="140"/>
      <c r="R435" s="140"/>
    </row>
    <row r="436">
      <c r="A436" s="140"/>
      <c r="B436" s="140"/>
      <c r="C436" s="140"/>
      <c r="D436" s="140"/>
      <c r="E436" s="140"/>
      <c r="F436" s="205"/>
      <c r="G436" s="140"/>
      <c r="H436" s="140"/>
      <c r="I436" s="140"/>
      <c r="J436" s="140"/>
      <c r="K436" s="140"/>
      <c r="L436" s="140"/>
      <c r="M436" s="140"/>
      <c r="N436" s="140"/>
      <c r="O436" s="140"/>
      <c r="P436" s="140"/>
      <c r="Q436" s="140"/>
      <c r="R436" s="140"/>
    </row>
    <row r="437">
      <c r="A437" s="140"/>
      <c r="B437" s="140"/>
      <c r="C437" s="140"/>
      <c r="D437" s="140"/>
      <c r="E437" s="140"/>
      <c r="F437" s="205"/>
      <c r="G437" s="140"/>
      <c r="H437" s="140"/>
      <c r="I437" s="140"/>
      <c r="J437" s="140"/>
      <c r="K437" s="140"/>
      <c r="L437" s="140"/>
      <c r="M437" s="140"/>
      <c r="N437" s="140"/>
      <c r="O437" s="140"/>
      <c r="P437" s="140"/>
      <c r="Q437" s="140"/>
      <c r="R437" s="140"/>
    </row>
    <row r="438">
      <c r="A438" s="140"/>
      <c r="B438" s="140"/>
      <c r="C438" s="140"/>
      <c r="D438" s="140"/>
      <c r="E438" s="140"/>
      <c r="F438" s="205"/>
      <c r="G438" s="140"/>
      <c r="H438" s="140"/>
      <c r="I438" s="140"/>
      <c r="J438" s="140"/>
      <c r="K438" s="140"/>
      <c r="L438" s="140"/>
      <c r="M438" s="140"/>
      <c r="N438" s="140"/>
      <c r="O438" s="140"/>
      <c r="P438" s="140"/>
      <c r="Q438" s="140"/>
      <c r="R438" s="140"/>
    </row>
    <row r="439">
      <c r="A439" s="140"/>
      <c r="B439" s="140"/>
      <c r="C439" s="140"/>
      <c r="D439" s="140"/>
      <c r="E439" s="140"/>
      <c r="F439" s="205"/>
      <c r="G439" s="140"/>
      <c r="H439" s="140"/>
      <c r="I439" s="140"/>
      <c r="J439" s="140"/>
      <c r="K439" s="140"/>
      <c r="L439" s="140"/>
      <c r="M439" s="140"/>
      <c r="N439" s="140"/>
      <c r="O439" s="140"/>
      <c r="P439" s="140"/>
      <c r="Q439" s="140"/>
      <c r="R439" s="140"/>
    </row>
    <row r="440">
      <c r="A440" s="140"/>
      <c r="B440" s="140"/>
      <c r="C440" s="140"/>
      <c r="D440" s="140"/>
      <c r="E440" s="140"/>
      <c r="F440" s="205"/>
      <c r="G440" s="140"/>
      <c r="H440" s="140"/>
      <c r="I440" s="140"/>
      <c r="J440" s="140"/>
      <c r="K440" s="140"/>
      <c r="L440" s="140"/>
      <c r="M440" s="140"/>
      <c r="N440" s="140"/>
      <c r="O440" s="140"/>
      <c r="P440" s="140"/>
      <c r="Q440" s="140"/>
      <c r="R440" s="140"/>
    </row>
    <row r="441">
      <c r="A441" s="140"/>
      <c r="B441" s="140"/>
      <c r="C441" s="140"/>
      <c r="D441" s="140"/>
      <c r="E441" s="140"/>
      <c r="F441" s="205"/>
      <c r="G441" s="140"/>
      <c r="H441" s="140"/>
      <c r="I441" s="140"/>
      <c r="J441" s="140"/>
      <c r="K441" s="140"/>
      <c r="L441" s="140"/>
      <c r="M441" s="140"/>
      <c r="N441" s="140"/>
      <c r="O441" s="140"/>
      <c r="P441" s="140"/>
      <c r="Q441" s="140"/>
      <c r="R441" s="140"/>
    </row>
    <row r="442">
      <c r="A442" s="140"/>
      <c r="B442" s="140"/>
      <c r="C442" s="140"/>
      <c r="D442" s="140"/>
      <c r="E442" s="140"/>
      <c r="F442" s="205"/>
      <c r="G442" s="140"/>
      <c r="H442" s="140"/>
      <c r="I442" s="140"/>
      <c r="J442" s="140"/>
      <c r="K442" s="140"/>
      <c r="L442" s="140"/>
      <c r="M442" s="140"/>
      <c r="N442" s="140"/>
      <c r="O442" s="140"/>
      <c r="P442" s="140"/>
      <c r="Q442" s="140"/>
      <c r="R442" s="140"/>
    </row>
    <row r="443">
      <c r="A443" s="140"/>
      <c r="B443" s="140"/>
      <c r="C443" s="140"/>
      <c r="D443" s="140"/>
      <c r="E443" s="140"/>
      <c r="F443" s="205"/>
      <c r="G443" s="140"/>
      <c r="H443" s="140"/>
      <c r="I443" s="140"/>
      <c r="J443" s="140"/>
      <c r="K443" s="140"/>
      <c r="L443" s="140"/>
      <c r="M443" s="140"/>
      <c r="N443" s="140"/>
      <c r="O443" s="140"/>
      <c r="P443" s="140"/>
      <c r="Q443" s="140"/>
      <c r="R443" s="140"/>
    </row>
    <row r="444">
      <c r="A444" s="140"/>
      <c r="B444" s="140"/>
      <c r="C444" s="140"/>
      <c r="D444" s="140"/>
      <c r="E444" s="140"/>
      <c r="F444" s="205"/>
      <c r="G444" s="140"/>
      <c r="H444" s="140"/>
      <c r="I444" s="140"/>
      <c r="J444" s="140"/>
      <c r="K444" s="140"/>
      <c r="L444" s="140"/>
      <c r="M444" s="140"/>
      <c r="N444" s="140"/>
      <c r="O444" s="140"/>
      <c r="P444" s="140"/>
      <c r="Q444" s="140"/>
      <c r="R444" s="140"/>
    </row>
    <row r="445">
      <c r="A445" s="140"/>
      <c r="B445" s="140"/>
      <c r="C445" s="140"/>
      <c r="D445" s="140"/>
      <c r="E445" s="140"/>
      <c r="F445" s="205"/>
      <c r="G445" s="140"/>
      <c r="H445" s="140"/>
      <c r="I445" s="140"/>
      <c r="J445" s="140"/>
      <c r="K445" s="140"/>
      <c r="L445" s="140"/>
      <c r="M445" s="140"/>
      <c r="N445" s="140"/>
      <c r="O445" s="140"/>
      <c r="P445" s="140"/>
      <c r="Q445" s="140"/>
      <c r="R445" s="140"/>
    </row>
    <row r="446">
      <c r="A446" s="140"/>
      <c r="B446" s="140"/>
      <c r="C446" s="140"/>
      <c r="D446" s="140"/>
      <c r="E446" s="140"/>
      <c r="F446" s="205"/>
      <c r="G446" s="140"/>
      <c r="H446" s="140"/>
      <c r="I446" s="140"/>
      <c r="J446" s="140"/>
      <c r="K446" s="140"/>
      <c r="L446" s="140"/>
      <c r="M446" s="140"/>
      <c r="N446" s="140"/>
      <c r="O446" s="140"/>
      <c r="P446" s="140"/>
      <c r="Q446" s="140"/>
      <c r="R446" s="140"/>
    </row>
    <row r="447">
      <c r="A447" s="140"/>
      <c r="B447" s="140"/>
      <c r="C447" s="140"/>
      <c r="D447" s="140"/>
      <c r="E447" s="140"/>
      <c r="F447" s="205"/>
      <c r="G447" s="140"/>
      <c r="H447" s="140"/>
      <c r="I447" s="140"/>
      <c r="J447" s="140"/>
      <c r="K447" s="140"/>
      <c r="L447" s="140"/>
      <c r="M447" s="140"/>
      <c r="N447" s="140"/>
      <c r="O447" s="140"/>
      <c r="P447" s="140"/>
      <c r="Q447" s="140"/>
      <c r="R447" s="140"/>
    </row>
    <row r="448">
      <c r="A448" s="140"/>
      <c r="B448" s="140"/>
      <c r="C448" s="140"/>
      <c r="D448" s="140"/>
      <c r="E448" s="140"/>
      <c r="F448" s="205"/>
      <c r="G448" s="140"/>
      <c r="H448" s="140"/>
      <c r="I448" s="140"/>
      <c r="J448" s="140"/>
      <c r="K448" s="140"/>
      <c r="L448" s="140"/>
      <c r="M448" s="140"/>
      <c r="N448" s="140"/>
      <c r="O448" s="140"/>
      <c r="P448" s="140"/>
      <c r="Q448" s="140"/>
      <c r="R448" s="140"/>
    </row>
    <row r="449">
      <c r="A449" s="140"/>
      <c r="B449" s="140"/>
      <c r="C449" s="140"/>
      <c r="D449" s="140"/>
      <c r="E449" s="140"/>
      <c r="F449" s="205"/>
      <c r="G449" s="140"/>
      <c r="H449" s="140"/>
      <c r="I449" s="140"/>
      <c r="J449" s="140"/>
      <c r="K449" s="140"/>
      <c r="L449" s="140"/>
      <c r="M449" s="140"/>
      <c r="N449" s="140"/>
      <c r="O449" s="140"/>
      <c r="P449" s="140"/>
      <c r="Q449" s="140"/>
      <c r="R449" s="140"/>
    </row>
    <row r="450">
      <c r="A450" s="140"/>
      <c r="B450" s="140"/>
      <c r="C450" s="140"/>
      <c r="D450" s="140"/>
      <c r="E450" s="140"/>
      <c r="F450" s="205"/>
      <c r="G450" s="140"/>
      <c r="H450" s="140"/>
      <c r="I450" s="140"/>
      <c r="J450" s="140"/>
      <c r="K450" s="140"/>
      <c r="L450" s="140"/>
      <c r="M450" s="140"/>
      <c r="N450" s="140"/>
      <c r="O450" s="140"/>
      <c r="P450" s="140"/>
      <c r="Q450" s="140"/>
      <c r="R450" s="140"/>
    </row>
    <row r="451">
      <c r="A451" s="140"/>
      <c r="B451" s="140"/>
      <c r="C451" s="140"/>
      <c r="D451" s="140"/>
      <c r="E451" s="140"/>
      <c r="F451" s="205"/>
      <c r="G451" s="140"/>
      <c r="H451" s="140"/>
      <c r="I451" s="140"/>
      <c r="J451" s="140"/>
      <c r="K451" s="140"/>
      <c r="L451" s="140"/>
      <c r="M451" s="140"/>
      <c r="N451" s="140"/>
      <c r="O451" s="140"/>
      <c r="P451" s="140"/>
      <c r="Q451" s="140"/>
      <c r="R451" s="140"/>
    </row>
    <row r="452">
      <c r="A452" s="140"/>
      <c r="B452" s="140"/>
      <c r="C452" s="140"/>
      <c r="D452" s="140"/>
      <c r="E452" s="140"/>
      <c r="F452" s="205"/>
      <c r="G452" s="140"/>
      <c r="H452" s="140"/>
      <c r="I452" s="140"/>
      <c r="J452" s="140"/>
      <c r="K452" s="140"/>
      <c r="L452" s="140"/>
      <c r="M452" s="140"/>
      <c r="N452" s="140"/>
      <c r="O452" s="140"/>
      <c r="P452" s="140"/>
      <c r="Q452" s="140"/>
      <c r="R452" s="140"/>
    </row>
    <row r="453">
      <c r="A453" s="140"/>
      <c r="B453" s="140"/>
      <c r="C453" s="140"/>
      <c r="D453" s="140"/>
      <c r="E453" s="140"/>
      <c r="F453" s="205"/>
      <c r="G453" s="140"/>
      <c r="H453" s="140"/>
      <c r="I453" s="140"/>
      <c r="J453" s="140"/>
      <c r="K453" s="140"/>
      <c r="L453" s="140"/>
      <c r="M453" s="140"/>
      <c r="N453" s="140"/>
      <c r="O453" s="140"/>
      <c r="P453" s="140"/>
      <c r="Q453" s="140"/>
      <c r="R453" s="140"/>
    </row>
    <row r="454">
      <c r="A454" s="140"/>
      <c r="B454" s="140"/>
      <c r="C454" s="140"/>
      <c r="D454" s="140"/>
      <c r="E454" s="140"/>
      <c r="F454" s="205"/>
      <c r="G454" s="140"/>
      <c r="H454" s="140"/>
      <c r="I454" s="140"/>
      <c r="J454" s="140"/>
      <c r="K454" s="140"/>
      <c r="L454" s="140"/>
      <c r="M454" s="140"/>
      <c r="N454" s="140"/>
      <c r="O454" s="140"/>
      <c r="P454" s="140"/>
      <c r="Q454" s="140"/>
      <c r="R454" s="140"/>
    </row>
    <row r="455">
      <c r="A455" s="140"/>
      <c r="B455" s="140"/>
      <c r="C455" s="140"/>
      <c r="D455" s="140"/>
      <c r="E455" s="140"/>
      <c r="F455" s="205"/>
      <c r="G455" s="140"/>
      <c r="H455" s="140"/>
      <c r="I455" s="140"/>
      <c r="J455" s="140"/>
      <c r="K455" s="140"/>
      <c r="L455" s="140"/>
      <c r="M455" s="140"/>
      <c r="N455" s="140"/>
      <c r="O455" s="140"/>
      <c r="P455" s="140"/>
      <c r="Q455" s="140"/>
      <c r="R455" s="140"/>
    </row>
    <row r="456">
      <c r="A456" s="140"/>
      <c r="B456" s="140"/>
      <c r="C456" s="140"/>
      <c r="D456" s="140"/>
      <c r="E456" s="140"/>
      <c r="F456" s="205"/>
      <c r="G456" s="140"/>
      <c r="H456" s="140"/>
      <c r="I456" s="140"/>
      <c r="J456" s="140"/>
      <c r="K456" s="140"/>
      <c r="L456" s="140"/>
      <c r="M456" s="140"/>
      <c r="N456" s="140"/>
      <c r="O456" s="140"/>
      <c r="P456" s="140"/>
      <c r="Q456" s="140"/>
      <c r="R456" s="140"/>
    </row>
    <row r="457">
      <c r="A457" s="140"/>
      <c r="B457" s="140"/>
      <c r="C457" s="140"/>
      <c r="D457" s="140"/>
      <c r="E457" s="140"/>
      <c r="F457" s="205"/>
      <c r="G457" s="140"/>
      <c r="H457" s="140"/>
      <c r="I457" s="140"/>
      <c r="J457" s="140"/>
      <c r="K457" s="140"/>
      <c r="L457" s="140"/>
      <c r="M457" s="140"/>
      <c r="N457" s="140"/>
      <c r="O457" s="140"/>
      <c r="P457" s="140"/>
      <c r="Q457" s="140"/>
      <c r="R457" s="140"/>
    </row>
    <row r="458">
      <c r="A458" s="140"/>
      <c r="B458" s="140"/>
      <c r="C458" s="140"/>
      <c r="D458" s="140"/>
      <c r="E458" s="140"/>
      <c r="F458" s="205"/>
      <c r="G458" s="140"/>
      <c r="H458" s="140"/>
      <c r="I458" s="140"/>
      <c r="J458" s="140"/>
      <c r="K458" s="140"/>
      <c r="L458" s="140"/>
      <c r="M458" s="140"/>
      <c r="N458" s="140"/>
      <c r="O458" s="140"/>
      <c r="P458" s="140"/>
      <c r="Q458" s="140"/>
      <c r="R458" s="140"/>
    </row>
    <row r="459">
      <c r="A459" s="140"/>
      <c r="B459" s="140"/>
      <c r="C459" s="140"/>
      <c r="D459" s="140"/>
      <c r="E459" s="140"/>
      <c r="F459" s="205"/>
      <c r="G459" s="140"/>
      <c r="H459" s="140"/>
      <c r="I459" s="140"/>
      <c r="J459" s="140"/>
      <c r="K459" s="140"/>
      <c r="L459" s="140"/>
      <c r="M459" s="140"/>
      <c r="N459" s="140"/>
      <c r="O459" s="140"/>
      <c r="P459" s="140"/>
      <c r="Q459" s="140"/>
      <c r="R459" s="140"/>
    </row>
    <row r="460">
      <c r="A460" s="140"/>
      <c r="B460" s="140"/>
      <c r="C460" s="140"/>
      <c r="D460" s="140"/>
      <c r="E460" s="140"/>
      <c r="F460" s="205"/>
      <c r="G460" s="140"/>
      <c r="H460" s="140"/>
      <c r="I460" s="140"/>
      <c r="J460" s="140"/>
      <c r="K460" s="140"/>
      <c r="L460" s="140"/>
      <c r="M460" s="140"/>
      <c r="N460" s="140"/>
      <c r="O460" s="140"/>
      <c r="P460" s="140"/>
      <c r="Q460" s="140"/>
      <c r="R460" s="140"/>
    </row>
    <row r="461">
      <c r="A461" s="140"/>
      <c r="B461" s="140"/>
      <c r="C461" s="140"/>
      <c r="D461" s="140"/>
      <c r="E461" s="140"/>
      <c r="F461" s="205"/>
      <c r="G461" s="140"/>
      <c r="H461" s="140"/>
      <c r="I461" s="140"/>
      <c r="J461" s="140"/>
      <c r="K461" s="140"/>
      <c r="L461" s="140"/>
      <c r="M461" s="140"/>
      <c r="N461" s="140"/>
      <c r="O461" s="140"/>
      <c r="P461" s="140"/>
      <c r="Q461" s="140"/>
      <c r="R461" s="140"/>
    </row>
    <row r="462">
      <c r="A462" s="140"/>
      <c r="B462" s="140"/>
      <c r="C462" s="140"/>
      <c r="D462" s="140"/>
      <c r="E462" s="140"/>
      <c r="F462" s="205"/>
      <c r="G462" s="140"/>
      <c r="H462" s="140"/>
      <c r="I462" s="140"/>
      <c r="J462" s="140"/>
      <c r="K462" s="140"/>
      <c r="L462" s="140"/>
      <c r="M462" s="140"/>
      <c r="N462" s="140"/>
      <c r="O462" s="140"/>
      <c r="P462" s="140"/>
      <c r="Q462" s="140"/>
      <c r="R462" s="140"/>
    </row>
    <row r="463">
      <c r="A463" s="140"/>
      <c r="B463" s="140"/>
      <c r="C463" s="140"/>
      <c r="D463" s="140"/>
      <c r="E463" s="140"/>
      <c r="F463" s="205"/>
      <c r="G463" s="140"/>
      <c r="H463" s="140"/>
      <c r="I463" s="140"/>
      <c r="J463" s="140"/>
      <c r="K463" s="140"/>
      <c r="L463" s="140"/>
      <c r="M463" s="140"/>
      <c r="N463" s="140"/>
      <c r="O463" s="140"/>
      <c r="P463" s="140"/>
      <c r="Q463" s="140"/>
      <c r="R463" s="140"/>
    </row>
    <row r="464">
      <c r="A464" s="140"/>
      <c r="B464" s="140"/>
      <c r="C464" s="140"/>
      <c r="D464" s="140"/>
      <c r="E464" s="140"/>
      <c r="F464" s="205"/>
      <c r="G464" s="140"/>
      <c r="H464" s="140"/>
      <c r="I464" s="140"/>
      <c r="J464" s="140"/>
      <c r="K464" s="140"/>
      <c r="L464" s="140"/>
      <c r="M464" s="140"/>
      <c r="N464" s="140"/>
      <c r="O464" s="140"/>
      <c r="P464" s="140"/>
      <c r="Q464" s="140"/>
      <c r="R464" s="140"/>
    </row>
    <row r="465">
      <c r="A465" s="140"/>
      <c r="B465" s="140"/>
      <c r="C465" s="140"/>
      <c r="D465" s="140"/>
      <c r="E465" s="140"/>
      <c r="F465" s="205"/>
      <c r="G465" s="140"/>
      <c r="H465" s="140"/>
      <c r="I465" s="140"/>
      <c r="J465" s="140"/>
      <c r="K465" s="140"/>
      <c r="L465" s="140"/>
      <c r="M465" s="140"/>
      <c r="N465" s="140"/>
      <c r="O465" s="140"/>
      <c r="P465" s="140"/>
      <c r="Q465" s="140"/>
      <c r="R465" s="140"/>
    </row>
    <row r="466">
      <c r="A466" s="140"/>
      <c r="B466" s="140"/>
      <c r="C466" s="140"/>
      <c r="D466" s="140"/>
      <c r="E466" s="140"/>
      <c r="F466" s="205"/>
      <c r="G466" s="140"/>
      <c r="H466" s="140"/>
      <c r="I466" s="140"/>
      <c r="J466" s="140"/>
      <c r="K466" s="140"/>
      <c r="L466" s="140"/>
      <c r="M466" s="140"/>
      <c r="N466" s="140"/>
      <c r="O466" s="140"/>
      <c r="P466" s="140"/>
      <c r="Q466" s="140"/>
      <c r="R466" s="140"/>
    </row>
    <row r="467">
      <c r="A467" s="140"/>
      <c r="B467" s="140"/>
      <c r="C467" s="140"/>
      <c r="D467" s="140"/>
      <c r="E467" s="140"/>
      <c r="F467" s="205"/>
      <c r="G467" s="140"/>
      <c r="H467" s="140"/>
      <c r="I467" s="140"/>
      <c r="J467" s="140"/>
      <c r="K467" s="140"/>
      <c r="L467" s="140"/>
      <c r="M467" s="140"/>
      <c r="N467" s="140"/>
      <c r="O467" s="140"/>
      <c r="P467" s="140"/>
      <c r="Q467" s="140"/>
      <c r="R467" s="140"/>
    </row>
    <row r="468">
      <c r="A468" s="140"/>
      <c r="B468" s="140"/>
      <c r="C468" s="140"/>
      <c r="D468" s="140"/>
      <c r="E468" s="140"/>
      <c r="F468" s="205"/>
      <c r="G468" s="140"/>
      <c r="H468" s="140"/>
      <c r="I468" s="140"/>
      <c r="J468" s="140"/>
      <c r="K468" s="140"/>
      <c r="L468" s="140"/>
      <c r="M468" s="140"/>
      <c r="N468" s="140"/>
      <c r="O468" s="140"/>
      <c r="P468" s="140"/>
      <c r="Q468" s="140"/>
      <c r="R468" s="140"/>
    </row>
    <row r="469">
      <c r="A469" s="140"/>
      <c r="B469" s="140"/>
      <c r="C469" s="140"/>
      <c r="D469" s="140"/>
      <c r="E469" s="140"/>
      <c r="F469" s="205"/>
      <c r="G469" s="140"/>
      <c r="H469" s="140"/>
      <c r="I469" s="140"/>
      <c r="J469" s="140"/>
      <c r="K469" s="140"/>
      <c r="L469" s="140"/>
      <c r="M469" s="140"/>
      <c r="N469" s="140"/>
      <c r="O469" s="140"/>
      <c r="P469" s="140"/>
      <c r="Q469" s="140"/>
      <c r="R469" s="140"/>
    </row>
    <row r="470">
      <c r="A470" s="140"/>
      <c r="B470" s="140"/>
      <c r="C470" s="140"/>
      <c r="D470" s="140"/>
      <c r="E470" s="140"/>
      <c r="F470" s="205"/>
      <c r="G470" s="140"/>
      <c r="H470" s="140"/>
      <c r="I470" s="140"/>
      <c r="J470" s="140"/>
      <c r="K470" s="140"/>
      <c r="L470" s="140"/>
      <c r="M470" s="140"/>
      <c r="N470" s="140"/>
      <c r="O470" s="140"/>
      <c r="P470" s="140"/>
      <c r="Q470" s="140"/>
      <c r="R470" s="140"/>
    </row>
    <row r="471">
      <c r="A471" s="140"/>
      <c r="B471" s="140"/>
      <c r="C471" s="140"/>
      <c r="D471" s="140"/>
      <c r="E471" s="140"/>
      <c r="F471" s="205"/>
      <c r="G471" s="140"/>
      <c r="H471" s="140"/>
      <c r="I471" s="140"/>
      <c r="J471" s="140"/>
      <c r="K471" s="140"/>
      <c r="L471" s="140"/>
      <c r="M471" s="140"/>
      <c r="N471" s="140"/>
      <c r="O471" s="140"/>
      <c r="P471" s="140"/>
      <c r="Q471" s="140"/>
      <c r="R471" s="140"/>
    </row>
    <row r="472">
      <c r="A472" s="140"/>
      <c r="B472" s="140"/>
      <c r="C472" s="140"/>
      <c r="D472" s="140"/>
      <c r="E472" s="140"/>
      <c r="F472" s="205"/>
      <c r="G472" s="140"/>
      <c r="H472" s="140"/>
      <c r="I472" s="140"/>
      <c r="J472" s="140"/>
      <c r="K472" s="140"/>
      <c r="L472" s="140"/>
      <c r="M472" s="140"/>
      <c r="N472" s="140"/>
      <c r="O472" s="140"/>
      <c r="P472" s="140"/>
      <c r="Q472" s="140"/>
      <c r="R472" s="140"/>
    </row>
    <row r="473">
      <c r="A473" s="140"/>
      <c r="B473" s="140"/>
      <c r="C473" s="140"/>
      <c r="D473" s="140"/>
      <c r="E473" s="140"/>
      <c r="F473" s="205"/>
      <c r="G473" s="140"/>
      <c r="H473" s="140"/>
      <c r="I473" s="140"/>
      <c r="J473" s="140"/>
      <c r="K473" s="140"/>
      <c r="L473" s="140"/>
      <c r="M473" s="140"/>
      <c r="N473" s="140"/>
      <c r="O473" s="140"/>
      <c r="P473" s="140"/>
      <c r="Q473" s="140"/>
      <c r="R473" s="140"/>
    </row>
    <row r="474">
      <c r="A474" s="140"/>
      <c r="B474" s="140"/>
      <c r="C474" s="140"/>
      <c r="D474" s="140"/>
      <c r="E474" s="140"/>
      <c r="F474" s="205"/>
      <c r="G474" s="140"/>
      <c r="H474" s="140"/>
      <c r="I474" s="140"/>
      <c r="J474" s="140"/>
      <c r="K474" s="140"/>
      <c r="L474" s="140"/>
      <c r="M474" s="140"/>
      <c r="N474" s="140"/>
      <c r="O474" s="140"/>
      <c r="P474" s="140"/>
      <c r="Q474" s="140"/>
      <c r="R474" s="140"/>
    </row>
    <row r="475">
      <c r="A475" s="140"/>
      <c r="B475" s="140"/>
      <c r="C475" s="140"/>
      <c r="D475" s="140"/>
      <c r="E475" s="140"/>
      <c r="F475" s="205"/>
      <c r="G475" s="140"/>
      <c r="H475" s="140"/>
      <c r="I475" s="140"/>
      <c r="J475" s="140"/>
      <c r="K475" s="140"/>
      <c r="L475" s="140"/>
      <c r="M475" s="140"/>
      <c r="N475" s="140"/>
      <c r="O475" s="140"/>
      <c r="P475" s="140"/>
      <c r="Q475" s="140"/>
      <c r="R475" s="140"/>
    </row>
    <row r="476">
      <c r="A476" s="140"/>
      <c r="B476" s="140"/>
      <c r="C476" s="140"/>
      <c r="D476" s="140"/>
      <c r="E476" s="140"/>
      <c r="F476" s="205"/>
      <c r="G476" s="140"/>
      <c r="H476" s="140"/>
      <c r="I476" s="140"/>
      <c r="J476" s="140"/>
      <c r="K476" s="140"/>
      <c r="L476" s="140"/>
      <c r="M476" s="140"/>
      <c r="N476" s="140"/>
      <c r="O476" s="140"/>
      <c r="P476" s="140"/>
      <c r="Q476" s="140"/>
      <c r="R476" s="140"/>
    </row>
    <row r="477">
      <c r="A477" s="140"/>
      <c r="B477" s="140"/>
      <c r="C477" s="140"/>
      <c r="D477" s="140"/>
      <c r="E477" s="140"/>
      <c r="F477" s="205"/>
      <c r="G477" s="140"/>
      <c r="H477" s="140"/>
      <c r="I477" s="140"/>
      <c r="J477" s="140"/>
      <c r="K477" s="140"/>
      <c r="L477" s="140"/>
      <c r="M477" s="140"/>
      <c r="N477" s="140"/>
      <c r="O477" s="140"/>
      <c r="P477" s="140"/>
      <c r="Q477" s="140"/>
      <c r="R477" s="140"/>
    </row>
    <row r="478">
      <c r="A478" s="140"/>
      <c r="B478" s="140"/>
      <c r="C478" s="140"/>
      <c r="D478" s="140"/>
      <c r="E478" s="140"/>
      <c r="F478" s="205"/>
      <c r="G478" s="140"/>
      <c r="H478" s="140"/>
      <c r="I478" s="140"/>
      <c r="J478" s="140"/>
      <c r="K478" s="140"/>
      <c r="L478" s="140"/>
      <c r="M478" s="140"/>
      <c r="N478" s="140"/>
      <c r="O478" s="140"/>
      <c r="P478" s="140"/>
      <c r="Q478" s="140"/>
      <c r="R478" s="140"/>
    </row>
    <row r="479">
      <c r="A479" s="140"/>
      <c r="B479" s="140"/>
      <c r="C479" s="140"/>
      <c r="D479" s="140"/>
      <c r="E479" s="140"/>
      <c r="F479" s="205"/>
      <c r="G479" s="140"/>
      <c r="H479" s="140"/>
      <c r="I479" s="140"/>
      <c r="J479" s="140"/>
      <c r="K479" s="140"/>
      <c r="L479" s="140"/>
      <c r="M479" s="140"/>
      <c r="N479" s="140"/>
      <c r="O479" s="140"/>
      <c r="P479" s="140"/>
      <c r="Q479" s="140"/>
      <c r="R479" s="140"/>
    </row>
    <row r="480">
      <c r="A480" s="140"/>
      <c r="B480" s="140"/>
      <c r="C480" s="140"/>
      <c r="D480" s="140"/>
      <c r="E480" s="140"/>
      <c r="F480" s="205"/>
      <c r="G480" s="140"/>
      <c r="H480" s="140"/>
      <c r="I480" s="140"/>
      <c r="J480" s="140"/>
      <c r="K480" s="140"/>
      <c r="L480" s="140"/>
      <c r="M480" s="140"/>
      <c r="N480" s="140"/>
      <c r="O480" s="140"/>
      <c r="P480" s="140"/>
      <c r="Q480" s="140"/>
      <c r="R480" s="140"/>
    </row>
    <row r="481">
      <c r="A481" s="140"/>
      <c r="B481" s="140"/>
      <c r="C481" s="140"/>
      <c r="D481" s="140"/>
      <c r="E481" s="140"/>
      <c r="F481" s="205"/>
      <c r="G481" s="140"/>
      <c r="H481" s="140"/>
      <c r="I481" s="140"/>
      <c r="J481" s="140"/>
      <c r="K481" s="140"/>
      <c r="L481" s="140"/>
      <c r="M481" s="140"/>
      <c r="N481" s="140"/>
      <c r="O481" s="140"/>
      <c r="P481" s="140"/>
      <c r="Q481" s="140"/>
      <c r="R481" s="140"/>
    </row>
    <row r="482">
      <c r="A482" s="140"/>
      <c r="B482" s="140"/>
      <c r="C482" s="140"/>
      <c r="D482" s="140"/>
      <c r="E482" s="140"/>
      <c r="F482" s="205"/>
      <c r="G482" s="140"/>
      <c r="H482" s="140"/>
      <c r="I482" s="140"/>
      <c r="J482" s="140"/>
      <c r="K482" s="140"/>
      <c r="L482" s="140"/>
      <c r="M482" s="140"/>
      <c r="N482" s="140"/>
      <c r="O482" s="140"/>
      <c r="P482" s="140"/>
      <c r="Q482" s="140"/>
      <c r="R482" s="140"/>
    </row>
    <row r="483">
      <c r="A483" s="140"/>
      <c r="B483" s="140"/>
      <c r="C483" s="140"/>
      <c r="D483" s="140"/>
      <c r="E483" s="140"/>
      <c r="F483" s="205"/>
      <c r="G483" s="140"/>
      <c r="H483" s="140"/>
      <c r="I483" s="140"/>
      <c r="J483" s="140"/>
      <c r="K483" s="140"/>
      <c r="L483" s="140"/>
      <c r="M483" s="140"/>
      <c r="N483" s="140"/>
      <c r="O483" s="140"/>
      <c r="P483" s="140"/>
      <c r="Q483" s="140"/>
      <c r="R483" s="140"/>
    </row>
    <row r="484">
      <c r="A484" s="140"/>
      <c r="B484" s="140"/>
      <c r="C484" s="140"/>
      <c r="D484" s="140"/>
      <c r="E484" s="140"/>
      <c r="F484" s="205"/>
      <c r="G484" s="140"/>
      <c r="H484" s="140"/>
      <c r="I484" s="140"/>
      <c r="J484" s="140"/>
      <c r="K484" s="140"/>
      <c r="L484" s="140"/>
      <c r="M484" s="140"/>
      <c r="N484" s="140"/>
      <c r="O484" s="140"/>
      <c r="P484" s="140"/>
      <c r="Q484" s="140"/>
      <c r="R484" s="140"/>
    </row>
    <row r="485">
      <c r="A485" s="140"/>
      <c r="B485" s="140"/>
      <c r="C485" s="140"/>
      <c r="D485" s="140"/>
      <c r="E485" s="140"/>
      <c r="F485" s="205"/>
      <c r="G485" s="140"/>
      <c r="H485" s="140"/>
      <c r="I485" s="140"/>
      <c r="J485" s="140"/>
      <c r="K485" s="140"/>
      <c r="L485" s="140"/>
      <c r="M485" s="140"/>
      <c r="N485" s="140"/>
      <c r="O485" s="140"/>
      <c r="P485" s="140"/>
      <c r="Q485" s="140"/>
      <c r="R485" s="140"/>
    </row>
    <row r="486">
      <c r="A486" s="140"/>
      <c r="B486" s="140"/>
      <c r="C486" s="140"/>
      <c r="D486" s="140"/>
      <c r="E486" s="140"/>
      <c r="F486" s="205"/>
      <c r="G486" s="140"/>
      <c r="H486" s="140"/>
      <c r="I486" s="140"/>
      <c r="J486" s="140"/>
      <c r="K486" s="140"/>
      <c r="L486" s="140"/>
      <c r="M486" s="140"/>
      <c r="N486" s="140"/>
      <c r="O486" s="140"/>
      <c r="P486" s="140"/>
      <c r="Q486" s="140"/>
      <c r="R486" s="140"/>
    </row>
    <row r="487">
      <c r="A487" s="140"/>
      <c r="B487" s="140"/>
      <c r="C487" s="140"/>
      <c r="D487" s="140"/>
      <c r="E487" s="140"/>
      <c r="F487" s="205"/>
      <c r="G487" s="140"/>
      <c r="H487" s="140"/>
      <c r="I487" s="140"/>
      <c r="J487" s="140"/>
      <c r="K487" s="140"/>
      <c r="L487" s="140"/>
      <c r="M487" s="140"/>
      <c r="N487" s="140"/>
      <c r="O487" s="140"/>
      <c r="P487" s="140"/>
      <c r="Q487" s="140"/>
      <c r="R487" s="140"/>
    </row>
    <row r="488">
      <c r="A488" s="140"/>
      <c r="B488" s="140"/>
      <c r="C488" s="140"/>
      <c r="D488" s="140"/>
      <c r="E488" s="140"/>
      <c r="F488" s="205"/>
      <c r="G488" s="140"/>
      <c r="H488" s="140"/>
      <c r="I488" s="140"/>
      <c r="J488" s="140"/>
      <c r="K488" s="140"/>
      <c r="L488" s="140"/>
      <c r="M488" s="140"/>
      <c r="N488" s="140"/>
      <c r="O488" s="140"/>
      <c r="P488" s="140"/>
      <c r="Q488" s="140"/>
      <c r="R488" s="140"/>
    </row>
    <row r="489">
      <c r="A489" s="140"/>
      <c r="B489" s="140"/>
      <c r="C489" s="140"/>
      <c r="D489" s="140"/>
      <c r="E489" s="140"/>
      <c r="F489" s="205"/>
      <c r="G489" s="140"/>
      <c r="H489" s="140"/>
      <c r="I489" s="140"/>
      <c r="J489" s="140"/>
      <c r="K489" s="140"/>
      <c r="L489" s="140"/>
      <c r="M489" s="140"/>
      <c r="N489" s="140"/>
      <c r="O489" s="140"/>
      <c r="P489" s="140"/>
      <c r="Q489" s="140"/>
      <c r="R489" s="140"/>
    </row>
    <row r="490">
      <c r="A490" s="140"/>
      <c r="B490" s="140"/>
      <c r="C490" s="140"/>
      <c r="D490" s="140"/>
      <c r="E490" s="140"/>
      <c r="F490" s="205"/>
      <c r="G490" s="140"/>
      <c r="H490" s="140"/>
      <c r="I490" s="140"/>
      <c r="J490" s="140"/>
      <c r="K490" s="140"/>
      <c r="L490" s="140"/>
      <c r="M490" s="140"/>
      <c r="N490" s="140"/>
      <c r="O490" s="140"/>
      <c r="P490" s="140"/>
      <c r="Q490" s="140"/>
      <c r="R490" s="140"/>
    </row>
    <row r="491">
      <c r="A491" s="140"/>
      <c r="B491" s="140"/>
      <c r="C491" s="140"/>
      <c r="D491" s="140"/>
      <c r="E491" s="140"/>
      <c r="F491" s="205"/>
      <c r="G491" s="140"/>
      <c r="H491" s="140"/>
      <c r="I491" s="140"/>
      <c r="J491" s="140"/>
      <c r="K491" s="140"/>
      <c r="L491" s="140"/>
      <c r="M491" s="140"/>
      <c r="N491" s="140"/>
      <c r="O491" s="140"/>
      <c r="P491" s="140"/>
      <c r="Q491" s="140"/>
      <c r="R491" s="140"/>
    </row>
    <row r="492">
      <c r="A492" s="140"/>
      <c r="B492" s="140"/>
      <c r="C492" s="140"/>
      <c r="D492" s="140"/>
      <c r="E492" s="140"/>
      <c r="F492" s="205"/>
      <c r="G492" s="140"/>
      <c r="H492" s="140"/>
      <c r="I492" s="140"/>
      <c r="J492" s="140"/>
      <c r="K492" s="140"/>
      <c r="L492" s="140"/>
      <c r="M492" s="140"/>
      <c r="N492" s="140"/>
      <c r="O492" s="140"/>
      <c r="P492" s="140"/>
      <c r="Q492" s="140"/>
      <c r="R492" s="140"/>
    </row>
    <row r="493">
      <c r="A493" s="140"/>
      <c r="B493" s="140"/>
      <c r="C493" s="140"/>
      <c r="D493" s="140"/>
      <c r="E493" s="140"/>
      <c r="F493" s="205"/>
      <c r="G493" s="140"/>
      <c r="H493" s="140"/>
      <c r="I493" s="140"/>
      <c r="J493" s="140"/>
      <c r="K493" s="140"/>
      <c r="L493" s="140"/>
      <c r="M493" s="140"/>
      <c r="N493" s="140"/>
      <c r="O493" s="140"/>
      <c r="P493" s="140"/>
      <c r="Q493" s="140"/>
      <c r="R493" s="140"/>
    </row>
    <row r="494">
      <c r="A494" s="140"/>
      <c r="B494" s="140"/>
      <c r="C494" s="140"/>
      <c r="D494" s="140"/>
      <c r="E494" s="140"/>
      <c r="F494" s="205"/>
      <c r="G494" s="140"/>
      <c r="H494" s="140"/>
      <c r="I494" s="140"/>
      <c r="J494" s="140"/>
      <c r="K494" s="140"/>
      <c r="L494" s="140"/>
      <c r="M494" s="140"/>
      <c r="N494" s="140"/>
      <c r="O494" s="140"/>
      <c r="P494" s="140"/>
      <c r="Q494" s="140"/>
      <c r="R494" s="140"/>
    </row>
    <row r="495">
      <c r="A495" s="140"/>
      <c r="B495" s="140"/>
      <c r="C495" s="140"/>
      <c r="D495" s="140"/>
      <c r="E495" s="140"/>
      <c r="F495" s="205"/>
      <c r="G495" s="140"/>
      <c r="H495" s="140"/>
      <c r="I495" s="140"/>
      <c r="J495" s="140"/>
      <c r="K495" s="140"/>
      <c r="L495" s="140"/>
      <c r="M495" s="140"/>
      <c r="N495" s="140"/>
      <c r="O495" s="140"/>
      <c r="P495" s="140"/>
      <c r="Q495" s="140"/>
      <c r="R495" s="140"/>
    </row>
    <row r="496">
      <c r="A496" s="140"/>
      <c r="B496" s="140"/>
      <c r="C496" s="140"/>
      <c r="D496" s="140"/>
      <c r="E496" s="140"/>
      <c r="F496" s="205"/>
      <c r="G496" s="140"/>
      <c r="H496" s="140"/>
      <c r="I496" s="140"/>
      <c r="J496" s="140"/>
      <c r="K496" s="140"/>
      <c r="L496" s="140"/>
      <c r="M496" s="140"/>
      <c r="N496" s="140"/>
      <c r="O496" s="140"/>
      <c r="P496" s="140"/>
      <c r="Q496" s="140"/>
      <c r="R496" s="140"/>
    </row>
    <row r="497">
      <c r="A497" s="140"/>
      <c r="B497" s="140"/>
      <c r="C497" s="140"/>
      <c r="D497" s="140"/>
      <c r="E497" s="140"/>
      <c r="F497" s="205"/>
      <c r="G497" s="140"/>
      <c r="H497" s="140"/>
      <c r="I497" s="140"/>
      <c r="J497" s="140"/>
      <c r="K497" s="140"/>
      <c r="L497" s="140"/>
      <c r="M497" s="140"/>
      <c r="N497" s="140"/>
      <c r="O497" s="140"/>
      <c r="P497" s="140"/>
      <c r="Q497" s="140"/>
      <c r="R497" s="140"/>
    </row>
    <row r="498">
      <c r="A498" s="140"/>
      <c r="B498" s="140"/>
      <c r="C498" s="140"/>
      <c r="D498" s="140"/>
      <c r="E498" s="140"/>
      <c r="F498" s="205"/>
      <c r="G498" s="140"/>
      <c r="H498" s="140"/>
      <c r="I498" s="140"/>
      <c r="J498" s="140"/>
      <c r="K498" s="140"/>
      <c r="L498" s="140"/>
      <c r="M498" s="140"/>
      <c r="N498" s="140"/>
      <c r="O498" s="140"/>
      <c r="P498" s="140"/>
      <c r="Q498" s="140"/>
      <c r="R498" s="140"/>
    </row>
    <row r="499">
      <c r="A499" s="140"/>
      <c r="B499" s="140"/>
      <c r="C499" s="140"/>
      <c r="D499" s="140"/>
      <c r="E499" s="140"/>
      <c r="F499" s="205"/>
      <c r="G499" s="140"/>
      <c r="H499" s="140"/>
      <c r="I499" s="140"/>
      <c r="J499" s="140"/>
      <c r="K499" s="140"/>
      <c r="L499" s="140"/>
      <c r="M499" s="140"/>
      <c r="N499" s="140"/>
      <c r="O499" s="140"/>
      <c r="P499" s="140"/>
      <c r="Q499" s="140"/>
      <c r="R499" s="140"/>
    </row>
    <row r="500">
      <c r="A500" s="140"/>
      <c r="B500" s="140"/>
      <c r="C500" s="140"/>
      <c r="D500" s="140"/>
      <c r="E500" s="140"/>
      <c r="F500" s="205"/>
      <c r="G500" s="140"/>
      <c r="H500" s="140"/>
      <c r="I500" s="140"/>
      <c r="J500" s="140"/>
      <c r="K500" s="140"/>
      <c r="L500" s="140"/>
      <c r="M500" s="140"/>
      <c r="N500" s="140"/>
      <c r="O500" s="140"/>
      <c r="P500" s="140"/>
      <c r="Q500" s="140"/>
      <c r="R500" s="140"/>
    </row>
    <row r="501">
      <c r="A501" s="140"/>
      <c r="B501" s="140"/>
      <c r="C501" s="140"/>
      <c r="D501" s="140"/>
      <c r="E501" s="140"/>
      <c r="F501" s="205"/>
      <c r="G501" s="140"/>
      <c r="H501" s="140"/>
      <c r="I501" s="140"/>
      <c r="J501" s="140"/>
      <c r="K501" s="140"/>
      <c r="L501" s="140"/>
      <c r="M501" s="140"/>
      <c r="N501" s="140"/>
      <c r="O501" s="140"/>
      <c r="P501" s="140"/>
      <c r="Q501" s="140"/>
      <c r="R501" s="140"/>
    </row>
    <row r="502">
      <c r="A502" s="140"/>
      <c r="B502" s="140"/>
      <c r="C502" s="140"/>
      <c r="D502" s="140"/>
      <c r="E502" s="140"/>
      <c r="F502" s="205"/>
      <c r="G502" s="140"/>
      <c r="H502" s="140"/>
      <c r="I502" s="140"/>
      <c r="J502" s="140"/>
      <c r="K502" s="140"/>
      <c r="L502" s="140"/>
      <c r="M502" s="140"/>
      <c r="N502" s="140"/>
      <c r="O502" s="140"/>
      <c r="P502" s="140"/>
      <c r="Q502" s="140"/>
      <c r="R502" s="140"/>
    </row>
    <row r="503">
      <c r="A503" s="140"/>
      <c r="B503" s="140"/>
      <c r="C503" s="140"/>
      <c r="D503" s="140"/>
      <c r="E503" s="140"/>
      <c r="F503" s="205"/>
      <c r="G503" s="140"/>
      <c r="H503" s="140"/>
      <c r="I503" s="140"/>
      <c r="J503" s="140"/>
      <c r="K503" s="140"/>
      <c r="L503" s="140"/>
      <c r="M503" s="140"/>
      <c r="N503" s="140"/>
      <c r="O503" s="140"/>
      <c r="P503" s="140"/>
      <c r="Q503" s="140"/>
      <c r="R503" s="140"/>
    </row>
    <row r="504">
      <c r="A504" s="140"/>
      <c r="B504" s="140"/>
      <c r="C504" s="140"/>
      <c r="D504" s="140"/>
      <c r="E504" s="140"/>
      <c r="F504" s="205"/>
      <c r="G504" s="140"/>
      <c r="H504" s="140"/>
      <c r="I504" s="140"/>
      <c r="J504" s="140"/>
      <c r="K504" s="140"/>
      <c r="L504" s="140"/>
      <c r="M504" s="140"/>
      <c r="N504" s="140"/>
      <c r="O504" s="140"/>
      <c r="P504" s="140"/>
      <c r="Q504" s="140"/>
      <c r="R504" s="140"/>
    </row>
    <row r="505">
      <c r="A505" s="140"/>
      <c r="B505" s="140"/>
      <c r="C505" s="140"/>
      <c r="D505" s="140"/>
      <c r="E505" s="140"/>
      <c r="F505" s="205"/>
      <c r="G505" s="140"/>
      <c r="H505" s="140"/>
      <c r="I505" s="140"/>
      <c r="J505" s="140"/>
      <c r="K505" s="140"/>
      <c r="L505" s="140"/>
      <c r="M505" s="140"/>
      <c r="N505" s="140"/>
      <c r="O505" s="140"/>
      <c r="P505" s="140"/>
      <c r="Q505" s="140"/>
      <c r="R505" s="140"/>
    </row>
    <row r="506">
      <c r="A506" s="140"/>
      <c r="B506" s="140"/>
      <c r="C506" s="140"/>
      <c r="D506" s="140"/>
      <c r="E506" s="140"/>
      <c r="F506" s="205"/>
      <c r="G506" s="140"/>
      <c r="H506" s="140"/>
      <c r="I506" s="140"/>
      <c r="J506" s="140"/>
      <c r="K506" s="140"/>
      <c r="L506" s="140"/>
      <c r="M506" s="140"/>
      <c r="N506" s="140"/>
      <c r="O506" s="140"/>
      <c r="P506" s="140"/>
      <c r="Q506" s="140"/>
      <c r="R506" s="140"/>
    </row>
    <row r="507">
      <c r="A507" s="140"/>
      <c r="B507" s="140"/>
      <c r="C507" s="140"/>
      <c r="D507" s="140"/>
      <c r="E507" s="140"/>
      <c r="F507" s="205"/>
      <c r="G507" s="140"/>
      <c r="H507" s="140"/>
      <c r="I507" s="140"/>
      <c r="J507" s="140"/>
      <c r="K507" s="140"/>
      <c r="L507" s="140"/>
      <c r="M507" s="140"/>
      <c r="N507" s="140"/>
      <c r="O507" s="140"/>
      <c r="P507" s="140"/>
      <c r="Q507" s="140"/>
      <c r="R507" s="140"/>
    </row>
    <row r="508">
      <c r="A508" s="140"/>
      <c r="B508" s="140"/>
      <c r="C508" s="140"/>
      <c r="D508" s="140"/>
      <c r="E508" s="140"/>
      <c r="F508" s="205"/>
      <c r="G508" s="140"/>
      <c r="H508" s="140"/>
      <c r="I508" s="140"/>
      <c r="J508" s="140"/>
      <c r="K508" s="140"/>
      <c r="L508" s="140"/>
      <c r="M508" s="140"/>
      <c r="N508" s="140"/>
      <c r="O508" s="140"/>
      <c r="P508" s="140"/>
      <c r="Q508" s="140"/>
      <c r="R508" s="140"/>
    </row>
    <row r="509">
      <c r="A509" s="140"/>
      <c r="B509" s="140"/>
      <c r="C509" s="140"/>
      <c r="D509" s="140"/>
      <c r="E509" s="140"/>
      <c r="F509" s="205"/>
      <c r="G509" s="140"/>
      <c r="H509" s="140"/>
      <c r="I509" s="140"/>
      <c r="J509" s="140"/>
      <c r="K509" s="140"/>
      <c r="L509" s="140"/>
      <c r="M509" s="140"/>
      <c r="N509" s="140"/>
      <c r="O509" s="140"/>
      <c r="P509" s="140"/>
      <c r="Q509" s="140"/>
      <c r="R509" s="140"/>
    </row>
    <row r="510">
      <c r="A510" s="140"/>
      <c r="B510" s="140"/>
      <c r="C510" s="140"/>
      <c r="D510" s="140"/>
      <c r="E510" s="140"/>
      <c r="F510" s="205"/>
      <c r="G510" s="140"/>
      <c r="H510" s="140"/>
      <c r="I510" s="140"/>
      <c r="J510" s="140"/>
      <c r="K510" s="140"/>
      <c r="L510" s="140"/>
      <c r="M510" s="140"/>
      <c r="N510" s="140"/>
      <c r="O510" s="140"/>
      <c r="P510" s="140"/>
      <c r="Q510" s="140"/>
      <c r="R510" s="140"/>
    </row>
    <row r="511">
      <c r="A511" s="140"/>
      <c r="B511" s="140"/>
      <c r="C511" s="140"/>
      <c r="D511" s="140"/>
      <c r="E511" s="140"/>
      <c r="F511" s="205"/>
      <c r="G511" s="140"/>
      <c r="H511" s="140"/>
      <c r="I511" s="140"/>
      <c r="J511" s="140"/>
      <c r="K511" s="140"/>
      <c r="L511" s="140"/>
      <c r="M511" s="140"/>
      <c r="N511" s="140"/>
      <c r="O511" s="140"/>
      <c r="P511" s="140"/>
      <c r="Q511" s="140"/>
      <c r="R511" s="140"/>
    </row>
    <row r="512">
      <c r="A512" s="140"/>
      <c r="B512" s="140"/>
      <c r="C512" s="140"/>
      <c r="D512" s="140"/>
      <c r="E512" s="140"/>
      <c r="F512" s="205"/>
      <c r="G512" s="140"/>
      <c r="H512" s="140"/>
      <c r="I512" s="140"/>
      <c r="J512" s="140"/>
      <c r="K512" s="140"/>
      <c r="L512" s="140"/>
      <c r="M512" s="140"/>
      <c r="N512" s="140"/>
      <c r="O512" s="140"/>
      <c r="P512" s="140"/>
      <c r="Q512" s="140"/>
      <c r="R512" s="140"/>
    </row>
    <row r="513">
      <c r="A513" s="140"/>
      <c r="B513" s="140"/>
      <c r="C513" s="140"/>
      <c r="D513" s="140"/>
      <c r="E513" s="140"/>
      <c r="F513" s="205"/>
      <c r="G513" s="140"/>
      <c r="H513" s="140"/>
      <c r="I513" s="140"/>
      <c r="J513" s="140"/>
      <c r="K513" s="140"/>
      <c r="L513" s="140"/>
      <c r="M513" s="140"/>
      <c r="N513" s="140"/>
      <c r="O513" s="140"/>
      <c r="P513" s="140"/>
      <c r="Q513" s="140"/>
      <c r="R513" s="140"/>
    </row>
    <row r="514">
      <c r="A514" s="140"/>
      <c r="B514" s="140"/>
      <c r="C514" s="140"/>
      <c r="D514" s="140"/>
      <c r="E514" s="140"/>
      <c r="F514" s="205"/>
      <c r="G514" s="140"/>
      <c r="H514" s="140"/>
      <c r="I514" s="140"/>
      <c r="J514" s="140"/>
      <c r="K514" s="140"/>
      <c r="L514" s="140"/>
      <c r="M514" s="140"/>
      <c r="N514" s="140"/>
      <c r="O514" s="140"/>
      <c r="P514" s="140"/>
      <c r="Q514" s="140"/>
      <c r="R514" s="140"/>
    </row>
    <row r="515">
      <c r="A515" s="140"/>
      <c r="B515" s="140"/>
      <c r="C515" s="140"/>
      <c r="D515" s="140"/>
      <c r="E515" s="140"/>
      <c r="F515" s="205"/>
      <c r="G515" s="140"/>
      <c r="H515" s="140"/>
      <c r="I515" s="140"/>
      <c r="J515" s="140"/>
      <c r="K515" s="140"/>
      <c r="L515" s="140"/>
      <c r="M515" s="140"/>
      <c r="N515" s="140"/>
      <c r="O515" s="140"/>
      <c r="P515" s="140"/>
      <c r="Q515" s="140"/>
      <c r="R515" s="140"/>
    </row>
    <row r="516">
      <c r="A516" s="140"/>
      <c r="B516" s="140"/>
      <c r="C516" s="140"/>
      <c r="D516" s="140"/>
      <c r="E516" s="140"/>
      <c r="F516" s="205"/>
      <c r="G516" s="140"/>
      <c r="H516" s="140"/>
      <c r="I516" s="140"/>
      <c r="J516" s="140"/>
      <c r="K516" s="140"/>
      <c r="L516" s="140"/>
      <c r="M516" s="140"/>
      <c r="N516" s="140"/>
      <c r="O516" s="140"/>
      <c r="P516" s="140"/>
      <c r="Q516" s="140"/>
      <c r="R516" s="140"/>
    </row>
    <row r="517">
      <c r="A517" s="140"/>
      <c r="B517" s="140"/>
      <c r="C517" s="140"/>
      <c r="D517" s="140"/>
      <c r="E517" s="140"/>
      <c r="F517" s="205"/>
      <c r="G517" s="140"/>
      <c r="H517" s="140"/>
      <c r="I517" s="140"/>
      <c r="J517" s="140"/>
      <c r="K517" s="140"/>
      <c r="L517" s="140"/>
      <c r="M517" s="140"/>
      <c r="N517" s="140"/>
      <c r="O517" s="140"/>
      <c r="P517" s="140"/>
      <c r="Q517" s="140"/>
      <c r="R517" s="140"/>
    </row>
    <row r="518">
      <c r="A518" s="140"/>
      <c r="B518" s="140"/>
      <c r="C518" s="140"/>
      <c r="D518" s="140"/>
      <c r="E518" s="140"/>
      <c r="F518" s="205"/>
      <c r="G518" s="140"/>
      <c r="H518" s="140"/>
      <c r="I518" s="140"/>
      <c r="J518" s="140"/>
      <c r="K518" s="140"/>
      <c r="L518" s="140"/>
      <c r="M518" s="140"/>
      <c r="N518" s="140"/>
      <c r="O518" s="140"/>
      <c r="P518" s="140"/>
      <c r="Q518" s="140"/>
      <c r="R518" s="140"/>
    </row>
    <row r="519">
      <c r="A519" s="140"/>
      <c r="B519" s="140"/>
      <c r="C519" s="140"/>
      <c r="D519" s="140"/>
      <c r="E519" s="140"/>
      <c r="F519" s="205"/>
      <c r="G519" s="140"/>
      <c r="H519" s="140"/>
      <c r="I519" s="140"/>
      <c r="J519" s="140"/>
      <c r="K519" s="140"/>
      <c r="L519" s="140"/>
      <c r="M519" s="140"/>
      <c r="N519" s="140"/>
      <c r="O519" s="140"/>
      <c r="P519" s="140"/>
      <c r="Q519" s="140"/>
      <c r="R519" s="140"/>
    </row>
    <row r="520">
      <c r="A520" s="140"/>
      <c r="B520" s="140"/>
      <c r="C520" s="140"/>
      <c r="D520" s="140"/>
      <c r="E520" s="140"/>
      <c r="F520" s="205"/>
      <c r="G520" s="140"/>
      <c r="H520" s="140"/>
      <c r="I520" s="140"/>
      <c r="J520" s="140"/>
      <c r="K520" s="140"/>
      <c r="L520" s="140"/>
      <c r="M520" s="140"/>
      <c r="N520" s="140"/>
      <c r="O520" s="140"/>
      <c r="P520" s="140"/>
      <c r="Q520" s="140"/>
      <c r="R520" s="140"/>
    </row>
    <row r="521">
      <c r="A521" s="140"/>
      <c r="B521" s="140"/>
      <c r="C521" s="140"/>
      <c r="D521" s="140"/>
      <c r="E521" s="140"/>
      <c r="F521" s="205"/>
      <c r="G521" s="140"/>
      <c r="H521" s="140"/>
      <c r="I521" s="140"/>
      <c r="J521" s="140"/>
      <c r="K521" s="140"/>
      <c r="L521" s="140"/>
      <c r="M521" s="140"/>
      <c r="N521" s="140"/>
      <c r="O521" s="140"/>
      <c r="P521" s="140"/>
      <c r="Q521" s="140"/>
      <c r="R521" s="140"/>
    </row>
    <row r="522">
      <c r="A522" s="140"/>
      <c r="B522" s="140"/>
      <c r="C522" s="140"/>
      <c r="D522" s="140"/>
      <c r="E522" s="140"/>
      <c r="F522" s="205"/>
      <c r="G522" s="140"/>
      <c r="H522" s="140"/>
      <c r="I522" s="140"/>
      <c r="J522" s="140"/>
      <c r="K522" s="140"/>
      <c r="L522" s="140"/>
      <c r="M522" s="140"/>
      <c r="N522" s="140"/>
      <c r="O522" s="140"/>
      <c r="P522" s="140"/>
      <c r="Q522" s="140"/>
      <c r="R522" s="140"/>
    </row>
    <row r="523">
      <c r="A523" s="140"/>
      <c r="B523" s="140"/>
      <c r="C523" s="140"/>
      <c r="D523" s="140"/>
      <c r="E523" s="140"/>
      <c r="F523" s="205"/>
      <c r="G523" s="140"/>
      <c r="H523" s="140"/>
      <c r="I523" s="140"/>
      <c r="J523" s="140"/>
      <c r="K523" s="140"/>
      <c r="L523" s="140"/>
      <c r="M523" s="140"/>
      <c r="N523" s="140"/>
      <c r="O523" s="140"/>
      <c r="P523" s="140"/>
      <c r="Q523" s="140"/>
      <c r="R523" s="140"/>
    </row>
    <row r="524">
      <c r="A524" s="140"/>
      <c r="B524" s="140"/>
      <c r="C524" s="140"/>
      <c r="D524" s="140"/>
      <c r="E524" s="140"/>
      <c r="F524" s="205"/>
      <c r="G524" s="140"/>
      <c r="H524" s="140"/>
      <c r="I524" s="140"/>
      <c r="J524" s="140"/>
      <c r="K524" s="140"/>
      <c r="L524" s="140"/>
      <c r="M524" s="140"/>
      <c r="N524" s="140"/>
      <c r="O524" s="140"/>
      <c r="P524" s="140"/>
      <c r="Q524" s="140"/>
      <c r="R524" s="140"/>
    </row>
    <row r="525">
      <c r="A525" s="140"/>
      <c r="B525" s="140"/>
      <c r="C525" s="140"/>
      <c r="D525" s="140"/>
      <c r="E525" s="140"/>
      <c r="F525" s="205"/>
      <c r="G525" s="140"/>
      <c r="H525" s="140"/>
      <c r="I525" s="140"/>
      <c r="J525" s="140"/>
      <c r="K525" s="140"/>
      <c r="L525" s="140"/>
      <c r="M525" s="140"/>
      <c r="N525" s="140"/>
      <c r="O525" s="140"/>
      <c r="P525" s="140"/>
      <c r="Q525" s="140"/>
      <c r="R525" s="140"/>
    </row>
    <row r="526">
      <c r="A526" s="140"/>
      <c r="B526" s="140"/>
      <c r="C526" s="140"/>
      <c r="D526" s="140"/>
      <c r="E526" s="140"/>
      <c r="F526" s="205"/>
      <c r="G526" s="140"/>
      <c r="H526" s="140"/>
      <c r="I526" s="140"/>
      <c r="J526" s="140"/>
      <c r="K526" s="140"/>
      <c r="L526" s="140"/>
      <c r="M526" s="140"/>
      <c r="N526" s="140"/>
      <c r="O526" s="140"/>
      <c r="P526" s="140"/>
      <c r="Q526" s="140"/>
      <c r="R526" s="140"/>
    </row>
    <row r="527">
      <c r="A527" s="140"/>
      <c r="B527" s="140"/>
      <c r="C527" s="140"/>
      <c r="D527" s="140"/>
      <c r="E527" s="140"/>
      <c r="F527" s="205"/>
      <c r="G527" s="140"/>
      <c r="H527" s="140"/>
      <c r="I527" s="140"/>
      <c r="J527" s="140"/>
      <c r="K527" s="140"/>
      <c r="L527" s="140"/>
      <c r="M527" s="140"/>
      <c r="N527" s="140"/>
      <c r="O527" s="140"/>
      <c r="P527" s="140"/>
      <c r="Q527" s="140"/>
      <c r="R527" s="140"/>
    </row>
    <row r="528">
      <c r="A528" s="140"/>
      <c r="B528" s="140"/>
      <c r="C528" s="140"/>
      <c r="D528" s="140"/>
      <c r="E528" s="140"/>
      <c r="F528" s="205"/>
      <c r="G528" s="140"/>
      <c r="H528" s="140"/>
      <c r="I528" s="140"/>
      <c r="J528" s="140"/>
      <c r="K528" s="140"/>
      <c r="L528" s="140"/>
      <c r="M528" s="140"/>
      <c r="N528" s="140"/>
      <c r="O528" s="140"/>
      <c r="P528" s="140"/>
      <c r="Q528" s="140"/>
      <c r="R528" s="140"/>
    </row>
    <row r="529">
      <c r="A529" s="140"/>
      <c r="B529" s="140"/>
      <c r="C529" s="140"/>
      <c r="D529" s="140"/>
      <c r="E529" s="140"/>
      <c r="F529" s="205"/>
      <c r="G529" s="140"/>
      <c r="H529" s="140"/>
      <c r="I529" s="140"/>
      <c r="J529" s="140"/>
      <c r="K529" s="140"/>
      <c r="L529" s="140"/>
      <c r="M529" s="140"/>
      <c r="N529" s="140"/>
      <c r="O529" s="140"/>
      <c r="P529" s="140"/>
      <c r="Q529" s="140"/>
      <c r="R529" s="140"/>
    </row>
    <row r="530">
      <c r="A530" s="140"/>
      <c r="B530" s="140"/>
      <c r="C530" s="140"/>
      <c r="D530" s="140"/>
      <c r="E530" s="140"/>
      <c r="F530" s="205"/>
      <c r="G530" s="140"/>
      <c r="H530" s="140"/>
      <c r="I530" s="140"/>
      <c r="J530" s="140"/>
      <c r="K530" s="140"/>
      <c r="L530" s="140"/>
      <c r="M530" s="140"/>
      <c r="N530" s="140"/>
      <c r="O530" s="140"/>
      <c r="P530" s="140"/>
      <c r="Q530" s="140"/>
      <c r="R530" s="140"/>
    </row>
    <row r="531">
      <c r="A531" s="140"/>
      <c r="B531" s="140"/>
      <c r="C531" s="140"/>
      <c r="D531" s="140"/>
      <c r="E531" s="140"/>
      <c r="F531" s="205"/>
      <c r="G531" s="140"/>
      <c r="H531" s="140"/>
      <c r="I531" s="140"/>
      <c r="J531" s="140"/>
      <c r="K531" s="140"/>
      <c r="L531" s="140"/>
      <c r="M531" s="140"/>
      <c r="N531" s="140"/>
      <c r="O531" s="140"/>
      <c r="P531" s="140"/>
      <c r="Q531" s="140"/>
      <c r="R531" s="140"/>
    </row>
    <row r="532">
      <c r="A532" s="140"/>
      <c r="B532" s="140"/>
      <c r="C532" s="140"/>
      <c r="D532" s="140"/>
      <c r="E532" s="140"/>
      <c r="F532" s="205"/>
      <c r="G532" s="140"/>
      <c r="H532" s="140"/>
      <c r="I532" s="140"/>
      <c r="J532" s="140"/>
      <c r="K532" s="140"/>
      <c r="L532" s="140"/>
      <c r="M532" s="140"/>
      <c r="N532" s="140"/>
      <c r="O532" s="140"/>
      <c r="P532" s="140"/>
      <c r="Q532" s="140"/>
      <c r="R532" s="140"/>
    </row>
    <row r="533">
      <c r="A533" s="140"/>
      <c r="B533" s="140"/>
      <c r="C533" s="140"/>
      <c r="D533" s="140"/>
      <c r="E533" s="140"/>
      <c r="F533" s="205"/>
      <c r="G533" s="140"/>
      <c r="H533" s="140"/>
      <c r="I533" s="140"/>
      <c r="J533" s="140"/>
      <c r="K533" s="140"/>
      <c r="L533" s="140"/>
      <c r="M533" s="140"/>
      <c r="N533" s="140"/>
      <c r="O533" s="140"/>
      <c r="P533" s="140"/>
      <c r="Q533" s="140"/>
      <c r="R533" s="140"/>
    </row>
    <row r="534">
      <c r="A534" s="140"/>
      <c r="B534" s="140"/>
      <c r="C534" s="140"/>
      <c r="D534" s="140"/>
      <c r="E534" s="140"/>
      <c r="F534" s="205"/>
      <c r="G534" s="140"/>
      <c r="H534" s="140"/>
      <c r="I534" s="140"/>
      <c r="J534" s="140"/>
      <c r="K534" s="140"/>
      <c r="L534" s="140"/>
      <c r="M534" s="140"/>
      <c r="N534" s="140"/>
      <c r="O534" s="140"/>
      <c r="P534" s="140"/>
      <c r="Q534" s="140"/>
      <c r="R534" s="140"/>
    </row>
    <row r="535">
      <c r="A535" s="140"/>
      <c r="B535" s="140"/>
      <c r="C535" s="140"/>
      <c r="D535" s="140"/>
      <c r="E535" s="140"/>
      <c r="F535" s="205"/>
      <c r="G535" s="140"/>
      <c r="H535" s="140"/>
      <c r="I535" s="140"/>
      <c r="J535" s="140"/>
      <c r="K535" s="140"/>
      <c r="L535" s="140"/>
      <c r="M535" s="140"/>
      <c r="N535" s="140"/>
      <c r="O535" s="140"/>
      <c r="P535" s="140"/>
      <c r="Q535" s="140"/>
      <c r="R535" s="140"/>
    </row>
    <row r="536">
      <c r="A536" s="140"/>
      <c r="B536" s="140"/>
      <c r="C536" s="140"/>
      <c r="D536" s="140"/>
      <c r="E536" s="140"/>
      <c r="F536" s="205"/>
      <c r="G536" s="140"/>
      <c r="H536" s="140"/>
      <c r="I536" s="140"/>
      <c r="J536" s="140"/>
      <c r="K536" s="140"/>
      <c r="L536" s="140"/>
      <c r="M536" s="140"/>
      <c r="N536" s="140"/>
      <c r="O536" s="140"/>
      <c r="P536" s="140"/>
      <c r="Q536" s="140"/>
      <c r="R536" s="140"/>
    </row>
    <row r="537">
      <c r="A537" s="140"/>
      <c r="B537" s="140"/>
      <c r="C537" s="140"/>
      <c r="D537" s="140"/>
      <c r="E537" s="140"/>
      <c r="F537" s="205"/>
      <c r="G537" s="140"/>
      <c r="H537" s="140"/>
      <c r="I537" s="140"/>
      <c r="J537" s="140"/>
      <c r="K537" s="140"/>
      <c r="L537" s="140"/>
      <c r="M537" s="140"/>
      <c r="N537" s="140"/>
      <c r="O537" s="140"/>
      <c r="P537" s="140"/>
      <c r="Q537" s="140"/>
      <c r="R537" s="140"/>
    </row>
    <row r="538">
      <c r="A538" s="140"/>
      <c r="B538" s="140"/>
      <c r="C538" s="140"/>
      <c r="D538" s="140"/>
      <c r="E538" s="140"/>
      <c r="F538" s="205"/>
      <c r="G538" s="140"/>
      <c r="H538" s="140"/>
      <c r="I538" s="140"/>
      <c r="J538" s="140"/>
      <c r="K538" s="140"/>
      <c r="L538" s="140"/>
      <c r="M538" s="140"/>
      <c r="N538" s="140"/>
      <c r="O538" s="140"/>
      <c r="P538" s="140"/>
      <c r="Q538" s="140"/>
      <c r="R538" s="140"/>
    </row>
    <row r="539">
      <c r="A539" s="140"/>
      <c r="B539" s="140"/>
      <c r="C539" s="140"/>
      <c r="D539" s="140"/>
      <c r="E539" s="140"/>
      <c r="F539" s="205"/>
      <c r="G539" s="140"/>
      <c r="H539" s="140"/>
      <c r="I539" s="140"/>
      <c r="J539" s="140"/>
      <c r="K539" s="140"/>
      <c r="L539" s="140"/>
      <c r="M539" s="140"/>
      <c r="N539" s="140"/>
      <c r="O539" s="140"/>
      <c r="P539" s="140"/>
      <c r="Q539" s="140"/>
      <c r="R539" s="140"/>
    </row>
    <row r="540">
      <c r="A540" s="140"/>
      <c r="B540" s="140"/>
      <c r="C540" s="140"/>
      <c r="D540" s="140"/>
      <c r="E540" s="140"/>
      <c r="F540" s="205"/>
      <c r="G540" s="140"/>
      <c r="H540" s="140"/>
      <c r="I540" s="140"/>
      <c r="J540" s="140"/>
      <c r="K540" s="140"/>
      <c r="L540" s="140"/>
      <c r="M540" s="140"/>
      <c r="N540" s="140"/>
      <c r="O540" s="140"/>
      <c r="P540" s="140"/>
      <c r="Q540" s="140"/>
      <c r="R540" s="140"/>
    </row>
    <row r="541">
      <c r="A541" s="140"/>
      <c r="B541" s="140"/>
      <c r="C541" s="140"/>
      <c r="D541" s="140"/>
      <c r="E541" s="140"/>
      <c r="F541" s="205"/>
      <c r="G541" s="140"/>
      <c r="H541" s="140"/>
      <c r="I541" s="140"/>
      <c r="J541" s="140"/>
      <c r="K541" s="140"/>
      <c r="L541" s="140"/>
      <c r="M541" s="140"/>
      <c r="N541" s="140"/>
      <c r="O541" s="140"/>
      <c r="P541" s="140"/>
      <c r="Q541" s="140"/>
      <c r="R541" s="140"/>
    </row>
    <row r="542">
      <c r="A542" s="140"/>
      <c r="B542" s="140"/>
      <c r="C542" s="140"/>
      <c r="D542" s="140"/>
      <c r="E542" s="140"/>
      <c r="F542" s="205"/>
      <c r="G542" s="140"/>
      <c r="H542" s="140"/>
      <c r="I542" s="140"/>
      <c r="J542" s="140"/>
      <c r="K542" s="140"/>
      <c r="L542" s="140"/>
      <c r="M542" s="140"/>
      <c r="N542" s="140"/>
      <c r="O542" s="140"/>
      <c r="P542" s="140"/>
      <c r="Q542" s="140"/>
      <c r="R542" s="140"/>
    </row>
    <row r="543">
      <c r="A543" s="140"/>
      <c r="B543" s="140"/>
      <c r="C543" s="140"/>
      <c r="D543" s="140"/>
      <c r="E543" s="140"/>
      <c r="F543" s="205"/>
      <c r="G543" s="140"/>
      <c r="H543" s="140"/>
      <c r="I543" s="140"/>
      <c r="J543" s="140"/>
      <c r="K543" s="140"/>
      <c r="L543" s="140"/>
      <c r="M543" s="140"/>
      <c r="N543" s="140"/>
      <c r="O543" s="140"/>
      <c r="P543" s="140"/>
      <c r="Q543" s="140"/>
      <c r="R543" s="140"/>
    </row>
    <row r="544">
      <c r="A544" s="140"/>
      <c r="B544" s="140"/>
      <c r="C544" s="140"/>
      <c r="D544" s="140"/>
      <c r="E544" s="140"/>
      <c r="F544" s="205"/>
      <c r="G544" s="140"/>
      <c r="H544" s="140"/>
      <c r="I544" s="140"/>
      <c r="J544" s="140"/>
      <c r="K544" s="140"/>
      <c r="L544" s="140"/>
      <c r="M544" s="140"/>
      <c r="N544" s="140"/>
      <c r="O544" s="140"/>
      <c r="P544" s="140"/>
      <c r="Q544" s="140"/>
      <c r="R544" s="140"/>
    </row>
    <row r="545">
      <c r="A545" s="140"/>
      <c r="B545" s="140"/>
      <c r="C545" s="140"/>
      <c r="D545" s="140"/>
      <c r="E545" s="140"/>
      <c r="F545" s="205"/>
      <c r="G545" s="140"/>
      <c r="H545" s="140"/>
      <c r="I545" s="140"/>
      <c r="J545" s="140"/>
      <c r="K545" s="140"/>
      <c r="L545" s="140"/>
      <c r="M545" s="140"/>
      <c r="N545" s="140"/>
      <c r="O545" s="140"/>
      <c r="P545" s="140"/>
      <c r="Q545" s="140"/>
      <c r="R545" s="140"/>
    </row>
    <row r="546">
      <c r="A546" s="140"/>
      <c r="B546" s="140"/>
      <c r="C546" s="140"/>
      <c r="D546" s="140"/>
      <c r="E546" s="140"/>
      <c r="F546" s="205"/>
      <c r="G546" s="140"/>
      <c r="H546" s="140"/>
      <c r="I546" s="140"/>
      <c r="J546" s="140"/>
      <c r="K546" s="140"/>
      <c r="L546" s="140"/>
      <c r="M546" s="140"/>
      <c r="N546" s="140"/>
      <c r="O546" s="140"/>
      <c r="P546" s="140"/>
      <c r="Q546" s="140"/>
      <c r="R546" s="140"/>
    </row>
    <row r="547">
      <c r="A547" s="140"/>
      <c r="B547" s="140"/>
      <c r="C547" s="140"/>
      <c r="D547" s="140"/>
      <c r="E547" s="140"/>
      <c r="F547" s="205"/>
      <c r="G547" s="140"/>
      <c r="H547" s="140"/>
      <c r="I547" s="140"/>
      <c r="J547" s="140"/>
      <c r="K547" s="140"/>
      <c r="L547" s="140"/>
      <c r="M547" s="140"/>
      <c r="N547" s="140"/>
      <c r="O547" s="140"/>
      <c r="P547" s="140"/>
      <c r="Q547" s="140"/>
      <c r="R547" s="140"/>
    </row>
    <row r="548">
      <c r="A548" s="140"/>
      <c r="B548" s="140"/>
      <c r="C548" s="140"/>
      <c r="D548" s="140"/>
      <c r="E548" s="140"/>
      <c r="F548" s="205"/>
      <c r="G548" s="140"/>
      <c r="H548" s="140"/>
      <c r="I548" s="140"/>
      <c r="J548" s="140"/>
      <c r="K548" s="140"/>
      <c r="L548" s="140"/>
      <c r="M548" s="140"/>
      <c r="N548" s="140"/>
      <c r="O548" s="140"/>
      <c r="P548" s="140"/>
      <c r="Q548" s="140"/>
      <c r="R548" s="140"/>
    </row>
    <row r="549">
      <c r="A549" s="140"/>
      <c r="B549" s="140"/>
      <c r="C549" s="140"/>
      <c r="D549" s="140"/>
      <c r="E549" s="140"/>
      <c r="F549" s="205"/>
      <c r="G549" s="140"/>
      <c r="H549" s="140"/>
      <c r="I549" s="140"/>
      <c r="J549" s="140"/>
      <c r="K549" s="140"/>
      <c r="L549" s="140"/>
      <c r="M549" s="140"/>
      <c r="N549" s="140"/>
      <c r="O549" s="140"/>
      <c r="P549" s="140"/>
      <c r="Q549" s="140"/>
      <c r="R549" s="140"/>
    </row>
    <row r="550">
      <c r="A550" s="140"/>
      <c r="B550" s="140"/>
      <c r="C550" s="140"/>
      <c r="D550" s="140"/>
      <c r="E550" s="140"/>
      <c r="F550" s="205"/>
      <c r="G550" s="140"/>
      <c r="H550" s="140"/>
      <c r="I550" s="140"/>
      <c r="J550" s="140"/>
      <c r="K550" s="140"/>
      <c r="L550" s="140"/>
      <c r="M550" s="140"/>
      <c r="N550" s="140"/>
      <c r="O550" s="140"/>
      <c r="P550" s="140"/>
      <c r="Q550" s="140"/>
      <c r="R550" s="140"/>
    </row>
    <row r="551">
      <c r="A551" s="140"/>
      <c r="B551" s="140"/>
      <c r="C551" s="140"/>
      <c r="D551" s="140"/>
      <c r="E551" s="140"/>
      <c r="F551" s="205"/>
      <c r="G551" s="140"/>
      <c r="H551" s="140"/>
      <c r="I551" s="140"/>
      <c r="J551" s="140"/>
      <c r="K551" s="140"/>
      <c r="L551" s="140"/>
      <c r="M551" s="140"/>
      <c r="N551" s="140"/>
      <c r="O551" s="140"/>
      <c r="P551" s="140"/>
      <c r="Q551" s="140"/>
      <c r="R551" s="140"/>
    </row>
    <row r="552">
      <c r="A552" s="140"/>
      <c r="B552" s="140"/>
      <c r="C552" s="140"/>
      <c r="D552" s="140"/>
      <c r="E552" s="140"/>
      <c r="F552" s="205"/>
      <c r="G552" s="140"/>
      <c r="H552" s="140"/>
      <c r="I552" s="140"/>
      <c r="J552" s="140"/>
      <c r="K552" s="140"/>
      <c r="L552" s="140"/>
      <c r="M552" s="140"/>
      <c r="N552" s="140"/>
      <c r="O552" s="140"/>
      <c r="P552" s="140"/>
      <c r="Q552" s="140"/>
      <c r="R552" s="140"/>
    </row>
    <row r="553">
      <c r="A553" s="140"/>
      <c r="B553" s="140"/>
      <c r="C553" s="140"/>
      <c r="D553" s="140"/>
      <c r="E553" s="140"/>
      <c r="F553" s="205"/>
      <c r="G553" s="140"/>
      <c r="H553" s="140"/>
      <c r="I553" s="140"/>
      <c r="J553" s="140"/>
      <c r="K553" s="140"/>
      <c r="L553" s="140"/>
      <c r="M553" s="140"/>
      <c r="N553" s="140"/>
      <c r="O553" s="140"/>
      <c r="P553" s="140"/>
      <c r="Q553" s="140"/>
      <c r="R553" s="140"/>
    </row>
    <row r="554">
      <c r="A554" s="140"/>
      <c r="B554" s="140"/>
      <c r="C554" s="140"/>
      <c r="D554" s="140"/>
      <c r="E554" s="140"/>
      <c r="F554" s="205"/>
      <c r="G554" s="140"/>
      <c r="H554" s="140"/>
      <c r="I554" s="140"/>
      <c r="J554" s="140"/>
      <c r="K554" s="140"/>
      <c r="L554" s="140"/>
      <c r="M554" s="140"/>
      <c r="N554" s="140"/>
      <c r="O554" s="140"/>
      <c r="P554" s="140"/>
      <c r="Q554" s="140"/>
      <c r="R554" s="140"/>
    </row>
    <row r="555">
      <c r="A555" s="140"/>
      <c r="B555" s="140"/>
      <c r="C555" s="140"/>
      <c r="D555" s="140"/>
      <c r="E555" s="140"/>
      <c r="F555" s="205"/>
      <c r="G555" s="140"/>
      <c r="H555" s="140"/>
      <c r="I555" s="140"/>
      <c r="J555" s="140"/>
      <c r="K555" s="140"/>
      <c r="L555" s="140"/>
      <c r="M555" s="140"/>
      <c r="N555" s="140"/>
      <c r="O555" s="140"/>
      <c r="P555" s="140"/>
      <c r="Q555" s="140"/>
      <c r="R555" s="140"/>
    </row>
    <row r="556">
      <c r="A556" s="140"/>
      <c r="B556" s="140"/>
      <c r="C556" s="140"/>
      <c r="D556" s="140"/>
      <c r="E556" s="140"/>
      <c r="F556" s="205"/>
      <c r="G556" s="140"/>
      <c r="H556" s="140"/>
      <c r="I556" s="140"/>
      <c r="J556" s="140"/>
      <c r="K556" s="140"/>
      <c r="L556" s="140"/>
      <c r="M556" s="140"/>
      <c r="N556" s="140"/>
      <c r="O556" s="140"/>
      <c r="P556" s="140"/>
      <c r="Q556" s="140"/>
      <c r="R556" s="140"/>
    </row>
    <row r="557">
      <c r="A557" s="140"/>
      <c r="B557" s="140"/>
      <c r="C557" s="140"/>
      <c r="D557" s="140"/>
      <c r="E557" s="140"/>
      <c r="F557" s="205"/>
      <c r="G557" s="140"/>
      <c r="H557" s="140"/>
      <c r="I557" s="140"/>
      <c r="J557" s="140"/>
      <c r="K557" s="140"/>
      <c r="L557" s="140"/>
      <c r="M557" s="140"/>
      <c r="N557" s="140"/>
      <c r="O557" s="140"/>
      <c r="P557" s="140"/>
      <c r="Q557" s="140"/>
      <c r="R557" s="140"/>
    </row>
    <row r="558">
      <c r="A558" s="140"/>
      <c r="B558" s="140"/>
      <c r="C558" s="140"/>
      <c r="D558" s="140"/>
      <c r="E558" s="140"/>
      <c r="F558" s="205"/>
      <c r="G558" s="140"/>
      <c r="H558" s="140"/>
      <c r="I558" s="140"/>
      <c r="J558" s="140"/>
      <c r="K558" s="140"/>
      <c r="L558" s="140"/>
      <c r="M558" s="140"/>
      <c r="N558" s="140"/>
      <c r="O558" s="140"/>
      <c r="P558" s="140"/>
      <c r="Q558" s="140"/>
      <c r="R558" s="140"/>
    </row>
    <row r="559">
      <c r="A559" s="140"/>
      <c r="B559" s="140"/>
      <c r="C559" s="140"/>
      <c r="D559" s="140"/>
      <c r="E559" s="140"/>
      <c r="F559" s="205"/>
      <c r="G559" s="140"/>
      <c r="H559" s="140"/>
      <c r="I559" s="140"/>
      <c r="J559" s="140"/>
      <c r="K559" s="140"/>
      <c r="L559" s="140"/>
      <c r="M559" s="140"/>
      <c r="N559" s="140"/>
      <c r="O559" s="140"/>
      <c r="P559" s="140"/>
      <c r="Q559" s="140"/>
      <c r="R559" s="140"/>
    </row>
    <row r="560">
      <c r="A560" s="140"/>
      <c r="B560" s="140"/>
      <c r="C560" s="140"/>
      <c r="D560" s="140"/>
      <c r="E560" s="140"/>
      <c r="F560" s="205"/>
      <c r="G560" s="140"/>
      <c r="H560" s="140"/>
      <c r="I560" s="140"/>
      <c r="J560" s="140"/>
      <c r="K560" s="140"/>
      <c r="L560" s="140"/>
      <c r="M560" s="140"/>
      <c r="N560" s="140"/>
      <c r="O560" s="140"/>
      <c r="P560" s="140"/>
      <c r="Q560" s="140"/>
      <c r="R560" s="140"/>
    </row>
    <row r="561">
      <c r="A561" s="140"/>
      <c r="B561" s="140"/>
      <c r="C561" s="140"/>
      <c r="D561" s="140"/>
      <c r="E561" s="140"/>
      <c r="F561" s="205"/>
      <c r="G561" s="140"/>
      <c r="H561" s="140"/>
      <c r="I561" s="140"/>
      <c r="J561" s="140"/>
      <c r="K561" s="140"/>
      <c r="L561" s="140"/>
      <c r="M561" s="140"/>
      <c r="N561" s="140"/>
      <c r="O561" s="140"/>
      <c r="P561" s="140"/>
      <c r="Q561" s="140"/>
      <c r="R561" s="140"/>
    </row>
    <row r="562">
      <c r="A562" s="140"/>
      <c r="B562" s="140"/>
      <c r="C562" s="140"/>
      <c r="D562" s="140"/>
      <c r="E562" s="140"/>
      <c r="F562" s="205"/>
      <c r="G562" s="140"/>
      <c r="H562" s="140"/>
      <c r="I562" s="140"/>
      <c r="J562" s="140"/>
      <c r="K562" s="140"/>
      <c r="L562" s="140"/>
      <c r="M562" s="140"/>
      <c r="N562" s="140"/>
      <c r="O562" s="140"/>
      <c r="P562" s="140"/>
      <c r="Q562" s="140"/>
      <c r="R562" s="140"/>
    </row>
    <row r="563">
      <c r="A563" s="140"/>
      <c r="B563" s="140"/>
      <c r="C563" s="140"/>
      <c r="D563" s="140"/>
      <c r="E563" s="140"/>
      <c r="F563" s="205"/>
      <c r="G563" s="140"/>
      <c r="H563" s="140"/>
      <c r="I563" s="140"/>
      <c r="J563" s="140"/>
      <c r="K563" s="140"/>
      <c r="L563" s="140"/>
      <c r="M563" s="140"/>
      <c r="N563" s="140"/>
      <c r="O563" s="140"/>
      <c r="P563" s="140"/>
      <c r="Q563" s="140"/>
      <c r="R563" s="140"/>
    </row>
    <row r="564">
      <c r="A564" s="140"/>
      <c r="B564" s="140"/>
      <c r="C564" s="140"/>
      <c r="D564" s="140"/>
      <c r="E564" s="140"/>
      <c r="F564" s="205"/>
      <c r="G564" s="140"/>
      <c r="H564" s="140"/>
      <c r="I564" s="140"/>
      <c r="J564" s="140"/>
      <c r="K564" s="140"/>
      <c r="L564" s="140"/>
      <c r="M564" s="140"/>
      <c r="N564" s="140"/>
      <c r="O564" s="140"/>
      <c r="P564" s="140"/>
      <c r="Q564" s="140"/>
      <c r="R564" s="140"/>
    </row>
    <row r="565">
      <c r="A565" s="140"/>
      <c r="B565" s="140"/>
      <c r="C565" s="140"/>
      <c r="D565" s="140"/>
      <c r="E565" s="140"/>
      <c r="F565" s="205"/>
      <c r="G565" s="140"/>
      <c r="H565" s="140"/>
      <c r="I565" s="140"/>
      <c r="J565" s="140"/>
      <c r="K565" s="140"/>
      <c r="L565" s="140"/>
      <c r="M565" s="140"/>
      <c r="N565" s="140"/>
      <c r="O565" s="140"/>
      <c r="P565" s="140"/>
      <c r="Q565" s="140"/>
      <c r="R565" s="140"/>
    </row>
    <row r="566">
      <c r="A566" s="140"/>
      <c r="B566" s="140"/>
      <c r="C566" s="140"/>
      <c r="D566" s="140"/>
      <c r="E566" s="140"/>
      <c r="F566" s="205"/>
      <c r="G566" s="140"/>
      <c r="H566" s="140"/>
      <c r="I566" s="140"/>
      <c r="J566" s="140"/>
      <c r="K566" s="140"/>
      <c r="L566" s="140"/>
      <c r="M566" s="140"/>
      <c r="N566" s="140"/>
      <c r="O566" s="140"/>
      <c r="P566" s="140"/>
      <c r="Q566" s="140"/>
      <c r="R566" s="140"/>
    </row>
    <row r="567">
      <c r="A567" s="140"/>
      <c r="B567" s="140"/>
      <c r="C567" s="140"/>
      <c r="D567" s="140"/>
      <c r="E567" s="140"/>
      <c r="F567" s="205"/>
      <c r="G567" s="140"/>
      <c r="H567" s="140"/>
      <c r="I567" s="140"/>
      <c r="J567" s="140"/>
      <c r="K567" s="140"/>
      <c r="L567" s="140"/>
      <c r="M567" s="140"/>
      <c r="N567" s="140"/>
      <c r="O567" s="140"/>
      <c r="P567" s="140"/>
      <c r="Q567" s="140"/>
      <c r="R567" s="140"/>
    </row>
    <row r="568">
      <c r="A568" s="140"/>
      <c r="B568" s="140"/>
      <c r="C568" s="140"/>
      <c r="D568" s="140"/>
      <c r="E568" s="140"/>
      <c r="F568" s="205"/>
      <c r="G568" s="140"/>
      <c r="H568" s="140"/>
      <c r="I568" s="140"/>
      <c r="J568" s="140"/>
      <c r="K568" s="140"/>
      <c r="L568" s="140"/>
      <c r="M568" s="140"/>
      <c r="N568" s="140"/>
      <c r="O568" s="140"/>
      <c r="P568" s="140"/>
      <c r="Q568" s="140"/>
      <c r="R568" s="140"/>
    </row>
    <row r="569">
      <c r="A569" s="140"/>
      <c r="B569" s="140"/>
      <c r="C569" s="140"/>
      <c r="D569" s="140"/>
      <c r="E569" s="140"/>
      <c r="F569" s="205"/>
      <c r="G569" s="140"/>
      <c r="H569" s="140"/>
      <c r="I569" s="140"/>
      <c r="J569" s="140"/>
      <c r="K569" s="140"/>
      <c r="L569" s="140"/>
      <c r="M569" s="140"/>
      <c r="N569" s="140"/>
      <c r="O569" s="140"/>
      <c r="P569" s="140"/>
      <c r="Q569" s="140"/>
      <c r="R569" s="140"/>
    </row>
    <row r="570">
      <c r="A570" s="140"/>
      <c r="B570" s="140"/>
      <c r="C570" s="140"/>
      <c r="D570" s="140"/>
      <c r="E570" s="140"/>
      <c r="F570" s="205"/>
      <c r="G570" s="140"/>
      <c r="H570" s="140"/>
      <c r="I570" s="140"/>
      <c r="J570" s="140"/>
      <c r="K570" s="140"/>
      <c r="L570" s="140"/>
      <c r="M570" s="140"/>
      <c r="N570" s="140"/>
      <c r="O570" s="140"/>
      <c r="P570" s="140"/>
      <c r="Q570" s="140"/>
      <c r="R570" s="140"/>
    </row>
    <row r="571">
      <c r="A571" s="140"/>
      <c r="B571" s="140"/>
      <c r="C571" s="140"/>
      <c r="D571" s="140"/>
      <c r="E571" s="140"/>
      <c r="F571" s="205"/>
      <c r="G571" s="140"/>
      <c r="H571" s="140"/>
      <c r="I571" s="140"/>
      <c r="J571" s="140"/>
      <c r="K571" s="140"/>
      <c r="L571" s="140"/>
      <c r="M571" s="140"/>
      <c r="N571" s="140"/>
      <c r="O571" s="140"/>
      <c r="P571" s="140"/>
      <c r="Q571" s="140"/>
      <c r="R571" s="140"/>
    </row>
    <row r="572">
      <c r="A572" s="140"/>
      <c r="B572" s="140"/>
      <c r="C572" s="140"/>
      <c r="D572" s="140"/>
      <c r="E572" s="140"/>
      <c r="F572" s="205"/>
      <c r="G572" s="140"/>
      <c r="H572" s="140"/>
      <c r="I572" s="140"/>
      <c r="J572" s="140"/>
      <c r="K572" s="140"/>
      <c r="L572" s="140"/>
      <c r="M572" s="140"/>
      <c r="N572" s="140"/>
      <c r="O572" s="140"/>
      <c r="P572" s="140"/>
      <c r="Q572" s="140"/>
      <c r="R572" s="140"/>
    </row>
    <row r="573">
      <c r="A573" s="140"/>
      <c r="B573" s="140"/>
      <c r="C573" s="140"/>
      <c r="D573" s="140"/>
      <c r="E573" s="140"/>
      <c r="F573" s="205"/>
      <c r="G573" s="140"/>
      <c r="H573" s="140"/>
      <c r="I573" s="140"/>
      <c r="J573" s="140"/>
      <c r="K573" s="140"/>
      <c r="L573" s="140"/>
      <c r="M573" s="140"/>
      <c r="N573" s="140"/>
      <c r="O573" s="140"/>
      <c r="P573" s="140"/>
      <c r="Q573" s="140"/>
      <c r="R573" s="140"/>
    </row>
    <row r="574">
      <c r="A574" s="140"/>
      <c r="B574" s="140"/>
      <c r="C574" s="140"/>
      <c r="D574" s="140"/>
      <c r="E574" s="140"/>
      <c r="F574" s="205"/>
      <c r="G574" s="140"/>
      <c r="H574" s="140"/>
      <c r="I574" s="140"/>
      <c r="J574" s="140"/>
      <c r="K574" s="140"/>
      <c r="L574" s="140"/>
      <c r="M574" s="140"/>
      <c r="N574" s="140"/>
      <c r="O574" s="140"/>
      <c r="P574" s="140"/>
      <c r="Q574" s="140"/>
      <c r="R574" s="140"/>
    </row>
    <row r="575">
      <c r="A575" s="140"/>
      <c r="B575" s="140"/>
      <c r="C575" s="140"/>
      <c r="D575" s="140"/>
      <c r="E575" s="140"/>
      <c r="F575" s="205"/>
      <c r="G575" s="140"/>
      <c r="H575" s="140"/>
      <c r="I575" s="140"/>
      <c r="J575" s="140"/>
      <c r="K575" s="140"/>
      <c r="L575" s="140"/>
      <c r="M575" s="140"/>
      <c r="N575" s="140"/>
      <c r="O575" s="140"/>
      <c r="P575" s="140"/>
      <c r="Q575" s="140"/>
      <c r="R575" s="140"/>
    </row>
    <row r="576">
      <c r="A576" s="140"/>
      <c r="B576" s="140"/>
      <c r="C576" s="140"/>
      <c r="D576" s="140"/>
      <c r="E576" s="140"/>
      <c r="F576" s="205"/>
      <c r="G576" s="140"/>
      <c r="H576" s="140"/>
      <c r="I576" s="140"/>
      <c r="J576" s="140"/>
      <c r="K576" s="140"/>
      <c r="L576" s="140"/>
      <c r="M576" s="140"/>
      <c r="N576" s="140"/>
      <c r="O576" s="140"/>
      <c r="P576" s="140"/>
      <c r="Q576" s="140"/>
      <c r="R576" s="140"/>
    </row>
    <row r="577">
      <c r="A577" s="140"/>
      <c r="B577" s="140"/>
      <c r="C577" s="140"/>
      <c r="D577" s="140"/>
      <c r="E577" s="140"/>
      <c r="F577" s="205"/>
      <c r="G577" s="140"/>
      <c r="H577" s="140"/>
      <c r="I577" s="140"/>
      <c r="J577" s="140"/>
      <c r="K577" s="140"/>
      <c r="L577" s="140"/>
      <c r="M577" s="140"/>
      <c r="N577" s="140"/>
      <c r="O577" s="140"/>
      <c r="P577" s="140"/>
      <c r="Q577" s="140"/>
      <c r="R577" s="140"/>
    </row>
    <row r="578">
      <c r="A578" s="140"/>
      <c r="B578" s="140"/>
      <c r="C578" s="140"/>
      <c r="D578" s="140"/>
      <c r="E578" s="140"/>
      <c r="F578" s="205"/>
      <c r="G578" s="140"/>
      <c r="H578" s="140"/>
      <c r="I578" s="140"/>
      <c r="J578" s="140"/>
      <c r="K578" s="140"/>
      <c r="L578" s="140"/>
      <c r="M578" s="140"/>
      <c r="N578" s="140"/>
      <c r="O578" s="140"/>
      <c r="P578" s="140"/>
      <c r="Q578" s="140"/>
      <c r="R578" s="140"/>
    </row>
    <row r="579">
      <c r="A579" s="140"/>
      <c r="B579" s="140"/>
      <c r="C579" s="140"/>
      <c r="D579" s="140"/>
      <c r="E579" s="140"/>
      <c r="F579" s="205"/>
      <c r="G579" s="140"/>
      <c r="H579" s="140"/>
      <c r="I579" s="140"/>
      <c r="J579" s="140"/>
      <c r="K579" s="140"/>
      <c r="L579" s="140"/>
      <c r="M579" s="140"/>
      <c r="N579" s="140"/>
      <c r="O579" s="140"/>
      <c r="P579" s="140"/>
      <c r="Q579" s="140"/>
      <c r="R579" s="140"/>
    </row>
    <row r="580">
      <c r="A580" s="140"/>
      <c r="B580" s="140"/>
      <c r="C580" s="140"/>
      <c r="D580" s="140"/>
      <c r="E580" s="140"/>
      <c r="F580" s="205"/>
      <c r="G580" s="140"/>
      <c r="H580" s="140"/>
      <c r="I580" s="140"/>
      <c r="J580" s="140"/>
      <c r="K580" s="140"/>
      <c r="L580" s="140"/>
      <c r="M580" s="140"/>
      <c r="N580" s="140"/>
      <c r="O580" s="140"/>
      <c r="P580" s="140"/>
      <c r="Q580" s="140"/>
      <c r="R580" s="140"/>
    </row>
    <row r="581">
      <c r="A581" s="140"/>
      <c r="B581" s="140"/>
      <c r="C581" s="140"/>
      <c r="D581" s="140"/>
      <c r="E581" s="140"/>
      <c r="F581" s="205"/>
      <c r="G581" s="140"/>
      <c r="H581" s="140"/>
      <c r="I581" s="140"/>
      <c r="J581" s="140"/>
      <c r="K581" s="140"/>
      <c r="L581" s="140"/>
      <c r="M581" s="140"/>
      <c r="N581" s="140"/>
      <c r="O581" s="140"/>
      <c r="P581" s="140"/>
      <c r="Q581" s="140"/>
      <c r="R581" s="140"/>
    </row>
    <row r="582">
      <c r="A582" s="140"/>
      <c r="B582" s="140"/>
      <c r="C582" s="140"/>
      <c r="D582" s="140"/>
      <c r="E582" s="140"/>
      <c r="F582" s="205"/>
      <c r="G582" s="140"/>
      <c r="H582" s="140"/>
      <c r="I582" s="140"/>
      <c r="J582" s="140"/>
      <c r="K582" s="140"/>
      <c r="L582" s="140"/>
      <c r="M582" s="140"/>
      <c r="N582" s="140"/>
      <c r="O582" s="140"/>
      <c r="P582" s="140"/>
      <c r="Q582" s="140"/>
      <c r="R582" s="140"/>
    </row>
    <row r="583">
      <c r="A583" s="140"/>
      <c r="B583" s="140"/>
      <c r="C583" s="140"/>
      <c r="D583" s="140"/>
      <c r="E583" s="140"/>
      <c r="F583" s="205"/>
      <c r="G583" s="140"/>
      <c r="H583" s="140"/>
      <c r="I583" s="140"/>
      <c r="J583" s="140"/>
      <c r="K583" s="140"/>
      <c r="L583" s="140"/>
      <c r="M583" s="140"/>
      <c r="N583" s="140"/>
      <c r="O583" s="140"/>
      <c r="P583" s="140"/>
      <c r="Q583" s="140"/>
      <c r="R583" s="140"/>
    </row>
    <row r="584">
      <c r="A584" s="140"/>
      <c r="B584" s="140"/>
      <c r="C584" s="140"/>
      <c r="D584" s="140"/>
      <c r="E584" s="140"/>
      <c r="F584" s="205"/>
      <c r="G584" s="140"/>
      <c r="H584" s="140"/>
      <c r="I584" s="140"/>
      <c r="J584" s="140"/>
      <c r="K584" s="140"/>
      <c r="L584" s="140"/>
      <c r="M584" s="140"/>
      <c r="N584" s="140"/>
      <c r="O584" s="140"/>
      <c r="P584" s="140"/>
      <c r="Q584" s="140"/>
      <c r="R584" s="140"/>
    </row>
    <row r="585">
      <c r="A585" s="140"/>
      <c r="B585" s="140"/>
      <c r="C585" s="140"/>
      <c r="D585" s="140"/>
      <c r="E585" s="140"/>
      <c r="F585" s="205"/>
      <c r="G585" s="140"/>
      <c r="H585" s="140"/>
      <c r="I585" s="140"/>
      <c r="J585" s="140"/>
      <c r="K585" s="140"/>
      <c r="L585" s="140"/>
      <c r="M585" s="140"/>
      <c r="N585" s="140"/>
      <c r="O585" s="140"/>
      <c r="P585" s="140"/>
      <c r="Q585" s="140"/>
      <c r="R585" s="140"/>
    </row>
    <row r="586">
      <c r="A586" s="140"/>
      <c r="B586" s="140"/>
      <c r="C586" s="140"/>
      <c r="D586" s="140"/>
      <c r="E586" s="140"/>
      <c r="F586" s="205"/>
      <c r="G586" s="140"/>
      <c r="H586" s="140"/>
      <c r="I586" s="140"/>
      <c r="J586" s="140"/>
      <c r="K586" s="140"/>
      <c r="L586" s="140"/>
      <c r="M586" s="140"/>
      <c r="N586" s="140"/>
      <c r="O586" s="140"/>
      <c r="P586" s="140"/>
      <c r="Q586" s="140"/>
      <c r="R586" s="140"/>
    </row>
    <row r="587">
      <c r="A587" s="140"/>
      <c r="B587" s="140"/>
      <c r="C587" s="140"/>
      <c r="D587" s="140"/>
      <c r="E587" s="140"/>
      <c r="F587" s="205"/>
      <c r="G587" s="140"/>
      <c r="H587" s="140"/>
      <c r="I587" s="140"/>
      <c r="J587" s="140"/>
      <c r="K587" s="140"/>
      <c r="L587" s="140"/>
      <c r="M587" s="140"/>
      <c r="N587" s="140"/>
      <c r="O587" s="140"/>
      <c r="P587" s="140"/>
      <c r="Q587" s="140"/>
      <c r="R587" s="140"/>
    </row>
    <row r="588">
      <c r="A588" s="140"/>
      <c r="B588" s="140"/>
      <c r="C588" s="140"/>
      <c r="D588" s="140"/>
      <c r="E588" s="140"/>
      <c r="F588" s="205"/>
      <c r="G588" s="140"/>
      <c r="H588" s="140"/>
      <c r="I588" s="140"/>
      <c r="J588" s="140"/>
      <c r="K588" s="140"/>
      <c r="L588" s="140"/>
      <c r="M588" s="140"/>
      <c r="N588" s="140"/>
      <c r="O588" s="140"/>
      <c r="P588" s="140"/>
      <c r="Q588" s="140"/>
      <c r="R588" s="140"/>
    </row>
    <row r="589">
      <c r="A589" s="140"/>
      <c r="B589" s="140"/>
      <c r="C589" s="140"/>
      <c r="D589" s="140"/>
      <c r="E589" s="140"/>
      <c r="F589" s="205"/>
      <c r="G589" s="140"/>
      <c r="H589" s="140"/>
      <c r="I589" s="140"/>
      <c r="J589" s="140"/>
      <c r="K589" s="140"/>
      <c r="L589" s="140"/>
      <c r="M589" s="140"/>
      <c r="N589" s="140"/>
      <c r="O589" s="140"/>
      <c r="P589" s="140"/>
      <c r="Q589" s="140"/>
      <c r="R589" s="140"/>
    </row>
    <row r="590">
      <c r="A590" s="140"/>
      <c r="B590" s="140"/>
      <c r="C590" s="140"/>
      <c r="D590" s="140"/>
      <c r="E590" s="140"/>
      <c r="F590" s="205"/>
      <c r="G590" s="140"/>
      <c r="H590" s="140"/>
      <c r="I590" s="140"/>
      <c r="J590" s="140"/>
      <c r="K590" s="140"/>
      <c r="L590" s="140"/>
      <c r="M590" s="140"/>
      <c r="N590" s="140"/>
      <c r="O590" s="140"/>
      <c r="P590" s="140"/>
      <c r="Q590" s="140"/>
      <c r="R590" s="140"/>
    </row>
    <row r="591">
      <c r="A591" s="140"/>
      <c r="B591" s="140"/>
      <c r="C591" s="140"/>
      <c r="D591" s="140"/>
      <c r="E591" s="140"/>
      <c r="F591" s="205"/>
      <c r="G591" s="140"/>
      <c r="H591" s="140"/>
      <c r="I591" s="140"/>
      <c r="J591" s="140"/>
      <c r="K591" s="140"/>
      <c r="L591" s="140"/>
      <c r="M591" s="140"/>
      <c r="N591" s="140"/>
      <c r="O591" s="140"/>
      <c r="P591" s="140"/>
      <c r="Q591" s="140"/>
      <c r="R591" s="140"/>
    </row>
    <row r="592">
      <c r="A592" s="140"/>
      <c r="B592" s="140"/>
      <c r="C592" s="140"/>
      <c r="D592" s="140"/>
      <c r="E592" s="140"/>
      <c r="F592" s="205"/>
      <c r="G592" s="140"/>
      <c r="H592" s="140"/>
      <c r="I592" s="140"/>
      <c r="J592" s="140"/>
      <c r="K592" s="140"/>
      <c r="L592" s="140"/>
      <c r="M592" s="140"/>
      <c r="N592" s="140"/>
      <c r="O592" s="140"/>
      <c r="P592" s="140"/>
      <c r="Q592" s="140"/>
      <c r="R592" s="140"/>
    </row>
    <row r="593">
      <c r="A593" s="140"/>
      <c r="B593" s="140"/>
      <c r="C593" s="140"/>
      <c r="D593" s="140"/>
      <c r="E593" s="140"/>
      <c r="F593" s="205"/>
      <c r="G593" s="140"/>
      <c r="H593" s="140"/>
      <c r="I593" s="140"/>
      <c r="J593" s="140"/>
      <c r="K593" s="140"/>
      <c r="L593" s="140"/>
      <c r="M593" s="140"/>
      <c r="N593" s="140"/>
      <c r="O593" s="140"/>
      <c r="P593" s="140"/>
      <c r="Q593" s="140"/>
      <c r="R593" s="140"/>
    </row>
    <row r="594">
      <c r="A594" s="140"/>
      <c r="B594" s="140"/>
      <c r="C594" s="140"/>
      <c r="D594" s="140"/>
      <c r="E594" s="140"/>
      <c r="F594" s="205"/>
      <c r="G594" s="140"/>
      <c r="H594" s="140"/>
      <c r="I594" s="140"/>
      <c r="J594" s="140"/>
      <c r="K594" s="140"/>
      <c r="L594" s="140"/>
      <c r="M594" s="140"/>
      <c r="N594" s="140"/>
      <c r="O594" s="140"/>
      <c r="P594" s="140"/>
      <c r="Q594" s="140"/>
      <c r="R594" s="140"/>
    </row>
    <row r="595">
      <c r="A595" s="140"/>
      <c r="B595" s="140"/>
      <c r="C595" s="140"/>
      <c r="D595" s="140"/>
      <c r="E595" s="140"/>
      <c r="F595" s="205"/>
      <c r="G595" s="140"/>
      <c r="H595" s="140"/>
      <c r="I595" s="140"/>
      <c r="J595" s="140"/>
      <c r="K595" s="140"/>
      <c r="L595" s="140"/>
      <c r="M595" s="140"/>
      <c r="N595" s="140"/>
      <c r="O595" s="140"/>
      <c r="P595" s="140"/>
      <c r="Q595" s="140"/>
      <c r="R595" s="140"/>
    </row>
    <row r="596">
      <c r="A596" s="140"/>
      <c r="B596" s="140"/>
      <c r="C596" s="140"/>
      <c r="D596" s="140"/>
      <c r="E596" s="140"/>
      <c r="F596" s="205"/>
      <c r="G596" s="140"/>
      <c r="H596" s="140"/>
      <c r="I596" s="140"/>
      <c r="J596" s="140"/>
      <c r="K596" s="140"/>
      <c r="L596" s="140"/>
      <c r="M596" s="140"/>
      <c r="N596" s="140"/>
      <c r="O596" s="140"/>
      <c r="P596" s="140"/>
      <c r="Q596" s="140"/>
      <c r="R596" s="140"/>
    </row>
    <row r="597">
      <c r="A597" s="140"/>
      <c r="B597" s="140"/>
      <c r="C597" s="140"/>
      <c r="D597" s="140"/>
      <c r="E597" s="140"/>
      <c r="F597" s="205"/>
      <c r="G597" s="140"/>
      <c r="H597" s="140"/>
      <c r="I597" s="140"/>
      <c r="J597" s="140"/>
      <c r="K597" s="140"/>
      <c r="L597" s="140"/>
      <c r="M597" s="140"/>
      <c r="N597" s="140"/>
      <c r="O597" s="140"/>
      <c r="P597" s="140"/>
      <c r="Q597" s="140"/>
      <c r="R597" s="140"/>
    </row>
    <row r="598">
      <c r="A598" s="140"/>
      <c r="B598" s="140"/>
      <c r="C598" s="140"/>
      <c r="D598" s="140"/>
      <c r="E598" s="140"/>
      <c r="F598" s="205"/>
      <c r="G598" s="140"/>
      <c r="H598" s="140"/>
      <c r="I598" s="140"/>
      <c r="J598" s="140"/>
      <c r="K598" s="140"/>
      <c r="L598" s="140"/>
      <c r="M598" s="140"/>
      <c r="N598" s="140"/>
      <c r="O598" s="140"/>
      <c r="P598" s="140"/>
      <c r="Q598" s="140"/>
      <c r="R598" s="140"/>
    </row>
    <row r="599">
      <c r="A599" s="140"/>
      <c r="B599" s="140"/>
      <c r="C599" s="140"/>
      <c r="D599" s="140"/>
      <c r="E599" s="140"/>
      <c r="F599" s="205"/>
      <c r="G599" s="140"/>
      <c r="H599" s="140"/>
      <c r="I599" s="140"/>
      <c r="J599" s="140"/>
      <c r="K599" s="140"/>
      <c r="L599" s="140"/>
      <c r="M599" s="140"/>
      <c r="N599" s="140"/>
      <c r="O599" s="140"/>
      <c r="P599" s="140"/>
      <c r="Q599" s="140"/>
      <c r="R599" s="140"/>
    </row>
    <row r="600">
      <c r="A600" s="140"/>
      <c r="B600" s="140"/>
      <c r="C600" s="140"/>
      <c r="D600" s="140"/>
      <c r="E600" s="140"/>
      <c r="F600" s="205"/>
      <c r="G600" s="140"/>
      <c r="H600" s="140"/>
      <c r="I600" s="140"/>
      <c r="J600" s="140"/>
      <c r="K600" s="140"/>
      <c r="L600" s="140"/>
      <c r="M600" s="140"/>
      <c r="N600" s="140"/>
      <c r="O600" s="140"/>
      <c r="P600" s="140"/>
      <c r="Q600" s="140"/>
      <c r="R600" s="140"/>
    </row>
    <row r="601">
      <c r="A601" s="140"/>
      <c r="B601" s="140"/>
      <c r="C601" s="140"/>
      <c r="D601" s="140"/>
      <c r="E601" s="140"/>
      <c r="F601" s="205"/>
      <c r="G601" s="140"/>
      <c r="H601" s="140"/>
      <c r="I601" s="140"/>
      <c r="J601" s="140"/>
      <c r="K601" s="140"/>
      <c r="L601" s="140"/>
      <c r="M601" s="140"/>
      <c r="N601" s="140"/>
      <c r="O601" s="140"/>
      <c r="P601" s="140"/>
      <c r="Q601" s="140"/>
      <c r="R601" s="140"/>
    </row>
    <row r="602">
      <c r="A602" s="140"/>
      <c r="B602" s="140"/>
      <c r="C602" s="140"/>
      <c r="D602" s="140"/>
      <c r="E602" s="140"/>
      <c r="F602" s="205"/>
      <c r="G602" s="140"/>
      <c r="H602" s="140"/>
      <c r="I602" s="140"/>
      <c r="J602" s="140"/>
      <c r="K602" s="140"/>
      <c r="L602" s="140"/>
      <c r="M602" s="140"/>
      <c r="N602" s="140"/>
      <c r="O602" s="140"/>
      <c r="P602" s="140"/>
      <c r="Q602" s="140"/>
      <c r="R602" s="140"/>
    </row>
    <row r="603">
      <c r="A603" s="140"/>
      <c r="B603" s="140"/>
      <c r="C603" s="140"/>
      <c r="D603" s="140"/>
      <c r="E603" s="140"/>
      <c r="F603" s="205"/>
      <c r="G603" s="140"/>
      <c r="H603" s="140"/>
      <c r="I603" s="140"/>
      <c r="J603" s="140"/>
      <c r="K603" s="140"/>
      <c r="L603" s="140"/>
      <c r="M603" s="140"/>
      <c r="N603" s="140"/>
      <c r="O603" s="140"/>
      <c r="P603" s="140"/>
      <c r="Q603" s="140"/>
      <c r="R603" s="140"/>
    </row>
    <row r="604">
      <c r="A604" s="140"/>
      <c r="B604" s="140"/>
      <c r="C604" s="140"/>
      <c r="D604" s="140"/>
      <c r="E604" s="140"/>
      <c r="F604" s="205"/>
      <c r="G604" s="140"/>
      <c r="H604" s="140"/>
      <c r="I604" s="140"/>
      <c r="J604" s="140"/>
      <c r="K604" s="140"/>
      <c r="L604" s="140"/>
      <c r="M604" s="140"/>
      <c r="N604" s="140"/>
      <c r="O604" s="140"/>
      <c r="P604" s="140"/>
      <c r="Q604" s="140"/>
      <c r="R604" s="140"/>
    </row>
    <row r="605">
      <c r="A605" s="140"/>
      <c r="B605" s="140"/>
      <c r="C605" s="140"/>
      <c r="D605" s="140"/>
      <c r="E605" s="140"/>
      <c r="F605" s="205"/>
      <c r="G605" s="140"/>
      <c r="H605" s="140"/>
      <c r="I605" s="140"/>
      <c r="J605" s="140"/>
      <c r="K605" s="140"/>
      <c r="L605" s="140"/>
      <c r="M605" s="140"/>
      <c r="N605" s="140"/>
      <c r="O605" s="140"/>
      <c r="P605" s="140"/>
      <c r="Q605" s="140"/>
      <c r="R605" s="140"/>
    </row>
    <row r="606">
      <c r="A606" s="140"/>
      <c r="B606" s="140"/>
      <c r="C606" s="140"/>
      <c r="D606" s="140"/>
      <c r="E606" s="140"/>
      <c r="F606" s="205"/>
      <c r="G606" s="140"/>
      <c r="H606" s="140"/>
      <c r="I606" s="140"/>
      <c r="J606" s="140"/>
      <c r="K606" s="140"/>
      <c r="L606" s="140"/>
      <c r="M606" s="140"/>
      <c r="N606" s="140"/>
      <c r="O606" s="140"/>
      <c r="P606" s="140"/>
      <c r="Q606" s="140"/>
      <c r="R606" s="140"/>
    </row>
    <row r="607">
      <c r="A607" s="140"/>
      <c r="B607" s="140"/>
      <c r="C607" s="140"/>
      <c r="D607" s="140"/>
      <c r="E607" s="140"/>
      <c r="F607" s="205"/>
      <c r="G607" s="140"/>
      <c r="H607" s="140"/>
      <c r="I607" s="140"/>
      <c r="J607" s="140"/>
      <c r="K607" s="140"/>
      <c r="L607" s="140"/>
      <c r="M607" s="140"/>
      <c r="N607" s="140"/>
      <c r="O607" s="140"/>
      <c r="P607" s="140"/>
      <c r="Q607" s="140"/>
      <c r="R607" s="140"/>
    </row>
    <row r="608">
      <c r="A608" s="140"/>
      <c r="B608" s="140"/>
      <c r="C608" s="140"/>
      <c r="D608" s="140"/>
      <c r="E608" s="140"/>
      <c r="F608" s="205"/>
      <c r="G608" s="140"/>
      <c r="H608" s="140"/>
      <c r="I608" s="140"/>
      <c r="J608" s="140"/>
      <c r="K608" s="140"/>
      <c r="L608" s="140"/>
      <c r="M608" s="140"/>
      <c r="N608" s="140"/>
      <c r="O608" s="140"/>
      <c r="P608" s="140"/>
      <c r="Q608" s="140"/>
      <c r="R608" s="140"/>
    </row>
    <row r="609">
      <c r="A609" s="140"/>
      <c r="B609" s="140"/>
      <c r="C609" s="140"/>
      <c r="D609" s="140"/>
      <c r="E609" s="140"/>
      <c r="F609" s="205"/>
      <c r="G609" s="140"/>
      <c r="H609" s="140"/>
      <c r="I609" s="140"/>
      <c r="J609" s="140"/>
      <c r="K609" s="140"/>
      <c r="L609" s="140"/>
      <c r="M609" s="140"/>
      <c r="N609" s="140"/>
      <c r="O609" s="140"/>
      <c r="P609" s="140"/>
      <c r="Q609" s="140"/>
      <c r="R609" s="140"/>
    </row>
    <row r="610">
      <c r="A610" s="140"/>
      <c r="B610" s="140"/>
      <c r="C610" s="140"/>
      <c r="D610" s="140"/>
      <c r="E610" s="140"/>
      <c r="F610" s="205"/>
      <c r="G610" s="140"/>
      <c r="H610" s="140"/>
      <c r="I610" s="140"/>
      <c r="J610" s="140"/>
      <c r="K610" s="140"/>
      <c r="L610" s="140"/>
      <c r="M610" s="140"/>
      <c r="N610" s="140"/>
      <c r="O610" s="140"/>
      <c r="P610" s="140"/>
      <c r="Q610" s="140"/>
      <c r="R610" s="140"/>
    </row>
    <row r="611">
      <c r="A611" s="140"/>
      <c r="B611" s="140"/>
      <c r="C611" s="140"/>
      <c r="D611" s="140"/>
      <c r="E611" s="140"/>
      <c r="F611" s="205"/>
      <c r="G611" s="140"/>
      <c r="H611" s="140"/>
      <c r="I611" s="140"/>
      <c r="J611" s="140"/>
      <c r="K611" s="140"/>
      <c r="L611" s="140"/>
      <c r="M611" s="140"/>
      <c r="N611" s="140"/>
      <c r="O611" s="140"/>
      <c r="P611" s="140"/>
      <c r="Q611" s="140"/>
      <c r="R611" s="140"/>
    </row>
    <row r="612">
      <c r="A612" s="140"/>
      <c r="B612" s="140"/>
      <c r="C612" s="140"/>
      <c r="D612" s="140"/>
      <c r="E612" s="140"/>
      <c r="F612" s="205"/>
      <c r="G612" s="140"/>
      <c r="H612" s="140"/>
      <c r="I612" s="140"/>
      <c r="J612" s="140"/>
      <c r="K612" s="140"/>
      <c r="L612" s="140"/>
      <c r="M612" s="140"/>
      <c r="N612" s="140"/>
      <c r="O612" s="140"/>
      <c r="P612" s="140"/>
      <c r="Q612" s="140"/>
      <c r="R612" s="140"/>
    </row>
    <row r="613">
      <c r="A613" s="140"/>
      <c r="B613" s="140"/>
      <c r="C613" s="140"/>
      <c r="D613" s="140"/>
      <c r="E613" s="140"/>
      <c r="F613" s="205"/>
      <c r="G613" s="140"/>
      <c r="H613" s="140"/>
      <c r="I613" s="140"/>
      <c r="J613" s="140"/>
      <c r="K613" s="140"/>
      <c r="L613" s="140"/>
      <c r="M613" s="140"/>
      <c r="N613" s="140"/>
      <c r="O613" s="140"/>
      <c r="P613" s="140"/>
      <c r="Q613" s="140"/>
      <c r="R613" s="140"/>
    </row>
    <row r="614">
      <c r="A614" s="140"/>
      <c r="B614" s="140"/>
      <c r="C614" s="140"/>
      <c r="D614" s="140"/>
      <c r="E614" s="140"/>
      <c r="F614" s="205"/>
      <c r="G614" s="140"/>
      <c r="H614" s="140"/>
      <c r="I614" s="140"/>
      <c r="J614" s="140"/>
      <c r="K614" s="140"/>
      <c r="L614" s="140"/>
      <c r="M614" s="140"/>
      <c r="N614" s="140"/>
      <c r="O614" s="140"/>
      <c r="P614" s="140"/>
      <c r="Q614" s="140"/>
      <c r="R614" s="140"/>
    </row>
    <row r="615">
      <c r="A615" s="140"/>
      <c r="B615" s="140"/>
      <c r="C615" s="140"/>
      <c r="D615" s="140"/>
      <c r="E615" s="140"/>
      <c r="F615" s="205"/>
      <c r="G615" s="140"/>
      <c r="H615" s="140"/>
      <c r="I615" s="140"/>
      <c r="J615" s="140"/>
      <c r="K615" s="140"/>
      <c r="L615" s="140"/>
      <c r="M615" s="140"/>
      <c r="N615" s="140"/>
      <c r="O615" s="140"/>
      <c r="P615" s="140"/>
      <c r="Q615" s="140"/>
      <c r="R615" s="140"/>
    </row>
    <row r="616">
      <c r="A616" s="140"/>
      <c r="B616" s="140"/>
      <c r="C616" s="140"/>
      <c r="D616" s="140"/>
      <c r="E616" s="140"/>
      <c r="F616" s="205"/>
      <c r="G616" s="140"/>
      <c r="H616" s="140"/>
      <c r="I616" s="140"/>
      <c r="J616" s="140"/>
      <c r="K616" s="140"/>
      <c r="L616" s="140"/>
      <c r="M616" s="140"/>
      <c r="N616" s="140"/>
      <c r="O616" s="140"/>
      <c r="P616" s="140"/>
      <c r="Q616" s="140"/>
      <c r="R616" s="140"/>
    </row>
    <row r="617">
      <c r="A617" s="140"/>
      <c r="B617" s="140"/>
      <c r="C617" s="140"/>
      <c r="D617" s="140"/>
      <c r="E617" s="140"/>
      <c r="F617" s="205"/>
      <c r="G617" s="140"/>
      <c r="H617" s="140"/>
      <c r="I617" s="140"/>
      <c r="J617" s="140"/>
      <c r="K617" s="140"/>
      <c r="L617" s="140"/>
      <c r="M617" s="140"/>
      <c r="N617" s="140"/>
      <c r="O617" s="140"/>
      <c r="P617" s="140"/>
      <c r="Q617" s="140"/>
      <c r="R617" s="140"/>
    </row>
    <row r="618">
      <c r="A618" s="140"/>
      <c r="B618" s="140"/>
      <c r="C618" s="140"/>
      <c r="D618" s="140"/>
      <c r="E618" s="140"/>
      <c r="F618" s="205"/>
      <c r="G618" s="140"/>
      <c r="H618" s="140"/>
      <c r="I618" s="140"/>
      <c r="J618" s="140"/>
      <c r="K618" s="140"/>
      <c r="L618" s="140"/>
      <c r="M618" s="140"/>
      <c r="N618" s="140"/>
      <c r="O618" s="140"/>
      <c r="P618" s="140"/>
      <c r="Q618" s="140"/>
      <c r="R618" s="140"/>
    </row>
    <row r="619">
      <c r="A619" s="140"/>
      <c r="B619" s="140"/>
      <c r="C619" s="140"/>
      <c r="D619" s="140"/>
      <c r="E619" s="140"/>
      <c r="F619" s="205"/>
      <c r="G619" s="140"/>
      <c r="H619" s="140"/>
      <c r="I619" s="140"/>
      <c r="J619" s="140"/>
      <c r="K619" s="140"/>
      <c r="L619" s="140"/>
      <c r="M619" s="140"/>
      <c r="N619" s="140"/>
      <c r="O619" s="140"/>
      <c r="P619" s="140"/>
      <c r="Q619" s="140"/>
      <c r="R619" s="140"/>
    </row>
    <row r="620">
      <c r="A620" s="140"/>
      <c r="B620" s="140"/>
      <c r="C620" s="140"/>
      <c r="D620" s="140"/>
      <c r="E620" s="140"/>
      <c r="F620" s="205"/>
      <c r="G620" s="140"/>
      <c r="H620" s="140"/>
      <c r="I620" s="140"/>
      <c r="J620" s="140"/>
      <c r="K620" s="140"/>
      <c r="L620" s="140"/>
      <c r="M620" s="140"/>
      <c r="N620" s="140"/>
      <c r="O620" s="140"/>
      <c r="P620" s="140"/>
      <c r="Q620" s="140"/>
      <c r="R620" s="140"/>
    </row>
    <row r="621">
      <c r="A621" s="140"/>
      <c r="B621" s="140"/>
      <c r="C621" s="140"/>
      <c r="D621" s="140"/>
      <c r="E621" s="140"/>
      <c r="F621" s="205"/>
      <c r="G621" s="140"/>
      <c r="H621" s="140"/>
      <c r="I621" s="140"/>
      <c r="J621" s="140"/>
      <c r="K621" s="140"/>
      <c r="L621" s="140"/>
      <c r="M621" s="140"/>
      <c r="N621" s="140"/>
      <c r="O621" s="140"/>
      <c r="P621" s="140"/>
      <c r="Q621" s="140"/>
      <c r="R621" s="140"/>
    </row>
    <row r="622">
      <c r="A622" s="140"/>
      <c r="B622" s="140"/>
      <c r="C622" s="140"/>
      <c r="D622" s="140"/>
      <c r="E622" s="140"/>
      <c r="F622" s="205"/>
      <c r="G622" s="140"/>
      <c r="H622" s="140"/>
      <c r="I622" s="140"/>
      <c r="J622" s="140"/>
      <c r="K622" s="140"/>
      <c r="L622" s="140"/>
      <c r="M622" s="140"/>
      <c r="N622" s="140"/>
      <c r="O622" s="140"/>
      <c r="P622" s="140"/>
      <c r="Q622" s="140"/>
      <c r="R622" s="140"/>
    </row>
    <row r="623">
      <c r="A623" s="140"/>
      <c r="B623" s="140"/>
      <c r="C623" s="140"/>
      <c r="D623" s="140"/>
      <c r="E623" s="140"/>
      <c r="F623" s="205"/>
      <c r="G623" s="140"/>
      <c r="H623" s="140"/>
      <c r="I623" s="140"/>
      <c r="J623" s="140"/>
      <c r="K623" s="140"/>
      <c r="L623" s="140"/>
      <c r="M623" s="140"/>
      <c r="N623" s="140"/>
      <c r="O623" s="140"/>
      <c r="P623" s="140"/>
      <c r="Q623" s="140"/>
      <c r="R623" s="140"/>
    </row>
    <row r="624">
      <c r="A624" s="140"/>
      <c r="B624" s="140"/>
      <c r="C624" s="140"/>
      <c r="D624" s="140"/>
      <c r="E624" s="140"/>
      <c r="F624" s="205"/>
      <c r="G624" s="140"/>
      <c r="H624" s="140"/>
      <c r="I624" s="140"/>
      <c r="J624" s="140"/>
      <c r="K624" s="140"/>
      <c r="L624" s="140"/>
      <c r="M624" s="140"/>
      <c r="N624" s="140"/>
      <c r="O624" s="140"/>
      <c r="P624" s="140"/>
      <c r="Q624" s="140"/>
      <c r="R624" s="140"/>
    </row>
    <row r="625">
      <c r="A625" s="140"/>
      <c r="B625" s="140"/>
      <c r="C625" s="140"/>
      <c r="D625" s="140"/>
      <c r="E625" s="140"/>
      <c r="F625" s="205"/>
      <c r="G625" s="140"/>
      <c r="H625" s="140"/>
      <c r="I625" s="140"/>
      <c r="J625" s="140"/>
      <c r="K625" s="140"/>
      <c r="L625" s="140"/>
      <c r="M625" s="140"/>
      <c r="N625" s="140"/>
      <c r="O625" s="140"/>
      <c r="P625" s="140"/>
      <c r="Q625" s="140"/>
      <c r="R625" s="140"/>
    </row>
    <row r="626">
      <c r="A626" s="140"/>
      <c r="B626" s="140"/>
      <c r="C626" s="140"/>
      <c r="D626" s="140"/>
      <c r="E626" s="140"/>
      <c r="F626" s="205"/>
      <c r="G626" s="140"/>
      <c r="H626" s="140"/>
      <c r="I626" s="140"/>
      <c r="J626" s="140"/>
      <c r="K626" s="140"/>
      <c r="L626" s="140"/>
      <c r="M626" s="140"/>
      <c r="N626" s="140"/>
      <c r="O626" s="140"/>
      <c r="P626" s="140"/>
      <c r="Q626" s="140"/>
      <c r="R626" s="140"/>
    </row>
    <row r="627">
      <c r="A627" s="140"/>
      <c r="B627" s="140"/>
      <c r="C627" s="140"/>
      <c r="D627" s="140"/>
      <c r="E627" s="140"/>
      <c r="F627" s="205"/>
      <c r="G627" s="140"/>
      <c r="H627" s="140"/>
      <c r="I627" s="140"/>
      <c r="J627" s="140"/>
      <c r="K627" s="140"/>
      <c r="L627" s="140"/>
      <c r="M627" s="140"/>
      <c r="N627" s="140"/>
      <c r="O627" s="140"/>
      <c r="P627" s="140"/>
      <c r="Q627" s="140"/>
      <c r="R627" s="140"/>
    </row>
    <row r="628">
      <c r="A628" s="140"/>
      <c r="B628" s="140"/>
      <c r="C628" s="140"/>
      <c r="D628" s="140"/>
      <c r="E628" s="140"/>
      <c r="F628" s="205"/>
      <c r="G628" s="140"/>
      <c r="H628" s="140"/>
      <c r="I628" s="140"/>
      <c r="J628" s="140"/>
      <c r="K628" s="140"/>
      <c r="L628" s="140"/>
      <c r="M628" s="140"/>
      <c r="N628" s="140"/>
      <c r="O628" s="140"/>
      <c r="P628" s="140"/>
      <c r="Q628" s="140"/>
      <c r="R628" s="140"/>
    </row>
    <row r="629">
      <c r="A629" s="140"/>
      <c r="B629" s="140"/>
      <c r="C629" s="140"/>
      <c r="D629" s="140"/>
      <c r="E629" s="140"/>
      <c r="F629" s="205"/>
      <c r="G629" s="140"/>
      <c r="H629" s="140"/>
      <c r="I629" s="140"/>
      <c r="J629" s="140"/>
      <c r="K629" s="140"/>
      <c r="L629" s="140"/>
      <c r="M629" s="140"/>
      <c r="N629" s="140"/>
      <c r="O629" s="140"/>
      <c r="P629" s="140"/>
      <c r="Q629" s="140"/>
      <c r="R629" s="140"/>
    </row>
    <row r="630">
      <c r="A630" s="140"/>
      <c r="B630" s="140"/>
      <c r="C630" s="140"/>
      <c r="D630" s="140"/>
      <c r="E630" s="140"/>
      <c r="F630" s="205"/>
      <c r="G630" s="140"/>
      <c r="H630" s="140"/>
      <c r="I630" s="140"/>
      <c r="J630" s="140"/>
      <c r="K630" s="140"/>
      <c r="L630" s="140"/>
      <c r="M630" s="140"/>
      <c r="N630" s="140"/>
      <c r="O630" s="140"/>
      <c r="P630" s="140"/>
      <c r="Q630" s="140"/>
      <c r="R630" s="140"/>
    </row>
    <row r="631">
      <c r="A631" s="140"/>
      <c r="B631" s="140"/>
      <c r="C631" s="140"/>
      <c r="D631" s="140"/>
      <c r="E631" s="140"/>
      <c r="F631" s="205"/>
      <c r="G631" s="140"/>
      <c r="H631" s="140"/>
      <c r="I631" s="140"/>
      <c r="J631" s="140"/>
      <c r="K631" s="140"/>
      <c r="L631" s="140"/>
      <c r="M631" s="140"/>
      <c r="N631" s="140"/>
      <c r="O631" s="140"/>
      <c r="P631" s="140"/>
      <c r="Q631" s="140"/>
      <c r="R631" s="140"/>
    </row>
    <row r="632">
      <c r="A632" s="140"/>
      <c r="B632" s="140"/>
      <c r="C632" s="140"/>
      <c r="D632" s="140"/>
      <c r="E632" s="140"/>
      <c r="F632" s="205"/>
      <c r="G632" s="140"/>
      <c r="H632" s="140"/>
      <c r="I632" s="140"/>
      <c r="J632" s="140"/>
      <c r="K632" s="140"/>
      <c r="L632" s="140"/>
      <c r="M632" s="140"/>
      <c r="N632" s="140"/>
      <c r="O632" s="140"/>
      <c r="P632" s="140"/>
      <c r="Q632" s="140"/>
      <c r="R632" s="140"/>
    </row>
    <row r="633">
      <c r="A633" s="140"/>
      <c r="B633" s="140"/>
      <c r="C633" s="140"/>
      <c r="D633" s="140"/>
      <c r="E633" s="140"/>
      <c r="F633" s="205"/>
      <c r="G633" s="140"/>
      <c r="H633" s="140"/>
      <c r="I633" s="140"/>
      <c r="J633" s="140"/>
      <c r="K633" s="140"/>
      <c r="L633" s="140"/>
      <c r="M633" s="140"/>
      <c r="N633" s="140"/>
      <c r="O633" s="140"/>
      <c r="P633" s="140"/>
      <c r="Q633" s="140"/>
      <c r="R633" s="140"/>
    </row>
    <row r="634">
      <c r="A634" s="140"/>
      <c r="B634" s="140"/>
      <c r="C634" s="140"/>
      <c r="D634" s="140"/>
      <c r="E634" s="140"/>
      <c r="F634" s="205"/>
      <c r="G634" s="140"/>
      <c r="H634" s="140"/>
      <c r="I634" s="140"/>
      <c r="J634" s="140"/>
      <c r="K634" s="140"/>
      <c r="L634" s="140"/>
      <c r="M634" s="140"/>
      <c r="N634" s="140"/>
      <c r="O634" s="140"/>
      <c r="P634" s="140"/>
      <c r="Q634" s="140"/>
      <c r="R634" s="140"/>
    </row>
    <row r="635">
      <c r="A635" s="140"/>
      <c r="B635" s="140"/>
      <c r="C635" s="140"/>
      <c r="D635" s="140"/>
      <c r="E635" s="140"/>
      <c r="F635" s="205"/>
      <c r="G635" s="140"/>
      <c r="H635" s="140"/>
      <c r="I635" s="140"/>
      <c r="J635" s="140"/>
      <c r="K635" s="140"/>
      <c r="L635" s="140"/>
      <c r="M635" s="140"/>
      <c r="N635" s="140"/>
      <c r="O635" s="140"/>
      <c r="P635" s="140"/>
      <c r="Q635" s="140"/>
      <c r="R635" s="140"/>
    </row>
    <row r="636">
      <c r="A636" s="140"/>
      <c r="B636" s="140"/>
      <c r="C636" s="140"/>
      <c r="D636" s="140"/>
      <c r="E636" s="140"/>
      <c r="F636" s="205"/>
      <c r="G636" s="140"/>
      <c r="H636" s="140"/>
      <c r="I636" s="140"/>
      <c r="J636" s="140"/>
      <c r="K636" s="140"/>
      <c r="L636" s="140"/>
      <c r="M636" s="140"/>
      <c r="N636" s="140"/>
      <c r="O636" s="140"/>
      <c r="P636" s="140"/>
      <c r="Q636" s="140"/>
      <c r="R636" s="140"/>
    </row>
    <row r="637">
      <c r="A637" s="140"/>
      <c r="B637" s="140"/>
      <c r="C637" s="140"/>
      <c r="D637" s="140"/>
      <c r="E637" s="140"/>
      <c r="F637" s="205"/>
      <c r="G637" s="140"/>
      <c r="H637" s="140"/>
      <c r="I637" s="140"/>
      <c r="J637" s="140"/>
      <c r="K637" s="140"/>
      <c r="L637" s="140"/>
      <c r="M637" s="140"/>
      <c r="N637" s="140"/>
      <c r="O637" s="140"/>
      <c r="P637" s="140"/>
      <c r="Q637" s="140"/>
      <c r="R637" s="140"/>
    </row>
    <row r="638">
      <c r="A638" s="140"/>
      <c r="B638" s="140"/>
      <c r="C638" s="140"/>
      <c r="D638" s="140"/>
      <c r="E638" s="140"/>
      <c r="F638" s="205"/>
      <c r="G638" s="140"/>
      <c r="H638" s="140"/>
      <c r="I638" s="140"/>
      <c r="J638" s="140"/>
      <c r="K638" s="140"/>
      <c r="L638" s="140"/>
      <c r="M638" s="140"/>
      <c r="N638" s="140"/>
      <c r="O638" s="140"/>
      <c r="P638" s="140"/>
      <c r="Q638" s="140"/>
      <c r="R638" s="140"/>
    </row>
    <row r="639">
      <c r="A639" s="140"/>
      <c r="B639" s="140"/>
      <c r="C639" s="140"/>
      <c r="D639" s="140"/>
      <c r="E639" s="140"/>
      <c r="F639" s="205"/>
      <c r="G639" s="140"/>
      <c r="H639" s="140"/>
      <c r="I639" s="140"/>
      <c r="J639" s="140"/>
      <c r="K639" s="140"/>
      <c r="L639" s="140"/>
      <c r="M639" s="140"/>
      <c r="N639" s="140"/>
      <c r="O639" s="140"/>
      <c r="P639" s="140"/>
      <c r="Q639" s="140"/>
      <c r="R639" s="140"/>
    </row>
    <row r="640">
      <c r="A640" s="140"/>
      <c r="B640" s="140"/>
      <c r="C640" s="140"/>
      <c r="D640" s="140"/>
      <c r="E640" s="140"/>
      <c r="F640" s="205"/>
      <c r="G640" s="140"/>
      <c r="H640" s="140"/>
      <c r="I640" s="140"/>
      <c r="J640" s="140"/>
      <c r="K640" s="140"/>
      <c r="L640" s="140"/>
      <c r="M640" s="140"/>
      <c r="N640" s="140"/>
      <c r="O640" s="140"/>
      <c r="P640" s="140"/>
      <c r="Q640" s="140"/>
      <c r="R640" s="140"/>
    </row>
    <row r="641">
      <c r="A641" s="140"/>
      <c r="B641" s="140"/>
      <c r="C641" s="140"/>
      <c r="D641" s="140"/>
      <c r="E641" s="140"/>
      <c r="F641" s="205"/>
      <c r="G641" s="140"/>
      <c r="H641" s="140"/>
      <c r="I641" s="140"/>
      <c r="J641" s="140"/>
      <c r="K641" s="140"/>
      <c r="L641" s="140"/>
      <c r="M641" s="140"/>
      <c r="N641" s="140"/>
      <c r="O641" s="140"/>
      <c r="P641" s="140"/>
      <c r="Q641" s="140"/>
      <c r="R641" s="140"/>
    </row>
    <row r="642">
      <c r="A642" s="140"/>
      <c r="B642" s="140"/>
      <c r="C642" s="140"/>
      <c r="D642" s="140"/>
      <c r="E642" s="140"/>
      <c r="F642" s="205"/>
      <c r="G642" s="140"/>
      <c r="H642" s="140"/>
      <c r="I642" s="140"/>
      <c r="J642" s="140"/>
      <c r="K642" s="140"/>
      <c r="L642" s="140"/>
      <c r="M642" s="140"/>
      <c r="N642" s="140"/>
      <c r="O642" s="140"/>
      <c r="P642" s="140"/>
      <c r="Q642" s="140"/>
      <c r="R642" s="140"/>
    </row>
    <row r="643">
      <c r="A643" s="140"/>
      <c r="B643" s="140"/>
      <c r="C643" s="140"/>
      <c r="D643" s="140"/>
      <c r="E643" s="140"/>
      <c r="F643" s="205"/>
      <c r="G643" s="140"/>
      <c r="H643" s="140"/>
      <c r="I643" s="140"/>
      <c r="J643" s="140"/>
      <c r="K643" s="140"/>
      <c r="L643" s="140"/>
      <c r="M643" s="140"/>
      <c r="N643" s="140"/>
      <c r="O643" s="140"/>
      <c r="P643" s="140"/>
      <c r="Q643" s="140"/>
      <c r="R643" s="140"/>
    </row>
    <row r="644">
      <c r="A644" s="140"/>
      <c r="B644" s="140"/>
      <c r="C644" s="140"/>
      <c r="D644" s="140"/>
      <c r="E644" s="140"/>
      <c r="F644" s="205"/>
      <c r="G644" s="140"/>
      <c r="H644" s="140"/>
      <c r="I644" s="140"/>
      <c r="J644" s="140"/>
      <c r="K644" s="140"/>
      <c r="L644" s="140"/>
      <c r="M644" s="140"/>
      <c r="N644" s="140"/>
      <c r="O644" s="140"/>
      <c r="P644" s="140"/>
      <c r="Q644" s="140"/>
      <c r="R644" s="140"/>
    </row>
    <row r="645">
      <c r="A645" s="140"/>
      <c r="B645" s="140"/>
      <c r="C645" s="140"/>
      <c r="D645" s="140"/>
      <c r="E645" s="140"/>
      <c r="F645" s="205"/>
      <c r="G645" s="140"/>
      <c r="H645" s="140"/>
      <c r="I645" s="140"/>
      <c r="J645" s="140"/>
      <c r="K645" s="140"/>
      <c r="L645" s="140"/>
      <c r="M645" s="140"/>
      <c r="N645" s="140"/>
      <c r="O645" s="140"/>
      <c r="P645" s="140"/>
      <c r="Q645" s="140"/>
      <c r="R645" s="140"/>
    </row>
    <row r="646">
      <c r="A646" s="140"/>
      <c r="B646" s="140"/>
      <c r="C646" s="140"/>
      <c r="D646" s="140"/>
      <c r="E646" s="140"/>
      <c r="F646" s="205"/>
      <c r="G646" s="140"/>
      <c r="H646" s="140"/>
      <c r="I646" s="140"/>
      <c r="J646" s="140"/>
      <c r="K646" s="140"/>
      <c r="L646" s="140"/>
      <c r="M646" s="140"/>
      <c r="N646" s="140"/>
      <c r="O646" s="140"/>
      <c r="P646" s="140"/>
      <c r="Q646" s="140"/>
      <c r="R646" s="140"/>
    </row>
    <row r="647">
      <c r="A647" s="140"/>
      <c r="B647" s="140"/>
      <c r="C647" s="140"/>
      <c r="D647" s="140"/>
      <c r="E647" s="140"/>
      <c r="F647" s="205"/>
      <c r="G647" s="140"/>
      <c r="H647" s="140"/>
      <c r="I647" s="140"/>
      <c r="J647" s="140"/>
      <c r="K647" s="140"/>
      <c r="L647" s="140"/>
      <c r="M647" s="140"/>
      <c r="N647" s="140"/>
      <c r="O647" s="140"/>
      <c r="P647" s="140"/>
      <c r="Q647" s="140"/>
      <c r="R647" s="140"/>
    </row>
    <row r="648">
      <c r="A648" s="140"/>
      <c r="B648" s="140"/>
      <c r="C648" s="140"/>
      <c r="D648" s="140"/>
      <c r="E648" s="140"/>
      <c r="F648" s="205"/>
      <c r="G648" s="140"/>
      <c r="H648" s="140"/>
      <c r="I648" s="140"/>
      <c r="J648" s="140"/>
      <c r="K648" s="140"/>
      <c r="L648" s="140"/>
      <c r="M648" s="140"/>
      <c r="N648" s="140"/>
      <c r="O648" s="140"/>
      <c r="P648" s="140"/>
      <c r="Q648" s="140"/>
      <c r="R648" s="140"/>
    </row>
    <row r="649">
      <c r="A649" s="140"/>
      <c r="B649" s="140"/>
      <c r="C649" s="140"/>
      <c r="D649" s="140"/>
      <c r="E649" s="140"/>
      <c r="F649" s="205"/>
      <c r="G649" s="140"/>
      <c r="H649" s="140"/>
      <c r="I649" s="140"/>
      <c r="J649" s="140"/>
      <c r="K649" s="140"/>
      <c r="L649" s="140"/>
      <c r="M649" s="140"/>
      <c r="N649" s="140"/>
      <c r="O649" s="140"/>
      <c r="P649" s="140"/>
      <c r="Q649" s="140"/>
      <c r="R649" s="140"/>
    </row>
    <row r="650">
      <c r="A650" s="140"/>
      <c r="B650" s="140"/>
      <c r="C650" s="140"/>
      <c r="D650" s="140"/>
      <c r="E650" s="140"/>
      <c r="F650" s="205"/>
      <c r="G650" s="140"/>
      <c r="H650" s="140"/>
      <c r="I650" s="140"/>
      <c r="J650" s="140"/>
      <c r="K650" s="140"/>
      <c r="L650" s="140"/>
      <c r="M650" s="140"/>
      <c r="N650" s="140"/>
      <c r="O650" s="140"/>
      <c r="P650" s="140"/>
      <c r="Q650" s="140"/>
      <c r="R650" s="140"/>
    </row>
    <row r="651">
      <c r="A651" s="140"/>
      <c r="B651" s="140"/>
      <c r="C651" s="140"/>
      <c r="D651" s="140"/>
      <c r="E651" s="140"/>
      <c r="F651" s="205"/>
      <c r="G651" s="140"/>
      <c r="H651" s="140"/>
      <c r="I651" s="140"/>
      <c r="J651" s="140"/>
      <c r="K651" s="140"/>
      <c r="L651" s="140"/>
      <c r="M651" s="140"/>
      <c r="N651" s="140"/>
      <c r="O651" s="140"/>
      <c r="P651" s="140"/>
      <c r="Q651" s="140"/>
      <c r="R651" s="140"/>
    </row>
    <row r="652">
      <c r="A652" s="140"/>
      <c r="B652" s="140"/>
      <c r="C652" s="140"/>
      <c r="D652" s="140"/>
      <c r="E652" s="140"/>
      <c r="F652" s="205"/>
      <c r="G652" s="140"/>
      <c r="H652" s="140"/>
      <c r="I652" s="140"/>
      <c r="J652" s="140"/>
      <c r="K652" s="140"/>
      <c r="L652" s="140"/>
      <c r="M652" s="140"/>
      <c r="N652" s="140"/>
      <c r="O652" s="140"/>
      <c r="P652" s="140"/>
      <c r="Q652" s="140"/>
      <c r="R652" s="140"/>
    </row>
    <row r="653">
      <c r="A653" s="140"/>
      <c r="B653" s="140"/>
      <c r="C653" s="140"/>
      <c r="D653" s="140"/>
      <c r="E653" s="140"/>
      <c r="F653" s="205"/>
      <c r="G653" s="140"/>
      <c r="H653" s="140"/>
      <c r="I653" s="140"/>
      <c r="J653" s="140"/>
      <c r="K653" s="140"/>
      <c r="L653" s="140"/>
      <c r="M653" s="140"/>
      <c r="N653" s="140"/>
      <c r="O653" s="140"/>
      <c r="P653" s="140"/>
      <c r="Q653" s="140"/>
      <c r="R653" s="140"/>
    </row>
    <row r="654">
      <c r="A654" s="140"/>
      <c r="B654" s="140"/>
      <c r="C654" s="140"/>
      <c r="D654" s="140"/>
      <c r="E654" s="140"/>
      <c r="F654" s="205"/>
      <c r="G654" s="140"/>
      <c r="H654" s="140"/>
      <c r="I654" s="140"/>
      <c r="J654" s="140"/>
      <c r="K654" s="140"/>
      <c r="L654" s="140"/>
      <c r="M654" s="140"/>
      <c r="N654" s="140"/>
      <c r="O654" s="140"/>
      <c r="P654" s="140"/>
      <c r="Q654" s="140"/>
      <c r="R654" s="140"/>
    </row>
    <row r="655">
      <c r="A655" s="140"/>
      <c r="B655" s="140"/>
      <c r="C655" s="140"/>
      <c r="D655" s="140"/>
      <c r="E655" s="140"/>
      <c r="F655" s="205"/>
      <c r="G655" s="140"/>
      <c r="H655" s="140"/>
      <c r="I655" s="140"/>
      <c r="J655" s="140"/>
      <c r="K655" s="140"/>
      <c r="L655" s="140"/>
      <c r="M655" s="140"/>
      <c r="N655" s="140"/>
      <c r="O655" s="140"/>
      <c r="P655" s="140"/>
      <c r="Q655" s="140"/>
      <c r="R655" s="140"/>
    </row>
    <row r="656">
      <c r="A656" s="140"/>
      <c r="B656" s="140"/>
      <c r="C656" s="140"/>
      <c r="D656" s="140"/>
      <c r="E656" s="140"/>
      <c r="F656" s="205"/>
      <c r="G656" s="140"/>
      <c r="H656" s="140"/>
      <c r="I656" s="140"/>
      <c r="J656" s="140"/>
      <c r="K656" s="140"/>
      <c r="L656" s="140"/>
      <c r="M656" s="140"/>
      <c r="N656" s="140"/>
      <c r="O656" s="140"/>
      <c r="P656" s="140"/>
      <c r="Q656" s="140"/>
      <c r="R656" s="140"/>
    </row>
    <row r="657">
      <c r="A657" s="140"/>
      <c r="B657" s="140"/>
      <c r="C657" s="140"/>
      <c r="D657" s="140"/>
      <c r="E657" s="140"/>
      <c r="F657" s="205"/>
      <c r="G657" s="140"/>
      <c r="H657" s="140"/>
      <c r="I657" s="140"/>
      <c r="J657" s="140"/>
      <c r="K657" s="140"/>
      <c r="L657" s="140"/>
      <c r="M657" s="140"/>
      <c r="N657" s="140"/>
      <c r="O657" s="140"/>
      <c r="P657" s="140"/>
      <c r="Q657" s="140"/>
      <c r="R657" s="140"/>
    </row>
    <row r="658">
      <c r="A658" s="140"/>
      <c r="B658" s="140"/>
      <c r="C658" s="140"/>
      <c r="D658" s="140"/>
      <c r="E658" s="140"/>
      <c r="F658" s="205"/>
      <c r="G658" s="140"/>
      <c r="H658" s="140"/>
      <c r="I658" s="140"/>
      <c r="J658" s="140"/>
      <c r="K658" s="140"/>
      <c r="L658" s="140"/>
      <c r="M658" s="140"/>
      <c r="N658" s="140"/>
      <c r="O658" s="140"/>
      <c r="P658" s="140"/>
      <c r="Q658" s="140"/>
      <c r="R658" s="140"/>
    </row>
    <row r="659">
      <c r="A659" s="140"/>
      <c r="B659" s="140"/>
      <c r="C659" s="140"/>
      <c r="D659" s="140"/>
      <c r="E659" s="140"/>
      <c r="F659" s="205"/>
      <c r="G659" s="140"/>
      <c r="H659" s="140"/>
      <c r="I659" s="140"/>
      <c r="J659" s="140"/>
      <c r="K659" s="140"/>
      <c r="L659" s="140"/>
      <c r="M659" s="140"/>
      <c r="N659" s="140"/>
      <c r="O659" s="140"/>
      <c r="P659" s="140"/>
      <c r="Q659" s="140"/>
      <c r="R659" s="140"/>
    </row>
    <row r="660">
      <c r="A660" s="140"/>
      <c r="B660" s="140"/>
      <c r="C660" s="140"/>
      <c r="D660" s="140"/>
      <c r="E660" s="140"/>
      <c r="F660" s="205"/>
      <c r="G660" s="140"/>
      <c r="H660" s="140"/>
      <c r="I660" s="140"/>
      <c r="J660" s="140"/>
      <c r="K660" s="140"/>
      <c r="L660" s="140"/>
      <c r="M660" s="140"/>
      <c r="N660" s="140"/>
      <c r="O660" s="140"/>
      <c r="P660" s="140"/>
      <c r="Q660" s="140"/>
      <c r="R660" s="140"/>
    </row>
    <row r="661">
      <c r="A661" s="140"/>
      <c r="B661" s="140"/>
      <c r="C661" s="140"/>
      <c r="D661" s="140"/>
      <c r="E661" s="140"/>
      <c r="F661" s="205"/>
      <c r="G661" s="140"/>
      <c r="H661" s="140"/>
      <c r="I661" s="140"/>
      <c r="J661" s="140"/>
      <c r="K661" s="140"/>
      <c r="L661" s="140"/>
      <c r="M661" s="140"/>
      <c r="N661" s="140"/>
      <c r="O661" s="140"/>
      <c r="P661" s="140"/>
      <c r="Q661" s="140"/>
      <c r="R661" s="140"/>
    </row>
    <row r="662">
      <c r="A662" s="140"/>
      <c r="B662" s="140"/>
      <c r="C662" s="140"/>
      <c r="D662" s="140"/>
      <c r="E662" s="140"/>
      <c r="F662" s="205"/>
      <c r="G662" s="140"/>
      <c r="H662" s="140"/>
      <c r="I662" s="140"/>
      <c r="J662" s="140"/>
      <c r="K662" s="140"/>
      <c r="L662" s="140"/>
      <c r="M662" s="140"/>
      <c r="N662" s="140"/>
      <c r="O662" s="140"/>
      <c r="P662" s="140"/>
      <c r="Q662" s="140"/>
      <c r="R662" s="140"/>
    </row>
    <row r="663">
      <c r="A663" s="140"/>
      <c r="B663" s="140"/>
      <c r="C663" s="140"/>
      <c r="D663" s="140"/>
      <c r="E663" s="140"/>
      <c r="F663" s="205"/>
      <c r="G663" s="140"/>
      <c r="H663" s="140"/>
      <c r="I663" s="140"/>
      <c r="J663" s="140"/>
      <c r="K663" s="140"/>
      <c r="L663" s="140"/>
      <c r="M663" s="140"/>
      <c r="N663" s="140"/>
      <c r="O663" s="140"/>
      <c r="P663" s="140"/>
      <c r="Q663" s="140"/>
      <c r="R663" s="140"/>
    </row>
    <row r="664">
      <c r="A664" s="140"/>
      <c r="B664" s="140"/>
      <c r="C664" s="140"/>
      <c r="D664" s="140"/>
      <c r="E664" s="140"/>
      <c r="F664" s="205"/>
      <c r="G664" s="140"/>
      <c r="H664" s="140"/>
      <c r="I664" s="140"/>
      <c r="J664" s="140"/>
      <c r="K664" s="140"/>
      <c r="L664" s="140"/>
      <c r="M664" s="140"/>
      <c r="N664" s="140"/>
      <c r="O664" s="140"/>
      <c r="P664" s="140"/>
      <c r="Q664" s="140"/>
      <c r="R664" s="140"/>
    </row>
    <row r="665">
      <c r="A665" s="140"/>
      <c r="B665" s="140"/>
      <c r="C665" s="140"/>
      <c r="D665" s="140"/>
      <c r="E665" s="140"/>
      <c r="F665" s="205"/>
      <c r="G665" s="140"/>
      <c r="H665" s="140"/>
      <c r="I665" s="140"/>
      <c r="J665" s="140"/>
      <c r="K665" s="140"/>
      <c r="L665" s="140"/>
      <c r="M665" s="140"/>
      <c r="N665" s="140"/>
      <c r="O665" s="140"/>
      <c r="P665" s="140"/>
      <c r="Q665" s="140"/>
      <c r="R665" s="140"/>
    </row>
    <row r="666">
      <c r="A666" s="140"/>
      <c r="B666" s="140"/>
      <c r="C666" s="140"/>
      <c r="D666" s="140"/>
      <c r="E666" s="140"/>
      <c r="F666" s="205"/>
      <c r="G666" s="140"/>
      <c r="H666" s="140"/>
      <c r="I666" s="140"/>
      <c r="J666" s="140"/>
      <c r="K666" s="140"/>
      <c r="L666" s="140"/>
      <c r="M666" s="140"/>
      <c r="N666" s="140"/>
      <c r="O666" s="140"/>
      <c r="P666" s="140"/>
      <c r="Q666" s="140"/>
      <c r="R666" s="140"/>
    </row>
    <row r="667">
      <c r="A667" s="140"/>
      <c r="B667" s="140"/>
      <c r="C667" s="140"/>
      <c r="D667" s="140"/>
      <c r="E667" s="140"/>
      <c r="F667" s="205"/>
      <c r="G667" s="140"/>
      <c r="H667" s="140"/>
      <c r="I667" s="140"/>
      <c r="J667" s="140"/>
      <c r="K667" s="140"/>
      <c r="L667" s="140"/>
      <c r="M667" s="140"/>
      <c r="N667" s="140"/>
      <c r="O667" s="140"/>
      <c r="P667" s="140"/>
      <c r="Q667" s="140"/>
      <c r="R667" s="140"/>
    </row>
    <row r="668">
      <c r="A668" s="140"/>
      <c r="B668" s="140"/>
      <c r="C668" s="140"/>
      <c r="D668" s="140"/>
      <c r="E668" s="140"/>
      <c r="F668" s="205"/>
      <c r="G668" s="140"/>
      <c r="H668" s="140"/>
      <c r="I668" s="140"/>
      <c r="J668" s="140"/>
      <c r="K668" s="140"/>
      <c r="L668" s="140"/>
      <c r="M668" s="140"/>
      <c r="N668" s="140"/>
      <c r="O668" s="140"/>
      <c r="P668" s="140"/>
      <c r="Q668" s="140"/>
      <c r="R668" s="140"/>
    </row>
    <row r="669">
      <c r="A669" s="140"/>
      <c r="B669" s="140"/>
      <c r="C669" s="140"/>
      <c r="D669" s="140"/>
      <c r="E669" s="140"/>
      <c r="F669" s="205"/>
      <c r="G669" s="140"/>
      <c r="H669" s="140"/>
      <c r="I669" s="140"/>
      <c r="J669" s="140"/>
      <c r="K669" s="140"/>
      <c r="L669" s="140"/>
      <c r="M669" s="140"/>
      <c r="N669" s="140"/>
      <c r="O669" s="140"/>
      <c r="P669" s="140"/>
      <c r="Q669" s="140"/>
      <c r="R669" s="140"/>
    </row>
    <row r="670">
      <c r="A670" s="140"/>
      <c r="B670" s="140"/>
      <c r="C670" s="140"/>
      <c r="D670" s="140"/>
      <c r="E670" s="140"/>
      <c r="F670" s="205"/>
      <c r="G670" s="140"/>
      <c r="H670" s="140"/>
      <c r="I670" s="140"/>
      <c r="J670" s="140"/>
      <c r="K670" s="140"/>
      <c r="L670" s="140"/>
      <c r="M670" s="140"/>
      <c r="N670" s="140"/>
      <c r="O670" s="140"/>
      <c r="P670" s="140"/>
      <c r="Q670" s="140"/>
      <c r="R670" s="140"/>
    </row>
    <row r="671">
      <c r="A671" s="140"/>
      <c r="B671" s="140"/>
      <c r="C671" s="140"/>
      <c r="D671" s="140"/>
      <c r="E671" s="140"/>
      <c r="F671" s="205"/>
      <c r="G671" s="140"/>
      <c r="H671" s="140"/>
      <c r="I671" s="140"/>
      <c r="J671" s="140"/>
      <c r="K671" s="140"/>
      <c r="L671" s="140"/>
      <c r="M671" s="140"/>
      <c r="N671" s="140"/>
      <c r="O671" s="140"/>
      <c r="P671" s="140"/>
      <c r="Q671" s="140"/>
      <c r="R671" s="140"/>
    </row>
    <row r="672">
      <c r="A672" s="140"/>
      <c r="B672" s="140"/>
      <c r="C672" s="140"/>
      <c r="D672" s="140"/>
      <c r="E672" s="140"/>
      <c r="F672" s="205"/>
      <c r="G672" s="140"/>
      <c r="H672" s="140"/>
      <c r="I672" s="140"/>
      <c r="J672" s="140"/>
      <c r="K672" s="140"/>
      <c r="L672" s="140"/>
      <c r="M672" s="140"/>
      <c r="N672" s="140"/>
      <c r="O672" s="140"/>
      <c r="P672" s="140"/>
      <c r="Q672" s="140"/>
      <c r="R672" s="140"/>
    </row>
    <row r="673">
      <c r="A673" s="140"/>
      <c r="B673" s="140"/>
      <c r="C673" s="140"/>
      <c r="D673" s="140"/>
      <c r="E673" s="140"/>
      <c r="F673" s="205"/>
      <c r="G673" s="140"/>
      <c r="H673" s="140"/>
      <c r="I673" s="140"/>
      <c r="J673" s="140"/>
      <c r="K673" s="140"/>
      <c r="L673" s="140"/>
      <c r="M673" s="140"/>
      <c r="N673" s="140"/>
      <c r="O673" s="140"/>
      <c r="P673" s="140"/>
      <c r="Q673" s="140"/>
      <c r="R673" s="140"/>
    </row>
    <row r="674">
      <c r="A674" s="140"/>
      <c r="B674" s="140"/>
      <c r="C674" s="140"/>
      <c r="D674" s="140"/>
      <c r="E674" s="140"/>
      <c r="F674" s="205"/>
      <c r="G674" s="140"/>
      <c r="H674" s="140"/>
      <c r="I674" s="140"/>
      <c r="J674" s="140"/>
      <c r="K674" s="140"/>
      <c r="L674" s="140"/>
      <c r="M674" s="140"/>
      <c r="N674" s="140"/>
      <c r="O674" s="140"/>
      <c r="P674" s="140"/>
      <c r="Q674" s="140"/>
      <c r="R674" s="140"/>
    </row>
    <row r="675">
      <c r="A675" s="140"/>
      <c r="B675" s="140"/>
      <c r="C675" s="140"/>
      <c r="D675" s="140"/>
      <c r="E675" s="140"/>
      <c r="F675" s="205"/>
      <c r="G675" s="140"/>
      <c r="H675" s="140"/>
      <c r="I675" s="140"/>
      <c r="J675" s="140"/>
      <c r="K675" s="140"/>
      <c r="L675" s="140"/>
      <c r="M675" s="140"/>
      <c r="N675" s="140"/>
      <c r="O675" s="140"/>
      <c r="P675" s="140"/>
      <c r="Q675" s="140"/>
      <c r="R675" s="140"/>
    </row>
    <row r="676">
      <c r="A676" s="140"/>
      <c r="B676" s="140"/>
      <c r="C676" s="140"/>
      <c r="D676" s="140"/>
      <c r="E676" s="140"/>
      <c r="F676" s="205"/>
      <c r="G676" s="140"/>
      <c r="H676" s="140"/>
      <c r="I676" s="140"/>
      <c r="J676" s="140"/>
      <c r="K676" s="140"/>
      <c r="L676" s="140"/>
      <c r="M676" s="140"/>
      <c r="N676" s="140"/>
      <c r="O676" s="140"/>
      <c r="P676" s="140"/>
      <c r="Q676" s="140"/>
      <c r="R676" s="140"/>
    </row>
    <row r="677">
      <c r="A677" s="140"/>
      <c r="B677" s="140"/>
      <c r="C677" s="140"/>
      <c r="D677" s="140"/>
      <c r="E677" s="140"/>
      <c r="F677" s="205"/>
      <c r="G677" s="140"/>
      <c r="H677" s="140"/>
      <c r="I677" s="140"/>
      <c r="J677" s="140"/>
      <c r="K677" s="140"/>
      <c r="L677" s="140"/>
      <c r="M677" s="140"/>
      <c r="N677" s="140"/>
      <c r="O677" s="140"/>
      <c r="P677" s="140"/>
      <c r="Q677" s="140"/>
      <c r="R677" s="140"/>
    </row>
    <row r="678">
      <c r="A678" s="140"/>
      <c r="B678" s="140"/>
      <c r="C678" s="140"/>
      <c r="D678" s="140"/>
      <c r="E678" s="140"/>
      <c r="F678" s="205"/>
      <c r="G678" s="140"/>
      <c r="H678" s="140"/>
      <c r="I678" s="140"/>
      <c r="J678" s="140"/>
      <c r="K678" s="140"/>
      <c r="L678" s="140"/>
      <c r="M678" s="140"/>
      <c r="N678" s="140"/>
      <c r="O678" s="140"/>
      <c r="P678" s="140"/>
      <c r="Q678" s="140"/>
      <c r="R678" s="140"/>
    </row>
    <row r="679">
      <c r="A679" s="140"/>
      <c r="B679" s="140"/>
      <c r="C679" s="140"/>
      <c r="D679" s="140"/>
      <c r="E679" s="140"/>
      <c r="F679" s="205"/>
      <c r="G679" s="140"/>
      <c r="H679" s="140"/>
      <c r="I679" s="140"/>
      <c r="J679" s="140"/>
      <c r="K679" s="140"/>
      <c r="L679" s="140"/>
      <c r="M679" s="140"/>
      <c r="N679" s="140"/>
      <c r="O679" s="140"/>
      <c r="P679" s="140"/>
      <c r="Q679" s="140"/>
      <c r="R679" s="140"/>
    </row>
    <row r="680">
      <c r="A680" s="140"/>
      <c r="B680" s="140"/>
      <c r="C680" s="140"/>
      <c r="D680" s="140"/>
      <c r="E680" s="140"/>
      <c r="F680" s="205"/>
      <c r="G680" s="140"/>
      <c r="H680" s="140"/>
      <c r="I680" s="140"/>
      <c r="J680" s="140"/>
      <c r="K680" s="140"/>
      <c r="L680" s="140"/>
      <c r="M680" s="140"/>
      <c r="N680" s="140"/>
      <c r="O680" s="140"/>
      <c r="P680" s="140"/>
      <c r="Q680" s="140"/>
      <c r="R680" s="140"/>
    </row>
    <row r="681">
      <c r="A681" s="140"/>
      <c r="B681" s="140"/>
      <c r="C681" s="140"/>
      <c r="D681" s="140"/>
      <c r="E681" s="140"/>
      <c r="F681" s="205"/>
      <c r="G681" s="140"/>
      <c r="H681" s="140"/>
      <c r="I681" s="140"/>
      <c r="J681" s="140"/>
      <c r="K681" s="140"/>
      <c r="L681" s="140"/>
      <c r="M681" s="140"/>
      <c r="N681" s="140"/>
      <c r="O681" s="140"/>
      <c r="P681" s="140"/>
      <c r="Q681" s="140"/>
      <c r="R681" s="140"/>
    </row>
    <row r="682">
      <c r="A682" s="140"/>
      <c r="B682" s="140"/>
      <c r="C682" s="140"/>
      <c r="D682" s="140"/>
      <c r="E682" s="140"/>
      <c r="F682" s="205"/>
      <c r="G682" s="140"/>
      <c r="H682" s="140"/>
      <c r="I682" s="140"/>
      <c r="J682" s="140"/>
      <c r="K682" s="140"/>
      <c r="L682" s="140"/>
      <c r="M682" s="140"/>
      <c r="N682" s="140"/>
      <c r="O682" s="140"/>
      <c r="P682" s="140"/>
      <c r="Q682" s="140"/>
      <c r="R682" s="140"/>
    </row>
    <row r="683">
      <c r="A683" s="140"/>
      <c r="B683" s="140"/>
      <c r="C683" s="140"/>
      <c r="D683" s="140"/>
      <c r="E683" s="140"/>
      <c r="F683" s="205"/>
      <c r="G683" s="140"/>
      <c r="H683" s="140"/>
      <c r="I683" s="140"/>
      <c r="J683" s="140"/>
      <c r="K683" s="140"/>
      <c r="L683" s="140"/>
      <c r="M683" s="140"/>
      <c r="N683" s="140"/>
      <c r="O683" s="140"/>
      <c r="P683" s="140"/>
      <c r="Q683" s="140"/>
      <c r="R683" s="140"/>
    </row>
    <row r="684">
      <c r="A684" s="140"/>
      <c r="B684" s="140"/>
      <c r="C684" s="140"/>
      <c r="D684" s="140"/>
      <c r="E684" s="140"/>
      <c r="F684" s="205"/>
      <c r="G684" s="140"/>
      <c r="H684" s="140"/>
      <c r="I684" s="140"/>
      <c r="J684" s="140"/>
      <c r="K684" s="140"/>
      <c r="L684" s="140"/>
      <c r="M684" s="140"/>
      <c r="N684" s="140"/>
      <c r="O684" s="140"/>
      <c r="P684" s="140"/>
      <c r="Q684" s="140"/>
      <c r="R684" s="140"/>
    </row>
    <row r="685">
      <c r="A685" s="140"/>
      <c r="B685" s="140"/>
      <c r="C685" s="140"/>
      <c r="D685" s="140"/>
      <c r="E685" s="140"/>
      <c r="F685" s="205"/>
      <c r="G685" s="140"/>
      <c r="H685" s="140"/>
      <c r="I685" s="140"/>
      <c r="J685" s="140"/>
      <c r="K685" s="140"/>
      <c r="L685" s="140"/>
      <c r="M685" s="140"/>
      <c r="N685" s="140"/>
      <c r="O685" s="140"/>
      <c r="P685" s="140"/>
      <c r="Q685" s="140"/>
      <c r="R685" s="140"/>
    </row>
    <row r="686">
      <c r="A686" s="140"/>
      <c r="B686" s="140"/>
      <c r="C686" s="140"/>
      <c r="D686" s="140"/>
      <c r="E686" s="140"/>
      <c r="F686" s="205"/>
      <c r="G686" s="140"/>
      <c r="H686" s="140"/>
      <c r="I686" s="140"/>
      <c r="J686" s="140"/>
      <c r="K686" s="140"/>
      <c r="L686" s="140"/>
      <c r="M686" s="140"/>
      <c r="N686" s="140"/>
      <c r="O686" s="140"/>
      <c r="P686" s="140"/>
      <c r="Q686" s="140"/>
      <c r="R686" s="140"/>
    </row>
    <row r="687">
      <c r="A687" s="140"/>
      <c r="B687" s="140"/>
      <c r="C687" s="140"/>
      <c r="D687" s="140"/>
      <c r="E687" s="140"/>
      <c r="F687" s="205"/>
      <c r="G687" s="140"/>
      <c r="H687" s="140"/>
      <c r="I687" s="140"/>
      <c r="J687" s="140"/>
      <c r="K687" s="140"/>
      <c r="L687" s="140"/>
      <c r="M687" s="140"/>
      <c r="N687" s="140"/>
      <c r="O687" s="140"/>
      <c r="P687" s="140"/>
      <c r="Q687" s="140"/>
      <c r="R687" s="140"/>
    </row>
    <row r="688">
      <c r="A688" s="140"/>
      <c r="B688" s="140"/>
      <c r="C688" s="140"/>
      <c r="D688" s="140"/>
      <c r="E688" s="140"/>
      <c r="F688" s="205"/>
      <c r="G688" s="140"/>
      <c r="H688" s="140"/>
      <c r="I688" s="140"/>
      <c r="J688" s="140"/>
      <c r="K688" s="140"/>
      <c r="L688" s="140"/>
      <c r="M688" s="140"/>
      <c r="N688" s="140"/>
      <c r="O688" s="140"/>
      <c r="P688" s="140"/>
      <c r="Q688" s="140"/>
      <c r="R688" s="140"/>
    </row>
    <row r="689">
      <c r="A689" s="140"/>
      <c r="B689" s="140"/>
      <c r="C689" s="140"/>
      <c r="D689" s="140"/>
      <c r="E689" s="140"/>
      <c r="F689" s="205"/>
      <c r="G689" s="140"/>
      <c r="H689" s="140"/>
      <c r="I689" s="140"/>
      <c r="J689" s="140"/>
      <c r="K689" s="140"/>
      <c r="L689" s="140"/>
      <c r="M689" s="140"/>
      <c r="N689" s="140"/>
      <c r="O689" s="140"/>
      <c r="P689" s="140"/>
      <c r="Q689" s="140"/>
      <c r="R689" s="140"/>
    </row>
    <row r="690">
      <c r="A690" s="140"/>
      <c r="B690" s="140"/>
      <c r="C690" s="140"/>
      <c r="D690" s="140"/>
      <c r="E690" s="140"/>
      <c r="F690" s="205"/>
      <c r="G690" s="140"/>
      <c r="H690" s="140"/>
      <c r="I690" s="140"/>
      <c r="J690" s="140"/>
      <c r="K690" s="140"/>
      <c r="L690" s="140"/>
      <c r="M690" s="140"/>
      <c r="N690" s="140"/>
      <c r="O690" s="140"/>
      <c r="P690" s="140"/>
      <c r="Q690" s="140"/>
      <c r="R690" s="140"/>
    </row>
    <row r="691">
      <c r="A691" s="140"/>
      <c r="B691" s="140"/>
      <c r="C691" s="140"/>
      <c r="D691" s="140"/>
      <c r="E691" s="140"/>
      <c r="F691" s="205"/>
      <c r="G691" s="140"/>
      <c r="H691" s="140"/>
      <c r="I691" s="140"/>
      <c r="J691" s="140"/>
      <c r="K691" s="140"/>
      <c r="L691" s="140"/>
      <c r="M691" s="140"/>
      <c r="N691" s="140"/>
      <c r="O691" s="140"/>
      <c r="P691" s="140"/>
      <c r="Q691" s="140"/>
      <c r="R691" s="140"/>
    </row>
    <row r="692">
      <c r="A692" s="140"/>
      <c r="B692" s="140"/>
      <c r="C692" s="140"/>
      <c r="D692" s="140"/>
      <c r="E692" s="140"/>
      <c r="F692" s="205"/>
      <c r="G692" s="140"/>
      <c r="H692" s="140"/>
      <c r="I692" s="140"/>
      <c r="J692" s="140"/>
      <c r="K692" s="140"/>
      <c r="L692" s="140"/>
      <c r="M692" s="140"/>
      <c r="N692" s="140"/>
      <c r="O692" s="140"/>
      <c r="P692" s="140"/>
      <c r="Q692" s="140"/>
      <c r="R692" s="140"/>
    </row>
    <row r="693">
      <c r="A693" s="140"/>
      <c r="B693" s="140"/>
      <c r="C693" s="140"/>
      <c r="D693" s="140"/>
      <c r="E693" s="140"/>
      <c r="F693" s="205"/>
      <c r="G693" s="140"/>
      <c r="H693" s="140"/>
      <c r="I693" s="140"/>
      <c r="J693" s="140"/>
      <c r="K693" s="140"/>
      <c r="L693" s="140"/>
      <c r="M693" s="140"/>
      <c r="N693" s="140"/>
      <c r="O693" s="140"/>
      <c r="P693" s="140"/>
      <c r="Q693" s="140"/>
      <c r="R693" s="140"/>
    </row>
    <row r="694">
      <c r="A694" s="140"/>
      <c r="B694" s="140"/>
      <c r="C694" s="140"/>
      <c r="D694" s="140"/>
      <c r="E694" s="140"/>
      <c r="F694" s="205"/>
      <c r="G694" s="140"/>
      <c r="H694" s="140"/>
      <c r="I694" s="140"/>
      <c r="J694" s="140"/>
      <c r="K694" s="140"/>
      <c r="L694" s="140"/>
      <c r="M694" s="140"/>
      <c r="N694" s="140"/>
      <c r="O694" s="140"/>
      <c r="P694" s="140"/>
      <c r="Q694" s="140"/>
      <c r="R694" s="140"/>
    </row>
    <row r="695">
      <c r="A695" s="140"/>
      <c r="B695" s="140"/>
      <c r="C695" s="140"/>
      <c r="D695" s="140"/>
      <c r="E695" s="140"/>
      <c r="F695" s="205"/>
      <c r="G695" s="140"/>
      <c r="H695" s="140"/>
      <c r="I695" s="140"/>
      <c r="J695" s="140"/>
      <c r="K695" s="140"/>
      <c r="L695" s="140"/>
      <c r="M695" s="140"/>
      <c r="N695" s="140"/>
      <c r="O695" s="140"/>
      <c r="P695" s="140"/>
      <c r="Q695" s="140"/>
      <c r="R695" s="140"/>
    </row>
    <row r="696">
      <c r="A696" s="140"/>
      <c r="B696" s="140"/>
      <c r="C696" s="140"/>
      <c r="D696" s="140"/>
      <c r="E696" s="140"/>
      <c r="F696" s="205"/>
      <c r="G696" s="140"/>
      <c r="H696" s="140"/>
      <c r="I696" s="140"/>
      <c r="J696" s="140"/>
      <c r="K696" s="140"/>
      <c r="L696" s="140"/>
      <c r="M696" s="140"/>
      <c r="N696" s="140"/>
      <c r="O696" s="140"/>
      <c r="P696" s="140"/>
      <c r="Q696" s="140"/>
      <c r="R696" s="140"/>
    </row>
    <row r="697">
      <c r="A697" s="140"/>
      <c r="B697" s="140"/>
      <c r="C697" s="140"/>
      <c r="D697" s="140"/>
      <c r="E697" s="140"/>
      <c r="F697" s="205"/>
      <c r="G697" s="140"/>
      <c r="H697" s="140"/>
      <c r="I697" s="140"/>
      <c r="J697" s="140"/>
      <c r="K697" s="140"/>
      <c r="L697" s="140"/>
      <c r="M697" s="140"/>
      <c r="N697" s="140"/>
      <c r="O697" s="140"/>
      <c r="P697" s="140"/>
      <c r="Q697" s="140"/>
      <c r="R697" s="140"/>
    </row>
    <row r="698">
      <c r="A698" s="140"/>
      <c r="B698" s="140"/>
      <c r="C698" s="140"/>
      <c r="D698" s="140"/>
      <c r="E698" s="140"/>
      <c r="F698" s="205"/>
      <c r="G698" s="140"/>
      <c r="H698" s="140"/>
      <c r="I698" s="140"/>
      <c r="J698" s="140"/>
      <c r="K698" s="140"/>
      <c r="L698" s="140"/>
      <c r="M698" s="140"/>
      <c r="N698" s="140"/>
      <c r="O698" s="140"/>
      <c r="P698" s="140"/>
      <c r="Q698" s="140"/>
      <c r="R698" s="140"/>
    </row>
    <row r="699">
      <c r="A699" s="140"/>
      <c r="B699" s="140"/>
      <c r="C699" s="140"/>
      <c r="D699" s="140"/>
      <c r="E699" s="140"/>
      <c r="F699" s="205"/>
      <c r="G699" s="140"/>
      <c r="H699" s="140"/>
      <c r="I699" s="140"/>
      <c r="J699" s="140"/>
      <c r="K699" s="140"/>
      <c r="L699" s="140"/>
      <c r="M699" s="140"/>
      <c r="N699" s="140"/>
      <c r="O699" s="140"/>
      <c r="P699" s="140"/>
      <c r="Q699" s="140"/>
      <c r="R699" s="140"/>
    </row>
    <row r="700">
      <c r="A700" s="140"/>
      <c r="B700" s="140"/>
      <c r="C700" s="140"/>
      <c r="D700" s="140"/>
      <c r="E700" s="140"/>
      <c r="F700" s="205"/>
      <c r="G700" s="140"/>
      <c r="H700" s="140"/>
      <c r="I700" s="140"/>
      <c r="J700" s="140"/>
      <c r="K700" s="140"/>
      <c r="L700" s="140"/>
      <c r="M700" s="140"/>
      <c r="N700" s="140"/>
      <c r="O700" s="140"/>
      <c r="P700" s="140"/>
      <c r="Q700" s="140"/>
      <c r="R700" s="140"/>
    </row>
    <row r="701">
      <c r="A701" s="140"/>
      <c r="B701" s="140"/>
      <c r="C701" s="140"/>
      <c r="D701" s="140"/>
      <c r="E701" s="140"/>
      <c r="F701" s="205"/>
      <c r="G701" s="140"/>
      <c r="H701" s="140"/>
      <c r="I701" s="140"/>
      <c r="J701" s="140"/>
      <c r="K701" s="140"/>
      <c r="L701" s="140"/>
      <c r="M701" s="140"/>
      <c r="N701" s="140"/>
      <c r="O701" s="140"/>
      <c r="P701" s="140"/>
      <c r="Q701" s="140"/>
      <c r="R701" s="140"/>
    </row>
    <row r="702">
      <c r="A702" s="140"/>
      <c r="B702" s="140"/>
      <c r="C702" s="140"/>
      <c r="D702" s="140"/>
      <c r="E702" s="140"/>
      <c r="F702" s="205"/>
      <c r="G702" s="140"/>
      <c r="H702" s="140"/>
      <c r="I702" s="140"/>
      <c r="J702" s="140"/>
      <c r="K702" s="140"/>
      <c r="L702" s="140"/>
      <c r="M702" s="140"/>
      <c r="N702" s="140"/>
      <c r="O702" s="140"/>
      <c r="P702" s="140"/>
      <c r="Q702" s="140"/>
      <c r="R702" s="140"/>
    </row>
    <row r="703">
      <c r="A703" s="140"/>
      <c r="B703" s="140"/>
      <c r="C703" s="140"/>
      <c r="D703" s="140"/>
      <c r="E703" s="140"/>
      <c r="F703" s="205"/>
      <c r="G703" s="140"/>
      <c r="H703" s="140"/>
      <c r="I703" s="140"/>
      <c r="J703" s="140"/>
      <c r="K703" s="140"/>
      <c r="L703" s="140"/>
      <c r="M703" s="140"/>
      <c r="N703" s="140"/>
      <c r="O703" s="140"/>
      <c r="P703" s="140"/>
      <c r="Q703" s="140"/>
      <c r="R703" s="140"/>
    </row>
    <row r="704">
      <c r="A704" s="140"/>
      <c r="B704" s="140"/>
      <c r="C704" s="140"/>
      <c r="D704" s="140"/>
      <c r="E704" s="140"/>
      <c r="F704" s="205"/>
      <c r="G704" s="140"/>
      <c r="H704" s="140"/>
      <c r="I704" s="140"/>
      <c r="J704" s="140"/>
      <c r="K704" s="140"/>
      <c r="L704" s="140"/>
      <c r="M704" s="140"/>
      <c r="N704" s="140"/>
      <c r="O704" s="140"/>
      <c r="P704" s="140"/>
      <c r="Q704" s="140"/>
      <c r="R704" s="140"/>
    </row>
    <row r="705">
      <c r="A705" s="140"/>
      <c r="B705" s="140"/>
      <c r="C705" s="140"/>
      <c r="D705" s="140"/>
      <c r="E705" s="140"/>
      <c r="F705" s="205"/>
      <c r="G705" s="140"/>
      <c r="H705" s="140"/>
      <c r="I705" s="140"/>
      <c r="J705" s="140"/>
      <c r="K705" s="140"/>
      <c r="L705" s="140"/>
      <c r="M705" s="140"/>
      <c r="N705" s="140"/>
      <c r="O705" s="140"/>
      <c r="P705" s="140"/>
      <c r="Q705" s="140"/>
      <c r="R705" s="140"/>
    </row>
    <row r="706">
      <c r="A706" s="140"/>
      <c r="B706" s="140"/>
      <c r="C706" s="140"/>
      <c r="D706" s="140"/>
      <c r="E706" s="140"/>
      <c r="F706" s="205"/>
      <c r="G706" s="140"/>
      <c r="H706" s="140"/>
      <c r="I706" s="140"/>
      <c r="J706" s="140"/>
      <c r="K706" s="140"/>
      <c r="L706" s="140"/>
      <c r="M706" s="140"/>
      <c r="N706" s="140"/>
      <c r="O706" s="140"/>
      <c r="P706" s="140"/>
      <c r="Q706" s="140"/>
      <c r="R706" s="140"/>
    </row>
    <row r="707">
      <c r="A707" s="140"/>
      <c r="B707" s="140"/>
      <c r="C707" s="140"/>
      <c r="D707" s="140"/>
      <c r="E707" s="140"/>
      <c r="F707" s="205"/>
      <c r="G707" s="140"/>
      <c r="H707" s="140"/>
      <c r="I707" s="140"/>
      <c r="J707" s="140"/>
      <c r="K707" s="140"/>
      <c r="L707" s="140"/>
      <c r="M707" s="140"/>
      <c r="N707" s="140"/>
      <c r="O707" s="140"/>
      <c r="P707" s="140"/>
      <c r="Q707" s="140"/>
      <c r="R707" s="140"/>
    </row>
    <row r="708">
      <c r="A708" s="140"/>
      <c r="B708" s="140"/>
      <c r="C708" s="140"/>
      <c r="D708" s="140"/>
      <c r="E708" s="140"/>
      <c r="F708" s="205"/>
      <c r="G708" s="140"/>
      <c r="H708" s="140"/>
      <c r="I708" s="140"/>
      <c r="J708" s="140"/>
      <c r="K708" s="140"/>
      <c r="L708" s="140"/>
      <c r="M708" s="140"/>
      <c r="N708" s="140"/>
      <c r="O708" s="140"/>
      <c r="P708" s="140"/>
      <c r="Q708" s="140"/>
      <c r="R708" s="140"/>
    </row>
    <row r="709">
      <c r="A709" s="140"/>
      <c r="B709" s="140"/>
      <c r="C709" s="140"/>
      <c r="D709" s="140"/>
      <c r="E709" s="140"/>
      <c r="F709" s="205"/>
      <c r="G709" s="140"/>
      <c r="H709" s="140"/>
      <c r="I709" s="140"/>
      <c r="J709" s="140"/>
      <c r="K709" s="140"/>
      <c r="L709" s="140"/>
      <c r="M709" s="140"/>
      <c r="N709" s="140"/>
      <c r="O709" s="140"/>
      <c r="P709" s="140"/>
      <c r="Q709" s="140"/>
      <c r="R709" s="140"/>
    </row>
    <row r="710">
      <c r="A710" s="140"/>
      <c r="B710" s="140"/>
      <c r="C710" s="140"/>
      <c r="D710" s="140"/>
      <c r="E710" s="140"/>
      <c r="F710" s="205"/>
      <c r="G710" s="140"/>
      <c r="H710" s="140"/>
      <c r="I710" s="140"/>
      <c r="J710" s="140"/>
      <c r="K710" s="140"/>
      <c r="L710" s="140"/>
      <c r="M710" s="140"/>
      <c r="N710" s="140"/>
      <c r="O710" s="140"/>
      <c r="P710" s="140"/>
      <c r="Q710" s="140"/>
      <c r="R710" s="140"/>
    </row>
    <row r="711">
      <c r="A711" s="140"/>
      <c r="B711" s="140"/>
      <c r="C711" s="140"/>
      <c r="D711" s="140"/>
      <c r="E711" s="140"/>
      <c r="F711" s="205"/>
      <c r="G711" s="140"/>
      <c r="H711" s="140"/>
      <c r="I711" s="140"/>
      <c r="J711" s="140"/>
      <c r="K711" s="140"/>
      <c r="L711" s="140"/>
      <c r="M711" s="140"/>
      <c r="N711" s="140"/>
      <c r="O711" s="140"/>
      <c r="P711" s="140"/>
      <c r="Q711" s="140"/>
      <c r="R711" s="140"/>
    </row>
    <row r="712">
      <c r="A712" s="140"/>
      <c r="B712" s="140"/>
      <c r="C712" s="140"/>
      <c r="D712" s="140"/>
      <c r="E712" s="140"/>
      <c r="F712" s="205"/>
      <c r="G712" s="140"/>
      <c r="H712" s="140"/>
      <c r="I712" s="140"/>
      <c r="J712" s="140"/>
      <c r="K712" s="140"/>
      <c r="L712" s="140"/>
      <c r="M712" s="140"/>
      <c r="N712" s="140"/>
      <c r="O712" s="140"/>
      <c r="P712" s="140"/>
      <c r="Q712" s="140"/>
      <c r="R712" s="140"/>
    </row>
    <row r="713">
      <c r="A713" s="140"/>
      <c r="B713" s="140"/>
      <c r="C713" s="140"/>
      <c r="D713" s="140"/>
      <c r="E713" s="140"/>
      <c r="F713" s="205"/>
      <c r="G713" s="140"/>
      <c r="H713" s="140"/>
      <c r="I713" s="140"/>
      <c r="J713" s="140"/>
      <c r="K713" s="140"/>
      <c r="L713" s="140"/>
      <c r="M713" s="140"/>
      <c r="N713" s="140"/>
      <c r="O713" s="140"/>
      <c r="P713" s="140"/>
      <c r="Q713" s="140"/>
      <c r="R713" s="140"/>
    </row>
    <row r="714">
      <c r="A714" s="140"/>
      <c r="B714" s="140"/>
      <c r="C714" s="140"/>
      <c r="D714" s="140"/>
      <c r="E714" s="140"/>
      <c r="F714" s="205"/>
      <c r="G714" s="140"/>
      <c r="H714" s="140"/>
      <c r="I714" s="140"/>
      <c r="J714" s="140"/>
      <c r="K714" s="140"/>
      <c r="L714" s="140"/>
      <c r="M714" s="140"/>
      <c r="N714" s="140"/>
      <c r="O714" s="140"/>
      <c r="P714" s="140"/>
      <c r="Q714" s="140"/>
      <c r="R714" s="140"/>
    </row>
    <row r="715">
      <c r="A715" s="140"/>
      <c r="B715" s="140"/>
      <c r="C715" s="140"/>
      <c r="D715" s="140"/>
      <c r="E715" s="140"/>
      <c r="F715" s="205"/>
      <c r="G715" s="140"/>
      <c r="H715" s="140"/>
      <c r="I715" s="140"/>
      <c r="J715" s="140"/>
      <c r="K715" s="140"/>
      <c r="L715" s="140"/>
      <c r="M715" s="140"/>
      <c r="N715" s="140"/>
      <c r="O715" s="140"/>
      <c r="P715" s="140"/>
      <c r="Q715" s="140"/>
      <c r="R715" s="140"/>
    </row>
    <row r="716">
      <c r="A716" s="140"/>
      <c r="B716" s="140"/>
      <c r="C716" s="140"/>
      <c r="D716" s="140"/>
      <c r="E716" s="140"/>
      <c r="F716" s="205"/>
      <c r="G716" s="140"/>
      <c r="H716" s="140"/>
      <c r="I716" s="140"/>
      <c r="J716" s="140"/>
      <c r="K716" s="140"/>
      <c r="L716" s="140"/>
      <c r="M716" s="140"/>
      <c r="N716" s="140"/>
      <c r="O716" s="140"/>
      <c r="P716" s="140"/>
      <c r="Q716" s="140"/>
      <c r="R716" s="140"/>
    </row>
    <row r="717">
      <c r="A717" s="140"/>
      <c r="B717" s="140"/>
      <c r="C717" s="140"/>
      <c r="D717" s="140"/>
      <c r="E717" s="140"/>
      <c r="F717" s="205"/>
      <c r="G717" s="140"/>
      <c r="H717" s="140"/>
      <c r="I717" s="140"/>
      <c r="J717" s="140"/>
      <c r="K717" s="140"/>
      <c r="L717" s="140"/>
      <c r="M717" s="140"/>
      <c r="N717" s="140"/>
      <c r="O717" s="140"/>
      <c r="P717" s="140"/>
      <c r="Q717" s="140"/>
      <c r="R717" s="140"/>
    </row>
    <row r="718">
      <c r="A718" s="140"/>
      <c r="B718" s="140"/>
      <c r="C718" s="140"/>
      <c r="D718" s="140"/>
      <c r="E718" s="140"/>
      <c r="F718" s="205"/>
      <c r="G718" s="140"/>
      <c r="H718" s="140"/>
      <c r="I718" s="140"/>
      <c r="J718" s="140"/>
      <c r="K718" s="140"/>
      <c r="L718" s="140"/>
      <c r="M718" s="140"/>
      <c r="N718" s="140"/>
      <c r="O718" s="140"/>
      <c r="P718" s="140"/>
      <c r="Q718" s="140"/>
      <c r="R718" s="140"/>
    </row>
    <row r="719">
      <c r="A719" s="140"/>
      <c r="B719" s="140"/>
      <c r="C719" s="140"/>
      <c r="D719" s="140"/>
      <c r="E719" s="140"/>
      <c r="F719" s="205"/>
      <c r="G719" s="140"/>
      <c r="H719" s="140"/>
      <c r="I719" s="140"/>
      <c r="J719" s="140"/>
      <c r="K719" s="140"/>
      <c r="L719" s="140"/>
      <c r="M719" s="140"/>
      <c r="N719" s="140"/>
      <c r="O719" s="140"/>
      <c r="P719" s="140"/>
      <c r="Q719" s="140"/>
      <c r="R719" s="140"/>
    </row>
    <row r="720">
      <c r="A720" s="140"/>
      <c r="B720" s="140"/>
      <c r="C720" s="140"/>
      <c r="D720" s="140"/>
      <c r="E720" s="140"/>
      <c r="F720" s="205"/>
      <c r="G720" s="140"/>
      <c r="H720" s="140"/>
      <c r="I720" s="140"/>
      <c r="J720" s="140"/>
      <c r="K720" s="140"/>
      <c r="L720" s="140"/>
      <c r="M720" s="140"/>
      <c r="N720" s="140"/>
      <c r="O720" s="140"/>
      <c r="P720" s="140"/>
      <c r="Q720" s="140"/>
      <c r="R720" s="140"/>
    </row>
    <row r="721">
      <c r="A721" s="140"/>
      <c r="B721" s="140"/>
      <c r="C721" s="140"/>
      <c r="D721" s="140"/>
      <c r="E721" s="140"/>
      <c r="F721" s="205"/>
      <c r="G721" s="140"/>
      <c r="H721" s="140"/>
      <c r="I721" s="140"/>
      <c r="J721" s="140"/>
      <c r="K721" s="140"/>
      <c r="L721" s="140"/>
      <c r="M721" s="140"/>
      <c r="N721" s="140"/>
      <c r="O721" s="140"/>
      <c r="P721" s="140"/>
      <c r="Q721" s="140"/>
      <c r="R721" s="140"/>
    </row>
    <row r="722">
      <c r="A722" s="140"/>
      <c r="B722" s="140"/>
      <c r="C722" s="140"/>
      <c r="D722" s="140"/>
      <c r="E722" s="140"/>
      <c r="F722" s="205"/>
      <c r="G722" s="140"/>
      <c r="H722" s="140"/>
      <c r="I722" s="140"/>
      <c r="J722" s="140"/>
      <c r="K722" s="140"/>
      <c r="L722" s="140"/>
      <c r="M722" s="140"/>
      <c r="N722" s="140"/>
      <c r="O722" s="140"/>
      <c r="P722" s="140"/>
      <c r="Q722" s="140"/>
      <c r="R722" s="140"/>
    </row>
    <row r="723">
      <c r="A723" s="140"/>
      <c r="B723" s="140"/>
      <c r="C723" s="140"/>
      <c r="D723" s="140"/>
      <c r="E723" s="140"/>
      <c r="F723" s="205"/>
      <c r="G723" s="140"/>
      <c r="H723" s="140"/>
      <c r="I723" s="140"/>
      <c r="J723" s="140"/>
      <c r="K723" s="140"/>
      <c r="L723" s="140"/>
      <c r="M723" s="140"/>
      <c r="N723" s="140"/>
      <c r="O723" s="140"/>
      <c r="P723" s="140"/>
      <c r="Q723" s="140"/>
      <c r="R723" s="140"/>
    </row>
    <row r="724">
      <c r="A724" s="140"/>
      <c r="B724" s="140"/>
      <c r="C724" s="140"/>
      <c r="D724" s="140"/>
      <c r="E724" s="140"/>
      <c r="F724" s="205"/>
      <c r="G724" s="140"/>
      <c r="H724" s="140"/>
      <c r="I724" s="140"/>
      <c r="J724" s="140"/>
      <c r="K724" s="140"/>
      <c r="L724" s="140"/>
      <c r="M724" s="140"/>
      <c r="N724" s="140"/>
      <c r="O724" s="140"/>
      <c r="P724" s="140"/>
      <c r="Q724" s="140"/>
      <c r="R724" s="140"/>
    </row>
    <row r="725">
      <c r="A725" s="140"/>
      <c r="B725" s="140"/>
      <c r="C725" s="140"/>
      <c r="D725" s="140"/>
      <c r="E725" s="140"/>
      <c r="F725" s="205"/>
      <c r="G725" s="140"/>
      <c r="H725" s="140"/>
      <c r="I725" s="140"/>
      <c r="J725" s="140"/>
      <c r="K725" s="140"/>
      <c r="L725" s="140"/>
      <c r="M725" s="140"/>
      <c r="N725" s="140"/>
      <c r="O725" s="140"/>
      <c r="P725" s="140"/>
      <c r="Q725" s="140"/>
      <c r="R725" s="140"/>
    </row>
    <row r="726">
      <c r="A726" s="140"/>
      <c r="B726" s="140"/>
      <c r="C726" s="140"/>
      <c r="D726" s="140"/>
      <c r="E726" s="140"/>
      <c r="F726" s="205"/>
      <c r="G726" s="140"/>
      <c r="H726" s="140"/>
      <c r="I726" s="140"/>
      <c r="J726" s="140"/>
      <c r="K726" s="140"/>
      <c r="L726" s="140"/>
      <c r="M726" s="140"/>
      <c r="N726" s="140"/>
      <c r="O726" s="140"/>
      <c r="P726" s="140"/>
      <c r="Q726" s="140"/>
      <c r="R726" s="140"/>
    </row>
    <row r="727">
      <c r="A727" s="140"/>
      <c r="B727" s="140"/>
      <c r="C727" s="140"/>
      <c r="D727" s="140"/>
      <c r="E727" s="140"/>
      <c r="F727" s="205"/>
      <c r="G727" s="140"/>
      <c r="H727" s="140"/>
      <c r="I727" s="140"/>
      <c r="J727" s="140"/>
      <c r="K727" s="140"/>
      <c r="L727" s="140"/>
      <c r="M727" s="140"/>
      <c r="N727" s="140"/>
      <c r="O727" s="140"/>
      <c r="P727" s="140"/>
      <c r="Q727" s="140"/>
      <c r="R727" s="140"/>
    </row>
    <row r="728">
      <c r="A728" s="140"/>
      <c r="B728" s="140"/>
      <c r="C728" s="140"/>
      <c r="D728" s="140"/>
      <c r="E728" s="140"/>
      <c r="F728" s="205"/>
      <c r="G728" s="140"/>
      <c r="H728" s="140"/>
      <c r="I728" s="140"/>
      <c r="J728" s="140"/>
      <c r="K728" s="140"/>
      <c r="L728" s="140"/>
      <c r="M728" s="140"/>
      <c r="N728" s="140"/>
      <c r="O728" s="140"/>
      <c r="P728" s="140"/>
      <c r="Q728" s="140"/>
      <c r="R728" s="140"/>
    </row>
    <row r="729">
      <c r="A729" s="140"/>
      <c r="B729" s="140"/>
      <c r="C729" s="140"/>
      <c r="D729" s="140"/>
      <c r="E729" s="140"/>
      <c r="F729" s="205"/>
      <c r="G729" s="140"/>
      <c r="H729" s="140"/>
      <c r="I729" s="140"/>
      <c r="J729" s="140"/>
      <c r="K729" s="140"/>
      <c r="L729" s="140"/>
      <c r="M729" s="140"/>
      <c r="N729" s="140"/>
      <c r="O729" s="140"/>
      <c r="P729" s="140"/>
      <c r="Q729" s="140"/>
      <c r="R729" s="140"/>
    </row>
    <row r="730">
      <c r="A730" s="140"/>
      <c r="B730" s="140"/>
      <c r="C730" s="140"/>
      <c r="D730" s="140"/>
      <c r="E730" s="140"/>
      <c r="F730" s="205"/>
      <c r="G730" s="140"/>
      <c r="H730" s="140"/>
      <c r="I730" s="140"/>
      <c r="J730" s="140"/>
      <c r="K730" s="140"/>
      <c r="L730" s="140"/>
      <c r="M730" s="140"/>
      <c r="N730" s="140"/>
      <c r="O730" s="140"/>
      <c r="P730" s="140"/>
      <c r="Q730" s="140"/>
      <c r="R730" s="140"/>
    </row>
    <row r="731">
      <c r="A731" s="140"/>
      <c r="B731" s="140"/>
      <c r="C731" s="140"/>
      <c r="D731" s="140"/>
      <c r="E731" s="140"/>
      <c r="F731" s="205"/>
      <c r="G731" s="140"/>
      <c r="H731" s="140"/>
      <c r="I731" s="140"/>
      <c r="J731" s="140"/>
      <c r="K731" s="140"/>
      <c r="L731" s="140"/>
      <c r="M731" s="140"/>
      <c r="N731" s="140"/>
      <c r="O731" s="140"/>
      <c r="P731" s="140"/>
      <c r="Q731" s="140"/>
      <c r="R731" s="140"/>
    </row>
    <row r="732">
      <c r="A732" s="140"/>
      <c r="B732" s="140"/>
      <c r="C732" s="140"/>
      <c r="D732" s="140"/>
      <c r="E732" s="140"/>
      <c r="F732" s="205"/>
      <c r="G732" s="140"/>
      <c r="H732" s="140"/>
      <c r="I732" s="140"/>
      <c r="J732" s="140"/>
      <c r="K732" s="140"/>
      <c r="L732" s="140"/>
      <c r="M732" s="140"/>
      <c r="N732" s="140"/>
      <c r="O732" s="140"/>
      <c r="P732" s="140"/>
      <c r="Q732" s="140"/>
      <c r="R732" s="140"/>
    </row>
    <row r="733">
      <c r="A733" s="140"/>
      <c r="B733" s="140"/>
      <c r="C733" s="140"/>
      <c r="D733" s="140"/>
      <c r="E733" s="140"/>
      <c r="F733" s="205"/>
      <c r="G733" s="140"/>
      <c r="H733" s="140"/>
      <c r="I733" s="140"/>
      <c r="J733" s="140"/>
      <c r="K733" s="140"/>
      <c r="L733" s="140"/>
      <c r="M733" s="140"/>
      <c r="N733" s="140"/>
      <c r="O733" s="140"/>
      <c r="P733" s="140"/>
      <c r="Q733" s="140"/>
      <c r="R733" s="140"/>
    </row>
    <row r="734">
      <c r="A734" s="140"/>
      <c r="B734" s="140"/>
      <c r="C734" s="140"/>
      <c r="D734" s="140"/>
      <c r="E734" s="140"/>
      <c r="F734" s="205"/>
      <c r="G734" s="140"/>
      <c r="H734" s="140"/>
      <c r="I734" s="140"/>
      <c r="J734" s="140"/>
      <c r="K734" s="140"/>
      <c r="L734" s="140"/>
      <c r="M734" s="140"/>
      <c r="N734" s="140"/>
      <c r="O734" s="140"/>
      <c r="P734" s="140"/>
      <c r="Q734" s="140"/>
      <c r="R734" s="140"/>
    </row>
    <row r="735">
      <c r="A735" s="140"/>
      <c r="B735" s="140"/>
      <c r="C735" s="140"/>
      <c r="D735" s="140"/>
      <c r="E735" s="140"/>
      <c r="F735" s="205"/>
      <c r="G735" s="140"/>
      <c r="H735" s="140"/>
      <c r="I735" s="140"/>
      <c r="J735" s="140"/>
      <c r="K735" s="140"/>
      <c r="L735" s="140"/>
      <c r="M735" s="140"/>
      <c r="N735" s="140"/>
      <c r="O735" s="140"/>
      <c r="P735" s="140"/>
      <c r="Q735" s="140"/>
      <c r="R735" s="140"/>
    </row>
    <row r="736">
      <c r="A736" s="140"/>
      <c r="B736" s="140"/>
      <c r="C736" s="140"/>
      <c r="D736" s="140"/>
      <c r="E736" s="140"/>
      <c r="F736" s="205"/>
      <c r="G736" s="140"/>
      <c r="H736" s="140"/>
      <c r="I736" s="140"/>
      <c r="J736" s="140"/>
      <c r="K736" s="140"/>
      <c r="L736" s="140"/>
      <c r="M736" s="140"/>
      <c r="N736" s="140"/>
      <c r="O736" s="140"/>
      <c r="P736" s="140"/>
      <c r="Q736" s="140"/>
      <c r="R736" s="140"/>
    </row>
    <row r="737">
      <c r="A737" s="140"/>
      <c r="B737" s="140"/>
      <c r="C737" s="140"/>
      <c r="D737" s="140"/>
      <c r="E737" s="140"/>
      <c r="F737" s="205"/>
      <c r="G737" s="140"/>
      <c r="H737" s="140"/>
      <c r="I737" s="140"/>
      <c r="J737" s="140"/>
      <c r="K737" s="140"/>
      <c r="L737" s="140"/>
      <c r="M737" s="140"/>
      <c r="N737" s="140"/>
      <c r="O737" s="140"/>
      <c r="P737" s="140"/>
      <c r="Q737" s="140"/>
      <c r="R737" s="140"/>
    </row>
    <row r="738">
      <c r="A738" s="140"/>
      <c r="B738" s="140"/>
      <c r="C738" s="140"/>
      <c r="D738" s="140"/>
      <c r="E738" s="140"/>
      <c r="F738" s="205"/>
      <c r="G738" s="140"/>
      <c r="H738" s="140"/>
      <c r="I738" s="140"/>
      <c r="J738" s="140"/>
      <c r="K738" s="140"/>
      <c r="L738" s="140"/>
      <c r="M738" s="140"/>
      <c r="N738" s="140"/>
      <c r="O738" s="140"/>
      <c r="P738" s="140"/>
      <c r="Q738" s="140"/>
      <c r="R738" s="140"/>
    </row>
    <row r="739">
      <c r="A739" s="140"/>
      <c r="B739" s="140"/>
      <c r="C739" s="140"/>
      <c r="D739" s="140"/>
      <c r="E739" s="140"/>
      <c r="F739" s="205"/>
      <c r="G739" s="140"/>
      <c r="H739" s="140"/>
      <c r="I739" s="140"/>
      <c r="J739" s="140"/>
      <c r="K739" s="140"/>
      <c r="L739" s="140"/>
      <c r="M739" s="140"/>
      <c r="N739" s="140"/>
      <c r="O739" s="140"/>
      <c r="P739" s="140"/>
      <c r="Q739" s="140"/>
      <c r="R739" s="140"/>
    </row>
    <row r="740">
      <c r="A740" s="140"/>
      <c r="B740" s="140"/>
      <c r="C740" s="140"/>
      <c r="D740" s="140"/>
      <c r="E740" s="140"/>
      <c r="F740" s="205"/>
      <c r="G740" s="140"/>
      <c r="H740" s="140"/>
      <c r="I740" s="140"/>
      <c r="J740" s="140"/>
      <c r="K740" s="140"/>
      <c r="L740" s="140"/>
      <c r="M740" s="140"/>
      <c r="N740" s="140"/>
      <c r="O740" s="140"/>
      <c r="P740" s="140"/>
      <c r="Q740" s="140"/>
      <c r="R740" s="140"/>
    </row>
    <row r="741">
      <c r="A741" s="140"/>
      <c r="B741" s="140"/>
      <c r="C741" s="140"/>
      <c r="D741" s="140"/>
      <c r="E741" s="140"/>
      <c r="F741" s="205"/>
      <c r="G741" s="140"/>
      <c r="H741" s="140"/>
      <c r="I741" s="140"/>
      <c r="J741" s="140"/>
      <c r="K741" s="140"/>
      <c r="L741" s="140"/>
      <c r="M741" s="140"/>
      <c r="N741" s="140"/>
      <c r="O741" s="140"/>
      <c r="P741" s="140"/>
      <c r="Q741" s="140"/>
      <c r="R741" s="140"/>
    </row>
    <row r="742">
      <c r="A742" s="140"/>
      <c r="B742" s="140"/>
      <c r="C742" s="140"/>
      <c r="D742" s="140"/>
      <c r="E742" s="140"/>
      <c r="F742" s="205"/>
      <c r="G742" s="140"/>
      <c r="H742" s="140"/>
      <c r="I742" s="140"/>
      <c r="J742" s="140"/>
      <c r="K742" s="140"/>
      <c r="L742" s="140"/>
      <c r="M742" s="140"/>
      <c r="N742" s="140"/>
      <c r="O742" s="140"/>
      <c r="P742" s="140"/>
      <c r="Q742" s="140"/>
      <c r="R742" s="140"/>
    </row>
    <row r="743">
      <c r="A743" s="140"/>
      <c r="B743" s="140"/>
      <c r="C743" s="140"/>
      <c r="D743" s="140"/>
      <c r="E743" s="140"/>
      <c r="F743" s="205"/>
      <c r="G743" s="140"/>
      <c r="H743" s="140"/>
      <c r="I743" s="140"/>
      <c r="J743" s="140"/>
      <c r="K743" s="140"/>
      <c r="L743" s="140"/>
      <c r="M743" s="140"/>
      <c r="N743" s="140"/>
      <c r="O743" s="140"/>
      <c r="P743" s="140"/>
      <c r="Q743" s="140"/>
      <c r="R743" s="140"/>
    </row>
    <row r="744">
      <c r="A744" s="140"/>
      <c r="B744" s="140"/>
      <c r="C744" s="140"/>
      <c r="D744" s="140"/>
      <c r="E744" s="140"/>
      <c r="F744" s="205"/>
      <c r="G744" s="140"/>
      <c r="H744" s="140"/>
      <c r="I744" s="140"/>
      <c r="J744" s="140"/>
      <c r="K744" s="140"/>
      <c r="L744" s="140"/>
      <c r="M744" s="140"/>
      <c r="N744" s="140"/>
      <c r="O744" s="140"/>
      <c r="P744" s="140"/>
      <c r="Q744" s="140"/>
      <c r="R744" s="140"/>
    </row>
    <row r="745">
      <c r="A745" s="140"/>
      <c r="B745" s="140"/>
      <c r="C745" s="140"/>
      <c r="D745" s="140"/>
      <c r="E745" s="140"/>
      <c r="F745" s="205"/>
      <c r="G745" s="140"/>
      <c r="H745" s="140"/>
      <c r="I745" s="140"/>
      <c r="J745" s="140"/>
      <c r="K745" s="140"/>
      <c r="L745" s="140"/>
      <c r="M745" s="140"/>
      <c r="N745" s="140"/>
      <c r="O745" s="140"/>
      <c r="P745" s="140"/>
      <c r="Q745" s="140"/>
      <c r="R745" s="140"/>
    </row>
    <row r="746">
      <c r="A746" s="140"/>
      <c r="B746" s="140"/>
      <c r="C746" s="140"/>
      <c r="D746" s="140"/>
      <c r="E746" s="140"/>
      <c r="F746" s="205"/>
      <c r="G746" s="140"/>
      <c r="H746" s="140"/>
      <c r="I746" s="140"/>
      <c r="J746" s="140"/>
      <c r="K746" s="140"/>
      <c r="L746" s="140"/>
      <c r="M746" s="140"/>
      <c r="N746" s="140"/>
      <c r="O746" s="140"/>
      <c r="P746" s="140"/>
      <c r="Q746" s="140"/>
      <c r="R746" s="140"/>
    </row>
    <row r="747">
      <c r="A747" s="140"/>
      <c r="B747" s="140"/>
      <c r="C747" s="140"/>
      <c r="D747" s="140"/>
      <c r="E747" s="140"/>
      <c r="F747" s="205"/>
      <c r="G747" s="140"/>
      <c r="H747" s="140"/>
      <c r="I747" s="140"/>
      <c r="J747" s="140"/>
      <c r="K747" s="140"/>
      <c r="L747" s="140"/>
      <c r="M747" s="140"/>
      <c r="N747" s="140"/>
      <c r="O747" s="140"/>
      <c r="P747" s="140"/>
      <c r="Q747" s="140"/>
      <c r="R747" s="140"/>
    </row>
    <row r="748">
      <c r="A748" s="140"/>
      <c r="B748" s="140"/>
      <c r="C748" s="140"/>
      <c r="D748" s="140"/>
      <c r="E748" s="140"/>
      <c r="F748" s="205"/>
      <c r="G748" s="140"/>
      <c r="H748" s="140"/>
      <c r="I748" s="140"/>
      <c r="J748" s="140"/>
      <c r="K748" s="140"/>
      <c r="L748" s="140"/>
      <c r="M748" s="140"/>
      <c r="N748" s="140"/>
      <c r="O748" s="140"/>
      <c r="P748" s="140"/>
      <c r="Q748" s="140"/>
      <c r="R748" s="140"/>
    </row>
    <row r="749">
      <c r="A749" s="140"/>
      <c r="B749" s="140"/>
      <c r="C749" s="140"/>
      <c r="D749" s="140"/>
      <c r="E749" s="140"/>
      <c r="F749" s="205"/>
      <c r="G749" s="140"/>
      <c r="H749" s="140"/>
      <c r="I749" s="140"/>
      <c r="J749" s="140"/>
      <c r="K749" s="140"/>
      <c r="L749" s="140"/>
      <c r="M749" s="140"/>
      <c r="N749" s="140"/>
      <c r="O749" s="140"/>
      <c r="P749" s="140"/>
      <c r="Q749" s="140"/>
      <c r="R749" s="140"/>
    </row>
    <row r="750">
      <c r="A750" s="140"/>
      <c r="B750" s="140"/>
      <c r="C750" s="140"/>
      <c r="D750" s="140"/>
      <c r="E750" s="140"/>
      <c r="F750" s="205"/>
      <c r="G750" s="140"/>
      <c r="H750" s="140"/>
      <c r="I750" s="140"/>
      <c r="J750" s="140"/>
      <c r="K750" s="140"/>
      <c r="L750" s="140"/>
      <c r="M750" s="140"/>
      <c r="N750" s="140"/>
      <c r="O750" s="140"/>
      <c r="P750" s="140"/>
      <c r="Q750" s="140"/>
      <c r="R750" s="140"/>
    </row>
    <row r="751">
      <c r="A751" s="140"/>
      <c r="B751" s="140"/>
      <c r="C751" s="140"/>
      <c r="D751" s="140"/>
      <c r="E751" s="140"/>
      <c r="F751" s="205"/>
      <c r="G751" s="140"/>
      <c r="H751" s="140"/>
      <c r="I751" s="140"/>
      <c r="J751" s="140"/>
      <c r="K751" s="140"/>
      <c r="L751" s="140"/>
      <c r="M751" s="140"/>
      <c r="N751" s="140"/>
      <c r="O751" s="140"/>
      <c r="P751" s="140"/>
      <c r="Q751" s="140"/>
      <c r="R751" s="140"/>
    </row>
    <row r="752">
      <c r="A752" s="140"/>
      <c r="B752" s="140"/>
      <c r="C752" s="140"/>
      <c r="D752" s="140"/>
      <c r="E752" s="140"/>
      <c r="F752" s="205"/>
      <c r="G752" s="140"/>
      <c r="H752" s="140"/>
      <c r="I752" s="140"/>
      <c r="J752" s="140"/>
      <c r="K752" s="140"/>
      <c r="L752" s="140"/>
      <c r="M752" s="140"/>
      <c r="N752" s="140"/>
      <c r="O752" s="140"/>
      <c r="P752" s="140"/>
      <c r="Q752" s="140"/>
      <c r="R752" s="140"/>
    </row>
    <row r="753">
      <c r="A753" s="140"/>
      <c r="B753" s="140"/>
      <c r="C753" s="140"/>
      <c r="D753" s="140"/>
      <c r="E753" s="140"/>
      <c r="F753" s="205"/>
      <c r="G753" s="140"/>
      <c r="H753" s="140"/>
      <c r="I753" s="140"/>
      <c r="J753" s="140"/>
      <c r="K753" s="140"/>
      <c r="L753" s="140"/>
      <c r="M753" s="140"/>
      <c r="N753" s="140"/>
      <c r="O753" s="140"/>
      <c r="P753" s="140"/>
      <c r="Q753" s="140"/>
      <c r="R753" s="140"/>
    </row>
    <row r="754">
      <c r="A754" s="140"/>
      <c r="B754" s="140"/>
      <c r="C754" s="140"/>
      <c r="D754" s="140"/>
      <c r="E754" s="140"/>
      <c r="F754" s="205"/>
      <c r="G754" s="140"/>
      <c r="H754" s="140"/>
      <c r="I754" s="140"/>
      <c r="J754" s="140"/>
      <c r="K754" s="140"/>
      <c r="L754" s="140"/>
      <c r="M754" s="140"/>
      <c r="N754" s="140"/>
      <c r="O754" s="140"/>
      <c r="P754" s="140"/>
      <c r="Q754" s="140"/>
      <c r="R754" s="140"/>
    </row>
    <row r="755">
      <c r="A755" s="140"/>
      <c r="B755" s="140"/>
      <c r="C755" s="140"/>
      <c r="D755" s="140"/>
      <c r="E755" s="140"/>
      <c r="F755" s="205"/>
      <c r="G755" s="140"/>
      <c r="H755" s="140"/>
      <c r="I755" s="140"/>
      <c r="J755" s="140"/>
      <c r="K755" s="140"/>
      <c r="L755" s="140"/>
      <c r="M755" s="140"/>
      <c r="N755" s="140"/>
      <c r="O755" s="140"/>
      <c r="P755" s="140"/>
      <c r="Q755" s="140"/>
      <c r="R755" s="140"/>
    </row>
    <row r="756">
      <c r="A756" s="140"/>
      <c r="B756" s="140"/>
      <c r="C756" s="140"/>
      <c r="D756" s="140"/>
      <c r="E756" s="140"/>
      <c r="F756" s="205"/>
      <c r="G756" s="140"/>
      <c r="H756" s="140"/>
      <c r="I756" s="140"/>
      <c r="J756" s="140"/>
      <c r="K756" s="140"/>
      <c r="L756" s="140"/>
      <c r="M756" s="140"/>
      <c r="N756" s="140"/>
      <c r="O756" s="140"/>
      <c r="P756" s="140"/>
      <c r="Q756" s="140"/>
      <c r="R756" s="140"/>
    </row>
    <row r="757">
      <c r="A757" s="140"/>
      <c r="B757" s="140"/>
      <c r="C757" s="140"/>
      <c r="D757" s="140"/>
      <c r="E757" s="140"/>
      <c r="F757" s="205"/>
      <c r="G757" s="140"/>
      <c r="H757" s="140"/>
      <c r="I757" s="140"/>
      <c r="J757" s="140"/>
      <c r="K757" s="140"/>
      <c r="L757" s="140"/>
      <c r="M757" s="140"/>
      <c r="N757" s="140"/>
      <c r="O757" s="140"/>
      <c r="P757" s="140"/>
      <c r="Q757" s="140"/>
      <c r="R757" s="140"/>
    </row>
    <row r="758">
      <c r="A758" s="140"/>
      <c r="B758" s="140"/>
      <c r="C758" s="140"/>
      <c r="D758" s="140"/>
      <c r="E758" s="140"/>
      <c r="F758" s="205"/>
      <c r="G758" s="140"/>
      <c r="H758" s="140"/>
      <c r="I758" s="140"/>
      <c r="J758" s="140"/>
      <c r="K758" s="140"/>
      <c r="L758" s="140"/>
      <c r="M758" s="140"/>
      <c r="N758" s="140"/>
      <c r="O758" s="140"/>
      <c r="P758" s="140"/>
      <c r="Q758" s="140"/>
      <c r="R758" s="140"/>
    </row>
    <row r="759">
      <c r="A759" s="140"/>
      <c r="B759" s="140"/>
      <c r="C759" s="140"/>
      <c r="D759" s="140"/>
      <c r="E759" s="140"/>
      <c r="F759" s="205"/>
      <c r="G759" s="140"/>
      <c r="H759" s="140"/>
      <c r="I759" s="140"/>
      <c r="J759" s="140"/>
      <c r="K759" s="140"/>
      <c r="L759" s="140"/>
      <c r="M759" s="140"/>
      <c r="N759" s="140"/>
      <c r="O759" s="140"/>
      <c r="P759" s="140"/>
      <c r="Q759" s="140"/>
      <c r="R759" s="140"/>
    </row>
    <row r="760">
      <c r="A760" s="140"/>
      <c r="B760" s="140"/>
      <c r="C760" s="140"/>
      <c r="D760" s="140"/>
      <c r="E760" s="140"/>
      <c r="F760" s="205"/>
      <c r="G760" s="140"/>
      <c r="H760" s="140"/>
      <c r="I760" s="140"/>
      <c r="J760" s="140"/>
      <c r="K760" s="140"/>
      <c r="L760" s="140"/>
      <c r="M760" s="140"/>
      <c r="N760" s="140"/>
      <c r="O760" s="140"/>
      <c r="P760" s="140"/>
      <c r="Q760" s="140"/>
      <c r="R760" s="140"/>
    </row>
    <row r="761">
      <c r="A761" s="140"/>
      <c r="B761" s="140"/>
      <c r="C761" s="140"/>
      <c r="D761" s="140"/>
      <c r="E761" s="140"/>
      <c r="F761" s="205"/>
      <c r="G761" s="140"/>
      <c r="H761" s="140"/>
      <c r="I761" s="140"/>
      <c r="J761" s="140"/>
      <c r="K761" s="140"/>
      <c r="L761" s="140"/>
      <c r="M761" s="140"/>
      <c r="N761" s="140"/>
      <c r="O761" s="140"/>
      <c r="P761" s="140"/>
      <c r="Q761" s="140"/>
      <c r="R761" s="140"/>
    </row>
    <row r="762">
      <c r="A762" s="140"/>
      <c r="B762" s="140"/>
      <c r="C762" s="140"/>
      <c r="D762" s="140"/>
      <c r="E762" s="140"/>
      <c r="F762" s="205"/>
      <c r="G762" s="140"/>
      <c r="H762" s="140"/>
      <c r="I762" s="140"/>
      <c r="J762" s="140"/>
      <c r="K762" s="140"/>
      <c r="L762" s="140"/>
      <c r="M762" s="140"/>
      <c r="N762" s="140"/>
      <c r="O762" s="140"/>
      <c r="P762" s="140"/>
      <c r="Q762" s="140"/>
      <c r="R762" s="140"/>
    </row>
    <row r="763">
      <c r="A763" s="140"/>
      <c r="B763" s="140"/>
      <c r="C763" s="140"/>
      <c r="D763" s="140"/>
      <c r="E763" s="140"/>
      <c r="F763" s="205"/>
      <c r="G763" s="140"/>
      <c r="H763" s="140"/>
      <c r="I763" s="140"/>
      <c r="J763" s="140"/>
      <c r="K763" s="140"/>
      <c r="L763" s="140"/>
      <c r="M763" s="140"/>
      <c r="N763" s="140"/>
      <c r="O763" s="140"/>
      <c r="P763" s="140"/>
      <c r="Q763" s="140"/>
      <c r="R763" s="140"/>
    </row>
    <row r="764">
      <c r="A764" s="140"/>
      <c r="B764" s="140"/>
      <c r="C764" s="140"/>
      <c r="D764" s="140"/>
      <c r="E764" s="140"/>
      <c r="F764" s="205"/>
      <c r="G764" s="140"/>
      <c r="H764" s="140"/>
      <c r="I764" s="140"/>
      <c r="J764" s="140"/>
      <c r="K764" s="140"/>
      <c r="L764" s="140"/>
      <c r="M764" s="140"/>
      <c r="N764" s="140"/>
      <c r="O764" s="140"/>
      <c r="P764" s="140"/>
      <c r="Q764" s="140"/>
      <c r="R764" s="140"/>
    </row>
    <row r="765">
      <c r="A765" s="140"/>
      <c r="B765" s="140"/>
      <c r="C765" s="140"/>
      <c r="D765" s="140"/>
      <c r="E765" s="140"/>
      <c r="F765" s="205"/>
      <c r="G765" s="140"/>
      <c r="H765" s="140"/>
      <c r="I765" s="140"/>
      <c r="J765" s="140"/>
      <c r="K765" s="140"/>
      <c r="L765" s="140"/>
      <c r="M765" s="140"/>
      <c r="N765" s="140"/>
      <c r="O765" s="140"/>
      <c r="P765" s="140"/>
      <c r="Q765" s="140"/>
      <c r="R765" s="140"/>
    </row>
    <row r="766">
      <c r="A766" s="140"/>
      <c r="B766" s="140"/>
      <c r="C766" s="140"/>
      <c r="D766" s="140"/>
      <c r="E766" s="140"/>
      <c r="F766" s="205"/>
      <c r="G766" s="140"/>
      <c r="H766" s="140"/>
      <c r="I766" s="140"/>
      <c r="J766" s="140"/>
      <c r="K766" s="140"/>
      <c r="L766" s="140"/>
      <c r="M766" s="140"/>
      <c r="N766" s="140"/>
      <c r="O766" s="140"/>
      <c r="P766" s="140"/>
      <c r="Q766" s="140"/>
      <c r="R766" s="140"/>
    </row>
    <row r="767">
      <c r="A767" s="140"/>
      <c r="B767" s="140"/>
      <c r="C767" s="140"/>
      <c r="D767" s="140"/>
      <c r="E767" s="140"/>
      <c r="F767" s="205"/>
      <c r="G767" s="140"/>
      <c r="H767" s="140"/>
      <c r="I767" s="140"/>
      <c r="J767" s="140"/>
      <c r="K767" s="140"/>
      <c r="L767" s="140"/>
      <c r="M767" s="140"/>
      <c r="N767" s="140"/>
      <c r="O767" s="140"/>
      <c r="P767" s="140"/>
      <c r="Q767" s="140"/>
      <c r="R767" s="140"/>
    </row>
    <row r="768">
      <c r="A768" s="140"/>
      <c r="B768" s="140"/>
      <c r="C768" s="140"/>
      <c r="D768" s="140"/>
      <c r="E768" s="140"/>
      <c r="F768" s="205"/>
      <c r="G768" s="140"/>
      <c r="H768" s="140"/>
      <c r="I768" s="140"/>
      <c r="J768" s="140"/>
      <c r="K768" s="140"/>
      <c r="L768" s="140"/>
      <c r="M768" s="140"/>
      <c r="N768" s="140"/>
      <c r="O768" s="140"/>
      <c r="P768" s="140"/>
      <c r="Q768" s="140"/>
      <c r="R768" s="140"/>
    </row>
    <row r="769">
      <c r="A769" s="140"/>
      <c r="B769" s="140"/>
      <c r="C769" s="140"/>
      <c r="D769" s="140"/>
      <c r="E769" s="140"/>
      <c r="F769" s="205"/>
      <c r="G769" s="140"/>
      <c r="H769" s="140"/>
      <c r="I769" s="140"/>
      <c r="J769" s="140"/>
      <c r="K769" s="140"/>
      <c r="L769" s="140"/>
      <c r="M769" s="140"/>
      <c r="N769" s="140"/>
      <c r="O769" s="140"/>
      <c r="P769" s="140"/>
      <c r="Q769" s="140"/>
      <c r="R769" s="140"/>
    </row>
    <row r="770">
      <c r="A770" s="140"/>
      <c r="B770" s="140"/>
      <c r="C770" s="140"/>
      <c r="D770" s="140"/>
      <c r="E770" s="140"/>
      <c r="F770" s="205"/>
      <c r="G770" s="140"/>
      <c r="H770" s="140"/>
      <c r="I770" s="140"/>
      <c r="J770" s="140"/>
      <c r="K770" s="140"/>
      <c r="L770" s="140"/>
      <c r="M770" s="140"/>
      <c r="N770" s="140"/>
      <c r="O770" s="140"/>
      <c r="P770" s="140"/>
      <c r="Q770" s="140"/>
      <c r="R770" s="140"/>
    </row>
    <row r="771">
      <c r="A771" s="140"/>
      <c r="B771" s="140"/>
      <c r="C771" s="140"/>
      <c r="D771" s="140"/>
      <c r="E771" s="140"/>
      <c r="F771" s="205"/>
      <c r="G771" s="140"/>
      <c r="H771" s="140"/>
      <c r="I771" s="140"/>
      <c r="J771" s="140"/>
      <c r="K771" s="140"/>
      <c r="L771" s="140"/>
      <c r="M771" s="140"/>
      <c r="N771" s="140"/>
      <c r="O771" s="140"/>
      <c r="P771" s="140"/>
      <c r="Q771" s="140"/>
      <c r="R771" s="140"/>
    </row>
    <row r="772">
      <c r="A772" s="140"/>
      <c r="B772" s="140"/>
      <c r="C772" s="140"/>
      <c r="D772" s="140"/>
      <c r="E772" s="140"/>
      <c r="F772" s="205"/>
      <c r="G772" s="140"/>
      <c r="H772" s="140"/>
      <c r="I772" s="140"/>
      <c r="J772" s="140"/>
      <c r="K772" s="140"/>
      <c r="L772" s="140"/>
      <c r="M772" s="140"/>
      <c r="N772" s="140"/>
      <c r="O772" s="140"/>
      <c r="P772" s="140"/>
      <c r="Q772" s="140"/>
      <c r="R772" s="140"/>
    </row>
    <row r="773">
      <c r="A773" s="140"/>
      <c r="B773" s="140"/>
      <c r="C773" s="140"/>
      <c r="D773" s="140"/>
      <c r="E773" s="140"/>
      <c r="F773" s="205"/>
      <c r="G773" s="140"/>
      <c r="H773" s="140"/>
      <c r="I773" s="140"/>
      <c r="J773" s="140"/>
      <c r="K773" s="140"/>
      <c r="L773" s="140"/>
      <c r="M773" s="140"/>
      <c r="N773" s="140"/>
      <c r="O773" s="140"/>
      <c r="P773" s="140"/>
      <c r="Q773" s="140"/>
      <c r="R773" s="140"/>
    </row>
    <row r="774">
      <c r="A774" s="140"/>
      <c r="B774" s="140"/>
      <c r="C774" s="140"/>
      <c r="D774" s="140"/>
      <c r="E774" s="140"/>
      <c r="F774" s="205"/>
      <c r="G774" s="140"/>
      <c r="H774" s="140"/>
      <c r="I774" s="140"/>
      <c r="J774" s="140"/>
      <c r="K774" s="140"/>
      <c r="L774" s="140"/>
      <c r="M774" s="140"/>
      <c r="N774" s="140"/>
      <c r="O774" s="140"/>
      <c r="P774" s="140"/>
      <c r="Q774" s="140"/>
      <c r="R774" s="140"/>
    </row>
    <row r="775">
      <c r="A775" s="140"/>
      <c r="B775" s="140"/>
      <c r="C775" s="140"/>
      <c r="D775" s="140"/>
      <c r="E775" s="140"/>
      <c r="F775" s="205"/>
      <c r="G775" s="140"/>
      <c r="H775" s="140"/>
      <c r="I775" s="140"/>
      <c r="J775" s="140"/>
      <c r="K775" s="140"/>
      <c r="L775" s="140"/>
      <c r="M775" s="140"/>
      <c r="N775" s="140"/>
      <c r="O775" s="140"/>
      <c r="P775" s="140"/>
      <c r="Q775" s="140"/>
      <c r="R775" s="140"/>
    </row>
    <row r="776">
      <c r="A776" s="140"/>
      <c r="B776" s="140"/>
      <c r="C776" s="140"/>
      <c r="D776" s="140"/>
      <c r="E776" s="140"/>
      <c r="F776" s="205"/>
      <c r="G776" s="140"/>
      <c r="H776" s="140"/>
      <c r="I776" s="140"/>
      <c r="J776" s="140"/>
      <c r="K776" s="140"/>
      <c r="L776" s="140"/>
      <c r="M776" s="140"/>
      <c r="N776" s="140"/>
      <c r="O776" s="140"/>
      <c r="P776" s="140"/>
      <c r="Q776" s="140"/>
      <c r="R776" s="140"/>
    </row>
    <row r="777">
      <c r="A777" s="140"/>
      <c r="B777" s="140"/>
      <c r="C777" s="140"/>
      <c r="D777" s="140"/>
      <c r="E777" s="140"/>
      <c r="F777" s="205"/>
      <c r="G777" s="140"/>
      <c r="H777" s="140"/>
      <c r="I777" s="140"/>
      <c r="J777" s="140"/>
      <c r="K777" s="140"/>
      <c r="L777" s="140"/>
      <c r="M777" s="140"/>
      <c r="N777" s="140"/>
      <c r="O777" s="140"/>
      <c r="P777" s="140"/>
      <c r="Q777" s="140"/>
      <c r="R777" s="140"/>
    </row>
    <row r="778">
      <c r="A778" s="140"/>
      <c r="B778" s="140"/>
      <c r="C778" s="140"/>
      <c r="D778" s="140"/>
      <c r="E778" s="140"/>
      <c r="F778" s="205"/>
      <c r="G778" s="140"/>
      <c r="H778" s="140"/>
      <c r="I778" s="140"/>
      <c r="J778" s="140"/>
      <c r="K778" s="140"/>
      <c r="L778" s="140"/>
      <c r="M778" s="140"/>
      <c r="N778" s="140"/>
      <c r="O778" s="140"/>
      <c r="P778" s="140"/>
      <c r="Q778" s="140"/>
      <c r="R778" s="140"/>
    </row>
    <row r="779">
      <c r="A779" s="140"/>
      <c r="B779" s="140"/>
      <c r="C779" s="140"/>
      <c r="D779" s="140"/>
      <c r="E779" s="140"/>
      <c r="F779" s="205"/>
      <c r="G779" s="140"/>
      <c r="H779" s="140"/>
      <c r="I779" s="140"/>
      <c r="J779" s="140"/>
      <c r="K779" s="140"/>
      <c r="L779" s="140"/>
      <c r="M779" s="140"/>
      <c r="N779" s="140"/>
      <c r="O779" s="140"/>
      <c r="P779" s="140"/>
      <c r="Q779" s="140"/>
      <c r="R779" s="140"/>
    </row>
    <row r="780">
      <c r="A780" s="140"/>
      <c r="B780" s="140"/>
      <c r="C780" s="140"/>
      <c r="D780" s="140"/>
      <c r="E780" s="140"/>
      <c r="F780" s="205"/>
      <c r="G780" s="140"/>
      <c r="H780" s="140"/>
      <c r="I780" s="140"/>
      <c r="J780" s="140"/>
      <c r="K780" s="140"/>
      <c r="L780" s="140"/>
      <c r="M780" s="140"/>
      <c r="N780" s="140"/>
      <c r="O780" s="140"/>
      <c r="P780" s="140"/>
      <c r="Q780" s="140"/>
      <c r="R780" s="140"/>
    </row>
    <row r="781">
      <c r="A781" s="140"/>
      <c r="B781" s="140"/>
      <c r="C781" s="140"/>
      <c r="D781" s="140"/>
      <c r="E781" s="140"/>
      <c r="F781" s="205"/>
      <c r="G781" s="140"/>
      <c r="H781" s="140"/>
      <c r="I781" s="140"/>
      <c r="J781" s="140"/>
      <c r="K781" s="140"/>
      <c r="L781" s="140"/>
      <c r="M781" s="140"/>
      <c r="N781" s="140"/>
      <c r="O781" s="140"/>
      <c r="P781" s="140"/>
      <c r="Q781" s="140"/>
      <c r="R781" s="140"/>
    </row>
    <row r="782">
      <c r="A782" s="140"/>
      <c r="B782" s="140"/>
      <c r="C782" s="140"/>
      <c r="D782" s="140"/>
      <c r="E782" s="140"/>
      <c r="F782" s="205"/>
      <c r="G782" s="140"/>
      <c r="H782" s="140"/>
      <c r="I782" s="140"/>
      <c r="J782" s="140"/>
      <c r="K782" s="140"/>
      <c r="L782" s="140"/>
      <c r="M782" s="140"/>
      <c r="N782" s="140"/>
      <c r="O782" s="140"/>
      <c r="P782" s="140"/>
      <c r="Q782" s="140"/>
      <c r="R782" s="140"/>
    </row>
    <row r="783">
      <c r="A783" s="140"/>
      <c r="B783" s="140"/>
      <c r="C783" s="140"/>
      <c r="D783" s="140"/>
      <c r="E783" s="140"/>
      <c r="F783" s="205"/>
      <c r="G783" s="140"/>
      <c r="H783" s="140"/>
      <c r="I783" s="140"/>
      <c r="J783" s="140"/>
      <c r="K783" s="140"/>
      <c r="L783" s="140"/>
      <c r="M783" s="140"/>
      <c r="N783" s="140"/>
      <c r="O783" s="140"/>
      <c r="P783" s="140"/>
      <c r="Q783" s="140"/>
      <c r="R783" s="140"/>
    </row>
    <row r="784">
      <c r="A784" s="140"/>
      <c r="B784" s="140"/>
      <c r="C784" s="140"/>
      <c r="D784" s="140"/>
      <c r="E784" s="140"/>
      <c r="F784" s="205"/>
      <c r="G784" s="140"/>
      <c r="H784" s="140"/>
      <c r="I784" s="140"/>
      <c r="J784" s="140"/>
      <c r="K784" s="140"/>
      <c r="L784" s="140"/>
      <c r="M784" s="140"/>
      <c r="N784" s="140"/>
      <c r="O784" s="140"/>
      <c r="P784" s="140"/>
      <c r="Q784" s="140"/>
      <c r="R784" s="140"/>
    </row>
    <row r="785">
      <c r="A785" s="140"/>
      <c r="B785" s="140"/>
      <c r="C785" s="140"/>
      <c r="D785" s="140"/>
      <c r="E785" s="140"/>
      <c r="F785" s="205"/>
      <c r="G785" s="140"/>
      <c r="H785" s="140"/>
      <c r="I785" s="140"/>
      <c r="J785" s="140"/>
      <c r="K785" s="140"/>
      <c r="L785" s="140"/>
      <c r="M785" s="140"/>
      <c r="N785" s="140"/>
      <c r="O785" s="140"/>
      <c r="P785" s="140"/>
      <c r="Q785" s="140"/>
      <c r="R785" s="140"/>
    </row>
    <row r="786">
      <c r="A786" s="140"/>
      <c r="B786" s="140"/>
      <c r="C786" s="140"/>
      <c r="D786" s="140"/>
      <c r="E786" s="140"/>
      <c r="F786" s="205"/>
      <c r="G786" s="140"/>
      <c r="H786" s="140"/>
      <c r="I786" s="140"/>
      <c r="J786" s="140"/>
      <c r="K786" s="140"/>
      <c r="L786" s="140"/>
      <c r="M786" s="140"/>
      <c r="N786" s="140"/>
      <c r="O786" s="140"/>
      <c r="P786" s="140"/>
      <c r="Q786" s="140"/>
      <c r="R786" s="140"/>
    </row>
    <row r="787">
      <c r="A787" s="140"/>
      <c r="B787" s="140"/>
      <c r="C787" s="140"/>
      <c r="D787" s="140"/>
      <c r="E787" s="140"/>
      <c r="F787" s="205"/>
      <c r="G787" s="140"/>
      <c r="H787" s="140"/>
      <c r="I787" s="140"/>
      <c r="J787" s="140"/>
      <c r="K787" s="140"/>
      <c r="L787" s="140"/>
      <c r="M787" s="140"/>
      <c r="N787" s="140"/>
      <c r="O787" s="140"/>
      <c r="P787" s="140"/>
      <c r="Q787" s="140"/>
      <c r="R787" s="140"/>
    </row>
    <row r="788">
      <c r="A788" s="140"/>
      <c r="B788" s="140"/>
      <c r="C788" s="140"/>
      <c r="D788" s="140"/>
      <c r="E788" s="140"/>
      <c r="F788" s="205"/>
      <c r="G788" s="140"/>
      <c r="H788" s="140"/>
      <c r="I788" s="140"/>
      <c r="J788" s="140"/>
      <c r="K788" s="140"/>
      <c r="L788" s="140"/>
      <c r="M788" s="140"/>
      <c r="N788" s="140"/>
      <c r="O788" s="140"/>
      <c r="P788" s="140"/>
      <c r="Q788" s="140"/>
      <c r="R788" s="140"/>
    </row>
    <row r="789">
      <c r="A789" s="140"/>
      <c r="B789" s="140"/>
      <c r="C789" s="140"/>
      <c r="D789" s="140"/>
      <c r="E789" s="140"/>
      <c r="F789" s="205"/>
      <c r="G789" s="140"/>
      <c r="H789" s="140"/>
      <c r="I789" s="140"/>
      <c r="J789" s="140"/>
      <c r="K789" s="140"/>
      <c r="L789" s="140"/>
      <c r="M789" s="140"/>
      <c r="N789" s="140"/>
      <c r="O789" s="140"/>
      <c r="P789" s="140"/>
      <c r="Q789" s="140"/>
      <c r="R789" s="140"/>
    </row>
    <row r="790">
      <c r="A790" s="140"/>
      <c r="B790" s="140"/>
      <c r="C790" s="140"/>
      <c r="D790" s="140"/>
      <c r="E790" s="140"/>
      <c r="F790" s="205"/>
      <c r="G790" s="140"/>
      <c r="H790" s="140"/>
      <c r="I790" s="140"/>
      <c r="J790" s="140"/>
      <c r="K790" s="140"/>
      <c r="L790" s="140"/>
      <c r="M790" s="140"/>
      <c r="N790" s="140"/>
      <c r="O790" s="140"/>
      <c r="P790" s="140"/>
      <c r="Q790" s="140"/>
      <c r="R790" s="140"/>
    </row>
    <row r="791">
      <c r="A791" s="140"/>
      <c r="B791" s="140"/>
      <c r="C791" s="140"/>
      <c r="D791" s="140"/>
      <c r="E791" s="140"/>
      <c r="F791" s="205"/>
      <c r="G791" s="140"/>
      <c r="H791" s="140"/>
      <c r="I791" s="140"/>
      <c r="J791" s="140"/>
      <c r="K791" s="140"/>
      <c r="L791" s="140"/>
      <c r="M791" s="140"/>
      <c r="N791" s="140"/>
      <c r="O791" s="140"/>
      <c r="P791" s="140"/>
      <c r="Q791" s="140"/>
      <c r="R791" s="140"/>
    </row>
    <row r="792">
      <c r="A792" s="140"/>
      <c r="B792" s="140"/>
      <c r="C792" s="140"/>
      <c r="D792" s="140"/>
      <c r="E792" s="140"/>
      <c r="F792" s="205"/>
      <c r="G792" s="140"/>
      <c r="H792" s="140"/>
      <c r="I792" s="140"/>
      <c r="J792" s="140"/>
      <c r="K792" s="140"/>
      <c r="L792" s="140"/>
      <c r="M792" s="140"/>
      <c r="N792" s="140"/>
      <c r="O792" s="140"/>
      <c r="P792" s="140"/>
      <c r="Q792" s="140"/>
      <c r="R792" s="140"/>
    </row>
    <row r="793">
      <c r="A793" s="140"/>
      <c r="B793" s="140"/>
      <c r="C793" s="140"/>
      <c r="D793" s="140"/>
      <c r="E793" s="140"/>
      <c r="F793" s="205"/>
      <c r="G793" s="140"/>
      <c r="H793" s="140"/>
      <c r="I793" s="140"/>
      <c r="J793" s="140"/>
      <c r="K793" s="140"/>
      <c r="L793" s="140"/>
      <c r="M793" s="140"/>
      <c r="N793" s="140"/>
      <c r="O793" s="140"/>
      <c r="P793" s="140"/>
      <c r="Q793" s="140"/>
      <c r="R793" s="140"/>
    </row>
    <row r="794">
      <c r="A794" s="140"/>
      <c r="B794" s="140"/>
      <c r="C794" s="140"/>
      <c r="D794" s="140"/>
      <c r="E794" s="140"/>
      <c r="F794" s="205"/>
      <c r="G794" s="140"/>
      <c r="H794" s="140"/>
      <c r="I794" s="140"/>
      <c r="J794" s="140"/>
      <c r="K794" s="140"/>
      <c r="L794" s="140"/>
      <c r="M794" s="140"/>
      <c r="N794" s="140"/>
      <c r="O794" s="140"/>
      <c r="P794" s="140"/>
      <c r="Q794" s="140"/>
      <c r="R794" s="140"/>
    </row>
    <row r="795">
      <c r="A795" s="140"/>
      <c r="B795" s="140"/>
      <c r="C795" s="140"/>
      <c r="D795" s="140"/>
      <c r="E795" s="140"/>
      <c r="F795" s="205"/>
      <c r="G795" s="140"/>
      <c r="H795" s="140"/>
      <c r="I795" s="140"/>
      <c r="J795" s="140"/>
      <c r="K795" s="140"/>
      <c r="L795" s="140"/>
      <c r="M795" s="140"/>
      <c r="N795" s="140"/>
      <c r="O795" s="140"/>
      <c r="P795" s="140"/>
      <c r="Q795" s="140"/>
      <c r="R795" s="140"/>
    </row>
    <row r="796">
      <c r="A796" s="140"/>
      <c r="B796" s="140"/>
      <c r="C796" s="140"/>
      <c r="D796" s="140"/>
      <c r="E796" s="140"/>
      <c r="F796" s="205"/>
      <c r="G796" s="140"/>
      <c r="H796" s="140"/>
      <c r="I796" s="140"/>
      <c r="J796" s="140"/>
      <c r="K796" s="140"/>
      <c r="L796" s="140"/>
      <c r="M796" s="140"/>
      <c r="N796" s="140"/>
      <c r="O796" s="140"/>
      <c r="P796" s="140"/>
      <c r="Q796" s="140"/>
      <c r="R796" s="140"/>
    </row>
    <row r="797">
      <c r="A797" s="140"/>
      <c r="B797" s="140"/>
      <c r="C797" s="140"/>
      <c r="D797" s="140"/>
      <c r="E797" s="140"/>
      <c r="F797" s="205"/>
      <c r="G797" s="140"/>
      <c r="H797" s="140"/>
      <c r="I797" s="140"/>
      <c r="J797" s="140"/>
      <c r="K797" s="140"/>
      <c r="L797" s="140"/>
      <c r="M797" s="140"/>
      <c r="N797" s="140"/>
      <c r="O797" s="140"/>
      <c r="P797" s="140"/>
      <c r="Q797" s="140"/>
      <c r="R797" s="140"/>
    </row>
    <row r="798">
      <c r="A798" s="140"/>
      <c r="B798" s="140"/>
      <c r="C798" s="140"/>
      <c r="D798" s="140"/>
      <c r="E798" s="140"/>
      <c r="F798" s="205"/>
      <c r="G798" s="140"/>
      <c r="H798" s="140"/>
      <c r="I798" s="140"/>
      <c r="J798" s="140"/>
      <c r="K798" s="140"/>
      <c r="L798" s="140"/>
      <c r="M798" s="140"/>
      <c r="N798" s="140"/>
      <c r="O798" s="140"/>
      <c r="P798" s="140"/>
      <c r="Q798" s="140"/>
      <c r="R798" s="140"/>
    </row>
    <row r="799">
      <c r="A799" s="140"/>
      <c r="B799" s="140"/>
      <c r="C799" s="140"/>
      <c r="D799" s="140"/>
      <c r="E799" s="140"/>
      <c r="F799" s="205"/>
      <c r="G799" s="140"/>
      <c r="H799" s="140"/>
      <c r="I799" s="140"/>
      <c r="J799" s="140"/>
      <c r="K799" s="140"/>
      <c r="L799" s="140"/>
      <c r="M799" s="140"/>
      <c r="N799" s="140"/>
      <c r="O799" s="140"/>
      <c r="P799" s="140"/>
      <c r="Q799" s="140"/>
      <c r="R799" s="140"/>
    </row>
    <row r="800">
      <c r="A800" s="140"/>
      <c r="B800" s="140"/>
      <c r="C800" s="140"/>
      <c r="D800" s="140"/>
      <c r="E800" s="140"/>
      <c r="F800" s="205"/>
      <c r="G800" s="140"/>
      <c r="H800" s="140"/>
      <c r="I800" s="140"/>
      <c r="J800" s="140"/>
      <c r="K800" s="140"/>
      <c r="L800" s="140"/>
      <c r="M800" s="140"/>
      <c r="N800" s="140"/>
      <c r="O800" s="140"/>
      <c r="P800" s="140"/>
      <c r="Q800" s="140"/>
      <c r="R800" s="140"/>
    </row>
    <row r="801">
      <c r="A801" s="140"/>
      <c r="B801" s="140"/>
      <c r="C801" s="140"/>
      <c r="D801" s="140"/>
      <c r="E801" s="140"/>
      <c r="F801" s="205"/>
      <c r="G801" s="140"/>
      <c r="H801" s="140"/>
      <c r="I801" s="140"/>
      <c r="J801" s="140"/>
      <c r="K801" s="140"/>
      <c r="L801" s="140"/>
      <c r="M801" s="140"/>
      <c r="N801" s="140"/>
      <c r="O801" s="140"/>
      <c r="P801" s="140"/>
      <c r="Q801" s="140"/>
      <c r="R801" s="140"/>
    </row>
    <row r="802">
      <c r="A802" s="140"/>
      <c r="B802" s="140"/>
      <c r="C802" s="140"/>
      <c r="D802" s="140"/>
      <c r="E802" s="140"/>
      <c r="F802" s="205"/>
      <c r="G802" s="140"/>
      <c r="H802" s="140"/>
      <c r="I802" s="140"/>
      <c r="J802" s="140"/>
      <c r="K802" s="140"/>
      <c r="L802" s="140"/>
      <c r="M802" s="140"/>
      <c r="N802" s="140"/>
      <c r="O802" s="140"/>
      <c r="P802" s="140"/>
      <c r="Q802" s="140"/>
      <c r="R802" s="140"/>
    </row>
    <row r="803">
      <c r="A803" s="140"/>
      <c r="B803" s="140"/>
      <c r="C803" s="140"/>
      <c r="D803" s="140"/>
      <c r="E803" s="140"/>
      <c r="F803" s="205"/>
      <c r="G803" s="140"/>
      <c r="H803" s="140"/>
      <c r="I803" s="140"/>
      <c r="J803" s="140"/>
      <c r="K803" s="140"/>
      <c r="L803" s="140"/>
      <c r="M803" s="140"/>
      <c r="N803" s="140"/>
      <c r="O803" s="140"/>
      <c r="P803" s="140"/>
      <c r="Q803" s="140"/>
      <c r="R803" s="140"/>
    </row>
    <row r="804">
      <c r="A804" s="140"/>
      <c r="B804" s="140"/>
      <c r="C804" s="140"/>
      <c r="D804" s="140"/>
      <c r="E804" s="140"/>
      <c r="F804" s="205"/>
      <c r="G804" s="140"/>
      <c r="H804" s="140"/>
      <c r="I804" s="140"/>
      <c r="J804" s="140"/>
      <c r="K804" s="140"/>
      <c r="L804" s="140"/>
      <c r="M804" s="140"/>
      <c r="N804" s="140"/>
      <c r="O804" s="140"/>
      <c r="P804" s="140"/>
      <c r="Q804" s="140"/>
      <c r="R804" s="140"/>
    </row>
    <row r="805">
      <c r="A805" s="140"/>
      <c r="B805" s="140"/>
      <c r="C805" s="140"/>
      <c r="D805" s="140"/>
      <c r="E805" s="140"/>
      <c r="F805" s="205"/>
      <c r="G805" s="140"/>
      <c r="H805" s="140"/>
      <c r="I805" s="140"/>
      <c r="J805" s="140"/>
      <c r="K805" s="140"/>
      <c r="L805" s="140"/>
      <c r="M805" s="140"/>
      <c r="N805" s="140"/>
      <c r="O805" s="140"/>
      <c r="P805" s="140"/>
      <c r="Q805" s="140"/>
      <c r="R805" s="140"/>
    </row>
    <row r="806">
      <c r="A806" s="140"/>
      <c r="B806" s="140"/>
      <c r="C806" s="140"/>
      <c r="D806" s="140"/>
      <c r="E806" s="140"/>
      <c r="F806" s="205"/>
      <c r="G806" s="140"/>
      <c r="H806" s="140"/>
      <c r="I806" s="140"/>
      <c r="J806" s="140"/>
      <c r="K806" s="140"/>
      <c r="L806" s="140"/>
      <c r="M806" s="140"/>
      <c r="N806" s="140"/>
      <c r="O806" s="140"/>
      <c r="P806" s="140"/>
      <c r="Q806" s="140"/>
      <c r="R806" s="140"/>
    </row>
    <row r="807">
      <c r="A807" s="140"/>
      <c r="B807" s="140"/>
      <c r="C807" s="140"/>
      <c r="D807" s="140"/>
      <c r="E807" s="140"/>
      <c r="F807" s="205"/>
      <c r="G807" s="140"/>
      <c r="H807" s="140"/>
      <c r="I807" s="140"/>
      <c r="J807" s="140"/>
      <c r="K807" s="140"/>
      <c r="L807" s="140"/>
      <c r="M807" s="140"/>
      <c r="N807" s="140"/>
      <c r="O807" s="140"/>
      <c r="P807" s="140"/>
      <c r="Q807" s="140"/>
      <c r="R807" s="140"/>
    </row>
    <row r="808">
      <c r="A808" s="140"/>
      <c r="B808" s="140"/>
      <c r="C808" s="140"/>
      <c r="D808" s="140"/>
      <c r="E808" s="140"/>
      <c r="F808" s="205"/>
      <c r="G808" s="140"/>
      <c r="H808" s="140"/>
      <c r="I808" s="140"/>
      <c r="J808" s="140"/>
      <c r="K808" s="140"/>
      <c r="L808" s="140"/>
      <c r="M808" s="140"/>
      <c r="N808" s="140"/>
      <c r="O808" s="140"/>
      <c r="P808" s="140"/>
      <c r="Q808" s="140"/>
      <c r="R808" s="140"/>
    </row>
    <row r="809">
      <c r="A809" s="140"/>
      <c r="B809" s="140"/>
      <c r="C809" s="140"/>
      <c r="D809" s="140"/>
      <c r="E809" s="140"/>
      <c r="F809" s="205"/>
      <c r="G809" s="140"/>
      <c r="H809" s="140"/>
      <c r="I809" s="140"/>
      <c r="J809" s="140"/>
      <c r="K809" s="140"/>
      <c r="L809" s="140"/>
      <c r="M809" s="140"/>
      <c r="N809" s="140"/>
      <c r="O809" s="140"/>
      <c r="P809" s="140"/>
      <c r="Q809" s="140"/>
      <c r="R809" s="140"/>
    </row>
    <row r="810">
      <c r="A810" s="140"/>
      <c r="B810" s="140"/>
      <c r="C810" s="140"/>
      <c r="D810" s="140"/>
      <c r="E810" s="140"/>
      <c r="F810" s="205"/>
      <c r="G810" s="140"/>
      <c r="H810" s="140"/>
      <c r="I810" s="140"/>
      <c r="J810" s="140"/>
      <c r="K810" s="140"/>
      <c r="L810" s="140"/>
      <c r="M810" s="140"/>
      <c r="N810" s="140"/>
      <c r="O810" s="140"/>
      <c r="P810" s="140"/>
      <c r="Q810" s="140"/>
      <c r="R810" s="140"/>
    </row>
    <row r="811">
      <c r="A811" s="140"/>
      <c r="B811" s="140"/>
      <c r="C811" s="140"/>
      <c r="D811" s="140"/>
      <c r="E811" s="140"/>
      <c r="F811" s="205"/>
      <c r="G811" s="140"/>
      <c r="H811" s="140"/>
      <c r="I811" s="140"/>
      <c r="J811" s="140"/>
      <c r="K811" s="140"/>
      <c r="L811" s="140"/>
      <c r="M811" s="140"/>
      <c r="N811" s="140"/>
      <c r="O811" s="140"/>
      <c r="P811" s="140"/>
      <c r="Q811" s="140"/>
      <c r="R811" s="140"/>
    </row>
    <row r="812">
      <c r="A812" s="140"/>
      <c r="B812" s="140"/>
      <c r="C812" s="140"/>
      <c r="D812" s="140"/>
      <c r="E812" s="140"/>
      <c r="F812" s="205"/>
      <c r="G812" s="140"/>
      <c r="H812" s="140"/>
      <c r="I812" s="140"/>
      <c r="J812" s="140"/>
      <c r="K812" s="140"/>
      <c r="L812" s="140"/>
      <c r="M812" s="140"/>
      <c r="N812" s="140"/>
      <c r="O812" s="140"/>
      <c r="P812" s="140"/>
      <c r="Q812" s="140"/>
      <c r="R812" s="140"/>
    </row>
    <row r="813">
      <c r="A813" s="140"/>
      <c r="B813" s="140"/>
      <c r="C813" s="140"/>
      <c r="D813" s="140"/>
      <c r="E813" s="140"/>
      <c r="F813" s="205"/>
      <c r="G813" s="140"/>
      <c r="H813" s="140"/>
      <c r="I813" s="140"/>
      <c r="J813" s="140"/>
      <c r="K813" s="140"/>
      <c r="L813" s="140"/>
      <c r="M813" s="140"/>
      <c r="N813" s="140"/>
      <c r="O813" s="140"/>
      <c r="P813" s="140"/>
      <c r="Q813" s="140"/>
      <c r="R813" s="140"/>
    </row>
    <row r="814">
      <c r="A814" s="140"/>
      <c r="B814" s="140"/>
      <c r="C814" s="140"/>
      <c r="D814" s="140"/>
      <c r="E814" s="140"/>
      <c r="F814" s="205"/>
      <c r="G814" s="140"/>
      <c r="H814" s="140"/>
      <c r="I814" s="140"/>
      <c r="J814" s="140"/>
      <c r="K814" s="140"/>
      <c r="L814" s="140"/>
      <c r="M814" s="140"/>
      <c r="N814" s="140"/>
      <c r="O814" s="140"/>
      <c r="P814" s="140"/>
      <c r="Q814" s="140"/>
      <c r="R814" s="140"/>
    </row>
    <row r="815">
      <c r="A815" s="140"/>
      <c r="B815" s="140"/>
      <c r="C815" s="140"/>
      <c r="D815" s="140"/>
      <c r="E815" s="140"/>
      <c r="F815" s="205"/>
      <c r="G815" s="140"/>
      <c r="H815" s="140"/>
      <c r="I815" s="140"/>
      <c r="J815" s="140"/>
      <c r="K815" s="140"/>
      <c r="L815" s="140"/>
      <c r="M815" s="140"/>
      <c r="N815" s="140"/>
      <c r="O815" s="140"/>
      <c r="P815" s="140"/>
      <c r="Q815" s="140"/>
      <c r="R815" s="140"/>
    </row>
    <row r="816">
      <c r="A816" s="140"/>
      <c r="B816" s="140"/>
      <c r="C816" s="140"/>
      <c r="D816" s="140"/>
      <c r="E816" s="140"/>
      <c r="F816" s="205"/>
      <c r="G816" s="140"/>
      <c r="H816" s="140"/>
      <c r="I816" s="140"/>
      <c r="J816" s="140"/>
      <c r="K816" s="140"/>
      <c r="L816" s="140"/>
      <c r="M816" s="140"/>
      <c r="N816" s="140"/>
      <c r="O816" s="140"/>
      <c r="P816" s="140"/>
      <c r="Q816" s="140"/>
      <c r="R816" s="140"/>
    </row>
    <row r="817">
      <c r="A817" s="140"/>
      <c r="B817" s="140"/>
      <c r="C817" s="140"/>
      <c r="D817" s="140"/>
      <c r="E817" s="140"/>
      <c r="F817" s="205"/>
      <c r="G817" s="140"/>
      <c r="H817" s="140"/>
      <c r="I817" s="140"/>
      <c r="J817" s="140"/>
      <c r="K817" s="140"/>
      <c r="L817" s="140"/>
      <c r="M817" s="140"/>
      <c r="N817" s="140"/>
      <c r="O817" s="140"/>
      <c r="P817" s="140"/>
      <c r="Q817" s="140"/>
      <c r="R817" s="140"/>
    </row>
    <row r="818">
      <c r="A818" s="140"/>
      <c r="B818" s="140"/>
      <c r="C818" s="140"/>
      <c r="D818" s="140"/>
      <c r="E818" s="140"/>
      <c r="F818" s="205"/>
      <c r="G818" s="140"/>
      <c r="H818" s="140"/>
      <c r="I818" s="140"/>
      <c r="J818" s="140"/>
      <c r="K818" s="140"/>
      <c r="L818" s="140"/>
      <c r="M818" s="140"/>
      <c r="N818" s="140"/>
      <c r="O818" s="140"/>
      <c r="P818" s="140"/>
      <c r="Q818" s="140"/>
      <c r="R818" s="140"/>
    </row>
    <row r="819">
      <c r="A819" s="140"/>
      <c r="B819" s="140"/>
      <c r="C819" s="140"/>
      <c r="D819" s="140"/>
      <c r="E819" s="140"/>
      <c r="F819" s="205"/>
      <c r="G819" s="140"/>
      <c r="H819" s="140"/>
      <c r="I819" s="140"/>
      <c r="J819" s="140"/>
      <c r="K819" s="140"/>
      <c r="L819" s="140"/>
      <c r="M819" s="140"/>
      <c r="N819" s="140"/>
      <c r="O819" s="140"/>
      <c r="P819" s="140"/>
      <c r="Q819" s="140"/>
      <c r="R819" s="140"/>
    </row>
    <row r="820">
      <c r="A820" s="140"/>
      <c r="B820" s="140"/>
      <c r="C820" s="140"/>
      <c r="D820" s="140"/>
      <c r="E820" s="140"/>
      <c r="F820" s="205"/>
      <c r="G820" s="140"/>
      <c r="H820" s="140"/>
      <c r="I820" s="140"/>
      <c r="J820" s="140"/>
      <c r="K820" s="140"/>
      <c r="L820" s="140"/>
      <c r="M820" s="140"/>
      <c r="N820" s="140"/>
      <c r="O820" s="140"/>
      <c r="P820" s="140"/>
      <c r="Q820" s="140"/>
      <c r="R820" s="140"/>
    </row>
    <row r="821">
      <c r="A821" s="140"/>
      <c r="B821" s="140"/>
      <c r="C821" s="140"/>
      <c r="D821" s="140"/>
      <c r="E821" s="140"/>
      <c r="F821" s="205"/>
      <c r="G821" s="140"/>
      <c r="H821" s="140"/>
      <c r="I821" s="140"/>
      <c r="J821" s="140"/>
      <c r="K821" s="140"/>
      <c r="L821" s="140"/>
      <c r="M821" s="140"/>
      <c r="N821" s="140"/>
      <c r="O821" s="140"/>
      <c r="P821" s="140"/>
      <c r="Q821" s="140"/>
      <c r="R821" s="140"/>
    </row>
    <row r="822">
      <c r="A822" s="140"/>
      <c r="B822" s="140"/>
      <c r="C822" s="140"/>
      <c r="D822" s="140"/>
      <c r="E822" s="140"/>
      <c r="F822" s="205"/>
      <c r="G822" s="140"/>
      <c r="H822" s="140"/>
      <c r="I822" s="140"/>
      <c r="J822" s="140"/>
      <c r="K822" s="140"/>
      <c r="L822" s="140"/>
      <c r="M822" s="140"/>
      <c r="N822" s="140"/>
      <c r="O822" s="140"/>
      <c r="P822" s="140"/>
      <c r="Q822" s="140"/>
      <c r="R822" s="140"/>
    </row>
    <row r="823">
      <c r="A823" s="140"/>
      <c r="B823" s="140"/>
      <c r="C823" s="140"/>
      <c r="D823" s="140"/>
      <c r="E823" s="140"/>
      <c r="F823" s="205"/>
      <c r="G823" s="140"/>
      <c r="H823" s="140"/>
      <c r="I823" s="140"/>
      <c r="J823" s="140"/>
      <c r="K823" s="140"/>
      <c r="L823" s="140"/>
      <c r="M823" s="140"/>
      <c r="N823" s="140"/>
      <c r="O823" s="140"/>
      <c r="P823" s="140"/>
      <c r="Q823" s="140"/>
      <c r="R823" s="140"/>
    </row>
    <row r="824">
      <c r="A824" s="140"/>
      <c r="B824" s="140"/>
      <c r="C824" s="140"/>
      <c r="D824" s="140"/>
      <c r="E824" s="140"/>
      <c r="F824" s="205"/>
      <c r="G824" s="140"/>
      <c r="H824" s="140"/>
      <c r="I824" s="140"/>
      <c r="J824" s="140"/>
      <c r="K824" s="140"/>
      <c r="L824" s="140"/>
      <c r="M824" s="140"/>
      <c r="N824" s="140"/>
      <c r="O824" s="140"/>
      <c r="P824" s="140"/>
      <c r="Q824" s="140"/>
      <c r="R824" s="140"/>
    </row>
    <row r="825">
      <c r="A825" s="140"/>
      <c r="B825" s="140"/>
      <c r="C825" s="140"/>
      <c r="D825" s="140"/>
      <c r="E825" s="140"/>
      <c r="F825" s="205"/>
      <c r="G825" s="140"/>
      <c r="H825" s="140"/>
      <c r="I825" s="140"/>
      <c r="J825" s="140"/>
      <c r="K825" s="140"/>
      <c r="L825" s="140"/>
      <c r="M825" s="140"/>
      <c r="N825" s="140"/>
      <c r="O825" s="140"/>
      <c r="P825" s="140"/>
      <c r="Q825" s="140"/>
      <c r="R825" s="140"/>
    </row>
    <row r="826">
      <c r="A826" s="140"/>
      <c r="B826" s="140"/>
      <c r="C826" s="140"/>
      <c r="D826" s="140"/>
      <c r="E826" s="140"/>
      <c r="F826" s="205"/>
      <c r="G826" s="140"/>
      <c r="H826" s="140"/>
      <c r="I826" s="140"/>
      <c r="J826" s="140"/>
      <c r="K826" s="140"/>
      <c r="L826" s="140"/>
      <c r="M826" s="140"/>
      <c r="N826" s="140"/>
      <c r="O826" s="140"/>
      <c r="P826" s="140"/>
      <c r="Q826" s="140"/>
      <c r="R826" s="140"/>
    </row>
    <row r="827">
      <c r="A827" s="140"/>
      <c r="B827" s="140"/>
      <c r="C827" s="140"/>
      <c r="D827" s="140"/>
      <c r="E827" s="140"/>
      <c r="F827" s="205"/>
      <c r="G827" s="140"/>
      <c r="H827" s="140"/>
      <c r="I827" s="140"/>
      <c r="J827" s="140"/>
      <c r="K827" s="140"/>
      <c r="L827" s="140"/>
      <c r="M827" s="140"/>
      <c r="N827" s="140"/>
      <c r="O827" s="140"/>
      <c r="P827" s="140"/>
      <c r="Q827" s="140"/>
      <c r="R827" s="140"/>
    </row>
    <row r="828">
      <c r="A828" s="140"/>
      <c r="B828" s="140"/>
      <c r="C828" s="140"/>
      <c r="D828" s="140"/>
      <c r="E828" s="140"/>
      <c r="F828" s="205"/>
      <c r="G828" s="140"/>
      <c r="H828" s="140"/>
      <c r="I828" s="140"/>
      <c r="J828" s="140"/>
      <c r="K828" s="140"/>
      <c r="L828" s="140"/>
      <c r="M828" s="140"/>
      <c r="N828" s="140"/>
      <c r="O828" s="140"/>
      <c r="P828" s="140"/>
      <c r="Q828" s="140"/>
      <c r="R828" s="140"/>
    </row>
    <row r="829">
      <c r="A829" s="140"/>
      <c r="B829" s="140"/>
      <c r="C829" s="140"/>
      <c r="D829" s="140"/>
      <c r="E829" s="140"/>
      <c r="F829" s="205"/>
      <c r="G829" s="140"/>
      <c r="H829" s="140"/>
      <c r="I829" s="140"/>
      <c r="J829" s="140"/>
      <c r="K829" s="140"/>
      <c r="L829" s="140"/>
      <c r="M829" s="140"/>
      <c r="N829" s="140"/>
      <c r="O829" s="140"/>
      <c r="P829" s="140"/>
      <c r="Q829" s="140"/>
      <c r="R829" s="140"/>
    </row>
    <row r="830">
      <c r="A830" s="140"/>
      <c r="B830" s="140"/>
      <c r="C830" s="140"/>
      <c r="D830" s="140"/>
      <c r="E830" s="140"/>
      <c r="F830" s="205"/>
      <c r="G830" s="140"/>
      <c r="H830" s="140"/>
      <c r="I830" s="140"/>
      <c r="J830" s="140"/>
      <c r="K830" s="140"/>
      <c r="L830" s="140"/>
      <c r="M830" s="140"/>
      <c r="N830" s="140"/>
      <c r="O830" s="140"/>
      <c r="P830" s="140"/>
      <c r="Q830" s="140"/>
      <c r="R830" s="140"/>
    </row>
    <row r="831">
      <c r="A831" s="140"/>
      <c r="B831" s="140"/>
      <c r="C831" s="140"/>
      <c r="D831" s="140"/>
      <c r="E831" s="140"/>
      <c r="F831" s="205"/>
      <c r="G831" s="140"/>
      <c r="H831" s="140"/>
      <c r="I831" s="140"/>
      <c r="J831" s="140"/>
      <c r="K831" s="140"/>
      <c r="L831" s="140"/>
      <c r="M831" s="140"/>
      <c r="N831" s="140"/>
      <c r="O831" s="140"/>
      <c r="P831" s="140"/>
      <c r="Q831" s="140"/>
      <c r="R831" s="140"/>
    </row>
    <row r="832">
      <c r="A832" s="140"/>
      <c r="B832" s="140"/>
      <c r="C832" s="140"/>
      <c r="D832" s="140"/>
      <c r="E832" s="140"/>
      <c r="F832" s="205"/>
      <c r="G832" s="140"/>
      <c r="H832" s="140"/>
      <c r="I832" s="140"/>
      <c r="J832" s="140"/>
      <c r="K832" s="140"/>
      <c r="L832" s="140"/>
      <c r="M832" s="140"/>
      <c r="N832" s="140"/>
      <c r="O832" s="140"/>
      <c r="P832" s="140"/>
      <c r="Q832" s="140"/>
      <c r="R832" s="140"/>
    </row>
    <row r="833">
      <c r="A833" s="140"/>
      <c r="B833" s="140"/>
      <c r="C833" s="140"/>
      <c r="D833" s="140"/>
      <c r="E833" s="140"/>
      <c r="F833" s="205"/>
      <c r="G833" s="140"/>
      <c r="H833" s="140"/>
      <c r="I833" s="140"/>
      <c r="J833" s="140"/>
      <c r="K833" s="140"/>
      <c r="L833" s="140"/>
      <c r="M833" s="140"/>
      <c r="N833" s="140"/>
      <c r="O833" s="140"/>
      <c r="P833" s="140"/>
      <c r="Q833" s="140"/>
      <c r="R833" s="140"/>
    </row>
    <row r="834">
      <c r="A834" s="140"/>
      <c r="B834" s="140"/>
      <c r="C834" s="140"/>
      <c r="D834" s="140"/>
      <c r="E834" s="140"/>
      <c r="F834" s="205"/>
      <c r="G834" s="140"/>
      <c r="H834" s="140"/>
      <c r="I834" s="140"/>
      <c r="J834" s="140"/>
      <c r="K834" s="140"/>
      <c r="L834" s="140"/>
      <c r="M834" s="140"/>
      <c r="N834" s="140"/>
      <c r="O834" s="140"/>
      <c r="P834" s="140"/>
      <c r="Q834" s="140"/>
      <c r="R834" s="140"/>
    </row>
    <row r="835">
      <c r="A835" s="140"/>
      <c r="B835" s="140"/>
      <c r="C835" s="140"/>
      <c r="D835" s="140"/>
      <c r="E835" s="140"/>
      <c r="F835" s="205"/>
      <c r="G835" s="140"/>
      <c r="H835" s="140"/>
      <c r="I835" s="140"/>
      <c r="J835" s="140"/>
      <c r="K835" s="140"/>
      <c r="L835" s="140"/>
      <c r="M835" s="140"/>
      <c r="N835" s="140"/>
      <c r="O835" s="140"/>
      <c r="P835" s="140"/>
      <c r="Q835" s="140"/>
      <c r="R835" s="140"/>
    </row>
    <row r="836">
      <c r="A836" s="140"/>
      <c r="B836" s="140"/>
      <c r="C836" s="140"/>
      <c r="D836" s="140"/>
      <c r="E836" s="140"/>
      <c r="F836" s="205"/>
      <c r="G836" s="140"/>
      <c r="H836" s="140"/>
      <c r="I836" s="140"/>
      <c r="J836" s="140"/>
      <c r="K836" s="140"/>
      <c r="L836" s="140"/>
      <c r="M836" s="140"/>
      <c r="N836" s="140"/>
      <c r="O836" s="140"/>
      <c r="P836" s="140"/>
      <c r="Q836" s="140"/>
      <c r="R836" s="140"/>
    </row>
    <row r="837">
      <c r="A837" s="140"/>
      <c r="B837" s="140"/>
      <c r="C837" s="140"/>
      <c r="D837" s="140"/>
      <c r="E837" s="140"/>
      <c r="F837" s="205"/>
      <c r="G837" s="140"/>
      <c r="H837" s="140"/>
      <c r="I837" s="140"/>
      <c r="J837" s="140"/>
      <c r="K837" s="140"/>
      <c r="L837" s="140"/>
      <c r="M837" s="140"/>
      <c r="N837" s="140"/>
      <c r="O837" s="140"/>
      <c r="P837" s="140"/>
      <c r="Q837" s="140"/>
      <c r="R837" s="140"/>
    </row>
    <row r="838">
      <c r="A838" s="140"/>
      <c r="B838" s="140"/>
      <c r="C838" s="140"/>
      <c r="D838" s="140"/>
      <c r="E838" s="140"/>
      <c r="F838" s="205"/>
      <c r="G838" s="140"/>
      <c r="H838" s="140"/>
      <c r="I838" s="140"/>
      <c r="J838" s="140"/>
      <c r="K838" s="140"/>
      <c r="L838" s="140"/>
      <c r="M838" s="140"/>
      <c r="N838" s="140"/>
      <c r="O838" s="140"/>
      <c r="P838" s="140"/>
      <c r="Q838" s="140"/>
      <c r="R838" s="140"/>
    </row>
    <row r="839">
      <c r="A839" s="140"/>
      <c r="B839" s="140"/>
      <c r="C839" s="140"/>
      <c r="D839" s="140"/>
      <c r="E839" s="140"/>
      <c r="F839" s="205"/>
      <c r="G839" s="140"/>
      <c r="H839" s="140"/>
      <c r="I839" s="140"/>
      <c r="J839" s="140"/>
      <c r="K839" s="140"/>
      <c r="L839" s="140"/>
      <c r="M839" s="140"/>
      <c r="N839" s="140"/>
      <c r="O839" s="140"/>
      <c r="P839" s="140"/>
      <c r="Q839" s="140"/>
      <c r="R839" s="140"/>
    </row>
    <row r="840">
      <c r="A840" s="140"/>
      <c r="B840" s="140"/>
      <c r="C840" s="140"/>
      <c r="D840" s="140"/>
      <c r="E840" s="140"/>
      <c r="F840" s="205"/>
      <c r="G840" s="140"/>
      <c r="H840" s="140"/>
      <c r="I840" s="140"/>
      <c r="J840" s="140"/>
      <c r="K840" s="140"/>
      <c r="L840" s="140"/>
      <c r="M840" s="140"/>
      <c r="N840" s="140"/>
      <c r="O840" s="140"/>
      <c r="P840" s="140"/>
      <c r="Q840" s="140"/>
      <c r="R840" s="140"/>
    </row>
    <row r="841">
      <c r="A841" s="140"/>
      <c r="B841" s="140"/>
      <c r="C841" s="140"/>
      <c r="D841" s="140"/>
      <c r="E841" s="140"/>
      <c r="F841" s="205"/>
      <c r="G841" s="140"/>
      <c r="H841" s="140"/>
      <c r="I841" s="140"/>
      <c r="J841" s="140"/>
      <c r="K841" s="140"/>
      <c r="L841" s="140"/>
      <c r="M841" s="140"/>
      <c r="N841" s="140"/>
      <c r="O841" s="140"/>
      <c r="P841" s="140"/>
      <c r="Q841" s="140"/>
      <c r="R841" s="140"/>
    </row>
    <row r="842">
      <c r="A842" s="140"/>
      <c r="B842" s="140"/>
      <c r="C842" s="140"/>
      <c r="D842" s="140"/>
      <c r="E842" s="140"/>
      <c r="F842" s="205"/>
      <c r="G842" s="140"/>
      <c r="H842" s="140"/>
      <c r="I842" s="140"/>
      <c r="J842" s="140"/>
      <c r="K842" s="140"/>
      <c r="L842" s="140"/>
      <c r="M842" s="140"/>
      <c r="N842" s="140"/>
      <c r="O842" s="140"/>
      <c r="P842" s="140"/>
      <c r="Q842" s="140"/>
      <c r="R842" s="140"/>
    </row>
    <row r="843">
      <c r="A843" s="140"/>
      <c r="B843" s="140"/>
      <c r="C843" s="140"/>
      <c r="D843" s="140"/>
      <c r="E843" s="140"/>
      <c r="F843" s="205"/>
      <c r="G843" s="140"/>
      <c r="H843" s="140"/>
      <c r="I843" s="140"/>
      <c r="J843" s="140"/>
      <c r="K843" s="140"/>
      <c r="L843" s="140"/>
      <c r="M843" s="140"/>
      <c r="N843" s="140"/>
      <c r="O843" s="140"/>
      <c r="P843" s="140"/>
      <c r="Q843" s="140"/>
      <c r="R843" s="140"/>
    </row>
    <row r="844">
      <c r="A844" s="140"/>
      <c r="B844" s="140"/>
      <c r="C844" s="140"/>
      <c r="D844" s="140"/>
      <c r="E844" s="140"/>
      <c r="F844" s="205"/>
      <c r="G844" s="140"/>
      <c r="H844" s="140"/>
      <c r="I844" s="140"/>
      <c r="J844" s="140"/>
      <c r="K844" s="140"/>
      <c r="L844" s="140"/>
      <c r="M844" s="140"/>
      <c r="N844" s="140"/>
      <c r="O844" s="140"/>
      <c r="P844" s="140"/>
      <c r="Q844" s="140"/>
      <c r="R844" s="140"/>
    </row>
    <row r="845">
      <c r="A845" s="140"/>
      <c r="B845" s="140"/>
      <c r="C845" s="140"/>
      <c r="D845" s="140"/>
      <c r="E845" s="140"/>
      <c r="F845" s="205"/>
      <c r="G845" s="140"/>
      <c r="H845" s="140"/>
      <c r="I845" s="140"/>
      <c r="J845" s="140"/>
      <c r="K845" s="140"/>
      <c r="L845" s="140"/>
      <c r="M845" s="140"/>
      <c r="N845" s="140"/>
      <c r="O845" s="140"/>
      <c r="P845" s="140"/>
      <c r="Q845" s="140"/>
      <c r="R845" s="140"/>
    </row>
    <row r="846">
      <c r="A846" s="140"/>
      <c r="B846" s="140"/>
      <c r="C846" s="140"/>
      <c r="D846" s="140"/>
      <c r="E846" s="140"/>
      <c r="F846" s="205"/>
      <c r="G846" s="140"/>
      <c r="H846" s="140"/>
      <c r="I846" s="140"/>
      <c r="J846" s="140"/>
      <c r="K846" s="140"/>
      <c r="L846" s="140"/>
      <c r="M846" s="140"/>
      <c r="N846" s="140"/>
      <c r="O846" s="140"/>
      <c r="P846" s="140"/>
      <c r="Q846" s="140"/>
      <c r="R846" s="140"/>
    </row>
    <row r="847">
      <c r="A847" s="140"/>
      <c r="B847" s="140"/>
      <c r="C847" s="140"/>
      <c r="D847" s="140"/>
      <c r="E847" s="140"/>
      <c r="F847" s="205"/>
      <c r="G847" s="140"/>
      <c r="H847" s="140"/>
      <c r="I847" s="140"/>
      <c r="J847" s="140"/>
      <c r="K847" s="140"/>
      <c r="L847" s="140"/>
      <c r="M847" s="140"/>
      <c r="N847" s="140"/>
      <c r="O847" s="140"/>
      <c r="P847" s="140"/>
      <c r="Q847" s="140"/>
      <c r="R847" s="140"/>
    </row>
    <row r="848">
      <c r="A848" s="140"/>
      <c r="B848" s="140"/>
      <c r="C848" s="140"/>
      <c r="D848" s="140"/>
      <c r="E848" s="140"/>
      <c r="F848" s="205"/>
      <c r="G848" s="140"/>
      <c r="H848" s="140"/>
      <c r="I848" s="140"/>
      <c r="J848" s="140"/>
      <c r="K848" s="140"/>
      <c r="L848" s="140"/>
      <c r="M848" s="140"/>
      <c r="N848" s="140"/>
      <c r="O848" s="140"/>
      <c r="P848" s="140"/>
      <c r="Q848" s="140"/>
      <c r="R848" s="140"/>
    </row>
    <row r="849">
      <c r="A849" s="140"/>
      <c r="B849" s="140"/>
      <c r="C849" s="140"/>
      <c r="D849" s="140"/>
      <c r="E849" s="140"/>
      <c r="F849" s="205"/>
      <c r="G849" s="140"/>
      <c r="H849" s="140"/>
      <c r="I849" s="140"/>
      <c r="J849" s="140"/>
      <c r="K849" s="140"/>
      <c r="L849" s="140"/>
      <c r="M849" s="140"/>
      <c r="N849" s="140"/>
      <c r="O849" s="140"/>
      <c r="P849" s="140"/>
      <c r="Q849" s="140"/>
      <c r="R849" s="140"/>
    </row>
    <row r="850">
      <c r="A850" s="140"/>
      <c r="B850" s="140"/>
      <c r="C850" s="140"/>
      <c r="D850" s="140"/>
      <c r="E850" s="140"/>
      <c r="F850" s="205"/>
      <c r="G850" s="140"/>
      <c r="H850" s="140"/>
      <c r="I850" s="140"/>
      <c r="J850" s="140"/>
      <c r="K850" s="140"/>
      <c r="L850" s="140"/>
      <c r="M850" s="140"/>
      <c r="N850" s="140"/>
      <c r="O850" s="140"/>
      <c r="P850" s="140"/>
      <c r="Q850" s="140"/>
      <c r="R850" s="140"/>
    </row>
    <row r="851">
      <c r="A851" s="140"/>
      <c r="B851" s="140"/>
      <c r="C851" s="140"/>
      <c r="D851" s="140"/>
      <c r="E851" s="140"/>
      <c r="F851" s="205"/>
      <c r="G851" s="140"/>
      <c r="H851" s="140"/>
      <c r="I851" s="140"/>
      <c r="J851" s="140"/>
      <c r="K851" s="140"/>
      <c r="L851" s="140"/>
      <c r="M851" s="140"/>
      <c r="N851" s="140"/>
      <c r="O851" s="140"/>
      <c r="P851" s="140"/>
      <c r="Q851" s="140"/>
      <c r="R851" s="140"/>
    </row>
    <row r="852">
      <c r="A852" s="140"/>
      <c r="B852" s="140"/>
      <c r="C852" s="140"/>
      <c r="D852" s="140"/>
      <c r="E852" s="140"/>
      <c r="F852" s="205"/>
      <c r="G852" s="140"/>
      <c r="H852" s="140"/>
      <c r="I852" s="140"/>
      <c r="J852" s="140"/>
      <c r="K852" s="140"/>
      <c r="L852" s="140"/>
      <c r="M852" s="140"/>
      <c r="N852" s="140"/>
      <c r="O852" s="140"/>
      <c r="P852" s="140"/>
      <c r="Q852" s="140"/>
      <c r="R852" s="140"/>
    </row>
    <row r="853">
      <c r="A853" s="140"/>
      <c r="B853" s="140"/>
      <c r="C853" s="140"/>
      <c r="D853" s="140"/>
      <c r="E853" s="140"/>
      <c r="F853" s="205"/>
      <c r="G853" s="140"/>
      <c r="H853" s="140"/>
      <c r="I853" s="140"/>
      <c r="J853" s="140"/>
      <c r="K853" s="140"/>
      <c r="L853" s="140"/>
      <c r="M853" s="140"/>
      <c r="N853" s="140"/>
      <c r="O853" s="140"/>
      <c r="P853" s="140"/>
      <c r="Q853" s="140"/>
      <c r="R853" s="140"/>
    </row>
    <row r="854">
      <c r="A854" s="140"/>
      <c r="B854" s="140"/>
      <c r="C854" s="140"/>
      <c r="D854" s="140"/>
      <c r="E854" s="140"/>
      <c r="F854" s="205"/>
      <c r="G854" s="140"/>
      <c r="H854" s="140"/>
      <c r="I854" s="140"/>
      <c r="J854" s="140"/>
      <c r="K854" s="140"/>
      <c r="L854" s="140"/>
      <c r="M854" s="140"/>
      <c r="N854" s="140"/>
      <c r="O854" s="140"/>
      <c r="P854" s="140"/>
      <c r="Q854" s="140"/>
      <c r="R854" s="140"/>
    </row>
    <row r="855">
      <c r="A855" s="140"/>
      <c r="B855" s="140"/>
      <c r="C855" s="140"/>
      <c r="D855" s="140"/>
      <c r="E855" s="140"/>
      <c r="F855" s="205"/>
      <c r="G855" s="140"/>
      <c r="H855" s="140"/>
      <c r="I855" s="140"/>
      <c r="J855" s="140"/>
      <c r="K855" s="140"/>
      <c r="L855" s="140"/>
      <c r="M855" s="140"/>
      <c r="N855" s="140"/>
      <c r="O855" s="140"/>
      <c r="P855" s="140"/>
      <c r="Q855" s="140"/>
      <c r="R855" s="140"/>
    </row>
    <row r="856">
      <c r="A856" s="140"/>
      <c r="B856" s="140"/>
      <c r="C856" s="140"/>
      <c r="D856" s="140"/>
      <c r="E856" s="140"/>
      <c r="F856" s="205"/>
      <c r="G856" s="140"/>
      <c r="H856" s="140"/>
      <c r="I856" s="140"/>
      <c r="J856" s="140"/>
      <c r="K856" s="140"/>
      <c r="L856" s="140"/>
      <c r="M856" s="140"/>
      <c r="N856" s="140"/>
      <c r="O856" s="140"/>
      <c r="P856" s="140"/>
      <c r="Q856" s="140"/>
      <c r="R856" s="140"/>
    </row>
    <row r="857">
      <c r="A857" s="140"/>
      <c r="B857" s="140"/>
      <c r="C857" s="140"/>
      <c r="D857" s="140"/>
      <c r="E857" s="140"/>
      <c r="F857" s="205"/>
      <c r="G857" s="140"/>
      <c r="H857" s="140"/>
      <c r="I857" s="140"/>
      <c r="J857" s="140"/>
      <c r="K857" s="140"/>
      <c r="L857" s="140"/>
      <c r="M857" s="140"/>
      <c r="N857" s="140"/>
      <c r="O857" s="140"/>
      <c r="P857" s="140"/>
      <c r="Q857" s="140"/>
      <c r="R857" s="140"/>
    </row>
    <row r="858">
      <c r="A858" s="140"/>
      <c r="B858" s="140"/>
      <c r="C858" s="140"/>
      <c r="D858" s="140"/>
      <c r="E858" s="140"/>
      <c r="F858" s="205"/>
      <c r="G858" s="140"/>
      <c r="H858" s="140"/>
      <c r="I858" s="140"/>
      <c r="J858" s="140"/>
      <c r="K858" s="140"/>
      <c r="L858" s="140"/>
      <c r="M858" s="140"/>
      <c r="N858" s="140"/>
      <c r="O858" s="140"/>
      <c r="P858" s="140"/>
      <c r="Q858" s="140"/>
      <c r="R858" s="140"/>
    </row>
    <row r="859">
      <c r="A859" s="140"/>
      <c r="B859" s="140"/>
      <c r="C859" s="140"/>
      <c r="D859" s="140"/>
      <c r="E859" s="140"/>
      <c r="F859" s="205"/>
      <c r="G859" s="140"/>
      <c r="H859" s="140"/>
      <c r="I859" s="140"/>
      <c r="J859" s="140"/>
      <c r="K859" s="140"/>
      <c r="L859" s="140"/>
      <c r="M859" s="140"/>
      <c r="N859" s="140"/>
      <c r="O859" s="140"/>
      <c r="P859" s="140"/>
      <c r="Q859" s="140"/>
      <c r="R859" s="140"/>
    </row>
    <row r="860">
      <c r="A860" s="140"/>
      <c r="B860" s="140"/>
      <c r="C860" s="140"/>
      <c r="D860" s="140"/>
      <c r="E860" s="140"/>
      <c r="F860" s="205"/>
      <c r="G860" s="140"/>
      <c r="H860" s="140"/>
      <c r="I860" s="140"/>
      <c r="J860" s="140"/>
      <c r="K860" s="140"/>
      <c r="L860" s="140"/>
      <c r="M860" s="140"/>
      <c r="N860" s="140"/>
      <c r="O860" s="140"/>
      <c r="P860" s="140"/>
      <c r="Q860" s="140"/>
      <c r="R860" s="140"/>
    </row>
    <row r="861">
      <c r="A861" s="140"/>
      <c r="B861" s="140"/>
      <c r="C861" s="140"/>
      <c r="D861" s="140"/>
      <c r="E861" s="140"/>
      <c r="F861" s="205"/>
      <c r="G861" s="140"/>
      <c r="H861" s="140"/>
      <c r="I861" s="140"/>
      <c r="J861" s="140"/>
      <c r="K861" s="140"/>
      <c r="L861" s="140"/>
      <c r="M861" s="140"/>
      <c r="N861" s="140"/>
      <c r="O861" s="140"/>
      <c r="P861" s="140"/>
      <c r="Q861" s="140"/>
      <c r="R861" s="140"/>
    </row>
    <row r="862">
      <c r="A862" s="140"/>
      <c r="B862" s="140"/>
      <c r="C862" s="140"/>
      <c r="D862" s="140"/>
      <c r="E862" s="140"/>
      <c r="F862" s="205"/>
      <c r="G862" s="140"/>
      <c r="H862" s="140"/>
      <c r="I862" s="140"/>
      <c r="J862" s="140"/>
      <c r="K862" s="140"/>
      <c r="L862" s="140"/>
      <c r="M862" s="140"/>
      <c r="N862" s="140"/>
      <c r="O862" s="140"/>
      <c r="P862" s="140"/>
      <c r="Q862" s="140"/>
      <c r="R862" s="140"/>
    </row>
    <row r="863">
      <c r="A863" s="140"/>
      <c r="B863" s="140"/>
      <c r="C863" s="140"/>
      <c r="D863" s="140"/>
      <c r="E863" s="140"/>
      <c r="F863" s="205"/>
      <c r="G863" s="140"/>
      <c r="H863" s="140"/>
      <c r="I863" s="140"/>
      <c r="J863" s="140"/>
      <c r="K863" s="140"/>
      <c r="L863" s="140"/>
      <c r="M863" s="140"/>
      <c r="N863" s="140"/>
      <c r="O863" s="140"/>
      <c r="P863" s="140"/>
      <c r="Q863" s="140"/>
      <c r="R863" s="140"/>
    </row>
    <row r="864">
      <c r="A864" s="140"/>
      <c r="B864" s="140"/>
      <c r="C864" s="140"/>
      <c r="D864" s="140"/>
      <c r="E864" s="140"/>
      <c r="F864" s="205"/>
      <c r="G864" s="140"/>
      <c r="H864" s="140"/>
      <c r="I864" s="140"/>
      <c r="J864" s="140"/>
      <c r="K864" s="140"/>
      <c r="L864" s="140"/>
      <c r="M864" s="140"/>
      <c r="N864" s="140"/>
      <c r="O864" s="140"/>
      <c r="P864" s="140"/>
      <c r="Q864" s="140"/>
      <c r="R864" s="140"/>
    </row>
    <row r="865">
      <c r="A865" s="140"/>
      <c r="B865" s="140"/>
      <c r="C865" s="140"/>
      <c r="D865" s="140"/>
      <c r="E865" s="140"/>
      <c r="F865" s="205"/>
      <c r="G865" s="140"/>
      <c r="H865" s="140"/>
      <c r="I865" s="140"/>
      <c r="J865" s="140"/>
      <c r="K865" s="140"/>
      <c r="L865" s="140"/>
      <c r="M865" s="140"/>
      <c r="N865" s="140"/>
      <c r="O865" s="140"/>
      <c r="P865" s="140"/>
      <c r="Q865" s="140"/>
      <c r="R865" s="140"/>
    </row>
    <row r="866">
      <c r="A866" s="140"/>
      <c r="B866" s="140"/>
      <c r="C866" s="140"/>
      <c r="D866" s="140"/>
      <c r="E866" s="140"/>
      <c r="F866" s="205"/>
      <c r="G866" s="140"/>
      <c r="H866" s="140"/>
      <c r="I866" s="140"/>
      <c r="J866" s="140"/>
      <c r="K866" s="140"/>
      <c r="L866" s="140"/>
      <c r="M866" s="140"/>
      <c r="N866" s="140"/>
      <c r="O866" s="140"/>
      <c r="P866" s="140"/>
      <c r="Q866" s="140"/>
      <c r="R866" s="140"/>
    </row>
    <row r="867">
      <c r="A867" s="140"/>
      <c r="B867" s="140"/>
      <c r="C867" s="140"/>
      <c r="D867" s="140"/>
      <c r="E867" s="140"/>
      <c r="F867" s="205"/>
      <c r="G867" s="140"/>
      <c r="H867" s="140"/>
      <c r="I867" s="140"/>
      <c r="J867" s="140"/>
      <c r="K867" s="140"/>
      <c r="L867" s="140"/>
      <c r="M867" s="140"/>
      <c r="N867" s="140"/>
      <c r="O867" s="140"/>
      <c r="P867" s="140"/>
      <c r="Q867" s="140"/>
      <c r="R867" s="140"/>
    </row>
    <row r="868">
      <c r="A868" s="140"/>
      <c r="B868" s="140"/>
      <c r="C868" s="140"/>
      <c r="D868" s="140"/>
      <c r="E868" s="140"/>
      <c r="F868" s="205"/>
      <c r="G868" s="140"/>
      <c r="H868" s="140"/>
      <c r="I868" s="140"/>
      <c r="J868" s="140"/>
      <c r="K868" s="140"/>
      <c r="L868" s="140"/>
      <c r="M868" s="140"/>
      <c r="N868" s="140"/>
      <c r="O868" s="140"/>
      <c r="P868" s="140"/>
      <c r="Q868" s="140"/>
      <c r="R868" s="140"/>
    </row>
    <row r="869">
      <c r="A869" s="140"/>
      <c r="B869" s="140"/>
      <c r="C869" s="140"/>
      <c r="D869" s="140"/>
      <c r="E869" s="140"/>
      <c r="F869" s="205"/>
      <c r="G869" s="140"/>
      <c r="H869" s="140"/>
      <c r="I869" s="140"/>
      <c r="J869" s="140"/>
      <c r="K869" s="140"/>
      <c r="L869" s="140"/>
      <c r="M869" s="140"/>
      <c r="N869" s="140"/>
      <c r="O869" s="140"/>
      <c r="P869" s="140"/>
      <c r="Q869" s="140"/>
      <c r="R869" s="140"/>
    </row>
    <row r="870">
      <c r="A870" s="140"/>
      <c r="B870" s="140"/>
      <c r="C870" s="140"/>
      <c r="D870" s="140"/>
      <c r="E870" s="140"/>
      <c r="F870" s="205"/>
      <c r="G870" s="140"/>
      <c r="H870" s="140"/>
      <c r="I870" s="140"/>
      <c r="J870" s="140"/>
      <c r="K870" s="140"/>
      <c r="L870" s="140"/>
      <c r="M870" s="140"/>
      <c r="N870" s="140"/>
      <c r="O870" s="140"/>
      <c r="P870" s="140"/>
      <c r="Q870" s="140"/>
      <c r="R870" s="140"/>
    </row>
    <row r="871">
      <c r="A871" s="140"/>
      <c r="B871" s="140"/>
      <c r="C871" s="140"/>
      <c r="D871" s="140"/>
      <c r="E871" s="140"/>
      <c r="F871" s="205"/>
      <c r="G871" s="140"/>
      <c r="H871" s="140"/>
      <c r="I871" s="140"/>
      <c r="J871" s="140"/>
      <c r="K871" s="140"/>
      <c r="L871" s="140"/>
      <c r="M871" s="140"/>
      <c r="N871" s="140"/>
      <c r="O871" s="140"/>
      <c r="P871" s="140"/>
      <c r="Q871" s="140"/>
      <c r="R871" s="140"/>
    </row>
    <row r="872">
      <c r="A872" s="140"/>
      <c r="B872" s="140"/>
      <c r="C872" s="140"/>
      <c r="D872" s="140"/>
      <c r="E872" s="140"/>
      <c r="F872" s="205"/>
      <c r="G872" s="140"/>
      <c r="H872" s="140"/>
      <c r="I872" s="140"/>
      <c r="J872" s="140"/>
      <c r="K872" s="140"/>
      <c r="L872" s="140"/>
      <c r="M872" s="140"/>
      <c r="N872" s="140"/>
      <c r="O872" s="140"/>
      <c r="P872" s="140"/>
      <c r="Q872" s="140"/>
      <c r="R872" s="140"/>
    </row>
    <row r="873">
      <c r="A873" s="140"/>
      <c r="B873" s="140"/>
      <c r="C873" s="140"/>
      <c r="D873" s="140"/>
      <c r="E873" s="140"/>
      <c r="F873" s="205"/>
      <c r="G873" s="140"/>
      <c r="H873" s="140"/>
      <c r="I873" s="140"/>
      <c r="J873" s="140"/>
      <c r="K873" s="140"/>
      <c r="L873" s="140"/>
      <c r="M873" s="140"/>
      <c r="N873" s="140"/>
      <c r="O873" s="140"/>
      <c r="P873" s="140"/>
      <c r="Q873" s="140"/>
      <c r="R873" s="140"/>
    </row>
    <row r="874">
      <c r="A874" s="140"/>
      <c r="B874" s="140"/>
      <c r="C874" s="140"/>
      <c r="D874" s="140"/>
      <c r="E874" s="140"/>
      <c r="F874" s="205"/>
      <c r="G874" s="140"/>
      <c r="H874" s="140"/>
      <c r="I874" s="140"/>
      <c r="J874" s="140"/>
      <c r="K874" s="140"/>
      <c r="L874" s="140"/>
      <c r="M874" s="140"/>
      <c r="N874" s="140"/>
      <c r="O874" s="140"/>
      <c r="P874" s="140"/>
      <c r="Q874" s="140"/>
      <c r="R874" s="140"/>
    </row>
    <row r="875">
      <c r="A875" s="140"/>
      <c r="B875" s="140"/>
      <c r="C875" s="140"/>
      <c r="D875" s="140"/>
      <c r="E875" s="140"/>
      <c r="F875" s="205"/>
      <c r="G875" s="140"/>
      <c r="H875" s="140"/>
      <c r="I875" s="140"/>
      <c r="J875" s="140"/>
      <c r="K875" s="140"/>
      <c r="L875" s="140"/>
      <c r="M875" s="140"/>
      <c r="N875" s="140"/>
      <c r="O875" s="140"/>
      <c r="P875" s="140"/>
      <c r="Q875" s="140"/>
      <c r="R875" s="140"/>
    </row>
    <row r="876">
      <c r="A876" s="140"/>
      <c r="B876" s="140"/>
      <c r="C876" s="140"/>
      <c r="D876" s="140"/>
      <c r="E876" s="140"/>
      <c r="F876" s="205"/>
      <c r="G876" s="140"/>
      <c r="H876" s="140"/>
      <c r="I876" s="140"/>
      <c r="J876" s="140"/>
      <c r="K876" s="140"/>
      <c r="L876" s="140"/>
      <c r="M876" s="140"/>
      <c r="N876" s="140"/>
      <c r="O876" s="140"/>
      <c r="P876" s="140"/>
      <c r="Q876" s="140"/>
      <c r="R876" s="140"/>
    </row>
    <row r="877">
      <c r="A877" s="140"/>
      <c r="B877" s="140"/>
      <c r="C877" s="140"/>
      <c r="D877" s="140"/>
      <c r="E877" s="140"/>
      <c r="F877" s="205"/>
      <c r="G877" s="140"/>
      <c r="H877" s="140"/>
      <c r="I877" s="140"/>
      <c r="J877" s="140"/>
      <c r="K877" s="140"/>
      <c r="L877" s="140"/>
      <c r="M877" s="140"/>
      <c r="N877" s="140"/>
      <c r="O877" s="140"/>
      <c r="P877" s="140"/>
      <c r="Q877" s="140"/>
      <c r="R877" s="140"/>
    </row>
    <row r="878">
      <c r="A878" s="140"/>
      <c r="B878" s="140"/>
      <c r="C878" s="140"/>
      <c r="D878" s="140"/>
      <c r="E878" s="140"/>
      <c r="F878" s="205"/>
      <c r="G878" s="140"/>
      <c r="H878" s="140"/>
      <c r="I878" s="140"/>
      <c r="J878" s="140"/>
      <c r="K878" s="140"/>
      <c r="L878" s="140"/>
      <c r="M878" s="140"/>
      <c r="N878" s="140"/>
      <c r="O878" s="140"/>
      <c r="P878" s="140"/>
      <c r="Q878" s="140"/>
      <c r="R878" s="140"/>
    </row>
    <row r="879">
      <c r="A879" s="140"/>
      <c r="B879" s="140"/>
      <c r="C879" s="140"/>
      <c r="D879" s="140"/>
      <c r="E879" s="140"/>
      <c r="F879" s="205"/>
      <c r="G879" s="140"/>
      <c r="H879" s="140"/>
      <c r="I879" s="140"/>
      <c r="J879" s="140"/>
      <c r="K879" s="140"/>
      <c r="L879" s="140"/>
      <c r="M879" s="140"/>
      <c r="N879" s="140"/>
      <c r="O879" s="140"/>
      <c r="P879" s="140"/>
      <c r="Q879" s="140"/>
      <c r="R879" s="140"/>
    </row>
    <row r="880">
      <c r="A880" s="140"/>
      <c r="B880" s="140"/>
      <c r="C880" s="140"/>
      <c r="D880" s="140"/>
      <c r="E880" s="140"/>
      <c r="F880" s="205"/>
      <c r="G880" s="140"/>
      <c r="H880" s="140"/>
      <c r="I880" s="140"/>
      <c r="J880" s="140"/>
      <c r="K880" s="140"/>
      <c r="L880" s="140"/>
      <c r="M880" s="140"/>
      <c r="N880" s="140"/>
      <c r="O880" s="140"/>
      <c r="P880" s="140"/>
      <c r="Q880" s="140"/>
      <c r="R880" s="140"/>
    </row>
    <row r="881">
      <c r="A881" s="140"/>
      <c r="B881" s="140"/>
      <c r="C881" s="140"/>
      <c r="D881" s="140"/>
      <c r="E881" s="140"/>
      <c r="F881" s="205"/>
      <c r="G881" s="140"/>
      <c r="H881" s="140"/>
      <c r="I881" s="140"/>
      <c r="J881" s="140"/>
      <c r="K881" s="140"/>
      <c r="L881" s="140"/>
      <c r="M881" s="140"/>
      <c r="N881" s="140"/>
      <c r="O881" s="140"/>
      <c r="P881" s="140"/>
      <c r="Q881" s="140"/>
      <c r="R881" s="140"/>
    </row>
    <row r="882">
      <c r="A882" s="140"/>
      <c r="B882" s="140"/>
      <c r="C882" s="140"/>
      <c r="D882" s="140"/>
      <c r="E882" s="140"/>
      <c r="F882" s="205"/>
      <c r="G882" s="140"/>
      <c r="H882" s="140"/>
      <c r="I882" s="140"/>
      <c r="J882" s="140"/>
      <c r="K882" s="140"/>
      <c r="L882" s="140"/>
      <c r="M882" s="140"/>
      <c r="N882" s="140"/>
      <c r="O882" s="140"/>
      <c r="P882" s="140"/>
      <c r="Q882" s="140"/>
      <c r="R882" s="140"/>
    </row>
    <row r="883">
      <c r="A883" s="140"/>
      <c r="B883" s="140"/>
      <c r="C883" s="140"/>
      <c r="D883" s="140"/>
      <c r="E883" s="140"/>
      <c r="F883" s="205"/>
      <c r="G883" s="140"/>
      <c r="H883" s="140"/>
      <c r="I883" s="140"/>
      <c r="J883" s="140"/>
      <c r="K883" s="140"/>
      <c r="L883" s="140"/>
      <c r="M883" s="140"/>
      <c r="N883" s="140"/>
      <c r="O883" s="140"/>
      <c r="P883" s="140"/>
      <c r="Q883" s="140"/>
      <c r="R883" s="140"/>
    </row>
    <row r="884">
      <c r="A884" s="140"/>
      <c r="B884" s="140"/>
      <c r="C884" s="140"/>
      <c r="D884" s="140"/>
      <c r="E884" s="140"/>
      <c r="F884" s="205"/>
      <c r="G884" s="140"/>
      <c r="H884" s="140"/>
      <c r="I884" s="140"/>
      <c r="J884" s="140"/>
      <c r="K884" s="140"/>
      <c r="L884" s="140"/>
      <c r="M884" s="140"/>
      <c r="N884" s="140"/>
      <c r="O884" s="140"/>
      <c r="P884" s="140"/>
      <c r="Q884" s="140"/>
      <c r="R884" s="140"/>
    </row>
    <row r="885">
      <c r="A885" s="140"/>
      <c r="B885" s="140"/>
      <c r="C885" s="140"/>
      <c r="D885" s="140"/>
      <c r="E885" s="140"/>
      <c r="F885" s="205"/>
      <c r="G885" s="140"/>
      <c r="H885" s="140"/>
      <c r="I885" s="140"/>
      <c r="J885" s="140"/>
      <c r="K885" s="140"/>
      <c r="L885" s="140"/>
      <c r="M885" s="140"/>
      <c r="N885" s="140"/>
      <c r="O885" s="140"/>
      <c r="P885" s="140"/>
      <c r="Q885" s="140"/>
      <c r="R885" s="140"/>
    </row>
    <row r="886">
      <c r="A886" s="140"/>
      <c r="B886" s="140"/>
      <c r="C886" s="140"/>
      <c r="D886" s="140"/>
      <c r="E886" s="140"/>
      <c r="F886" s="205"/>
      <c r="G886" s="140"/>
      <c r="H886" s="140"/>
      <c r="I886" s="140"/>
      <c r="J886" s="140"/>
      <c r="K886" s="140"/>
      <c r="L886" s="140"/>
      <c r="M886" s="140"/>
      <c r="N886" s="140"/>
      <c r="O886" s="140"/>
      <c r="P886" s="140"/>
      <c r="Q886" s="140"/>
      <c r="R886" s="140"/>
    </row>
    <row r="887">
      <c r="A887" s="140"/>
      <c r="B887" s="140"/>
      <c r="C887" s="140"/>
      <c r="D887" s="140"/>
      <c r="E887" s="140"/>
      <c r="F887" s="205"/>
      <c r="G887" s="140"/>
      <c r="H887" s="140"/>
      <c r="I887" s="140"/>
      <c r="J887" s="140"/>
      <c r="K887" s="140"/>
      <c r="L887" s="140"/>
      <c r="M887" s="140"/>
      <c r="N887" s="140"/>
      <c r="O887" s="140"/>
      <c r="P887" s="140"/>
      <c r="Q887" s="140"/>
      <c r="R887" s="140"/>
    </row>
    <row r="888">
      <c r="A888" s="140"/>
      <c r="B888" s="140"/>
      <c r="C888" s="140"/>
      <c r="D888" s="140"/>
      <c r="E888" s="140"/>
      <c r="F888" s="205"/>
      <c r="G888" s="140"/>
      <c r="H888" s="140"/>
      <c r="I888" s="140"/>
      <c r="J888" s="140"/>
      <c r="K888" s="140"/>
      <c r="L888" s="140"/>
      <c r="M888" s="140"/>
      <c r="N888" s="140"/>
      <c r="O888" s="140"/>
      <c r="P888" s="140"/>
      <c r="Q888" s="140"/>
      <c r="R888" s="140"/>
    </row>
    <row r="889">
      <c r="A889" s="140"/>
      <c r="B889" s="140"/>
      <c r="C889" s="140"/>
      <c r="D889" s="140"/>
      <c r="E889" s="140"/>
      <c r="F889" s="205"/>
      <c r="G889" s="140"/>
      <c r="H889" s="140"/>
      <c r="I889" s="140"/>
      <c r="J889" s="140"/>
      <c r="K889" s="140"/>
      <c r="L889" s="140"/>
      <c r="M889" s="140"/>
      <c r="N889" s="140"/>
      <c r="O889" s="140"/>
      <c r="P889" s="140"/>
      <c r="Q889" s="140"/>
      <c r="R889" s="140"/>
    </row>
    <row r="890">
      <c r="A890" s="140"/>
      <c r="B890" s="140"/>
      <c r="C890" s="140"/>
      <c r="D890" s="140"/>
      <c r="E890" s="140"/>
      <c r="F890" s="205"/>
      <c r="G890" s="140"/>
      <c r="H890" s="140"/>
      <c r="I890" s="140"/>
      <c r="J890" s="140"/>
      <c r="K890" s="140"/>
      <c r="L890" s="140"/>
      <c r="M890" s="140"/>
      <c r="N890" s="140"/>
      <c r="O890" s="140"/>
      <c r="P890" s="140"/>
      <c r="Q890" s="140"/>
      <c r="R890" s="140"/>
    </row>
    <row r="891">
      <c r="A891" s="140"/>
      <c r="B891" s="140"/>
      <c r="C891" s="140"/>
      <c r="D891" s="140"/>
      <c r="E891" s="140"/>
      <c r="F891" s="205"/>
      <c r="G891" s="140"/>
      <c r="H891" s="140"/>
      <c r="I891" s="140"/>
      <c r="J891" s="140"/>
      <c r="K891" s="140"/>
      <c r="L891" s="140"/>
      <c r="M891" s="140"/>
      <c r="N891" s="140"/>
      <c r="O891" s="140"/>
      <c r="P891" s="140"/>
      <c r="Q891" s="140"/>
      <c r="R891" s="140"/>
    </row>
    <row r="892">
      <c r="A892" s="140"/>
      <c r="B892" s="140"/>
      <c r="C892" s="140"/>
      <c r="D892" s="140"/>
      <c r="E892" s="140"/>
      <c r="F892" s="205"/>
      <c r="G892" s="140"/>
      <c r="H892" s="140"/>
      <c r="I892" s="140"/>
      <c r="J892" s="140"/>
      <c r="K892" s="140"/>
      <c r="L892" s="140"/>
      <c r="M892" s="140"/>
      <c r="N892" s="140"/>
      <c r="O892" s="140"/>
      <c r="P892" s="140"/>
      <c r="Q892" s="140"/>
      <c r="R892" s="140"/>
    </row>
    <row r="893">
      <c r="A893" s="140"/>
      <c r="B893" s="140"/>
      <c r="C893" s="140"/>
      <c r="D893" s="140"/>
      <c r="E893" s="140"/>
      <c r="F893" s="205"/>
      <c r="G893" s="140"/>
      <c r="H893" s="140"/>
      <c r="I893" s="140"/>
      <c r="J893" s="140"/>
      <c r="K893" s="140"/>
      <c r="L893" s="140"/>
      <c r="M893" s="140"/>
      <c r="N893" s="140"/>
      <c r="O893" s="140"/>
      <c r="P893" s="140"/>
      <c r="Q893" s="140"/>
      <c r="R893" s="140"/>
    </row>
    <row r="894">
      <c r="A894" s="140"/>
      <c r="B894" s="140"/>
      <c r="C894" s="140"/>
      <c r="D894" s="140"/>
      <c r="E894" s="140"/>
      <c r="F894" s="205"/>
      <c r="G894" s="140"/>
      <c r="H894" s="140"/>
      <c r="I894" s="140"/>
      <c r="J894" s="140"/>
      <c r="K894" s="140"/>
      <c r="L894" s="140"/>
      <c r="M894" s="140"/>
      <c r="N894" s="140"/>
      <c r="O894" s="140"/>
      <c r="P894" s="140"/>
      <c r="Q894" s="140"/>
      <c r="R894" s="140"/>
    </row>
    <row r="895">
      <c r="A895" s="140"/>
      <c r="B895" s="140"/>
      <c r="C895" s="140"/>
      <c r="D895" s="140"/>
      <c r="E895" s="140"/>
      <c r="F895" s="205"/>
      <c r="G895" s="140"/>
      <c r="H895" s="140"/>
      <c r="I895" s="140"/>
      <c r="J895" s="140"/>
      <c r="K895" s="140"/>
      <c r="L895" s="140"/>
      <c r="M895" s="140"/>
      <c r="N895" s="140"/>
      <c r="O895" s="140"/>
      <c r="P895" s="140"/>
      <c r="Q895" s="140"/>
      <c r="R895" s="140"/>
    </row>
    <row r="896">
      <c r="A896" s="140"/>
      <c r="B896" s="140"/>
      <c r="C896" s="140"/>
      <c r="D896" s="140"/>
      <c r="E896" s="140"/>
      <c r="F896" s="205"/>
      <c r="G896" s="140"/>
      <c r="H896" s="140"/>
      <c r="I896" s="140"/>
      <c r="J896" s="140"/>
      <c r="K896" s="140"/>
      <c r="L896" s="140"/>
      <c r="M896" s="140"/>
      <c r="N896" s="140"/>
      <c r="O896" s="140"/>
      <c r="P896" s="140"/>
      <c r="Q896" s="140"/>
      <c r="R896" s="140"/>
    </row>
    <row r="897">
      <c r="A897" s="140"/>
      <c r="B897" s="140"/>
      <c r="C897" s="140"/>
      <c r="D897" s="140"/>
      <c r="E897" s="140"/>
      <c r="F897" s="205"/>
      <c r="G897" s="140"/>
      <c r="H897" s="140"/>
      <c r="I897" s="140"/>
      <c r="J897" s="140"/>
      <c r="K897" s="140"/>
      <c r="L897" s="140"/>
      <c r="M897" s="140"/>
      <c r="N897" s="140"/>
      <c r="O897" s="140"/>
      <c r="P897" s="140"/>
      <c r="Q897" s="140"/>
      <c r="R897" s="140"/>
    </row>
    <row r="898">
      <c r="A898" s="140"/>
      <c r="B898" s="140"/>
      <c r="C898" s="140"/>
      <c r="D898" s="140"/>
      <c r="E898" s="140"/>
      <c r="F898" s="205"/>
      <c r="G898" s="140"/>
      <c r="H898" s="140"/>
      <c r="I898" s="140"/>
      <c r="J898" s="140"/>
      <c r="K898" s="140"/>
      <c r="L898" s="140"/>
      <c r="M898" s="140"/>
      <c r="N898" s="140"/>
      <c r="O898" s="140"/>
      <c r="P898" s="140"/>
      <c r="Q898" s="140"/>
      <c r="R898" s="140"/>
    </row>
    <row r="899">
      <c r="A899" s="140"/>
      <c r="B899" s="140"/>
      <c r="C899" s="140"/>
      <c r="D899" s="140"/>
      <c r="E899" s="140"/>
      <c r="F899" s="205"/>
      <c r="G899" s="140"/>
      <c r="H899" s="140"/>
      <c r="I899" s="140"/>
      <c r="J899" s="140"/>
      <c r="K899" s="140"/>
      <c r="L899" s="140"/>
      <c r="M899" s="140"/>
      <c r="N899" s="140"/>
      <c r="O899" s="140"/>
      <c r="P899" s="140"/>
      <c r="Q899" s="140"/>
      <c r="R899" s="140"/>
    </row>
    <row r="900">
      <c r="A900" s="140"/>
      <c r="B900" s="140"/>
      <c r="C900" s="140"/>
      <c r="D900" s="140"/>
      <c r="E900" s="140"/>
      <c r="F900" s="205"/>
      <c r="G900" s="140"/>
      <c r="H900" s="140"/>
      <c r="I900" s="140"/>
      <c r="J900" s="140"/>
      <c r="K900" s="140"/>
      <c r="L900" s="140"/>
      <c r="M900" s="140"/>
      <c r="N900" s="140"/>
      <c r="O900" s="140"/>
      <c r="P900" s="140"/>
      <c r="Q900" s="140"/>
      <c r="R900" s="140"/>
    </row>
    <row r="901">
      <c r="A901" s="140"/>
      <c r="B901" s="140"/>
      <c r="C901" s="140"/>
      <c r="D901" s="140"/>
      <c r="E901" s="140"/>
      <c r="F901" s="205"/>
      <c r="G901" s="140"/>
      <c r="H901" s="140"/>
      <c r="I901" s="140"/>
      <c r="J901" s="140"/>
      <c r="K901" s="140"/>
      <c r="L901" s="140"/>
      <c r="M901" s="140"/>
      <c r="N901" s="140"/>
      <c r="O901" s="140"/>
      <c r="P901" s="140"/>
      <c r="Q901" s="140"/>
      <c r="R901" s="140"/>
    </row>
    <row r="902">
      <c r="A902" s="140"/>
      <c r="B902" s="140"/>
      <c r="C902" s="140"/>
      <c r="D902" s="140"/>
      <c r="E902" s="140"/>
      <c r="F902" s="205"/>
      <c r="G902" s="140"/>
      <c r="H902" s="140"/>
      <c r="I902" s="140"/>
      <c r="J902" s="140"/>
      <c r="K902" s="140"/>
      <c r="L902" s="140"/>
      <c r="M902" s="140"/>
      <c r="N902" s="140"/>
      <c r="O902" s="140"/>
      <c r="P902" s="140"/>
      <c r="Q902" s="140"/>
      <c r="R902" s="140"/>
    </row>
    <row r="903">
      <c r="A903" s="140"/>
      <c r="B903" s="140"/>
      <c r="C903" s="140"/>
      <c r="D903" s="140"/>
      <c r="E903" s="140"/>
      <c r="F903" s="205"/>
      <c r="G903" s="140"/>
      <c r="H903" s="140"/>
      <c r="I903" s="140"/>
      <c r="J903" s="140"/>
      <c r="K903" s="140"/>
      <c r="L903" s="140"/>
      <c r="M903" s="140"/>
      <c r="N903" s="140"/>
      <c r="O903" s="140"/>
      <c r="P903" s="140"/>
      <c r="Q903" s="140"/>
      <c r="R903" s="140"/>
    </row>
    <row r="904">
      <c r="A904" s="140"/>
      <c r="B904" s="140"/>
      <c r="C904" s="140"/>
      <c r="D904" s="140"/>
      <c r="E904" s="140"/>
      <c r="F904" s="205"/>
      <c r="G904" s="140"/>
      <c r="H904" s="140"/>
      <c r="I904" s="140"/>
      <c r="J904" s="140"/>
      <c r="K904" s="140"/>
      <c r="L904" s="140"/>
      <c r="M904" s="140"/>
      <c r="N904" s="140"/>
      <c r="O904" s="140"/>
      <c r="P904" s="140"/>
      <c r="Q904" s="140"/>
      <c r="R904" s="140"/>
    </row>
    <row r="905">
      <c r="A905" s="140"/>
      <c r="B905" s="140"/>
      <c r="C905" s="140"/>
      <c r="D905" s="140"/>
      <c r="E905" s="140"/>
      <c r="F905" s="205"/>
      <c r="G905" s="140"/>
      <c r="H905" s="140"/>
      <c r="I905" s="140"/>
      <c r="J905" s="140"/>
      <c r="K905" s="140"/>
      <c r="L905" s="140"/>
      <c r="M905" s="140"/>
      <c r="N905" s="140"/>
      <c r="O905" s="140"/>
      <c r="P905" s="140"/>
      <c r="Q905" s="140"/>
      <c r="R905" s="140"/>
    </row>
    <row r="906">
      <c r="A906" s="140"/>
      <c r="B906" s="140"/>
      <c r="C906" s="140"/>
      <c r="D906" s="140"/>
      <c r="E906" s="140"/>
      <c r="F906" s="205"/>
      <c r="G906" s="140"/>
      <c r="H906" s="140"/>
      <c r="I906" s="140"/>
      <c r="J906" s="140"/>
      <c r="K906" s="140"/>
      <c r="L906" s="140"/>
      <c r="M906" s="140"/>
      <c r="N906" s="140"/>
      <c r="O906" s="140"/>
      <c r="P906" s="140"/>
      <c r="Q906" s="140"/>
      <c r="R906" s="140"/>
    </row>
    <row r="907">
      <c r="A907" s="140"/>
      <c r="B907" s="140"/>
      <c r="C907" s="140"/>
      <c r="D907" s="140"/>
      <c r="E907" s="140"/>
      <c r="F907" s="205"/>
      <c r="G907" s="140"/>
      <c r="H907" s="140"/>
      <c r="I907" s="140"/>
      <c r="J907" s="140"/>
      <c r="K907" s="140"/>
      <c r="L907" s="140"/>
      <c r="M907" s="140"/>
      <c r="N907" s="140"/>
      <c r="O907" s="140"/>
      <c r="P907" s="140"/>
      <c r="Q907" s="140"/>
      <c r="R907" s="140"/>
    </row>
    <row r="908">
      <c r="A908" s="140"/>
      <c r="B908" s="140"/>
      <c r="C908" s="140"/>
      <c r="D908" s="140"/>
      <c r="E908" s="140"/>
      <c r="F908" s="205"/>
      <c r="G908" s="140"/>
      <c r="H908" s="140"/>
      <c r="I908" s="140"/>
      <c r="J908" s="140"/>
      <c r="K908" s="140"/>
      <c r="L908" s="140"/>
      <c r="M908" s="140"/>
      <c r="N908" s="140"/>
      <c r="O908" s="140"/>
      <c r="P908" s="140"/>
      <c r="Q908" s="140"/>
      <c r="R908" s="140"/>
    </row>
    <row r="909">
      <c r="A909" s="140"/>
      <c r="B909" s="140"/>
      <c r="C909" s="140"/>
      <c r="D909" s="140"/>
      <c r="E909" s="140"/>
      <c r="F909" s="205"/>
      <c r="G909" s="140"/>
      <c r="H909" s="140"/>
      <c r="I909" s="140"/>
      <c r="J909" s="140"/>
      <c r="K909" s="140"/>
      <c r="L909" s="140"/>
      <c r="M909" s="140"/>
      <c r="N909" s="140"/>
      <c r="O909" s="140"/>
      <c r="P909" s="140"/>
      <c r="Q909" s="140"/>
      <c r="R909" s="140"/>
    </row>
    <row r="910">
      <c r="A910" s="140"/>
      <c r="B910" s="140"/>
      <c r="C910" s="140"/>
      <c r="D910" s="140"/>
      <c r="E910" s="140"/>
      <c r="F910" s="205"/>
      <c r="G910" s="140"/>
      <c r="H910" s="140"/>
      <c r="I910" s="140"/>
      <c r="J910" s="140"/>
      <c r="K910" s="140"/>
      <c r="L910" s="140"/>
      <c r="M910" s="140"/>
      <c r="N910" s="140"/>
      <c r="O910" s="140"/>
      <c r="P910" s="140"/>
      <c r="Q910" s="140"/>
      <c r="R910" s="140"/>
    </row>
    <row r="911">
      <c r="A911" s="140"/>
      <c r="B911" s="140"/>
      <c r="C911" s="140"/>
      <c r="D911" s="140"/>
      <c r="E911" s="140"/>
      <c r="F911" s="205"/>
      <c r="G911" s="140"/>
      <c r="H911" s="140"/>
      <c r="I911" s="140"/>
      <c r="J911" s="140"/>
      <c r="K911" s="140"/>
      <c r="L911" s="140"/>
      <c r="M911" s="140"/>
      <c r="N911" s="140"/>
      <c r="O911" s="140"/>
      <c r="P911" s="140"/>
      <c r="Q911" s="140"/>
      <c r="R911" s="140"/>
    </row>
    <row r="912">
      <c r="A912" s="140"/>
      <c r="B912" s="140"/>
      <c r="C912" s="140"/>
      <c r="D912" s="140"/>
      <c r="E912" s="140"/>
      <c r="F912" s="205"/>
      <c r="G912" s="140"/>
      <c r="H912" s="140"/>
      <c r="I912" s="140"/>
      <c r="J912" s="140"/>
      <c r="K912" s="140"/>
      <c r="L912" s="140"/>
      <c r="M912" s="140"/>
      <c r="N912" s="140"/>
      <c r="O912" s="140"/>
      <c r="P912" s="140"/>
      <c r="Q912" s="140"/>
      <c r="R912" s="140"/>
    </row>
    <row r="913">
      <c r="A913" s="140"/>
      <c r="B913" s="140"/>
      <c r="C913" s="140"/>
      <c r="D913" s="140"/>
      <c r="E913" s="140"/>
      <c r="F913" s="205"/>
      <c r="G913" s="140"/>
      <c r="H913" s="140"/>
      <c r="I913" s="140"/>
      <c r="J913" s="140"/>
      <c r="K913" s="140"/>
      <c r="L913" s="140"/>
      <c r="M913" s="140"/>
      <c r="N913" s="140"/>
      <c r="O913" s="140"/>
      <c r="P913" s="140"/>
      <c r="Q913" s="140"/>
      <c r="R913" s="140"/>
    </row>
    <row r="914">
      <c r="A914" s="140"/>
      <c r="B914" s="140"/>
      <c r="C914" s="140"/>
      <c r="D914" s="140"/>
      <c r="E914" s="140"/>
      <c r="F914" s="205"/>
      <c r="G914" s="140"/>
      <c r="H914" s="140"/>
      <c r="I914" s="140"/>
      <c r="J914" s="140"/>
      <c r="K914" s="140"/>
      <c r="L914" s="140"/>
      <c r="M914" s="140"/>
      <c r="N914" s="140"/>
      <c r="O914" s="140"/>
      <c r="P914" s="140"/>
      <c r="Q914" s="140"/>
      <c r="R914" s="140"/>
    </row>
    <row r="915">
      <c r="A915" s="140"/>
      <c r="B915" s="140"/>
      <c r="C915" s="140"/>
      <c r="D915" s="140"/>
      <c r="E915" s="140"/>
      <c r="F915" s="205"/>
      <c r="G915" s="140"/>
      <c r="H915" s="140"/>
      <c r="I915" s="140"/>
      <c r="J915" s="140"/>
      <c r="K915" s="140"/>
      <c r="L915" s="140"/>
      <c r="M915" s="140"/>
      <c r="N915" s="140"/>
      <c r="O915" s="140"/>
      <c r="P915" s="140"/>
      <c r="Q915" s="140"/>
      <c r="R915" s="140"/>
    </row>
    <row r="916">
      <c r="A916" s="140"/>
      <c r="B916" s="140"/>
      <c r="C916" s="140"/>
      <c r="D916" s="140"/>
      <c r="E916" s="140"/>
      <c r="F916" s="205"/>
      <c r="G916" s="140"/>
      <c r="H916" s="140"/>
      <c r="I916" s="140"/>
      <c r="J916" s="140"/>
      <c r="K916" s="140"/>
      <c r="L916" s="140"/>
      <c r="M916" s="140"/>
      <c r="N916" s="140"/>
      <c r="O916" s="140"/>
      <c r="P916" s="140"/>
      <c r="Q916" s="140"/>
      <c r="R916" s="140"/>
    </row>
    <row r="917">
      <c r="A917" s="140"/>
      <c r="B917" s="140"/>
      <c r="C917" s="140"/>
      <c r="D917" s="140"/>
      <c r="E917" s="140"/>
      <c r="F917" s="205"/>
      <c r="G917" s="140"/>
      <c r="H917" s="140"/>
      <c r="I917" s="140"/>
      <c r="J917" s="140"/>
      <c r="K917" s="140"/>
      <c r="L917" s="140"/>
      <c r="M917" s="140"/>
      <c r="N917" s="140"/>
      <c r="O917" s="140"/>
      <c r="P917" s="140"/>
      <c r="Q917" s="140"/>
      <c r="R917" s="140"/>
    </row>
    <row r="918">
      <c r="A918" s="140"/>
      <c r="B918" s="140"/>
      <c r="C918" s="140"/>
      <c r="D918" s="140"/>
      <c r="E918" s="140"/>
      <c r="F918" s="205"/>
      <c r="G918" s="140"/>
      <c r="H918" s="140"/>
      <c r="I918" s="140"/>
      <c r="J918" s="140"/>
      <c r="K918" s="140"/>
      <c r="L918" s="140"/>
      <c r="M918" s="140"/>
      <c r="N918" s="140"/>
      <c r="O918" s="140"/>
      <c r="P918" s="140"/>
      <c r="Q918" s="140"/>
      <c r="R918" s="140"/>
    </row>
    <row r="919">
      <c r="A919" s="140"/>
      <c r="B919" s="140"/>
      <c r="C919" s="140"/>
      <c r="D919" s="140"/>
      <c r="E919" s="140"/>
      <c r="F919" s="205"/>
      <c r="G919" s="140"/>
      <c r="H919" s="140"/>
      <c r="I919" s="140"/>
      <c r="J919" s="140"/>
      <c r="K919" s="140"/>
      <c r="L919" s="140"/>
      <c r="M919" s="140"/>
      <c r="N919" s="140"/>
      <c r="O919" s="140"/>
      <c r="P919" s="140"/>
      <c r="Q919" s="140"/>
      <c r="R919" s="140"/>
    </row>
    <row r="920">
      <c r="A920" s="140"/>
      <c r="B920" s="140"/>
      <c r="C920" s="140"/>
      <c r="D920" s="140"/>
      <c r="E920" s="140"/>
      <c r="F920" s="205"/>
      <c r="G920" s="140"/>
      <c r="H920" s="140"/>
      <c r="I920" s="140"/>
      <c r="J920" s="140"/>
      <c r="K920" s="140"/>
      <c r="L920" s="140"/>
      <c r="M920" s="140"/>
      <c r="N920" s="140"/>
      <c r="O920" s="140"/>
      <c r="P920" s="140"/>
      <c r="Q920" s="140"/>
      <c r="R920" s="140"/>
    </row>
    <row r="921">
      <c r="A921" s="140"/>
      <c r="B921" s="140"/>
      <c r="C921" s="140"/>
      <c r="D921" s="140"/>
      <c r="E921" s="140"/>
      <c r="F921" s="205"/>
      <c r="G921" s="140"/>
      <c r="H921" s="140"/>
      <c r="I921" s="140"/>
      <c r="J921" s="140"/>
      <c r="K921" s="140"/>
      <c r="L921" s="140"/>
      <c r="M921" s="140"/>
      <c r="N921" s="140"/>
      <c r="O921" s="140"/>
      <c r="P921" s="140"/>
      <c r="Q921" s="140"/>
      <c r="R921" s="140"/>
    </row>
    <row r="922">
      <c r="A922" s="140"/>
      <c r="B922" s="140"/>
      <c r="C922" s="140"/>
      <c r="D922" s="140"/>
      <c r="E922" s="140"/>
      <c r="F922" s="205"/>
      <c r="G922" s="140"/>
      <c r="H922" s="140"/>
      <c r="I922" s="140"/>
      <c r="J922" s="140"/>
      <c r="K922" s="140"/>
      <c r="L922" s="140"/>
      <c r="M922" s="140"/>
      <c r="N922" s="140"/>
      <c r="O922" s="140"/>
      <c r="P922" s="140"/>
      <c r="Q922" s="140"/>
      <c r="R922" s="140"/>
    </row>
    <row r="923">
      <c r="A923" s="140"/>
      <c r="B923" s="140"/>
      <c r="C923" s="140"/>
      <c r="D923" s="140"/>
      <c r="E923" s="140"/>
      <c r="F923" s="205"/>
      <c r="G923" s="140"/>
      <c r="H923" s="140"/>
      <c r="I923" s="140"/>
      <c r="J923" s="140"/>
      <c r="K923" s="140"/>
      <c r="L923" s="140"/>
      <c r="M923" s="140"/>
      <c r="N923" s="140"/>
      <c r="O923" s="140"/>
      <c r="P923" s="140"/>
      <c r="Q923" s="140"/>
      <c r="R923" s="140"/>
    </row>
    <row r="924">
      <c r="A924" s="140"/>
      <c r="B924" s="140"/>
      <c r="C924" s="140"/>
      <c r="D924" s="140"/>
      <c r="E924" s="140"/>
      <c r="F924" s="205"/>
      <c r="G924" s="140"/>
      <c r="H924" s="140"/>
      <c r="I924" s="140"/>
      <c r="J924" s="140"/>
      <c r="K924" s="140"/>
      <c r="L924" s="140"/>
      <c r="M924" s="140"/>
      <c r="N924" s="140"/>
      <c r="O924" s="140"/>
      <c r="P924" s="140"/>
      <c r="Q924" s="140"/>
      <c r="R924" s="140"/>
    </row>
    <row r="925">
      <c r="A925" s="140"/>
      <c r="B925" s="140"/>
      <c r="C925" s="140"/>
      <c r="D925" s="140"/>
      <c r="E925" s="140"/>
      <c r="F925" s="205"/>
      <c r="G925" s="140"/>
      <c r="H925" s="140"/>
      <c r="I925" s="140"/>
      <c r="J925" s="140"/>
      <c r="K925" s="140"/>
      <c r="L925" s="140"/>
      <c r="M925" s="140"/>
      <c r="N925" s="140"/>
      <c r="O925" s="140"/>
      <c r="P925" s="140"/>
      <c r="Q925" s="140"/>
      <c r="R925" s="140"/>
    </row>
    <row r="926">
      <c r="A926" s="140"/>
      <c r="B926" s="140"/>
      <c r="C926" s="140"/>
      <c r="D926" s="140"/>
      <c r="E926" s="140"/>
      <c r="F926" s="205"/>
      <c r="G926" s="140"/>
      <c r="H926" s="140"/>
      <c r="I926" s="140"/>
      <c r="J926" s="140"/>
      <c r="K926" s="140"/>
      <c r="L926" s="140"/>
      <c r="M926" s="140"/>
      <c r="N926" s="140"/>
      <c r="O926" s="140"/>
      <c r="P926" s="140"/>
      <c r="Q926" s="140"/>
      <c r="R926" s="140"/>
    </row>
    <row r="927">
      <c r="A927" s="140"/>
      <c r="B927" s="140"/>
      <c r="C927" s="140"/>
      <c r="D927" s="140"/>
      <c r="E927" s="140"/>
      <c r="F927" s="205"/>
      <c r="G927" s="140"/>
      <c r="H927" s="140"/>
      <c r="I927" s="140"/>
      <c r="J927" s="140"/>
      <c r="K927" s="140"/>
      <c r="L927" s="140"/>
      <c r="M927" s="140"/>
      <c r="N927" s="140"/>
      <c r="O927" s="140"/>
      <c r="P927" s="140"/>
      <c r="Q927" s="140"/>
      <c r="R927" s="140"/>
    </row>
    <row r="928">
      <c r="A928" s="140"/>
      <c r="B928" s="140"/>
      <c r="C928" s="140"/>
      <c r="D928" s="140"/>
      <c r="E928" s="140"/>
      <c r="F928" s="205"/>
      <c r="G928" s="140"/>
      <c r="H928" s="140"/>
      <c r="I928" s="140"/>
      <c r="J928" s="140"/>
      <c r="K928" s="140"/>
      <c r="L928" s="140"/>
      <c r="M928" s="140"/>
      <c r="N928" s="140"/>
      <c r="O928" s="140"/>
      <c r="P928" s="140"/>
      <c r="Q928" s="140"/>
      <c r="R928" s="140"/>
    </row>
    <row r="929">
      <c r="A929" s="140"/>
      <c r="B929" s="140"/>
      <c r="C929" s="140"/>
      <c r="D929" s="140"/>
      <c r="E929" s="140"/>
      <c r="F929" s="205"/>
      <c r="G929" s="140"/>
      <c r="H929" s="140"/>
      <c r="I929" s="140"/>
      <c r="J929" s="140"/>
      <c r="K929" s="140"/>
      <c r="L929" s="140"/>
      <c r="M929" s="140"/>
      <c r="N929" s="140"/>
      <c r="O929" s="140"/>
      <c r="P929" s="140"/>
      <c r="Q929" s="140"/>
      <c r="R929" s="140"/>
    </row>
    <row r="930">
      <c r="A930" s="140"/>
      <c r="B930" s="140"/>
      <c r="C930" s="140"/>
      <c r="D930" s="140"/>
      <c r="E930" s="140"/>
      <c r="F930" s="205"/>
      <c r="G930" s="140"/>
      <c r="H930" s="140"/>
      <c r="I930" s="140"/>
      <c r="J930" s="140"/>
      <c r="K930" s="140"/>
      <c r="L930" s="140"/>
      <c r="M930" s="140"/>
      <c r="N930" s="140"/>
      <c r="O930" s="140"/>
      <c r="P930" s="140"/>
      <c r="Q930" s="140"/>
      <c r="R930" s="140"/>
    </row>
    <row r="931">
      <c r="A931" s="140"/>
      <c r="B931" s="140"/>
      <c r="C931" s="140"/>
      <c r="D931" s="140"/>
      <c r="E931" s="140"/>
      <c r="F931" s="205"/>
      <c r="G931" s="140"/>
      <c r="H931" s="140"/>
      <c r="I931" s="140"/>
      <c r="J931" s="140"/>
      <c r="K931" s="140"/>
      <c r="L931" s="140"/>
      <c r="M931" s="140"/>
      <c r="N931" s="140"/>
      <c r="O931" s="140"/>
      <c r="P931" s="140"/>
      <c r="Q931" s="140"/>
      <c r="R931" s="140"/>
    </row>
    <row r="932">
      <c r="A932" s="140"/>
      <c r="B932" s="140"/>
      <c r="C932" s="140"/>
      <c r="D932" s="140"/>
      <c r="E932" s="140"/>
      <c r="F932" s="205"/>
      <c r="G932" s="140"/>
      <c r="H932" s="140"/>
      <c r="I932" s="140"/>
      <c r="J932" s="140"/>
      <c r="K932" s="140"/>
      <c r="L932" s="140"/>
      <c r="M932" s="140"/>
      <c r="N932" s="140"/>
      <c r="O932" s="140"/>
      <c r="P932" s="140"/>
      <c r="Q932" s="140"/>
      <c r="R932" s="140"/>
    </row>
    <row r="933">
      <c r="A933" s="140"/>
      <c r="B933" s="140"/>
      <c r="C933" s="140"/>
      <c r="D933" s="140"/>
      <c r="E933" s="140"/>
      <c r="F933" s="205"/>
      <c r="G933" s="140"/>
      <c r="H933" s="140"/>
      <c r="I933" s="140"/>
      <c r="J933" s="140"/>
      <c r="K933" s="140"/>
      <c r="L933" s="140"/>
      <c r="M933" s="140"/>
      <c r="N933" s="140"/>
      <c r="O933" s="140"/>
      <c r="P933" s="140"/>
      <c r="Q933" s="140"/>
      <c r="R933" s="140"/>
    </row>
    <row r="934">
      <c r="A934" s="140"/>
      <c r="B934" s="140"/>
      <c r="C934" s="140"/>
      <c r="D934" s="140"/>
      <c r="E934" s="140"/>
      <c r="F934" s="205"/>
      <c r="G934" s="140"/>
      <c r="H934" s="140"/>
      <c r="I934" s="140"/>
      <c r="J934" s="140"/>
      <c r="K934" s="140"/>
      <c r="L934" s="140"/>
      <c r="M934" s="140"/>
      <c r="N934" s="140"/>
      <c r="O934" s="140"/>
      <c r="P934" s="140"/>
      <c r="Q934" s="140"/>
      <c r="R934" s="140"/>
    </row>
    <row r="935">
      <c r="A935" s="140"/>
      <c r="B935" s="140"/>
      <c r="C935" s="140"/>
      <c r="D935" s="140"/>
      <c r="E935" s="140"/>
      <c r="F935" s="205"/>
      <c r="G935" s="140"/>
      <c r="H935" s="140"/>
      <c r="I935" s="140"/>
      <c r="J935" s="140"/>
      <c r="K935" s="140"/>
      <c r="L935" s="140"/>
      <c r="M935" s="140"/>
      <c r="N935" s="140"/>
      <c r="O935" s="140"/>
      <c r="P935" s="140"/>
      <c r="Q935" s="140"/>
      <c r="R935" s="140"/>
    </row>
    <row r="936">
      <c r="A936" s="140"/>
      <c r="B936" s="140"/>
      <c r="C936" s="140"/>
      <c r="D936" s="140"/>
      <c r="E936" s="140"/>
      <c r="F936" s="205"/>
      <c r="G936" s="140"/>
      <c r="H936" s="140"/>
      <c r="I936" s="140"/>
      <c r="J936" s="140"/>
      <c r="K936" s="140"/>
      <c r="L936" s="140"/>
      <c r="M936" s="140"/>
      <c r="N936" s="140"/>
      <c r="O936" s="140"/>
      <c r="P936" s="140"/>
      <c r="Q936" s="140"/>
      <c r="R936" s="140"/>
    </row>
    <row r="937">
      <c r="A937" s="140"/>
      <c r="B937" s="140"/>
      <c r="C937" s="140"/>
      <c r="D937" s="140"/>
      <c r="E937" s="140"/>
      <c r="F937" s="205"/>
      <c r="G937" s="140"/>
      <c r="H937" s="140"/>
      <c r="I937" s="140"/>
      <c r="J937" s="140"/>
      <c r="K937" s="140"/>
      <c r="L937" s="140"/>
      <c r="M937" s="140"/>
      <c r="N937" s="140"/>
      <c r="O937" s="140"/>
      <c r="P937" s="140"/>
      <c r="Q937" s="140"/>
      <c r="R937" s="140"/>
    </row>
    <row r="938">
      <c r="A938" s="140"/>
      <c r="B938" s="140"/>
      <c r="C938" s="140"/>
      <c r="D938" s="140"/>
      <c r="E938" s="140"/>
      <c r="F938" s="205"/>
      <c r="G938" s="140"/>
      <c r="H938" s="140"/>
      <c r="I938" s="140"/>
      <c r="J938" s="140"/>
      <c r="K938" s="140"/>
      <c r="L938" s="140"/>
      <c r="M938" s="140"/>
      <c r="N938" s="140"/>
      <c r="O938" s="140"/>
      <c r="P938" s="140"/>
      <c r="Q938" s="140"/>
      <c r="R938" s="140"/>
    </row>
    <row r="939">
      <c r="A939" s="140"/>
      <c r="B939" s="140"/>
      <c r="C939" s="140"/>
      <c r="D939" s="140"/>
      <c r="E939" s="140"/>
      <c r="F939" s="205"/>
      <c r="G939" s="140"/>
      <c r="H939" s="140"/>
      <c r="I939" s="140"/>
      <c r="J939" s="140"/>
      <c r="K939" s="140"/>
      <c r="L939" s="140"/>
      <c r="M939" s="140"/>
      <c r="N939" s="140"/>
      <c r="O939" s="140"/>
      <c r="P939" s="140"/>
      <c r="Q939" s="140"/>
      <c r="R939" s="140"/>
    </row>
    <row r="940">
      <c r="A940" s="140"/>
      <c r="B940" s="140"/>
      <c r="C940" s="140"/>
      <c r="D940" s="140"/>
      <c r="E940" s="140"/>
      <c r="F940" s="205"/>
      <c r="G940" s="140"/>
      <c r="H940" s="140"/>
      <c r="I940" s="140"/>
      <c r="J940" s="140"/>
      <c r="K940" s="140"/>
      <c r="L940" s="140"/>
      <c r="M940" s="140"/>
      <c r="N940" s="140"/>
      <c r="O940" s="140"/>
      <c r="P940" s="140"/>
      <c r="Q940" s="140"/>
      <c r="R940" s="140"/>
    </row>
    <row r="941">
      <c r="A941" s="140"/>
      <c r="B941" s="140"/>
      <c r="C941" s="140"/>
      <c r="D941" s="140"/>
      <c r="E941" s="140"/>
      <c r="F941" s="205"/>
      <c r="G941" s="140"/>
      <c r="H941" s="140"/>
      <c r="I941" s="140"/>
      <c r="J941" s="140"/>
      <c r="K941" s="140"/>
      <c r="L941" s="140"/>
      <c r="M941" s="140"/>
      <c r="N941" s="140"/>
      <c r="O941" s="140"/>
      <c r="P941" s="140"/>
      <c r="Q941" s="140"/>
      <c r="R941" s="140"/>
    </row>
    <row r="942">
      <c r="A942" s="140"/>
      <c r="B942" s="140"/>
      <c r="C942" s="140"/>
      <c r="D942" s="140"/>
      <c r="E942" s="140"/>
      <c r="F942" s="205"/>
      <c r="G942" s="140"/>
      <c r="H942" s="140"/>
      <c r="I942" s="140"/>
      <c r="J942" s="140"/>
      <c r="K942" s="140"/>
      <c r="L942" s="140"/>
      <c r="M942" s="140"/>
      <c r="N942" s="140"/>
      <c r="O942" s="140"/>
      <c r="P942" s="140"/>
      <c r="Q942" s="140"/>
      <c r="R942" s="140"/>
    </row>
    <row r="943">
      <c r="A943" s="140"/>
      <c r="B943" s="140"/>
      <c r="C943" s="140"/>
      <c r="D943" s="140"/>
      <c r="E943" s="140"/>
      <c r="F943" s="205"/>
      <c r="G943" s="140"/>
      <c r="H943" s="140"/>
      <c r="I943" s="140"/>
      <c r="J943" s="140"/>
      <c r="K943" s="140"/>
      <c r="L943" s="140"/>
      <c r="M943" s="140"/>
      <c r="N943" s="140"/>
      <c r="O943" s="140"/>
      <c r="P943" s="140"/>
      <c r="Q943" s="140"/>
      <c r="R943" s="140"/>
    </row>
    <row r="944">
      <c r="A944" s="140"/>
      <c r="B944" s="140"/>
      <c r="C944" s="140"/>
      <c r="D944" s="140"/>
      <c r="E944" s="140"/>
      <c r="F944" s="205"/>
      <c r="G944" s="140"/>
      <c r="H944" s="140"/>
      <c r="I944" s="140"/>
      <c r="J944" s="140"/>
      <c r="K944" s="140"/>
      <c r="L944" s="140"/>
      <c r="M944" s="140"/>
      <c r="N944" s="140"/>
      <c r="O944" s="140"/>
      <c r="P944" s="140"/>
      <c r="Q944" s="140"/>
      <c r="R944" s="140"/>
    </row>
    <row r="945">
      <c r="A945" s="140"/>
      <c r="B945" s="140"/>
      <c r="C945" s="140"/>
      <c r="D945" s="140"/>
      <c r="E945" s="140"/>
      <c r="F945" s="205"/>
      <c r="G945" s="140"/>
      <c r="H945" s="140"/>
      <c r="I945" s="140"/>
      <c r="J945" s="140"/>
      <c r="K945" s="140"/>
      <c r="L945" s="140"/>
      <c r="M945" s="140"/>
      <c r="N945" s="140"/>
      <c r="O945" s="140"/>
      <c r="P945" s="140"/>
      <c r="Q945" s="140"/>
      <c r="R945" s="140"/>
    </row>
    <row r="946">
      <c r="A946" s="140"/>
      <c r="B946" s="140"/>
      <c r="C946" s="140"/>
      <c r="D946" s="140"/>
      <c r="E946" s="140"/>
      <c r="F946" s="205"/>
      <c r="G946" s="140"/>
      <c r="H946" s="140"/>
      <c r="I946" s="140"/>
      <c r="J946" s="140"/>
      <c r="K946" s="140"/>
      <c r="L946" s="140"/>
      <c r="M946" s="140"/>
      <c r="N946" s="140"/>
      <c r="O946" s="140"/>
      <c r="P946" s="140"/>
      <c r="Q946" s="140"/>
      <c r="R946" s="140"/>
    </row>
    <row r="947">
      <c r="A947" s="140"/>
      <c r="B947" s="140"/>
      <c r="C947" s="140"/>
      <c r="D947" s="140"/>
      <c r="E947" s="140"/>
      <c r="F947" s="205"/>
      <c r="G947" s="140"/>
      <c r="H947" s="140"/>
      <c r="I947" s="140"/>
      <c r="J947" s="140"/>
      <c r="K947" s="140"/>
      <c r="L947" s="140"/>
      <c r="M947" s="140"/>
      <c r="N947" s="140"/>
      <c r="O947" s="140"/>
      <c r="P947" s="140"/>
      <c r="Q947" s="140"/>
      <c r="R947" s="140"/>
    </row>
    <row r="948">
      <c r="A948" s="140"/>
      <c r="B948" s="140"/>
      <c r="C948" s="140"/>
      <c r="D948" s="140"/>
      <c r="E948" s="140"/>
      <c r="F948" s="205"/>
      <c r="G948" s="140"/>
      <c r="H948" s="140"/>
      <c r="I948" s="140"/>
      <c r="J948" s="140"/>
      <c r="K948" s="140"/>
      <c r="L948" s="140"/>
      <c r="M948" s="140"/>
      <c r="N948" s="140"/>
      <c r="O948" s="140"/>
      <c r="P948" s="140"/>
      <c r="Q948" s="140"/>
      <c r="R948" s="140"/>
    </row>
    <row r="949">
      <c r="A949" s="140"/>
      <c r="B949" s="140"/>
      <c r="C949" s="140"/>
      <c r="D949" s="140"/>
      <c r="E949" s="140"/>
      <c r="F949" s="205"/>
      <c r="G949" s="140"/>
      <c r="H949" s="140"/>
      <c r="I949" s="140"/>
      <c r="J949" s="140"/>
      <c r="K949" s="140"/>
      <c r="L949" s="140"/>
      <c r="M949" s="140"/>
      <c r="N949" s="140"/>
      <c r="O949" s="140"/>
      <c r="P949" s="140"/>
      <c r="Q949" s="140"/>
      <c r="R949" s="140"/>
    </row>
    <row r="950">
      <c r="A950" s="140"/>
      <c r="B950" s="140"/>
      <c r="C950" s="140"/>
      <c r="D950" s="140"/>
      <c r="E950" s="140"/>
      <c r="F950" s="205"/>
      <c r="G950" s="140"/>
      <c r="H950" s="140"/>
      <c r="I950" s="140"/>
      <c r="J950" s="140"/>
      <c r="K950" s="140"/>
      <c r="L950" s="140"/>
      <c r="M950" s="140"/>
      <c r="N950" s="140"/>
      <c r="O950" s="140"/>
      <c r="P950" s="140"/>
      <c r="Q950" s="140"/>
      <c r="R950" s="140"/>
    </row>
    <row r="951">
      <c r="A951" s="140"/>
      <c r="B951" s="140"/>
      <c r="C951" s="140"/>
      <c r="D951" s="140"/>
      <c r="E951" s="140"/>
      <c r="F951" s="205"/>
      <c r="G951" s="140"/>
      <c r="H951" s="140"/>
      <c r="I951" s="140"/>
      <c r="J951" s="140"/>
      <c r="K951" s="140"/>
      <c r="L951" s="140"/>
      <c r="M951" s="140"/>
      <c r="N951" s="140"/>
      <c r="O951" s="140"/>
      <c r="P951" s="140"/>
      <c r="Q951" s="140"/>
      <c r="R951" s="140"/>
    </row>
    <row r="952">
      <c r="A952" s="140"/>
      <c r="B952" s="140"/>
      <c r="C952" s="140"/>
      <c r="D952" s="140"/>
      <c r="E952" s="140"/>
      <c r="F952" s="205"/>
      <c r="G952" s="140"/>
      <c r="H952" s="140"/>
      <c r="I952" s="140"/>
      <c r="J952" s="140"/>
      <c r="K952" s="140"/>
      <c r="L952" s="140"/>
      <c r="M952" s="140"/>
      <c r="N952" s="140"/>
      <c r="O952" s="140"/>
      <c r="P952" s="140"/>
      <c r="Q952" s="140"/>
      <c r="R952" s="140"/>
    </row>
    <row r="953">
      <c r="A953" s="140"/>
      <c r="B953" s="140"/>
      <c r="C953" s="140"/>
      <c r="D953" s="140"/>
      <c r="E953" s="140"/>
      <c r="F953" s="205"/>
      <c r="G953" s="140"/>
      <c r="H953" s="140"/>
      <c r="I953" s="140"/>
      <c r="J953" s="140"/>
      <c r="K953" s="140"/>
      <c r="L953" s="140"/>
      <c r="M953" s="140"/>
      <c r="N953" s="140"/>
      <c r="O953" s="140"/>
      <c r="P953" s="140"/>
      <c r="Q953" s="140"/>
      <c r="R953" s="140"/>
    </row>
    <row r="954">
      <c r="A954" s="140"/>
      <c r="B954" s="140"/>
      <c r="C954" s="140"/>
      <c r="D954" s="140"/>
      <c r="E954" s="140"/>
      <c r="F954" s="205"/>
      <c r="G954" s="140"/>
      <c r="H954" s="140"/>
      <c r="I954" s="140"/>
      <c r="J954" s="140"/>
      <c r="K954" s="140"/>
      <c r="L954" s="140"/>
      <c r="M954" s="140"/>
      <c r="N954" s="140"/>
      <c r="O954" s="140"/>
      <c r="P954" s="140"/>
      <c r="Q954" s="140"/>
      <c r="R954" s="140"/>
    </row>
    <row r="955">
      <c r="A955" s="140"/>
      <c r="B955" s="140"/>
      <c r="C955" s="140"/>
      <c r="D955" s="140"/>
      <c r="E955" s="140"/>
      <c r="F955" s="205"/>
      <c r="G955" s="140"/>
      <c r="H955" s="140"/>
      <c r="I955" s="140"/>
      <c r="J955" s="140"/>
      <c r="K955" s="140"/>
      <c r="L955" s="140"/>
      <c r="M955" s="140"/>
      <c r="N955" s="140"/>
      <c r="O955" s="140"/>
      <c r="P955" s="140"/>
      <c r="Q955" s="140"/>
      <c r="R955" s="140"/>
    </row>
    <row r="956">
      <c r="A956" s="140"/>
      <c r="B956" s="140"/>
      <c r="C956" s="140"/>
      <c r="D956" s="140"/>
      <c r="E956" s="140"/>
      <c r="F956" s="205"/>
      <c r="G956" s="140"/>
      <c r="H956" s="140"/>
      <c r="I956" s="140"/>
      <c r="J956" s="140"/>
      <c r="K956" s="140"/>
      <c r="L956" s="140"/>
      <c r="M956" s="140"/>
      <c r="N956" s="140"/>
      <c r="O956" s="140"/>
      <c r="P956" s="140"/>
      <c r="Q956" s="140"/>
      <c r="R956" s="140"/>
    </row>
    <row r="957">
      <c r="A957" s="140"/>
      <c r="B957" s="140"/>
      <c r="C957" s="140"/>
      <c r="D957" s="140"/>
      <c r="E957" s="140"/>
      <c r="F957" s="205"/>
      <c r="G957" s="140"/>
      <c r="H957" s="140"/>
      <c r="I957" s="140"/>
      <c r="J957" s="140"/>
      <c r="K957" s="140"/>
      <c r="L957" s="140"/>
      <c r="M957" s="140"/>
      <c r="N957" s="140"/>
      <c r="O957" s="140"/>
      <c r="P957" s="140"/>
      <c r="Q957" s="140"/>
      <c r="R957" s="140"/>
    </row>
    <row r="958">
      <c r="A958" s="140"/>
      <c r="B958" s="140"/>
      <c r="C958" s="140"/>
      <c r="D958" s="140"/>
      <c r="E958" s="140"/>
      <c r="F958" s="205"/>
      <c r="G958" s="140"/>
      <c r="H958" s="140"/>
      <c r="I958" s="140"/>
      <c r="J958" s="140"/>
      <c r="K958" s="140"/>
      <c r="L958" s="140"/>
      <c r="M958" s="140"/>
      <c r="N958" s="140"/>
      <c r="O958" s="140"/>
      <c r="P958" s="140"/>
      <c r="Q958" s="140"/>
      <c r="R958" s="140"/>
    </row>
    <row r="959">
      <c r="A959" s="140"/>
      <c r="B959" s="140"/>
      <c r="C959" s="140"/>
      <c r="D959" s="140"/>
      <c r="E959" s="140"/>
      <c r="F959" s="205"/>
      <c r="G959" s="140"/>
      <c r="H959" s="140"/>
      <c r="I959" s="140"/>
      <c r="J959" s="140"/>
      <c r="K959" s="140"/>
      <c r="L959" s="140"/>
      <c r="M959" s="140"/>
      <c r="N959" s="140"/>
      <c r="O959" s="140"/>
      <c r="P959" s="140"/>
      <c r="Q959" s="140"/>
      <c r="R959" s="140"/>
    </row>
    <row r="960">
      <c r="A960" s="140"/>
      <c r="B960" s="140"/>
      <c r="C960" s="140"/>
      <c r="D960" s="140"/>
      <c r="E960" s="140"/>
      <c r="F960" s="205"/>
      <c r="G960" s="140"/>
      <c r="H960" s="140"/>
      <c r="I960" s="140"/>
      <c r="J960" s="140"/>
      <c r="K960" s="140"/>
      <c r="L960" s="140"/>
      <c r="M960" s="140"/>
      <c r="N960" s="140"/>
      <c r="O960" s="140"/>
      <c r="P960" s="140"/>
      <c r="Q960" s="140"/>
      <c r="R960" s="140"/>
    </row>
    <row r="961">
      <c r="A961" s="140"/>
      <c r="B961" s="140"/>
      <c r="C961" s="140"/>
      <c r="D961" s="140"/>
      <c r="E961" s="140"/>
      <c r="F961" s="205"/>
      <c r="G961" s="140"/>
      <c r="H961" s="140"/>
      <c r="I961" s="140"/>
      <c r="J961" s="140"/>
      <c r="K961" s="140"/>
      <c r="L961" s="140"/>
      <c r="M961" s="140"/>
      <c r="N961" s="140"/>
      <c r="O961" s="140"/>
      <c r="P961" s="140"/>
      <c r="Q961" s="140"/>
      <c r="R961" s="140"/>
    </row>
    <row r="962">
      <c r="A962" s="140"/>
      <c r="B962" s="140"/>
      <c r="C962" s="140"/>
      <c r="D962" s="140"/>
      <c r="E962" s="140"/>
      <c r="F962" s="205"/>
      <c r="G962" s="140"/>
      <c r="H962" s="140"/>
      <c r="I962" s="140"/>
      <c r="J962" s="140"/>
      <c r="K962" s="140"/>
      <c r="L962" s="140"/>
      <c r="M962" s="140"/>
      <c r="N962" s="140"/>
      <c r="O962" s="140"/>
      <c r="P962" s="140"/>
      <c r="Q962" s="140"/>
      <c r="R962" s="140"/>
    </row>
    <row r="963">
      <c r="A963" s="140"/>
      <c r="B963" s="140"/>
      <c r="C963" s="140"/>
      <c r="D963" s="140"/>
      <c r="E963" s="140"/>
      <c r="F963" s="205"/>
      <c r="G963" s="140"/>
      <c r="H963" s="140"/>
      <c r="I963" s="140"/>
      <c r="J963" s="140"/>
      <c r="K963" s="140"/>
      <c r="L963" s="140"/>
      <c r="M963" s="140"/>
      <c r="N963" s="140"/>
      <c r="O963" s="140"/>
      <c r="P963" s="140"/>
      <c r="Q963" s="140"/>
      <c r="R963" s="140"/>
    </row>
    <row r="964">
      <c r="A964" s="140"/>
      <c r="B964" s="140"/>
      <c r="C964" s="140"/>
      <c r="D964" s="140"/>
      <c r="E964" s="140"/>
      <c r="F964" s="205"/>
      <c r="G964" s="140"/>
      <c r="H964" s="140"/>
      <c r="I964" s="140"/>
      <c r="J964" s="140"/>
      <c r="K964" s="140"/>
      <c r="L964" s="140"/>
      <c r="M964" s="140"/>
      <c r="N964" s="140"/>
      <c r="O964" s="140"/>
      <c r="P964" s="140"/>
      <c r="Q964" s="140"/>
      <c r="R964" s="140"/>
    </row>
    <row r="965">
      <c r="A965" s="140"/>
      <c r="B965" s="140"/>
      <c r="C965" s="140"/>
      <c r="D965" s="140"/>
      <c r="E965" s="140"/>
      <c r="F965" s="205"/>
      <c r="G965" s="140"/>
      <c r="H965" s="140"/>
      <c r="I965" s="140"/>
      <c r="J965" s="140"/>
      <c r="K965" s="140"/>
      <c r="L965" s="140"/>
      <c r="M965" s="140"/>
      <c r="N965" s="140"/>
      <c r="O965" s="140"/>
      <c r="P965" s="140"/>
      <c r="Q965" s="140"/>
      <c r="R965" s="140"/>
    </row>
    <row r="966">
      <c r="A966" s="140"/>
      <c r="B966" s="140"/>
      <c r="C966" s="140"/>
      <c r="D966" s="140"/>
      <c r="E966" s="140"/>
      <c r="F966" s="205"/>
      <c r="G966" s="140"/>
      <c r="H966" s="140"/>
      <c r="I966" s="140"/>
      <c r="J966" s="140"/>
      <c r="K966" s="140"/>
      <c r="L966" s="140"/>
      <c r="M966" s="140"/>
      <c r="N966" s="140"/>
      <c r="O966" s="140"/>
      <c r="P966" s="140"/>
      <c r="Q966" s="140"/>
      <c r="R966" s="140"/>
    </row>
    <row r="967">
      <c r="A967" s="140"/>
      <c r="B967" s="140"/>
      <c r="C967" s="140"/>
      <c r="D967" s="140"/>
      <c r="E967" s="140"/>
      <c r="F967" s="205"/>
      <c r="G967" s="140"/>
      <c r="H967" s="140"/>
      <c r="I967" s="140"/>
      <c r="J967" s="140"/>
      <c r="K967" s="140"/>
      <c r="L967" s="140"/>
      <c r="M967" s="140"/>
      <c r="N967" s="140"/>
      <c r="O967" s="140"/>
      <c r="P967" s="140"/>
      <c r="Q967" s="140"/>
      <c r="R967" s="140"/>
    </row>
    <row r="968">
      <c r="A968" s="140"/>
      <c r="B968" s="140"/>
      <c r="C968" s="140"/>
      <c r="D968" s="140"/>
      <c r="E968" s="140"/>
      <c r="F968" s="205"/>
      <c r="G968" s="140"/>
      <c r="H968" s="140"/>
      <c r="I968" s="140"/>
      <c r="J968" s="140"/>
      <c r="K968" s="140"/>
      <c r="L968" s="140"/>
      <c r="M968" s="140"/>
      <c r="N968" s="140"/>
      <c r="O968" s="140"/>
      <c r="P968" s="140"/>
      <c r="Q968" s="140"/>
      <c r="R968" s="140"/>
    </row>
    <row r="969">
      <c r="A969" s="140"/>
      <c r="B969" s="140"/>
      <c r="C969" s="140"/>
      <c r="D969" s="140"/>
      <c r="E969" s="140"/>
      <c r="F969" s="205"/>
      <c r="G969" s="140"/>
      <c r="H969" s="140"/>
      <c r="I969" s="140"/>
      <c r="J969" s="140"/>
      <c r="K969" s="140"/>
      <c r="L969" s="140"/>
      <c r="M969" s="140"/>
      <c r="N969" s="140"/>
      <c r="O969" s="140"/>
      <c r="P969" s="140"/>
      <c r="Q969" s="140"/>
      <c r="R969" s="140"/>
    </row>
    <row r="970">
      <c r="A970" s="140"/>
      <c r="B970" s="140"/>
      <c r="C970" s="140"/>
      <c r="D970" s="140"/>
      <c r="E970" s="140"/>
      <c r="F970" s="205"/>
      <c r="G970" s="140"/>
      <c r="H970" s="140"/>
      <c r="I970" s="140"/>
      <c r="J970" s="140"/>
      <c r="K970" s="140"/>
      <c r="L970" s="140"/>
      <c r="M970" s="140"/>
      <c r="N970" s="140"/>
      <c r="O970" s="140"/>
      <c r="P970" s="140"/>
      <c r="Q970" s="140"/>
      <c r="R970" s="140"/>
    </row>
    <row r="971">
      <c r="A971" s="140"/>
      <c r="B971" s="140"/>
      <c r="C971" s="140"/>
      <c r="D971" s="140"/>
      <c r="E971" s="140"/>
      <c r="F971" s="205"/>
      <c r="G971" s="140"/>
      <c r="H971" s="140"/>
      <c r="I971" s="140"/>
      <c r="J971" s="140"/>
      <c r="K971" s="140"/>
      <c r="L971" s="140"/>
      <c r="M971" s="140"/>
      <c r="N971" s="140"/>
      <c r="O971" s="140"/>
      <c r="P971" s="140"/>
      <c r="Q971" s="140"/>
      <c r="R971" s="140"/>
    </row>
    <row r="972">
      <c r="A972" s="140"/>
      <c r="B972" s="140"/>
      <c r="C972" s="140"/>
      <c r="D972" s="140"/>
      <c r="E972" s="140"/>
      <c r="F972" s="205"/>
      <c r="G972" s="140"/>
      <c r="H972" s="140"/>
      <c r="I972" s="140"/>
      <c r="J972" s="140"/>
      <c r="K972" s="140"/>
      <c r="L972" s="140"/>
      <c r="M972" s="140"/>
      <c r="N972" s="140"/>
      <c r="O972" s="140"/>
      <c r="P972" s="140"/>
      <c r="Q972" s="140"/>
      <c r="R972" s="140"/>
    </row>
    <row r="973">
      <c r="A973" s="140"/>
      <c r="B973" s="140"/>
      <c r="C973" s="140"/>
      <c r="D973" s="140"/>
      <c r="E973" s="140"/>
      <c r="F973" s="205"/>
      <c r="G973" s="140"/>
      <c r="H973" s="140"/>
      <c r="I973" s="140"/>
      <c r="J973" s="140"/>
      <c r="K973" s="140"/>
      <c r="L973" s="140"/>
      <c r="M973" s="140"/>
      <c r="N973" s="140"/>
      <c r="O973" s="140"/>
      <c r="P973" s="140"/>
      <c r="Q973" s="140"/>
      <c r="R973" s="140"/>
    </row>
    <row r="974">
      <c r="A974" s="140"/>
      <c r="B974" s="140"/>
      <c r="C974" s="140"/>
      <c r="D974" s="140"/>
      <c r="E974" s="140"/>
      <c r="F974" s="205"/>
      <c r="G974" s="140"/>
      <c r="H974" s="140"/>
      <c r="I974" s="140"/>
      <c r="J974" s="140"/>
      <c r="K974" s="140"/>
      <c r="L974" s="140"/>
      <c r="M974" s="140"/>
      <c r="N974" s="140"/>
      <c r="O974" s="140"/>
      <c r="P974" s="140"/>
      <c r="Q974" s="140"/>
      <c r="R974" s="140"/>
    </row>
    <row r="975">
      <c r="A975" s="140"/>
      <c r="B975" s="140"/>
      <c r="C975" s="140"/>
      <c r="D975" s="140"/>
      <c r="E975" s="140"/>
      <c r="F975" s="205"/>
      <c r="G975" s="140"/>
      <c r="H975" s="140"/>
      <c r="I975" s="140"/>
      <c r="J975" s="140"/>
      <c r="K975" s="140"/>
      <c r="L975" s="140"/>
      <c r="M975" s="140"/>
      <c r="N975" s="140"/>
      <c r="O975" s="140"/>
      <c r="P975" s="140"/>
      <c r="Q975" s="140"/>
      <c r="R975" s="140"/>
    </row>
    <row r="976">
      <c r="A976" s="140"/>
      <c r="B976" s="140"/>
      <c r="C976" s="140"/>
      <c r="D976" s="140"/>
      <c r="E976" s="140"/>
      <c r="F976" s="205"/>
      <c r="G976" s="140"/>
      <c r="H976" s="140"/>
      <c r="I976" s="140"/>
      <c r="J976" s="140"/>
      <c r="K976" s="140"/>
      <c r="L976" s="140"/>
      <c r="M976" s="140"/>
      <c r="N976" s="140"/>
      <c r="O976" s="140"/>
      <c r="P976" s="140"/>
      <c r="Q976" s="140"/>
      <c r="R976" s="140"/>
    </row>
    <row r="977">
      <c r="A977" s="140"/>
      <c r="B977" s="140"/>
      <c r="C977" s="140"/>
      <c r="D977" s="140"/>
      <c r="E977" s="140"/>
      <c r="F977" s="205"/>
      <c r="G977" s="140"/>
      <c r="H977" s="140"/>
      <c r="I977" s="140"/>
      <c r="J977" s="140"/>
      <c r="K977" s="140"/>
      <c r="L977" s="140"/>
      <c r="M977" s="140"/>
      <c r="N977" s="140"/>
      <c r="O977" s="140"/>
      <c r="P977" s="140"/>
      <c r="Q977" s="140"/>
      <c r="R977" s="140"/>
    </row>
    <row r="978">
      <c r="A978" s="140"/>
      <c r="B978" s="140"/>
      <c r="C978" s="140"/>
      <c r="D978" s="140"/>
      <c r="E978" s="140"/>
      <c r="F978" s="205"/>
      <c r="G978" s="140"/>
      <c r="H978" s="140"/>
      <c r="I978" s="140"/>
      <c r="J978" s="140"/>
      <c r="K978" s="140"/>
      <c r="L978" s="140"/>
      <c r="M978" s="140"/>
      <c r="N978" s="140"/>
      <c r="O978" s="140"/>
      <c r="P978" s="140"/>
      <c r="Q978" s="140"/>
      <c r="R978" s="140"/>
    </row>
    <row r="979">
      <c r="A979" s="140"/>
      <c r="B979" s="140"/>
      <c r="C979" s="140"/>
      <c r="D979" s="140"/>
      <c r="E979" s="140"/>
      <c r="F979" s="205"/>
      <c r="G979" s="140"/>
      <c r="H979" s="140"/>
      <c r="I979" s="140"/>
      <c r="J979" s="140"/>
      <c r="K979" s="140"/>
      <c r="L979" s="140"/>
      <c r="M979" s="140"/>
      <c r="N979" s="140"/>
      <c r="O979" s="140"/>
      <c r="P979" s="140"/>
      <c r="Q979" s="140"/>
      <c r="R979" s="140"/>
    </row>
    <row r="980">
      <c r="A980" s="140"/>
      <c r="B980" s="140"/>
      <c r="C980" s="140"/>
      <c r="D980" s="140"/>
      <c r="E980" s="140"/>
      <c r="F980" s="205"/>
      <c r="G980" s="140"/>
      <c r="H980" s="140"/>
      <c r="I980" s="140"/>
      <c r="J980" s="140"/>
      <c r="K980" s="140"/>
      <c r="L980" s="140"/>
      <c r="M980" s="140"/>
      <c r="N980" s="140"/>
      <c r="O980" s="140"/>
      <c r="P980" s="140"/>
      <c r="Q980" s="140"/>
      <c r="R980" s="140"/>
    </row>
    <row r="981">
      <c r="A981" s="140"/>
      <c r="B981" s="140"/>
      <c r="C981" s="140"/>
      <c r="D981" s="140"/>
      <c r="E981" s="140"/>
      <c r="F981" s="205"/>
      <c r="G981" s="140"/>
      <c r="H981" s="140"/>
      <c r="I981" s="140"/>
      <c r="J981" s="140"/>
      <c r="K981" s="140"/>
      <c r="L981" s="140"/>
      <c r="M981" s="140"/>
      <c r="N981" s="140"/>
      <c r="O981" s="140"/>
      <c r="P981" s="140"/>
      <c r="Q981" s="140"/>
      <c r="R981" s="140"/>
    </row>
    <row r="982">
      <c r="A982" s="140"/>
      <c r="B982" s="140"/>
      <c r="C982" s="140"/>
      <c r="D982" s="140"/>
      <c r="E982" s="140"/>
      <c r="F982" s="205"/>
      <c r="G982" s="140"/>
      <c r="H982" s="140"/>
      <c r="I982" s="140"/>
      <c r="J982" s="140"/>
      <c r="K982" s="140"/>
      <c r="L982" s="140"/>
      <c r="M982" s="140"/>
      <c r="N982" s="140"/>
      <c r="O982" s="140"/>
      <c r="P982" s="140"/>
      <c r="Q982" s="140"/>
      <c r="R982" s="140"/>
    </row>
    <row r="983">
      <c r="A983" s="140"/>
      <c r="B983" s="140"/>
      <c r="C983" s="140"/>
      <c r="D983" s="140"/>
      <c r="E983" s="140"/>
      <c r="F983" s="205"/>
      <c r="G983" s="140"/>
      <c r="H983" s="140"/>
      <c r="I983" s="140"/>
      <c r="J983" s="140"/>
      <c r="K983" s="140"/>
      <c r="L983" s="140"/>
      <c r="M983" s="140"/>
      <c r="N983" s="140"/>
      <c r="O983" s="140"/>
      <c r="P983" s="140"/>
      <c r="Q983" s="140"/>
      <c r="R983" s="140"/>
    </row>
    <row r="984">
      <c r="A984" s="140"/>
      <c r="B984" s="140"/>
      <c r="C984" s="140"/>
      <c r="D984" s="140"/>
      <c r="E984" s="140"/>
      <c r="F984" s="205"/>
      <c r="G984" s="140"/>
      <c r="H984" s="140"/>
      <c r="I984" s="140"/>
      <c r="J984" s="140"/>
      <c r="K984" s="140"/>
      <c r="L984" s="140"/>
      <c r="M984" s="140"/>
      <c r="N984" s="140"/>
      <c r="O984" s="140"/>
      <c r="P984" s="140"/>
      <c r="Q984" s="140"/>
      <c r="R984" s="140"/>
    </row>
    <row r="985">
      <c r="A985" s="140"/>
      <c r="B985" s="140"/>
      <c r="C985" s="140"/>
      <c r="D985" s="140"/>
      <c r="E985" s="140"/>
      <c r="F985" s="205"/>
      <c r="G985" s="140"/>
      <c r="H985" s="140"/>
      <c r="I985" s="140"/>
      <c r="J985" s="140"/>
      <c r="K985" s="140"/>
      <c r="L985" s="140"/>
      <c r="M985" s="140"/>
      <c r="N985" s="140"/>
      <c r="O985" s="140"/>
      <c r="P985" s="140"/>
      <c r="Q985" s="140"/>
      <c r="R985" s="140"/>
    </row>
    <row r="986">
      <c r="A986" s="140"/>
      <c r="B986" s="140"/>
      <c r="C986" s="140"/>
      <c r="D986" s="140"/>
      <c r="E986" s="140"/>
      <c r="F986" s="205"/>
      <c r="G986" s="140"/>
      <c r="H986" s="140"/>
      <c r="I986" s="140"/>
      <c r="J986" s="140"/>
      <c r="K986" s="140"/>
      <c r="L986" s="140"/>
      <c r="M986" s="140"/>
      <c r="N986" s="140"/>
      <c r="O986" s="140"/>
      <c r="P986" s="140"/>
      <c r="Q986" s="140"/>
      <c r="R986" s="140"/>
    </row>
    <row r="987">
      <c r="A987" s="140"/>
      <c r="B987" s="140"/>
      <c r="C987" s="140"/>
      <c r="D987" s="140"/>
      <c r="E987" s="140"/>
      <c r="F987" s="205"/>
      <c r="G987" s="140"/>
      <c r="H987" s="140"/>
      <c r="I987" s="140"/>
      <c r="J987" s="140"/>
      <c r="K987" s="140"/>
      <c r="L987" s="140"/>
      <c r="M987" s="140"/>
      <c r="N987" s="140"/>
      <c r="O987" s="140"/>
      <c r="P987" s="140"/>
      <c r="Q987" s="140"/>
      <c r="R987" s="140"/>
    </row>
    <row r="988">
      <c r="A988" s="140"/>
      <c r="B988" s="140"/>
      <c r="C988" s="140"/>
      <c r="D988" s="140"/>
      <c r="E988" s="140"/>
      <c r="F988" s="205"/>
      <c r="G988" s="140"/>
      <c r="H988" s="140"/>
      <c r="I988" s="140"/>
      <c r="J988" s="140"/>
      <c r="K988" s="140"/>
      <c r="L988" s="140"/>
      <c r="M988" s="140"/>
      <c r="N988" s="140"/>
      <c r="O988" s="140"/>
      <c r="P988" s="140"/>
      <c r="Q988" s="140"/>
      <c r="R988" s="140"/>
    </row>
    <row r="989">
      <c r="A989" s="140"/>
      <c r="B989" s="140"/>
      <c r="C989" s="140"/>
      <c r="D989" s="140"/>
      <c r="E989" s="140"/>
      <c r="F989" s="205"/>
      <c r="G989" s="140"/>
      <c r="H989" s="140"/>
      <c r="I989" s="140"/>
      <c r="J989" s="140"/>
      <c r="K989" s="140"/>
      <c r="L989" s="140"/>
      <c r="M989" s="140"/>
      <c r="N989" s="140"/>
      <c r="O989" s="140"/>
      <c r="P989" s="140"/>
      <c r="Q989" s="140"/>
      <c r="R989" s="140"/>
    </row>
    <row r="990">
      <c r="A990" s="140"/>
      <c r="B990" s="140"/>
      <c r="C990" s="140"/>
      <c r="D990" s="140"/>
      <c r="E990" s="140"/>
      <c r="F990" s="205"/>
      <c r="G990" s="140"/>
      <c r="H990" s="140"/>
      <c r="I990" s="140"/>
      <c r="J990" s="140"/>
      <c r="K990" s="140"/>
      <c r="L990" s="140"/>
      <c r="M990" s="140"/>
      <c r="N990" s="140"/>
      <c r="O990" s="140"/>
      <c r="P990" s="140"/>
      <c r="Q990" s="140"/>
      <c r="R990" s="140"/>
    </row>
    <row r="991">
      <c r="A991" s="140"/>
      <c r="B991" s="140"/>
      <c r="C991" s="140"/>
      <c r="D991" s="140"/>
      <c r="E991" s="140"/>
      <c r="F991" s="205"/>
      <c r="G991" s="140"/>
      <c r="H991" s="140"/>
      <c r="I991" s="140"/>
      <c r="J991" s="140"/>
      <c r="K991" s="140"/>
      <c r="L991" s="140"/>
      <c r="M991" s="140"/>
      <c r="N991" s="140"/>
      <c r="O991" s="140"/>
      <c r="P991" s="140"/>
      <c r="Q991" s="140"/>
      <c r="R991" s="140"/>
    </row>
    <row r="992">
      <c r="A992" s="140"/>
      <c r="B992" s="140"/>
      <c r="C992" s="140"/>
      <c r="D992" s="140"/>
      <c r="E992" s="140"/>
      <c r="F992" s="205"/>
      <c r="G992" s="140"/>
      <c r="H992" s="140"/>
      <c r="I992" s="140"/>
      <c r="J992" s="140"/>
      <c r="K992" s="140"/>
      <c r="L992" s="140"/>
      <c r="M992" s="140"/>
      <c r="N992" s="140"/>
      <c r="O992" s="140"/>
      <c r="P992" s="140"/>
      <c r="Q992" s="140"/>
      <c r="R992" s="140"/>
    </row>
    <row r="993">
      <c r="A993" s="140"/>
      <c r="B993" s="140"/>
      <c r="C993" s="140"/>
      <c r="D993" s="140"/>
      <c r="E993" s="140"/>
      <c r="F993" s="205"/>
      <c r="G993" s="140"/>
      <c r="H993" s="140"/>
      <c r="I993" s="140"/>
      <c r="J993" s="140"/>
      <c r="K993" s="140"/>
      <c r="L993" s="140"/>
      <c r="M993" s="140"/>
      <c r="N993" s="140"/>
      <c r="O993" s="140"/>
      <c r="P993" s="140"/>
      <c r="Q993" s="140"/>
      <c r="R993" s="140"/>
    </row>
    <row r="994">
      <c r="A994" s="140"/>
      <c r="B994" s="140"/>
      <c r="C994" s="140"/>
      <c r="D994" s="140"/>
      <c r="E994" s="140"/>
      <c r="F994" s="205"/>
      <c r="G994" s="140"/>
      <c r="H994" s="140"/>
      <c r="I994" s="140"/>
      <c r="J994" s="140"/>
      <c r="K994" s="140"/>
      <c r="L994" s="140"/>
      <c r="M994" s="140"/>
      <c r="N994" s="140"/>
      <c r="O994" s="140"/>
      <c r="P994" s="140"/>
      <c r="Q994" s="140"/>
      <c r="R994" s="140"/>
    </row>
    <row r="995">
      <c r="A995" s="140"/>
      <c r="B995" s="140"/>
      <c r="C995" s="140"/>
      <c r="D995" s="140"/>
      <c r="E995" s="140"/>
      <c r="F995" s="205"/>
      <c r="G995" s="140"/>
      <c r="H995" s="140"/>
      <c r="I995" s="140"/>
      <c r="J995" s="140"/>
      <c r="K995" s="140"/>
      <c r="L995" s="140"/>
      <c r="M995" s="140"/>
      <c r="N995" s="140"/>
      <c r="O995" s="140"/>
      <c r="P995" s="140"/>
      <c r="Q995" s="140"/>
      <c r="R995" s="140"/>
    </row>
    <row r="996">
      <c r="A996" s="140"/>
      <c r="B996" s="140"/>
      <c r="C996" s="140"/>
      <c r="D996" s="140"/>
      <c r="E996" s="140"/>
      <c r="F996" s="205"/>
      <c r="G996" s="140"/>
      <c r="H996" s="140"/>
      <c r="I996" s="140"/>
      <c r="J996" s="140"/>
      <c r="K996" s="140"/>
      <c r="L996" s="140"/>
      <c r="M996" s="140"/>
      <c r="N996" s="140"/>
      <c r="O996" s="140"/>
      <c r="P996" s="140"/>
      <c r="Q996" s="140"/>
      <c r="R996" s="140"/>
    </row>
    <row r="997">
      <c r="A997" s="140"/>
      <c r="B997" s="140"/>
      <c r="C997" s="140"/>
      <c r="D997" s="140"/>
      <c r="E997" s="140"/>
      <c r="F997" s="205"/>
      <c r="G997" s="140"/>
      <c r="H997" s="140"/>
      <c r="I997" s="140"/>
      <c r="J997" s="140"/>
      <c r="K997" s="140"/>
      <c r="L997" s="140"/>
      <c r="M997" s="140"/>
      <c r="N997" s="140"/>
      <c r="O997" s="140"/>
      <c r="P997" s="140"/>
      <c r="Q997" s="140"/>
      <c r="R997" s="140"/>
    </row>
    <row r="998">
      <c r="A998" s="140"/>
      <c r="B998" s="140"/>
      <c r="C998" s="140"/>
      <c r="D998" s="140"/>
      <c r="E998" s="140"/>
      <c r="F998" s="205"/>
      <c r="G998" s="140"/>
      <c r="H998" s="140"/>
      <c r="I998" s="140"/>
      <c r="J998" s="140"/>
      <c r="K998" s="140"/>
      <c r="L998" s="140"/>
      <c r="M998" s="140"/>
      <c r="N998" s="140"/>
      <c r="O998" s="140"/>
      <c r="P998" s="140"/>
      <c r="Q998" s="140"/>
      <c r="R998" s="140"/>
    </row>
    <row r="999">
      <c r="A999" s="140"/>
      <c r="B999" s="140"/>
      <c r="C999" s="140"/>
      <c r="D999" s="140"/>
      <c r="E999" s="140"/>
      <c r="F999" s="205"/>
      <c r="G999" s="140"/>
      <c r="H999" s="140"/>
      <c r="I999" s="140"/>
      <c r="J999" s="140"/>
      <c r="K999" s="140"/>
      <c r="L999" s="140"/>
      <c r="M999" s="140"/>
      <c r="N999" s="140"/>
      <c r="O999" s="140"/>
      <c r="P999" s="140"/>
      <c r="Q999" s="140"/>
      <c r="R999" s="140"/>
    </row>
    <row r="1000">
      <c r="A1000" s="140"/>
      <c r="B1000" s="140"/>
      <c r="C1000" s="140"/>
      <c r="D1000" s="140"/>
      <c r="E1000" s="140"/>
      <c r="F1000" s="205"/>
      <c r="G1000" s="140"/>
      <c r="H1000" s="140"/>
      <c r="I1000" s="140"/>
      <c r="J1000" s="140"/>
      <c r="K1000" s="140"/>
      <c r="L1000" s="140"/>
      <c r="M1000" s="140"/>
      <c r="N1000" s="140"/>
      <c r="O1000" s="140"/>
      <c r="P1000" s="140"/>
      <c r="Q1000" s="140"/>
      <c r="R1000" s="140"/>
    </row>
    <row r="1001">
      <c r="A1001" s="140"/>
      <c r="B1001" s="140"/>
      <c r="C1001" s="140"/>
      <c r="D1001" s="140"/>
      <c r="E1001" s="140"/>
      <c r="F1001" s="140"/>
      <c r="G1001" s="140"/>
      <c r="H1001" s="140"/>
      <c r="I1001" s="140"/>
      <c r="J1001" s="140"/>
      <c r="K1001" s="140"/>
      <c r="L1001" s="140"/>
      <c r="M1001" s="140"/>
      <c r="N1001" s="140"/>
      <c r="O1001" s="140"/>
      <c r="P1001" s="140"/>
      <c r="Q1001" s="140"/>
      <c r="R1001" s="140"/>
    </row>
    <row r="1002">
      <c r="A1002" s="140"/>
      <c r="B1002" s="140"/>
      <c r="C1002" s="140"/>
      <c r="D1002" s="140"/>
      <c r="E1002" s="140"/>
      <c r="F1002" s="140"/>
      <c r="G1002" s="140"/>
      <c r="H1002" s="140"/>
      <c r="I1002" s="140"/>
      <c r="J1002" s="140"/>
      <c r="K1002" s="140"/>
      <c r="L1002" s="140"/>
      <c r="M1002" s="140"/>
      <c r="N1002" s="140"/>
      <c r="O1002" s="140"/>
      <c r="P1002" s="140"/>
      <c r="Q1002" s="140"/>
      <c r="R1002" s="140"/>
    </row>
    <row r="1003">
      <c r="A1003" s="140"/>
      <c r="B1003" s="140"/>
      <c r="C1003" s="140"/>
      <c r="D1003" s="140"/>
      <c r="E1003" s="140"/>
      <c r="F1003" s="140"/>
      <c r="G1003" s="140"/>
      <c r="H1003" s="140"/>
      <c r="I1003" s="140"/>
      <c r="J1003" s="140"/>
      <c r="K1003" s="140"/>
      <c r="L1003" s="140"/>
      <c r="M1003" s="140"/>
      <c r="N1003" s="140"/>
      <c r="O1003" s="140"/>
      <c r="P1003" s="140"/>
      <c r="Q1003" s="140"/>
      <c r="R1003" s="140"/>
    </row>
    <row r="1004">
      <c r="A1004" s="140"/>
      <c r="B1004" s="140"/>
      <c r="C1004" s="140"/>
      <c r="D1004" s="140"/>
      <c r="E1004" s="140"/>
      <c r="F1004" s="140"/>
      <c r="G1004" s="140"/>
      <c r="H1004" s="140"/>
      <c r="I1004" s="140"/>
      <c r="J1004" s="140"/>
      <c r="K1004" s="140"/>
      <c r="L1004" s="140"/>
      <c r="M1004" s="140"/>
      <c r="N1004" s="140"/>
      <c r="O1004" s="140"/>
      <c r="P1004" s="140"/>
      <c r="Q1004" s="140"/>
      <c r="R1004" s="140"/>
    </row>
    <row r="1005">
      <c r="A1005" s="140"/>
      <c r="B1005" s="140"/>
      <c r="C1005" s="140"/>
      <c r="D1005" s="140"/>
      <c r="E1005" s="140"/>
      <c r="F1005" s="140"/>
      <c r="G1005" s="140"/>
      <c r="H1005" s="140"/>
      <c r="I1005" s="140"/>
      <c r="J1005" s="140"/>
      <c r="K1005" s="140"/>
      <c r="L1005" s="140"/>
      <c r="M1005" s="140"/>
      <c r="N1005" s="140"/>
      <c r="O1005" s="140"/>
      <c r="P1005" s="140"/>
      <c r="Q1005" s="140"/>
      <c r="R1005" s="140"/>
    </row>
    <row r="1006">
      <c r="A1006" s="140"/>
      <c r="B1006" s="140"/>
      <c r="C1006" s="140"/>
      <c r="D1006" s="140"/>
      <c r="E1006" s="140"/>
      <c r="F1006" s="140"/>
      <c r="G1006" s="140"/>
      <c r="H1006" s="140"/>
      <c r="I1006" s="140"/>
      <c r="J1006" s="140"/>
      <c r="K1006" s="140"/>
      <c r="L1006" s="140"/>
      <c r="M1006" s="140"/>
      <c r="N1006" s="140"/>
      <c r="O1006" s="140"/>
      <c r="P1006" s="140"/>
      <c r="Q1006" s="140"/>
      <c r="R1006" s="140"/>
    </row>
    <row r="1007">
      <c r="A1007" s="140"/>
      <c r="B1007" s="140"/>
      <c r="C1007" s="140"/>
      <c r="D1007" s="140"/>
      <c r="E1007" s="140"/>
      <c r="F1007" s="140"/>
      <c r="G1007" s="140"/>
      <c r="H1007" s="140"/>
      <c r="I1007" s="140"/>
      <c r="J1007" s="140"/>
      <c r="K1007" s="140"/>
      <c r="L1007" s="140"/>
      <c r="M1007" s="140"/>
      <c r="N1007" s="140"/>
      <c r="O1007" s="140"/>
      <c r="P1007" s="140"/>
      <c r="Q1007" s="140"/>
      <c r="R1007" s="140"/>
    </row>
    <row r="1008">
      <c r="A1008" s="140"/>
      <c r="B1008" s="140"/>
      <c r="C1008" s="140"/>
      <c r="D1008" s="140"/>
      <c r="E1008" s="140"/>
      <c r="F1008" s="140"/>
      <c r="G1008" s="140"/>
      <c r="H1008" s="140"/>
      <c r="I1008" s="140"/>
      <c r="J1008" s="140"/>
      <c r="K1008" s="140"/>
      <c r="L1008" s="140"/>
      <c r="M1008" s="140"/>
      <c r="N1008" s="140"/>
      <c r="O1008" s="140"/>
      <c r="P1008" s="140"/>
      <c r="Q1008" s="140"/>
      <c r="R1008" s="140"/>
    </row>
    <row r="1009">
      <c r="A1009" s="140"/>
      <c r="B1009" s="140"/>
      <c r="C1009" s="140"/>
      <c r="D1009" s="140"/>
      <c r="E1009" s="140"/>
      <c r="F1009" s="140"/>
      <c r="G1009" s="140"/>
      <c r="H1009" s="140"/>
      <c r="I1009" s="140"/>
      <c r="J1009" s="140"/>
      <c r="K1009" s="140"/>
      <c r="L1009" s="140"/>
      <c r="M1009" s="140"/>
      <c r="N1009" s="140"/>
      <c r="O1009" s="140"/>
      <c r="P1009" s="140"/>
      <c r="Q1009" s="140"/>
      <c r="R1009" s="140"/>
    </row>
    <row r="1010">
      <c r="A1010" s="140"/>
      <c r="B1010" s="140"/>
      <c r="C1010" s="140"/>
      <c r="D1010" s="140"/>
      <c r="E1010" s="140"/>
      <c r="F1010" s="140"/>
      <c r="G1010" s="140"/>
      <c r="H1010" s="140"/>
      <c r="I1010" s="140"/>
      <c r="J1010" s="140"/>
      <c r="K1010" s="140"/>
      <c r="L1010" s="140"/>
      <c r="M1010" s="140"/>
      <c r="N1010" s="140"/>
      <c r="O1010" s="140"/>
      <c r="P1010" s="140"/>
      <c r="Q1010" s="140"/>
      <c r="R1010" s="140"/>
    </row>
    <row r="1011">
      <c r="A1011" s="140"/>
      <c r="B1011" s="140"/>
      <c r="C1011" s="140"/>
      <c r="D1011" s="140"/>
      <c r="E1011" s="140"/>
      <c r="F1011" s="140"/>
      <c r="G1011" s="140"/>
      <c r="H1011" s="140"/>
      <c r="I1011" s="140"/>
      <c r="J1011" s="140"/>
      <c r="K1011" s="140"/>
      <c r="L1011" s="140"/>
      <c r="M1011" s="140"/>
      <c r="N1011" s="140"/>
      <c r="O1011" s="140"/>
      <c r="P1011" s="140"/>
      <c r="Q1011" s="140"/>
      <c r="R1011" s="140"/>
    </row>
    <row r="1012">
      <c r="A1012" s="140"/>
      <c r="B1012" s="140"/>
      <c r="C1012" s="140"/>
      <c r="D1012" s="140"/>
      <c r="E1012" s="140"/>
      <c r="F1012" s="140"/>
      <c r="G1012" s="140"/>
      <c r="H1012" s="140"/>
      <c r="I1012" s="140"/>
      <c r="J1012" s="140"/>
      <c r="K1012" s="140"/>
      <c r="L1012" s="140"/>
      <c r="M1012" s="140"/>
      <c r="N1012" s="140"/>
      <c r="O1012" s="140"/>
      <c r="P1012" s="140"/>
      <c r="Q1012" s="140"/>
      <c r="R1012" s="140"/>
    </row>
    <row r="1013">
      <c r="A1013" s="140"/>
      <c r="B1013" s="140"/>
      <c r="C1013" s="140"/>
      <c r="D1013" s="140"/>
      <c r="E1013" s="140"/>
      <c r="F1013" s="140"/>
      <c r="G1013" s="140"/>
      <c r="H1013" s="140"/>
      <c r="I1013" s="140"/>
      <c r="J1013" s="140"/>
      <c r="K1013" s="140"/>
      <c r="L1013" s="140"/>
      <c r="M1013" s="140"/>
      <c r="N1013" s="140"/>
      <c r="O1013" s="140"/>
      <c r="P1013" s="140"/>
      <c r="Q1013" s="140"/>
      <c r="R1013" s="140"/>
    </row>
    <row r="1014">
      <c r="A1014" s="140"/>
      <c r="B1014" s="140"/>
      <c r="C1014" s="140"/>
      <c r="D1014" s="140"/>
      <c r="E1014" s="140"/>
      <c r="F1014" s="140"/>
      <c r="G1014" s="140"/>
      <c r="H1014" s="140"/>
      <c r="I1014" s="140"/>
      <c r="J1014" s="140"/>
      <c r="K1014" s="140"/>
      <c r="L1014" s="140"/>
      <c r="M1014" s="140"/>
      <c r="N1014" s="140"/>
      <c r="O1014" s="140"/>
      <c r="P1014" s="140"/>
      <c r="Q1014" s="140"/>
      <c r="R1014" s="140"/>
    </row>
    <row r="1015">
      <c r="A1015" s="140"/>
      <c r="B1015" s="140"/>
      <c r="C1015" s="140"/>
      <c r="D1015" s="140"/>
      <c r="E1015" s="140"/>
      <c r="F1015" s="140"/>
      <c r="G1015" s="140"/>
      <c r="H1015" s="140"/>
      <c r="I1015" s="140"/>
      <c r="J1015" s="140"/>
      <c r="K1015" s="140"/>
      <c r="L1015" s="140"/>
      <c r="M1015" s="140"/>
      <c r="N1015" s="140"/>
      <c r="O1015" s="140"/>
      <c r="P1015" s="140"/>
      <c r="Q1015" s="140"/>
      <c r="R1015" s="140"/>
    </row>
    <row r="1016">
      <c r="A1016" s="140"/>
      <c r="B1016" s="140"/>
      <c r="C1016" s="140"/>
      <c r="D1016" s="140"/>
      <c r="E1016" s="140"/>
      <c r="F1016" s="140"/>
      <c r="G1016" s="140"/>
      <c r="H1016" s="140"/>
      <c r="I1016" s="140"/>
      <c r="J1016" s="140"/>
      <c r="K1016" s="140"/>
      <c r="L1016" s="140"/>
      <c r="M1016" s="140"/>
      <c r="N1016" s="140"/>
      <c r="O1016" s="140"/>
      <c r="P1016" s="140"/>
      <c r="Q1016" s="140"/>
      <c r="R1016" s="140"/>
    </row>
    <row r="1017">
      <c r="A1017" s="140"/>
      <c r="B1017" s="140"/>
      <c r="C1017" s="140"/>
      <c r="D1017" s="140"/>
      <c r="E1017" s="140"/>
      <c r="F1017" s="140"/>
      <c r="G1017" s="140"/>
      <c r="H1017" s="140"/>
      <c r="I1017" s="140"/>
      <c r="J1017" s="140"/>
      <c r="K1017" s="140"/>
      <c r="L1017" s="140"/>
      <c r="M1017" s="140"/>
      <c r="N1017" s="140"/>
      <c r="O1017" s="140"/>
      <c r="P1017" s="140"/>
      <c r="Q1017" s="140"/>
      <c r="R1017" s="140"/>
    </row>
    <row r="1018">
      <c r="A1018" s="140"/>
      <c r="B1018" s="140"/>
      <c r="C1018" s="140"/>
      <c r="D1018" s="140"/>
      <c r="E1018" s="140"/>
      <c r="F1018" s="140"/>
      <c r="G1018" s="140"/>
      <c r="H1018" s="140"/>
      <c r="I1018" s="140"/>
      <c r="J1018" s="140"/>
      <c r="K1018" s="140"/>
      <c r="L1018" s="140"/>
      <c r="M1018" s="140"/>
      <c r="N1018" s="140"/>
      <c r="O1018" s="140"/>
      <c r="P1018" s="140"/>
      <c r="Q1018" s="140"/>
      <c r="R1018" s="140"/>
    </row>
    <row r="1019">
      <c r="A1019" s="140"/>
      <c r="B1019" s="140"/>
      <c r="C1019" s="140"/>
      <c r="D1019" s="140"/>
      <c r="E1019" s="140"/>
      <c r="F1019" s="140"/>
      <c r="G1019" s="140"/>
      <c r="H1019" s="140"/>
      <c r="I1019" s="140"/>
      <c r="J1019" s="140"/>
      <c r="K1019" s="140"/>
      <c r="L1019" s="140"/>
      <c r="M1019" s="140"/>
      <c r="N1019" s="140"/>
      <c r="O1019" s="140"/>
      <c r="P1019" s="140"/>
      <c r="Q1019" s="140"/>
      <c r="R1019" s="140"/>
    </row>
    <row r="1020">
      <c r="A1020" s="140"/>
      <c r="B1020" s="140"/>
      <c r="C1020" s="140"/>
      <c r="D1020" s="140"/>
      <c r="E1020" s="140"/>
      <c r="F1020" s="140"/>
      <c r="G1020" s="140"/>
      <c r="H1020" s="140"/>
      <c r="I1020" s="140"/>
      <c r="J1020" s="140"/>
      <c r="K1020" s="140"/>
      <c r="L1020" s="140"/>
      <c r="M1020" s="140"/>
      <c r="N1020" s="140"/>
      <c r="O1020" s="140"/>
      <c r="P1020" s="140"/>
      <c r="Q1020" s="140"/>
      <c r="R1020" s="140"/>
    </row>
    <row r="1021">
      <c r="A1021" s="140"/>
      <c r="B1021" s="140"/>
      <c r="C1021" s="140"/>
      <c r="D1021" s="140"/>
      <c r="E1021" s="140"/>
      <c r="F1021" s="140"/>
      <c r="G1021" s="140"/>
      <c r="H1021" s="140"/>
      <c r="I1021" s="140"/>
      <c r="J1021" s="140"/>
      <c r="K1021" s="140"/>
      <c r="L1021" s="140"/>
      <c r="M1021" s="140"/>
      <c r="N1021" s="140"/>
      <c r="O1021" s="140"/>
      <c r="P1021" s="140"/>
      <c r="Q1021" s="140"/>
      <c r="R1021" s="140"/>
    </row>
    <row r="1022">
      <c r="A1022" s="140"/>
      <c r="B1022" s="140"/>
      <c r="C1022" s="140"/>
      <c r="D1022" s="140"/>
      <c r="E1022" s="140"/>
      <c r="F1022" s="140"/>
      <c r="G1022" s="140"/>
      <c r="H1022" s="140"/>
      <c r="I1022" s="140"/>
      <c r="J1022" s="140"/>
      <c r="K1022" s="140"/>
      <c r="L1022" s="140"/>
      <c r="M1022" s="140"/>
      <c r="N1022" s="140"/>
      <c r="O1022" s="140"/>
      <c r="P1022" s="140"/>
      <c r="Q1022" s="140"/>
      <c r="R1022" s="140"/>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23" t="s">
        <v>6937</v>
      </c>
      <c r="B1" s="423" t="s">
        <v>6938</v>
      </c>
      <c r="C1" s="307" t="s">
        <v>6939</v>
      </c>
      <c r="D1" s="307" t="str">
        <f>IFERROR(__xludf.DUMMYFUNCTION("GOOGLETRANSLATE(B1,""zh-tw"",""ja"")"),"※このチュートリアルはプレイヤーによって提供されました※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f>
        <v>※このチュートリアルはプレイヤーによって提供されました※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v>
      </c>
      <c r="E1" s="441" t="s">
        <v>6940</v>
      </c>
      <c r="F1" s="424" t="str">
        <f>IFERROR(__xludf.DUMMYFUNCTION("GOOGLETRANSLATE(B1,""zh-tw"",""en"")"),"※This tutorial was provided by a player※
Solution for computers that do not have ""NVIDIA programs"" built-in
For better NVIDIA graphics card performance on Windows 10/11, it is recommended to refer to this setting.")</f>
        <v>※This tutorial was provided by a player※
Solution for computers that do not have "NVIDIA programs" built-in
For better NVIDIA graphics card performance on Windows 10/11, it is recommended to refer to this setting.</v>
      </c>
      <c r="G1" s="442" t="s">
        <v>6941</v>
      </c>
      <c r="H1" s="42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26" t="s">
        <v>6942</v>
      </c>
      <c r="J1" s="426" t="s">
        <v>6943</v>
      </c>
      <c r="K1" s="443" t="s">
        <v>6944</v>
      </c>
      <c r="L1" s="443" t="s">
        <v>6945</v>
      </c>
      <c r="M1" s="428"/>
      <c r="N1" s="428"/>
      <c r="O1" s="428"/>
      <c r="P1" s="428"/>
      <c r="Q1" s="428"/>
      <c r="R1" s="428"/>
      <c r="S1" s="428"/>
      <c r="T1" s="428"/>
      <c r="U1" s="428"/>
      <c r="V1" s="428"/>
      <c r="W1" s="428"/>
    </row>
    <row r="2">
      <c r="A2" s="429" t="s">
        <v>6946</v>
      </c>
      <c r="B2" s="429" t="s">
        <v>6947</v>
      </c>
      <c r="C2" s="105" t="s">
        <v>6948</v>
      </c>
      <c r="D2" s="105" t="str">
        <f>IFERROR(__xludf.DUMMYFUNCTION("GOOGLETRANSLATE(B2,""zh-tw"",""ja"")"),"1 - Google で NVIDIA APP を検索し、NVIDIA アプリを起動します。")</f>
        <v>1 - Google で NVIDIA APP を検索し、NVIDIA アプリを起動します。</v>
      </c>
      <c r="E2" s="444" t="s">
        <v>6949</v>
      </c>
      <c r="F2" s="219" t="str">
        <f>IFERROR(__xludf.DUMMYFUNCTION("GOOGLETRANSLATE(B2,""zh-tw"",""en"")"),"1 - Search for NVIDIA APP on Google and launch the NVIDIA app.")</f>
        <v>1 - Search for NVIDIA APP on Google and launch the NVIDIA app.</v>
      </c>
      <c r="G2" s="445" t="s">
        <v>6950</v>
      </c>
      <c r="H2" s="430" t="str">
        <f>IFERROR(__xludf.DUMMYFUNCTION("GOOGLETRANSLATE(B2,""zh-tw"",""zh"")"),"1 - 在google上搜寻 NVIDIA APP安装，并启动 NVIDIA 应用程式。")</f>
        <v>1 - 在google上搜寻 NVIDIA APP安装，并启动 NVIDIA 应用程式。</v>
      </c>
      <c r="I2" s="431" t="s">
        <v>6951</v>
      </c>
      <c r="J2" s="431" t="s">
        <v>6952</v>
      </c>
      <c r="K2" s="432" t="s">
        <v>6953</v>
      </c>
      <c r="L2" s="432" t="s">
        <v>6954</v>
      </c>
      <c r="M2" s="140"/>
      <c r="N2" s="140"/>
      <c r="O2" s="140"/>
      <c r="P2" s="140"/>
      <c r="Q2" s="140"/>
      <c r="R2" s="140"/>
      <c r="S2" s="140"/>
      <c r="T2" s="140"/>
      <c r="U2" s="140"/>
      <c r="V2" s="140"/>
      <c r="W2" s="140"/>
    </row>
    <row r="3">
      <c r="A3" s="429" t="s">
        <v>6955</v>
      </c>
      <c r="B3" s="429" t="s">
        <v>6956</v>
      </c>
      <c r="C3" s="105" t="s">
        <v>6957</v>
      </c>
      <c r="D3" s="105" t="str">
        <f>IFERROR(__xludf.DUMMYFUNCTION("GOOGLETRANSLATE(B3,""zh-tw"",""ja"")"),"2 - 最新バージョンに更新した後、NVIDIA アプリケーションを再起動します。")</f>
        <v>2 - 最新バージョンに更新した後、NVIDIA アプリケーションを再起動します。</v>
      </c>
      <c r="E3" s="444" t="s">
        <v>6958</v>
      </c>
      <c r="F3" s="219" t="str">
        <f>IFERROR(__xludf.DUMMYFUNCTION("GOOGLETRANSLATE(B3,""zh-tw"",""en"")"),"2 - Restart the NVIDIA application after updating to the latest version.")</f>
        <v>2 - Restart the NVIDIA application after updating to the latest version.</v>
      </c>
      <c r="G3" s="445" t="s">
        <v>6959</v>
      </c>
      <c r="H3" s="430" t="str">
        <f>IFERROR(__xludf.DUMMYFUNCTION("GOOGLETRANSLATE(B3,""zh-tw"",""zh"")"),"2 - 在更新至最新版本后重新启动 NVIDIA 应用程式。")</f>
        <v>2 - 在更新至最新版本后重新启动 NVIDIA 应用程式。</v>
      </c>
      <c r="I3" s="431" t="s">
        <v>6960</v>
      </c>
      <c r="J3" s="431" t="s">
        <v>6961</v>
      </c>
      <c r="K3" s="432" t="s">
        <v>6962</v>
      </c>
      <c r="L3" s="432" t="s">
        <v>6963</v>
      </c>
      <c r="M3" s="140"/>
      <c r="N3" s="140"/>
      <c r="O3" s="140"/>
      <c r="P3" s="140"/>
      <c r="Q3" s="140"/>
      <c r="R3" s="140"/>
      <c r="S3" s="140"/>
      <c r="T3" s="140"/>
      <c r="U3" s="140"/>
      <c r="V3" s="140"/>
      <c r="W3" s="140"/>
    </row>
    <row r="4">
      <c r="A4" s="429" t="s">
        <v>6964</v>
      </c>
      <c r="B4" s="429" t="s">
        <v>6965</v>
      </c>
      <c r="C4" s="105" t="s">
        <v>6966</v>
      </c>
      <c r="D4" s="105" t="str">
        <f>IFERROR(__xludf.DUMMYFUNCTION("GOOGLETRANSLATE(B4,""zh-tw"",""ja"")"),"3 - NVIDIA アプリケーションで、グラフィック設定領域に移動します。")</f>
        <v>3 - NVIDIA アプリケーションで、グラフィック設定領域に移動します。</v>
      </c>
      <c r="E4" s="444" t="s">
        <v>6967</v>
      </c>
      <c r="F4" s="219" t="str">
        <f>IFERROR(__xludf.DUMMYFUNCTION("GOOGLETRANSLATE(B4,""zh-tw"",""en"")"),"3 - In the NVIDIA application, go to the graphics settings area.")</f>
        <v>3 - In the NVIDIA application, go to the graphics settings area.</v>
      </c>
      <c r="G4" s="445" t="s">
        <v>6968</v>
      </c>
      <c r="H4" s="430" t="str">
        <f>IFERROR(__xludf.DUMMYFUNCTION("GOOGLETRANSLATE(B4,""zh-tw"",""zh"")"),"3 - 在NVIDIA应用程式中，进入图形设置区域。")</f>
        <v>3 - 在NVIDIA应用程式中，进入图形设置区域。</v>
      </c>
      <c r="I4" s="431" t="s">
        <v>6969</v>
      </c>
      <c r="J4" s="431" t="s">
        <v>6970</v>
      </c>
      <c r="K4" s="432" t="s">
        <v>6971</v>
      </c>
      <c r="L4" s="432" t="s">
        <v>6972</v>
      </c>
      <c r="M4" s="140"/>
      <c r="N4" s="140"/>
      <c r="O4" s="140"/>
      <c r="P4" s="140"/>
      <c r="Q4" s="140"/>
      <c r="R4" s="140"/>
      <c r="S4" s="140"/>
      <c r="T4" s="140"/>
      <c r="U4" s="140"/>
      <c r="V4" s="140"/>
      <c r="W4" s="140"/>
    </row>
    <row r="5">
      <c r="A5" s="429" t="s">
        <v>6973</v>
      </c>
      <c r="B5" s="429" t="s">
        <v>6974</v>
      </c>
      <c r="C5" s="105" t="s">
        <v>6975</v>
      </c>
      <c r="D5" s="10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44" t="s">
        <v>6976</v>
      </c>
      <c r="F5" s="219" t="str">
        <f>IFERROR(__xludf.DUMMYFUNCTION("GOOGLETRANSLATE(B5,""zh-tw"",""en"")"),"4 - In ""Program Settings"", click the three dots, select ""Add Program"", and then find the game's executable file.")</f>
        <v>4 - In "Program Settings", click the three dots, select "Add Program", and then find the game's executable file.</v>
      </c>
      <c r="G5" s="445" t="s">
        <v>6977</v>
      </c>
      <c r="H5" s="430" t="str">
        <f>IFERROR(__xludf.DUMMYFUNCTION("GOOGLETRANSLATE(B5,""zh-tw"",""zh"")"),"4 - 在「程式设定」中点击三个点，选择「新增程式」，然后寻找游戏的执行档。")</f>
        <v>4 - 在「程式设定」中点击三个点，选择「新增程式」，然后寻找游戏的执行档。</v>
      </c>
      <c r="I5" s="431" t="s">
        <v>6978</v>
      </c>
      <c r="J5" s="431" t="s">
        <v>6979</v>
      </c>
      <c r="K5" s="432" t="s">
        <v>6980</v>
      </c>
      <c r="L5" s="432" t="s">
        <v>6981</v>
      </c>
      <c r="M5" s="140"/>
      <c r="N5" s="140"/>
      <c r="O5" s="140"/>
      <c r="P5" s="140"/>
      <c r="Q5" s="140"/>
      <c r="R5" s="140"/>
      <c r="S5" s="140"/>
      <c r="T5" s="140"/>
      <c r="U5" s="140"/>
      <c r="V5" s="140"/>
      <c r="W5" s="140"/>
    </row>
    <row r="6">
      <c r="A6" s="429" t="s">
        <v>6982</v>
      </c>
      <c r="B6" s="429" t="s">
        <v>6983</v>
      </c>
      <c r="C6" s="105" t="s">
        <v>6984</v>
      </c>
      <c r="D6" s="105" t="str">
        <f>IFERROR(__xludf.DUMMYFUNCTION("GOOGLETRANSLATE(B6,""zh-tw"",""ja"")"),"5 - 「低遅延モード」を「超高」に、「電源管理モード」を「最適電力」に設定します。")</f>
        <v>5 - 「低遅延モード」を「超高」に、「電源管理モード」を「最適電力」に設定します。</v>
      </c>
      <c r="E6" s="444" t="s">
        <v>6985</v>
      </c>
      <c r="F6" s="219" t="str">
        <f>IFERROR(__xludf.DUMMYFUNCTION("GOOGLETRANSLATE(B6,""zh-tw"",""en"")"),"5 - Set ""Low Latency Mode"" to ""Ultra High"" and ""Power Management Mode"" to ""Optimal Power"".")</f>
        <v>5 - Set "Low Latency Mode" to "Ultra High" and "Power Management Mode" to "Optimal Power".</v>
      </c>
      <c r="G6" s="445" t="s">
        <v>6986</v>
      </c>
      <c r="H6" s="430" t="str">
        <f>IFERROR(__xludf.DUMMYFUNCTION("GOOGLETRANSLATE(B6,""zh-tw"",""zh"")"),"5 - 将「低延迟模式」设为「超高」，电源管理模式设为「最佳电源」。")</f>
        <v>5 - 将「低延迟模式」设为「超高」，电源管理模式设为「最佳电源」。</v>
      </c>
      <c r="I6" s="431" t="s">
        <v>6987</v>
      </c>
      <c r="J6" s="431" t="s">
        <v>6988</v>
      </c>
      <c r="K6" s="432" t="s">
        <v>6989</v>
      </c>
      <c r="L6" s="432" t="s">
        <v>6990</v>
      </c>
      <c r="M6" s="140"/>
      <c r="N6" s="140"/>
      <c r="O6" s="140"/>
      <c r="P6" s="140"/>
      <c r="Q6" s="140"/>
      <c r="R6" s="140"/>
      <c r="S6" s="140"/>
      <c r="T6" s="140"/>
      <c r="U6" s="140"/>
      <c r="V6" s="140"/>
      <c r="W6" s="140"/>
    </row>
    <row r="7">
      <c r="A7" s="429" t="s">
        <v>6991</v>
      </c>
      <c r="B7" s="429" t="s">
        <v>6992</v>
      </c>
      <c r="C7" s="105" t="s">
        <v>6993</v>
      </c>
      <c r="D7" s="105" t="str">
        <f>IFERROR(__xludf.DUMMYFUNCTION("GOOGLETRANSLATE(B7,""zh-tw"",""ja"")"),"6-「垂直同期」を「高速」に設定します。")</f>
        <v>6-「垂直同期」を「高速」に設定します。</v>
      </c>
      <c r="E7" s="444" t="s">
        <v>6994</v>
      </c>
      <c r="F7" s="219" t="str">
        <f>IFERROR(__xludf.DUMMYFUNCTION("GOOGLETRANSLATE(B7,""zh-tw"",""en"")"),"6- Set ""Vertical Sync"" to ""Fast"".")</f>
        <v>6- Set "Vertical Sync" to "Fast".</v>
      </c>
      <c r="G7" s="445" t="s">
        <v>6995</v>
      </c>
      <c r="H7" s="430" t="str">
        <f>IFERROR(__xludf.DUMMYFUNCTION("GOOGLETRANSLATE(B7,""zh-tw"",""zh"")"),"6- 将「垂直同步」设为「快速」。")</f>
        <v>6- 将「垂直同步」设为「快速」。</v>
      </c>
      <c r="I7" s="431" t="s">
        <v>6996</v>
      </c>
      <c r="J7" s="431" t="s">
        <v>6997</v>
      </c>
      <c r="K7" s="432" t="s">
        <v>6998</v>
      </c>
      <c r="L7" s="432" t="s">
        <v>6999</v>
      </c>
      <c r="M7" s="140"/>
      <c r="N7" s="140"/>
      <c r="O7" s="140"/>
      <c r="P7" s="140"/>
      <c r="Q7" s="140"/>
      <c r="R7" s="140"/>
      <c r="S7" s="140"/>
      <c r="T7" s="140"/>
      <c r="U7" s="140"/>
      <c r="V7" s="140"/>
      <c r="W7" s="140"/>
    </row>
    <row r="8">
      <c r="A8" s="429" t="s">
        <v>7000</v>
      </c>
      <c r="B8" s="429" t="s">
        <v>7001</v>
      </c>
      <c r="C8" s="105" t="s">
        <v>7002</v>
      </c>
      <c r="D8" s="105" t="str">
        <f>IFERROR(__xludf.DUMMYFUNCTION("GOOGLETRANSLATE(B8,""zh-tw"",""ja"")"),"7 - コンピュータがこれらのオプションを処理できない場合は、最適なオプションを選択してください。")</f>
        <v>7 - コンピュータがこれらのオプションを処理できない場合は、最適なオプションを選択してください。</v>
      </c>
      <c r="E8" s="444" t="s">
        <v>7003</v>
      </c>
      <c r="F8" s="219" t="str">
        <f>IFERROR(__xludf.DUMMYFUNCTION("GOOGLETRANSLATE(B8,""zh-tw"",""en"")"),"7 - If your computer cannot handle these options, please choose the best option.")</f>
        <v>7 - If your computer cannot handle these options, please choose the best option.</v>
      </c>
      <c r="G8" s="445" t="s">
        <v>7004</v>
      </c>
      <c r="H8" s="430" t="str">
        <f>IFERROR(__xludf.DUMMYFUNCTION("GOOGLETRANSLATE(B8,""zh-tw"",""zh"")"),"7 - 如果你的电脑无法负荷这些选项，请依照最佳的选项即可。")</f>
        <v>7 - 如果你的电脑无法负荷这些选项，请依照最佳的选项即可。</v>
      </c>
      <c r="I8" s="431" t="s">
        <v>7005</v>
      </c>
      <c r="J8" s="431" t="s">
        <v>7006</v>
      </c>
      <c r="K8" s="432" t="s">
        <v>7007</v>
      </c>
      <c r="L8" s="432" t="s">
        <v>7008</v>
      </c>
      <c r="M8" s="140"/>
      <c r="N8" s="140"/>
      <c r="O8" s="140"/>
      <c r="P8" s="140"/>
      <c r="Q8" s="140"/>
      <c r="R8" s="140"/>
      <c r="S8" s="140"/>
      <c r="T8" s="140"/>
      <c r="U8" s="140"/>
      <c r="V8" s="140"/>
      <c r="W8" s="140"/>
    </row>
    <row r="9">
      <c r="A9" s="429" t="s">
        <v>7009</v>
      </c>
      <c r="B9" s="429" t="s">
        <v>7010</v>
      </c>
      <c r="C9" s="105" t="s">
        <v>7011</v>
      </c>
      <c r="D9" s="105" t="str">
        <f>IFERROR(__xludf.DUMMYFUNCTION("GOOGLETRANSLATE(B9,""zh-tw"",""ja"")"),"8- ゲームを起動すると、その優れた安定性を体験できます。")</f>
        <v>8- ゲームを起動すると、その優れた安定性を体験できます。</v>
      </c>
      <c r="E9" s="444" t="s">
        <v>7012</v>
      </c>
      <c r="F9" s="219" t="str">
        <f>IFERROR(__xludf.DUMMYFUNCTION("GOOGLETRANSLATE(B9,""zh-tw"",""en"")"),"8- Now, launch the game and you will experience its excellent stability.")</f>
        <v>8- Now, launch the game and you will experience its excellent stability.</v>
      </c>
      <c r="G9" s="445" t="s">
        <v>7013</v>
      </c>
      <c r="H9" s="430" t="str">
        <f>IFERROR(__xludf.DUMMYFUNCTION("GOOGLETRANSLATE(B9,""zh-tw"",""zh"")"),"8- 现在，将游戏启动，你能体验到良好的稳定性能。")</f>
        <v>8- 现在，将游戏启动，你能体验到良好的稳定性能。</v>
      </c>
      <c r="I9" s="431" t="s">
        <v>7014</v>
      </c>
      <c r="J9" s="431" t="s">
        <v>7015</v>
      </c>
      <c r="K9" s="432" t="s">
        <v>7016</v>
      </c>
      <c r="L9" s="432" t="s">
        <v>7017</v>
      </c>
      <c r="M9" s="140"/>
      <c r="N9" s="140"/>
      <c r="O9" s="140"/>
      <c r="P9" s="140"/>
      <c r="Q9" s="140"/>
      <c r="R9" s="140"/>
      <c r="S9" s="140"/>
      <c r="T9" s="140"/>
      <c r="U9" s="140"/>
      <c r="V9" s="140"/>
      <c r="W9" s="140"/>
    </row>
    <row r="10">
      <c r="A10" s="429"/>
      <c r="B10" s="446" t="s">
        <v>7018</v>
      </c>
      <c r="C10" s="447"/>
      <c r="D10" s="448" t="s">
        <v>7019</v>
      </c>
      <c r="E10" s="449"/>
      <c r="F10" s="450" t="s">
        <v>6933</v>
      </c>
      <c r="G10" s="430"/>
      <c r="H10" s="451" t="s">
        <v>7020</v>
      </c>
      <c r="I10" s="452"/>
      <c r="J10" s="453" t="s">
        <v>6935</v>
      </c>
      <c r="K10" s="454"/>
      <c r="L10" s="438" t="str">
        <f>HYPERLINK("https://www.youtube.com/watch?v=9NSNcMB5M2o&amp;ab_channel=gabrielb", "Video Youtube tham khảo")</f>
        <v>Video Youtube tham khảo</v>
      </c>
      <c r="M10" s="140"/>
      <c r="N10" s="140"/>
      <c r="O10" s="140"/>
      <c r="P10" s="140"/>
      <c r="Q10" s="140"/>
      <c r="R10" s="140"/>
      <c r="S10" s="140"/>
      <c r="T10" s="140"/>
      <c r="U10" s="140"/>
      <c r="V10" s="140"/>
      <c r="W10" s="140"/>
    </row>
    <row r="11">
      <c r="A11" s="439"/>
      <c r="B11" s="439"/>
      <c r="C11" s="140"/>
      <c r="D11" s="140"/>
      <c r="E11" s="140"/>
      <c r="F11" s="439"/>
      <c r="G11" s="140"/>
      <c r="H11" s="140"/>
      <c r="I11" s="140"/>
      <c r="J11" s="440"/>
      <c r="K11" s="455"/>
      <c r="L11" s="455"/>
      <c r="M11" s="140"/>
      <c r="N11" s="140"/>
      <c r="O11" s="140"/>
      <c r="P11" s="140"/>
      <c r="Q11" s="140"/>
      <c r="R11" s="140"/>
      <c r="S11" s="140"/>
      <c r="T11" s="140"/>
      <c r="U11" s="140"/>
      <c r="V11" s="140"/>
      <c r="W11" s="140"/>
    </row>
    <row r="12">
      <c r="A12" s="439"/>
      <c r="B12" s="439"/>
      <c r="C12" s="140"/>
      <c r="D12" s="140"/>
      <c r="E12" s="140"/>
      <c r="F12" s="140"/>
      <c r="G12" s="140"/>
      <c r="H12" s="140"/>
      <c r="I12" s="140"/>
      <c r="J12" s="140"/>
      <c r="K12" s="455"/>
      <c r="L12" s="455"/>
      <c r="M12" s="140"/>
      <c r="N12" s="140"/>
      <c r="O12" s="140"/>
      <c r="P12" s="140"/>
      <c r="Q12" s="140"/>
      <c r="R12" s="140"/>
      <c r="S12" s="140"/>
      <c r="T12" s="140"/>
      <c r="U12" s="140"/>
      <c r="V12" s="140"/>
      <c r="W12" s="140"/>
    </row>
    <row r="13">
      <c r="A13" s="439"/>
      <c r="B13" s="439"/>
      <c r="C13" s="140"/>
      <c r="D13" s="140"/>
      <c r="E13" s="140"/>
      <c r="F13" s="140"/>
      <c r="G13" s="140"/>
      <c r="H13" s="140"/>
      <c r="I13" s="140"/>
      <c r="J13" s="140"/>
      <c r="K13" s="455"/>
      <c r="L13" s="455"/>
      <c r="M13" s="140"/>
      <c r="N13" s="140"/>
      <c r="O13" s="140"/>
      <c r="P13" s="140"/>
      <c r="Q13" s="140"/>
      <c r="R13" s="140"/>
      <c r="S13" s="140"/>
      <c r="T13" s="140"/>
      <c r="U13" s="140"/>
      <c r="V13" s="140"/>
      <c r="W13" s="140"/>
    </row>
    <row r="14">
      <c r="A14" s="439"/>
      <c r="B14" s="439"/>
      <c r="C14" s="140"/>
      <c r="D14" s="140"/>
      <c r="E14" s="140"/>
      <c r="F14" s="140"/>
      <c r="G14" s="140"/>
      <c r="H14" s="140"/>
      <c r="I14" s="140"/>
      <c r="J14" s="140"/>
      <c r="K14" s="455"/>
      <c r="L14" s="455"/>
      <c r="M14" s="140"/>
      <c r="N14" s="140"/>
      <c r="O14" s="140"/>
      <c r="P14" s="140"/>
      <c r="Q14" s="140"/>
      <c r="R14" s="140"/>
      <c r="S14" s="140"/>
      <c r="T14" s="140"/>
      <c r="U14" s="140"/>
      <c r="V14" s="140"/>
      <c r="W14" s="140"/>
    </row>
    <row r="15">
      <c r="A15" s="439"/>
      <c r="B15" s="439"/>
      <c r="C15" s="140"/>
      <c r="D15" s="140"/>
      <c r="E15" s="140"/>
      <c r="F15" s="140"/>
      <c r="G15" s="140"/>
      <c r="H15" s="140"/>
      <c r="I15" s="140"/>
      <c r="J15" s="140"/>
      <c r="K15" s="455"/>
      <c r="L15" s="455"/>
      <c r="M15" s="140"/>
      <c r="N15" s="140"/>
      <c r="O15" s="140"/>
      <c r="P15" s="140"/>
      <c r="Q15" s="140"/>
      <c r="R15" s="140"/>
      <c r="S15" s="140"/>
      <c r="T15" s="140"/>
      <c r="U15" s="140"/>
      <c r="V15" s="140"/>
      <c r="W15" s="140"/>
    </row>
    <row r="16">
      <c r="A16" s="439"/>
      <c r="B16" s="439"/>
      <c r="C16" s="140"/>
      <c r="D16" s="140"/>
      <c r="E16" s="140"/>
      <c r="F16" s="140"/>
      <c r="G16" s="140"/>
      <c r="H16" s="140"/>
      <c r="I16" s="140"/>
      <c r="J16" s="140"/>
      <c r="K16" s="455"/>
      <c r="L16" s="455"/>
      <c r="M16" s="140"/>
      <c r="N16" s="140"/>
      <c r="O16" s="140"/>
      <c r="P16" s="140"/>
      <c r="Q16" s="140"/>
      <c r="R16" s="140"/>
      <c r="S16" s="140"/>
      <c r="T16" s="140"/>
      <c r="U16" s="140"/>
      <c r="V16" s="140"/>
      <c r="W16" s="140"/>
    </row>
    <row r="17">
      <c r="A17" s="439"/>
      <c r="B17" s="439"/>
      <c r="C17" s="140"/>
      <c r="D17" s="140"/>
      <c r="E17" s="140"/>
      <c r="F17" s="140"/>
      <c r="G17" s="140"/>
      <c r="H17" s="140"/>
      <c r="I17" s="140"/>
      <c r="J17" s="140"/>
      <c r="K17" s="455"/>
      <c r="L17" s="455"/>
      <c r="M17" s="140"/>
      <c r="N17" s="140"/>
      <c r="O17" s="140"/>
      <c r="P17" s="140"/>
      <c r="Q17" s="140"/>
      <c r="R17" s="140"/>
      <c r="S17" s="140"/>
      <c r="T17" s="140"/>
      <c r="U17" s="140"/>
      <c r="V17" s="140"/>
      <c r="W17" s="140"/>
    </row>
    <row r="18">
      <c r="A18" s="439"/>
      <c r="B18" s="439"/>
      <c r="C18" s="140"/>
      <c r="D18" s="140"/>
      <c r="E18" s="140"/>
      <c r="F18" s="140"/>
      <c r="G18" s="140"/>
      <c r="H18" s="140"/>
      <c r="I18" s="140"/>
      <c r="J18" s="140"/>
      <c r="K18" s="455"/>
      <c r="L18" s="455"/>
      <c r="M18" s="140"/>
      <c r="N18" s="140"/>
      <c r="O18" s="140"/>
      <c r="P18" s="140"/>
      <c r="Q18" s="140"/>
      <c r="R18" s="140"/>
      <c r="S18" s="140"/>
      <c r="T18" s="140"/>
      <c r="U18" s="140"/>
      <c r="V18" s="140"/>
      <c r="W18" s="140"/>
    </row>
    <row r="19">
      <c r="A19" s="439"/>
      <c r="B19" s="439"/>
      <c r="C19" s="140"/>
      <c r="D19" s="140"/>
      <c r="E19" s="140"/>
      <c r="F19" s="140"/>
      <c r="G19" s="140"/>
      <c r="H19" s="140"/>
      <c r="I19" s="140"/>
      <c r="J19" s="140"/>
      <c r="K19" s="455"/>
      <c r="L19" s="455"/>
      <c r="M19" s="140"/>
      <c r="N19" s="140"/>
      <c r="O19" s="140"/>
      <c r="P19" s="140"/>
      <c r="Q19" s="140"/>
      <c r="R19" s="140"/>
      <c r="S19" s="140"/>
      <c r="T19" s="140"/>
      <c r="U19" s="140"/>
      <c r="V19" s="140"/>
      <c r="W19" s="140"/>
    </row>
    <row r="20">
      <c r="A20" s="439"/>
      <c r="B20" s="439"/>
      <c r="C20" s="140"/>
      <c r="D20" s="140"/>
      <c r="E20" s="140"/>
      <c r="F20" s="140"/>
      <c r="G20" s="140"/>
      <c r="H20" s="140"/>
      <c r="I20" s="140"/>
      <c r="J20" s="140"/>
      <c r="K20" s="455"/>
      <c r="L20" s="455"/>
      <c r="M20" s="140"/>
      <c r="N20" s="140"/>
      <c r="O20" s="140"/>
      <c r="P20" s="140"/>
      <c r="Q20" s="140"/>
      <c r="R20" s="140"/>
      <c r="S20" s="140"/>
      <c r="T20" s="140"/>
      <c r="U20" s="140"/>
      <c r="V20" s="140"/>
      <c r="W20" s="140"/>
    </row>
    <row r="21">
      <c r="A21" s="439"/>
      <c r="B21" s="439"/>
      <c r="C21" s="140"/>
      <c r="D21" s="140"/>
      <c r="E21" s="140"/>
      <c r="F21" s="140"/>
      <c r="G21" s="140"/>
      <c r="H21" s="140"/>
      <c r="I21" s="140"/>
      <c r="J21" s="140"/>
      <c r="K21" s="455"/>
      <c r="L21" s="455"/>
      <c r="M21" s="140"/>
      <c r="N21" s="140"/>
      <c r="O21" s="140"/>
      <c r="P21" s="140"/>
      <c r="Q21" s="140"/>
      <c r="R21" s="140"/>
      <c r="S21" s="140"/>
      <c r="T21" s="140"/>
      <c r="U21" s="140"/>
      <c r="V21" s="140"/>
      <c r="W21" s="140"/>
    </row>
    <row r="22">
      <c r="A22" s="456"/>
      <c r="B22" s="439"/>
      <c r="C22" s="140"/>
      <c r="D22" s="140"/>
      <c r="E22" s="140"/>
      <c r="F22" s="140"/>
      <c r="G22" s="140"/>
      <c r="H22" s="140"/>
      <c r="I22" s="140"/>
      <c r="J22" s="140"/>
      <c r="K22" s="455"/>
      <c r="L22" s="455"/>
      <c r="M22" s="140"/>
      <c r="N22" s="140"/>
      <c r="O22" s="140"/>
      <c r="P22" s="140"/>
      <c r="Q22" s="140"/>
      <c r="R22" s="140"/>
      <c r="S22" s="140"/>
      <c r="T22" s="140"/>
      <c r="U22" s="140"/>
      <c r="V22" s="140"/>
      <c r="W22" s="140"/>
    </row>
    <row r="23">
      <c r="A23" s="439"/>
      <c r="B23" s="439"/>
      <c r="C23" s="140"/>
      <c r="D23" s="140"/>
      <c r="E23" s="140"/>
      <c r="F23" s="140"/>
      <c r="G23" s="140"/>
      <c r="H23" s="140"/>
      <c r="I23" s="140"/>
      <c r="J23" s="140"/>
      <c r="K23" s="455"/>
      <c r="L23" s="455"/>
      <c r="M23" s="140"/>
      <c r="N23" s="140"/>
      <c r="O23" s="140"/>
      <c r="P23" s="140"/>
      <c r="Q23" s="140"/>
      <c r="R23" s="140"/>
      <c r="S23" s="140"/>
      <c r="T23" s="140"/>
      <c r="U23" s="140"/>
      <c r="V23" s="140"/>
      <c r="W23" s="140"/>
    </row>
    <row r="24">
      <c r="A24" s="439"/>
      <c r="B24" s="439"/>
      <c r="C24" s="140"/>
      <c r="D24" s="140"/>
      <c r="E24" s="140"/>
      <c r="F24" s="140"/>
      <c r="G24" s="140"/>
      <c r="H24" s="140"/>
      <c r="I24" s="140"/>
      <c r="J24" s="140"/>
      <c r="K24" s="455"/>
      <c r="L24" s="455"/>
      <c r="M24" s="140"/>
      <c r="N24" s="140"/>
      <c r="O24" s="140"/>
      <c r="P24" s="140"/>
      <c r="Q24" s="140"/>
      <c r="R24" s="140"/>
      <c r="S24" s="140"/>
      <c r="T24" s="140"/>
      <c r="U24" s="140"/>
      <c r="V24" s="140"/>
      <c r="W24" s="140"/>
    </row>
    <row r="25">
      <c r="A25" s="439"/>
      <c r="B25" s="439"/>
      <c r="C25" s="140"/>
      <c r="D25" s="140"/>
      <c r="E25" s="140"/>
      <c r="F25" s="140"/>
      <c r="G25" s="140"/>
      <c r="H25" s="140"/>
      <c r="I25" s="140"/>
      <c r="J25" s="140"/>
      <c r="K25" s="455"/>
      <c r="L25" s="455"/>
      <c r="M25" s="140"/>
      <c r="N25" s="140"/>
      <c r="O25" s="140"/>
      <c r="P25" s="140"/>
      <c r="Q25" s="140"/>
      <c r="R25" s="140"/>
      <c r="S25" s="140"/>
      <c r="T25" s="140"/>
      <c r="U25" s="140"/>
      <c r="V25" s="140"/>
      <c r="W25" s="140"/>
    </row>
    <row r="26">
      <c r="A26" s="439"/>
      <c r="B26" s="439"/>
      <c r="C26" s="140"/>
      <c r="D26" s="140"/>
      <c r="E26" s="140"/>
      <c r="F26" s="140"/>
      <c r="G26" s="140"/>
      <c r="H26" s="140"/>
      <c r="I26" s="140"/>
      <c r="J26" s="140"/>
      <c r="K26" s="455"/>
      <c r="L26" s="455"/>
      <c r="M26" s="140"/>
      <c r="N26" s="140"/>
      <c r="O26" s="140"/>
      <c r="P26" s="140"/>
      <c r="Q26" s="140"/>
      <c r="R26" s="140"/>
      <c r="S26" s="140"/>
      <c r="T26" s="140"/>
      <c r="U26" s="140"/>
      <c r="V26" s="140"/>
      <c r="W26" s="140"/>
    </row>
    <row r="27">
      <c r="A27" s="439"/>
      <c r="B27" s="439"/>
      <c r="C27" s="140"/>
      <c r="D27" s="140"/>
      <c r="E27" s="140"/>
      <c r="F27" s="140"/>
      <c r="G27" s="140"/>
      <c r="H27" s="140"/>
      <c r="I27" s="140"/>
      <c r="J27" s="140"/>
      <c r="K27" s="455"/>
      <c r="L27" s="455"/>
      <c r="M27" s="140"/>
      <c r="N27" s="140"/>
      <c r="O27" s="140"/>
      <c r="P27" s="140"/>
      <c r="Q27" s="140"/>
      <c r="R27" s="140"/>
      <c r="S27" s="140"/>
      <c r="T27" s="140"/>
      <c r="U27" s="140"/>
      <c r="V27" s="140"/>
      <c r="W27" s="140"/>
    </row>
    <row r="28">
      <c r="A28" s="439"/>
      <c r="B28" s="439"/>
      <c r="C28" s="140"/>
      <c r="D28" s="140"/>
      <c r="E28" s="140"/>
      <c r="F28" s="140"/>
      <c r="G28" s="140"/>
      <c r="H28" s="140"/>
      <c r="I28" s="140"/>
      <c r="J28" s="140"/>
      <c r="K28" s="455"/>
      <c r="L28" s="455"/>
      <c r="M28" s="140"/>
      <c r="N28" s="140"/>
      <c r="O28" s="140"/>
      <c r="P28" s="140"/>
      <c r="Q28" s="140"/>
      <c r="R28" s="140"/>
      <c r="S28" s="140"/>
      <c r="T28" s="140"/>
      <c r="U28" s="140"/>
      <c r="V28" s="140"/>
      <c r="W28" s="140"/>
    </row>
    <row r="29">
      <c r="A29" s="439"/>
      <c r="B29" s="439"/>
      <c r="C29" s="140"/>
      <c r="D29" s="140"/>
      <c r="E29" s="140"/>
      <c r="F29" s="140"/>
      <c r="G29" s="140"/>
      <c r="H29" s="140"/>
      <c r="I29" s="140"/>
      <c r="J29" s="140"/>
      <c r="K29" s="455"/>
      <c r="L29" s="455"/>
      <c r="M29" s="140"/>
      <c r="N29" s="140"/>
      <c r="O29" s="140"/>
      <c r="P29" s="140"/>
      <c r="Q29" s="140"/>
      <c r="R29" s="140"/>
      <c r="S29" s="140"/>
      <c r="T29" s="140"/>
      <c r="U29" s="140"/>
      <c r="V29" s="140"/>
      <c r="W29" s="140"/>
    </row>
    <row r="30">
      <c r="A30" s="439"/>
      <c r="B30" s="439"/>
      <c r="C30" s="140"/>
      <c r="D30" s="140"/>
      <c r="E30" s="140"/>
      <c r="F30" s="140"/>
      <c r="G30" s="140"/>
      <c r="H30" s="140"/>
      <c r="I30" s="140"/>
      <c r="J30" s="140"/>
      <c r="K30" s="455"/>
      <c r="L30" s="455"/>
      <c r="M30" s="140"/>
      <c r="N30" s="140"/>
      <c r="O30" s="140"/>
      <c r="P30" s="140"/>
      <c r="Q30" s="140"/>
      <c r="R30" s="140"/>
      <c r="S30" s="140"/>
      <c r="T30" s="140"/>
      <c r="U30" s="140"/>
      <c r="V30" s="140"/>
      <c r="W30" s="140"/>
    </row>
    <row r="31">
      <c r="A31" s="439"/>
      <c r="B31" s="439"/>
      <c r="C31" s="140"/>
      <c r="D31" s="140"/>
      <c r="E31" s="140"/>
      <c r="F31" s="140"/>
      <c r="G31" s="140"/>
      <c r="H31" s="140"/>
      <c r="I31" s="140"/>
      <c r="J31" s="140"/>
      <c r="K31" s="455"/>
      <c r="L31" s="455"/>
      <c r="M31" s="140"/>
      <c r="N31" s="140"/>
      <c r="O31" s="140"/>
      <c r="P31" s="140"/>
      <c r="Q31" s="140"/>
      <c r="R31" s="140"/>
      <c r="S31" s="140"/>
      <c r="T31" s="140"/>
      <c r="U31" s="140"/>
      <c r="V31" s="140"/>
      <c r="W31" s="140"/>
    </row>
    <row r="32">
      <c r="A32" s="439"/>
      <c r="B32" s="439"/>
      <c r="C32" s="140"/>
      <c r="D32" s="140"/>
      <c r="E32" s="140"/>
      <c r="F32" s="140"/>
      <c r="G32" s="140"/>
      <c r="H32" s="140"/>
      <c r="I32" s="140"/>
      <c r="J32" s="140"/>
      <c r="K32" s="455"/>
      <c r="L32" s="455"/>
      <c r="M32" s="140"/>
      <c r="N32" s="140"/>
      <c r="O32" s="140"/>
      <c r="P32" s="140"/>
      <c r="Q32" s="140"/>
      <c r="R32" s="140"/>
      <c r="S32" s="140"/>
      <c r="T32" s="140"/>
      <c r="U32" s="140"/>
      <c r="V32" s="140"/>
      <c r="W32" s="140"/>
    </row>
    <row r="33">
      <c r="A33" s="439"/>
      <c r="B33" s="439"/>
      <c r="C33" s="140"/>
      <c r="D33" s="140"/>
      <c r="E33" s="140"/>
      <c r="F33" s="140"/>
      <c r="G33" s="140"/>
      <c r="H33" s="140"/>
      <c r="I33" s="140"/>
      <c r="J33" s="140"/>
      <c r="K33" s="455"/>
      <c r="L33" s="455"/>
      <c r="M33" s="140"/>
      <c r="N33" s="140"/>
      <c r="O33" s="140"/>
      <c r="P33" s="140"/>
      <c r="Q33" s="140"/>
      <c r="R33" s="140"/>
      <c r="S33" s="140"/>
      <c r="T33" s="140"/>
      <c r="U33" s="140"/>
      <c r="V33" s="140"/>
      <c r="W33" s="140"/>
    </row>
    <row r="34">
      <c r="A34" s="439"/>
      <c r="B34" s="439"/>
      <c r="C34" s="140"/>
      <c r="D34" s="140"/>
      <c r="E34" s="140"/>
      <c r="F34" s="140"/>
      <c r="G34" s="140"/>
      <c r="H34" s="140"/>
      <c r="I34" s="140"/>
      <c r="J34" s="140"/>
      <c r="K34" s="455"/>
      <c r="L34" s="455"/>
      <c r="M34" s="140"/>
      <c r="N34" s="140"/>
      <c r="O34" s="140"/>
      <c r="P34" s="140"/>
      <c r="Q34" s="140"/>
      <c r="R34" s="140"/>
      <c r="S34" s="140"/>
      <c r="T34" s="140"/>
      <c r="U34" s="140"/>
      <c r="V34" s="140"/>
      <c r="W34" s="140"/>
    </row>
    <row r="35">
      <c r="A35" s="439"/>
      <c r="B35" s="439"/>
      <c r="C35" s="140"/>
      <c r="D35" s="140"/>
      <c r="E35" s="140"/>
      <c r="F35" s="140"/>
      <c r="G35" s="140"/>
      <c r="H35" s="140"/>
      <c r="I35" s="140"/>
      <c r="J35" s="140"/>
      <c r="K35" s="455"/>
      <c r="L35" s="455"/>
      <c r="M35" s="140"/>
      <c r="N35" s="140"/>
      <c r="O35" s="140"/>
      <c r="P35" s="140"/>
      <c r="Q35" s="140"/>
      <c r="R35" s="140"/>
      <c r="S35" s="140"/>
      <c r="T35" s="140"/>
      <c r="U35" s="140"/>
      <c r="V35" s="140"/>
      <c r="W35" s="140"/>
    </row>
    <row r="36">
      <c r="A36" s="140"/>
      <c r="B36" s="140"/>
      <c r="C36" s="140"/>
      <c r="D36" s="140"/>
      <c r="E36" s="140"/>
      <c r="F36" s="140"/>
      <c r="G36" s="140"/>
      <c r="H36" s="140"/>
      <c r="I36" s="140"/>
      <c r="J36" s="140"/>
      <c r="K36" s="455"/>
      <c r="L36" s="455"/>
      <c r="M36" s="140"/>
      <c r="N36" s="140"/>
      <c r="O36" s="140"/>
      <c r="P36" s="140"/>
      <c r="Q36" s="140"/>
      <c r="R36" s="140"/>
      <c r="S36" s="140"/>
      <c r="T36" s="140"/>
      <c r="U36" s="140"/>
      <c r="V36" s="140"/>
      <c r="W36" s="140"/>
    </row>
    <row r="37">
      <c r="A37" s="140"/>
      <c r="B37" s="140"/>
      <c r="C37" s="140"/>
      <c r="D37" s="140"/>
      <c r="E37" s="140"/>
      <c r="F37" s="140"/>
      <c r="G37" s="140"/>
      <c r="H37" s="140"/>
      <c r="I37" s="140"/>
      <c r="J37" s="140"/>
      <c r="K37" s="455"/>
      <c r="L37" s="455"/>
      <c r="M37" s="140"/>
      <c r="N37" s="140"/>
      <c r="O37" s="140"/>
      <c r="P37" s="140"/>
      <c r="Q37" s="140"/>
      <c r="R37" s="140"/>
      <c r="S37" s="140"/>
      <c r="T37" s="140"/>
      <c r="U37" s="140"/>
      <c r="V37" s="140"/>
      <c r="W37" s="140"/>
    </row>
    <row r="38">
      <c r="A38" s="140"/>
      <c r="B38" s="140"/>
      <c r="C38" s="140"/>
      <c r="D38" s="140"/>
      <c r="E38" s="140"/>
      <c r="F38" s="140"/>
      <c r="G38" s="140"/>
      <c r="H38" s="140"/>
      <c r="I38" s="140"/>
      <c r="J38" s="140"/>
      <c r="K38" s="455"/>
      <c r="L38" s="455"/>
      <c r="M38" s="140"/>
      <c r="N38" s="140"/>
      <c r="O38" s="140"/>
      <c r="P38" s="140"/>
      <c r="Q38" s="140"/>
      <c r="R38" s="140"/>
      <c r="S38" s="140"/>
      <c r="T38" s="140"/>
      <c r="U38" s="140"/>
      <c r="V38" s="140"/>
      <c r="W38" s="140"/>
    </row>
    <row r="39">
      <c r="A39" s="140"/>
      <c r="B39" s="140"/>
      <c r="C39" s="140"/>
      <c r="D39" s="140"/>
      <c r="E39" s="140"/>
      <c r="F39" s="140"/>
      <c r="G39" s="140"/>
      <c r="H39" s="140"/>
      <c r="I39" s="140"/>
      <c r="J39" s="140"/>
      <c r="K39" s="455"/>
      <c r="L39" s="455"/>
      <c r="M39" s="140"/>
      <c r="N39" s="140"/>
      <c r="O39" s="140"/>
      <c r="P39" s="140"/>
      <c r="Q39" s="140"/>
      <c r="R39" s="140"/>
      <c r="S39" s="140"/>
      <c r="T39" s="140"/>
      <c r="U39" s="140"/>
      <c r="V39" s="140"/>
      <c r="W39" s="140"/>
    </row>
    <row r="40">
      <c r="A40" s="140"/>
      <c r="B40" s="140"/>
      <c r="C40" s="140"/>
      <c r="D40" s="140"/>
      <c r="E40" s="140"/>
      <c r="F40" s="140"/>
      <c r="G40" s="140"/>
      <c r="H40" s="140"/>
      <c r="I40" s="140"/>
      <c r="J40" s="140"/>
      <c r="K40" s="455"/>
      <c r="L40" s="455"/>
      <c r="M40" s="140"/>
      <c r="N40" s="140"/>
      <c r="O40" s="140"/>
      <c r="P40" s="140"/>
      <c r="Q40" s="140"/>
      <c r="R40" s="140"/>
      <c r="S40" s="140"/>
      <c r="T40" s="140"/>
      <c r="U40" s="140"/>
      <c r="V40" s="140"/>
      <c r="W40" s="140"/>
    </row>
    <row r="41">
      <c r="A41" s="140"/>
      <c r="B41" s="140"/>
      <c r="C41" s="140"/>
      <c r="D41" s="140"/>
      <c r="E41" s="140"/>
      <c r="F41" s="140"/>
      <c r="G41" s="140"/>
      <c r="H41" s="140"/>
      <c r="I41" s="140"/>
      <c r="J41" s="140"/>
      <c r="K41" s="455"/>
      <c r="L41" s="455"/>
      <c r="M41" s="140"/>
      <c r="N41" s="140"/>
      <c r="O41" s="140"/>
      <c r="P41" s="140"/>
      <c r="Q41" s="140"/>
      <c r="R41" s="140"/>
      <c r="S41" s="140"/>
      <c r="T41" s="140"/>
      <c r="U41" s="140"/>
      <c r="V41" s="140"/>
      <c r="W41" s="140"/>
    </row>
    <row r="42">
      <c r="A42" s="140"/>
      <c r="B42" s="140"/>
      <c r="C42" s="140"/>
      <c r="D42" s="140"/>
      <c r="E42" s="140"/>
      <c r="F42" s="140"/>
      <c r="G42" s="140"/>
      <c r="H42" s="140"/>
      <c r="I42" s="140"/>
      <c r="J42" s="140"/>
      <c r="K42" s="455"/>
      <c r="L42" s="455"/>
      <c r="M42" s="140"/>
      <c r="N42" s="140"/>
      <c r="O42" s="140"/>
      <c r="P42" s="140"/>
      <c r="Q42" s="140"/>
      <c r="R42" s="140"/>
      <c r="S42" s="140"/>
      <c r="T42" s="140"/>
      <c r="U42" s="140"/>
      <c r="V42" s="140"/>
      <c r="W42" s="140"/>
    </row>
    <row r="43">
      <c r="A43" s="140"/>
      <c r="B43" s="140"/>
      <c r="C43" s="140"/>
      <c r="D43" s="140"/>
      <c r="E43" s="140"/>
      <c r="F43" s="140"/>
      <c r="G43" s="140"/>
      <c r="H43" s="140"/>
      <c r="I43" s="140"/>
      <c r="J43" s="140"/>
      <c r="K43" s="455"/>
      <c r="L43" s="455"/>
      <c r="M43" s="140"/>
      <c r="N43" s="140"/>
      <c r="O43" s="140"/>
      <c r="P43" s="140"/>
      <c r="Q43" s="140"/>
      <c r="R43" s="140"/>
      <c r="S43" s="140"/>
      <c r="T43" s="140"/>
      <c r="U43" s="140"/>
      <c r="V43" s="140"/>
      <c r="W43" s="140"/>
    </row>
    <row r="44">
      <c r="A44" s="140"/>
      <c r="B44" s="140"/>
      <c r="C44" s="140"/>
      <c r="D44" s="140"/>
      <c r="E44" s="140"/>
      <c r="F44" s="140"/>
      <c r="G44" s="140"/>
      <c r="H44" s="140"/>
      <c r="I44" s="140"/>
      <c r="J44" s="140"/>
      <c r="K44" s="455"/>
      <c r="L44" s="455"/>
      <c r="M44" s="140"/>
      <c r="N44" s="140"/>
      <c r="O44" s="140"/>
      <c r="P44" s="140"/>
      <c r="Q44" s="140"/>
      <c r="R44" s="140"/>
      <c r="S44" s="140"/>
      <c r="T44" s="140"/>
      <c r="U44" s="140"/>
      <c r="V44" s="140"/>
      <c r="W44" s="140"/>
    </row>
    <row r="45">
      <c r="A45" s="140"/>
      <c r="B45" s="140"/>
      <c r="C45" s="140"/>
      <c r="D45" s="140"/>
      <c r="E45" s="140"/>
      <c r="F45" s="140"/>
      <c r="G45" s="140"/>
      <c r="H45" s="140"/>
      <c r="I45" s="140"/>
      <c r="J45" s="140"/>
      <c r="K45" s="455"/>
      <c r="L45" s="455"/>
      <c r="M45" s="140"/>
      <c r="N45" s="140"/>
      <c r="O45" s="140"/>
      <c r="P45" s="140"/>
      <c r="Q45" s="140"/>
      <c r="R45" s="140"/>
      <c r="S45" s="140"/>
      <c r="T45" s="140"/>
      <c r="U45" s="140"/>
      <c r="V45" s="140"/>
      <c r="W45" s="140"/>
    </row>
    <row r="46">
      <c r="A46" s="140"/>
      <c r="B46" s="140"/>
      <c r="C46" s="140"/>
      <c r="D46" s="140"/>
      <c r="E46" s="140"/>
      <c r="F46" s="140"/>
      <c r="G46" s="140"/>
      <c r="H46" s="140"/>
      <c r="I46" s="140"/>
      <c r="J46" s="140"/>
      <c r="K46" s="455"/>
      <c r="L46" s="455"/>
      <c r="M46" s="140"/>
      <c r="N46" s="140"/>
      <c r="O46" s="140"/>
      <c r="P46" s="140"/>
      <c r="Q46" s="140"/>
      <c r="R46" s="140"/>
      <c r="S46" s="140"/>
      <c r="T46" s="140"/>
      <c r="U46" s="140"/>
      <c r="V46" s="140"/>
      <c r="W46" s="140"/>
    </row>
    <row r="47">
      <c r="A47" s="140"/>
      <c r="B47" s="140"/>
      <c r="C47" s="140"/>
      <c r="D47" s="140"/>
      <c r="E47" s="140"/>
      <c r="F47" s="140"/>
      <c r="G47" s="140"/>
      <c r="H47" s="140"/>
      <c r="I47" s="140"/>
      <c r="J47" s="140"/>
      <c r="K47" s="455"/>
      <c r="L47" s="455"/>
      <c r="M47" s="140"/>
      <c r="N47" s="140"/>
      <c r="O47" s="140"/>
      <c r="P47" s="140"/>
      <c r="Q47" s="140"/>
      <c r="R47" s="140"/>
      <c r="S47" s="140"/>
      <c r="T47" s="140"/>
      <c r="U47" s="140"/>
      <c r="V47" s="140"/>
      <c r="W47" s="140"/>
    </row>
    <row r="48">
      <c r="A48" s="140"/>
      <c r="B48" s="140"/>
      <c r="C48" s="140"/>
      <c r="D48" s="140"/>
      <c r="E48" s="140"/>
      <c r="F48" s="140"/>
      <c r="G48" s="140"/>
      <c r="H48" s="140"/>
      <c r="I48" s="140"/>
      <c r="J48" s="140"/>
      <c r="K48" s="455"/>
      <c r="L48" s="455"/>
      <c r="M48" s="140"/>
      <c r="N48" s="140"/>
      <c r="O48" s="140"/>
      <c r="P48" s="140"/>
      <c r="Q48" s="140"/>
      <c r="R48" s="140"/>
      <c r="S48" s="140"/>
      <c r="T48" s="140"/>
      <c r="U48" s="140"/>
      <c r="V48" s="140"/>
      <c r="W48" s="140"/>
    </row>
    <row r="49">
      <c r="A49" s="140"/>
      <c r="B49" s="140"/>
      <c r="C49" s="140"/>
      <c r="D49" s="140"/>
      <c r="E49" s="140"/>
      <c r="F49" s="140"/>
      <c r="G49" s="140"/>
      <c r="H49" s="140"/>
      <c r="I49" s="140"/>
      <c r="J49" s="140"/>
      <c r="K49" s="455"/>
      <c r="L49" s="455"/>
      <c r="M49" s="140"/>
      <c r="N49" s="140"/>
      <c r="O49" s="140"/>
      <c r="P49" s="140"/>
      <c r="Q49" s="140"/>
      <c r="R49" s="140"/>
      <c r="S49" s="140"/>
      <c r="T49" s="140"/>
      <c r="U49" s="140"/>
      <c r="V49" s="140"/>
      <c r="W49" s="140"/>
    </row>
    <row r="50">
      <c r="A50" s="140"/>
      <c r="B50" s="140"/>
      <c r="C50" s="140"/>
      <c r="D50" s="140"/>
      <c r="E50" s="140"/>
      <c r="F50" s="140"/>
      <c r="G50" s="140"/>
      <c r="H50" s="140"/>
      <c r="I50" s="140"/>
      <c r="J50" s="140"/>
      <c r="K50" s="455"/>
      <c r="L50" s="455"/>
      <c r="M50" s="140"/>
      <c r="N50" s="140"/>
      <c r="O50" s="140"/>
      <c r="P50" s="140"/>
      <c r="Q50" s="140"/>
      <c r="R50" s="140"/>
      <c r="S50" s="140"/>
      <c r="T50" s="140"/>
      <c r="U50" s="140"/>
      <c r="V50" s="140"/>
      <c r="W50" s="140"/>
    </row>
    <row r="51">
      <c r="A51" s="140"/>
      <c r="B51" s="140"/>
      <c r="C51" s="140"/>
      <c r="D51" s="140"/>
      <c r="E51" s="140"/>
      <c r="F51" s="140"/>
      <c r="G51" s="140"/>
      <c r="H51" s="140"/>
      <c r="I51" s="140"/>
      <c r="J51" s="140"/>
      <c r="K51" s="455"/>
      <c r="L51" s="455"/>
      <c r="M51" s="140"/>
      <c r="N51" s="140"/>
      <c r="O51" s="140"/>
      <c r="P51" s="140"/>
      <c r="Q51" s="140"/>
      <c r="R51" s="140"/>
      <c r="S51" s="140"/>
      <c r="T51" s="140"/>
      <c r="U51" s="140"/>
      <c r="V51" s="140"/>
      <c r="W51" s="140"/>
    </row>
    <row r="52">
      <c r="A52" s="140"/>
      <c r="B52" s="140"/>
      <c r="C52" s="140"/>
      <c r="D52" s="140"/>
      <c r="E52" s="140"/>
      <c r="F52" s="140"/>
      <c r="G52" s="140"/>
      <c r="H52" s="140"/>
      <c r="I52" s="140"/>
      <c r="J52" s="140"/>
      <c r="K52" s="455"/>
      <c r="L52" s="455"/>
      <c r="M52" s="140"/>
      <c r="N52" s="140"/>
      <c r="O52" s="140"/>
      <c r="P52" s="140"/>
      <c r="Q52" s="140"/>
      <c r="R52" s="140"/>
      <c r="S52" s="140"/>
      <c r="T52" s="140"/>
      <c r="U52" s="140"/>
      <c r="V52" s="140"/>
      <c r="W52" s="140"/>
    </row>
    <row r="53">
      <c r="A53" s="140"/>
      <c r="B53" s="140"/>
      <c r="C53" s="140"/>
      <c r="D53" s="140"/>
      <c r="E53" s="140"/>
      <c r="F53" s="140"/>
      <c r="G53" s="140"/>
      <c r="H53" s="140"/>
      <c r="I53" s="140"/>
      <c r="J53" s="140"/>
      <c r="K53" s="455"/>
      <c r="L53" s="455"/>
      <c r="M53" s="140"/>
      <c r="N53" s="140"/>
      <c r="O53" s="140"/>
      <c r="P53" s="140"/>
      <c r="Q53" s="140"/>
      <c r="R53" s="140"/>
      <c r="S53" s="140"/>
      <c r="T53" s="140"/>
      <c r="U53" s="140"/>
      <c r="V53" s="140"/>
      <c r="W53" s="140"/>
    </row>
    <row r="54">
      <c r="A54" s="140"/>
      <c r="B54" s="140"/>
      <c r="C54" s="140"/>
      <c r="D54" s="140"/>
      <c r="E54" s="140"/>
      <c r="F54" s="140"/>
      <c r="G54" s="140"/>
      <c r="H54" s="140"/>
      <c r="I54" s="140"/>
      <c r="J54" s="140"/>
      <c r="K54" s="455"/>
      <c r="L54" s="455"/>
      <c r="M54" s="140"/>
      <c r="N54" s="140"/>
      <c r="O54" s="140"/>
      <c r="P54" s="140"/>
      <c r="Q54" s="140"/>
      <c r="R54" s="140"/>
      <c r="S54" s="140"/>
      <c r="T54" s="140"/>
      <c r="U54" s="140"/>
      <c r="V54" s="140"/>
      <c r="W54" s="140"/>
    </row>
    <row r="55">
      <c r="A55" s="140"/>
      <c r="B55" s="140"/>
      <c r="C55" s="140"/>
      <c r="D55" s="140"/>
      <c r="E55" s="140"/>
      <c r="F55" s="140"/>
      <c r="G55" s="140"/>
      <c r="H55" s="140"/>
      <c r="I55" s="140"/>
      <c r="J55" s="140"/>
      <c r="K55" s="455"/>
      <c r="L55" s="455"/>
      <c r="M55" s="140"/>
      <c r="N55" s="140"/>
      <c r="O55" s="140"/>
      <c r="P55" s="140"/>
      <c r="Q55" s="140"/>
      <c r="R55" s="140"/>
      <c r="S55" s="140"/>
      <c r="T55" s="140"/>
      <c r="U55" s="140"/>
      <c r="V55" s="140"/>
      <c r="W55" s="140"/>
    </row>
    <row r="56">
      <c r="A56" s="140"/>
      <c r="B56" s="140"/>
      <c r="C56" s="140"/>
      <c r="D56" s="140"/>
      <c r="E56" s="140"/>
      <c r="F56" s="140"/>
      <c r="G56" s="140"/>
      <c r="H56" s="140"/>
      <c r="I56" s="140"/>
      <c r="J56" s="140"/>
      <c r="K56" s="455"/>
      <c r="L56" s="455"/>
      <c r="M56" s="140"/>
      <c r="N56" s="140"/>
      <c r="O56" s="140"/>
      <c r="P56" s="140"/>
      <c r="Q56" s="140"/>
      <c r="R56" s="140"/>
      <c r="S56" s="140"/>
      <c r="T56" s="140"/>
      <c r="U56" s="140"/>
      <c r="V56" s="140"/>
      <c r="W56" s="140"/>
    </row>
    <row r="57">
      <c r="A57" s="140"/>
      <c r="B57" s="140"/>
      <c r="C57" s="140"/>
      <c r="D57" s="140"/>
      <c r="E57" s="140"/>
      <c r="F57" s="140"/>
      <c r="G57" s="140"/>
      <c r="H57" s="140"/>
      <c r="I57" s="140"/>
      <c r="J57" s="140"/>
      <c r="K57" s="455"/>
      <c r="L57" s="455"/>
      <c r="M57" s="140"/>
      <c r="N57" s="140"/>
      <c r="O57" s="140"/>
      <c r="P57" s="140"/>
      <c r="Q57" s="140"/>
      <c r="R57" s="140"/>
      <c r="S57" s="140"/>
      <c r="T57" s="140"/>
      <c r="U57" s="140"/>
      <c r="V57" s="140"/>
      <c r="W57" s="140"/>
    </row>
    <row r="58">
      <c r="A58" s="140"/>
      <c r="B58" s="140"/>
      <c r="C58" s="140"/>
      <c r="D58" s="140"/>
      <c r="E58" s="140"/>
      <c r="F58" s="140"/>
      <c r="G58" s="140"/>
      <c r="H58" s="140"/>
      <c r="I58" s="140"/>
      <c r="J58" s="140"/>
      <c r="K58" s="455"/>
      <c r="L58" s="455"/>
      <c r="M58" s="140"/>
      <c r="N58" s="140"/>
      <c r="O58" s="140"/>
      <c r="P58" s="140"/>
      <c r="Q58" s="140"/>
      <c r="R58" s="140"/>
      <c r="S58" s="140"/>
      <c r="T58" s="140"/>
      <c r="U58" s="140"/>
      <c r="V58" s="140"/>
      <c r="W58" s="140"/>
    </row>
    <row r="59">
      <c r="A59" s="140"/>
      <c r="B59" s="140"/>
      <c r="C59" s="140"/>
      <c r="D59" s="140"/>
      <c r="E59" s="140"/>
      <c r="F59" s="140"/>
      <c r="G59" s="140"/>
      <c r="H59" s="140"/>
      <c r="I59" s="140"/>
      <c r="J59" s="140"/>
      <c r="K59" s="455"/>
      <c r="L59" s="455"/>
      <c r="M59" s="140"/>
      <c r="N59" s="140"/>
      <c r="O59" s="140"/>
      <c r="P59" s="140"/>
      <c r="Q59" s="140"/>
      <c r="R59" s="140"/>
      <c r="S59" s="140"/>
      <c r="T59" s="140"/>
      <c r="U59" s="140"/>
      <c r="V59" s="140"/>
      <c r="W59" s="140"/>
    </row>
    <row r="60">
      <c r="A60" s="140"/>
      <c r="B60" s="140"/>
      <c r="C60" s="140"/>
      <c r="D60" s="140"/>
      <c r="E60" s="140"/>
      <c r="F60" s="140"/>
      <c r="G60" s="140"/>
      <c r="H60" s="140"/>
      <c r="I60" s="140"/>
      <c r="J60" s="140"/>
      <c r="K60" s="455"/>
      <c r="L60" s="455"/>
      <c r="M60" s="140"/>
      <c r="N60" s="140"/>
      <c r="O60" s="140"/>
      <c r="P60" s="140"/>
      <c r="Q60" s="140"/>
      <c r="R60" s="140"/>
      <c r="S60" s="140"/>
      <c r="T60" s="140"/>
      <c r="U60" s="140"/>
      <c r="V60" s="140"/>
      <c r="W60" s="140"/>
    </row>
    <row r="61">
      <c r="A61" s="140"/>
      <c r="B61" s="140"/>
      <c r="C61" s="140"/>
      <c r="D61" s="140"/>
      <c r="E61" s="140"/>
      <c r="F61" s="140"/>
      <c r="G61" s="140"/>
      <c r="H61" s="140"/>
      <c r="I61" s="140"/>
      <c r="J61" s="140"/>
      <c r="K61" s="455"/>
      <c r="L61" s="455"/>
      <c r="M61" s="140"/>
      <c r="N61" s="140"/>
      <c r="O61" s="140"/>
      <c r="P61" s="140"/>
      <c r="Q61" s="140"/>
      <c r="R61" s="140"/>
      <c r="S61" s="140"/>
      <c r="T61" s="140"/>
      <c r="U61" s="140"/>
      <c r="V61" s="140"/>
      <c r="W61" s="140"/>
    </row>
    <row r="62">
      <c r="A62" s="140"/>
      <c r="B62" s="140"/>
      <c r="C62" s="140"/>
      <c r="D62" s="140"/>
      <c r="E62" s="140"/>
      <c r="F62" s="140"/>
      <c r="G62" s="140"/>
      <c r="H62" s="140"/>
      <c r="I62" s="140"/>
      <c r="J62" s="140"/>
      <c r="K62" s="455"/>
      <c r="L62" s="455"/>
      <c r="M62" s="140"/>
      <c r="N62" s="140"/>
      <c r="O62" s="140"/>
      <c r="P62" s="140"/>
      <c r="Q62" s="140"/>
      <c r="R62" s="140"/>
      <c r="S62" s="140"/>
      <c r="T62" s="140"/>
      <c r="U62" s="140"/>
      <c r="V62" s="140"/>
      <c r="W62" s="140"/>
    </row>
    <row r="63">
      <c r="A63" s="140"/>
      <c r="B63" s="140"/>
      <c r="C63" s="140"/>
      <c r="D63" s="140"/>
      <c r="E63" s="140"/>
      <c r="F63" s="140"/>
      <c r="G63" s="140"/>
      <c r="H63" s="140"/>
      <c r="I63" s="140"/>
      <c r="J63" s="140"/>
      <c r="K63" s="455"/>
      <c r="L63" s="455"/>
      <c r="M63" s="140"/>
      <c r="N63" s="140"/>
      <c r="O63" s="140"/>
      <c r="P63" s="140"/>
      <c r="Q63" s="140"/>
      <c r="R63" s="140"/>
      <c r="S63" s="140"/>
      <c r="T63" s="140"/>
      <c r="U63" s="140"/>
      <c r="V63" s="140"/>
      <c r="W63" s="140"/>
    </row>
    <row r="64">
      <c r="A64" s="140"/>
      <c r="B64" s="140"/>
      <c r="C64" s="140"/>
      <c r="D64" s="140"/>
      <c r="E64" s="140"/>
      <c r="F64" s="140"/>
      <c r="G64" s="140"/>
      <c r="H64" s="140"/>
      <c r="I64" s="140"/>
      <c r="J64" s="140"/>
      <c r="K64" s="455"/>
      <c r="L64" s="455"/>
      <c r="M64" s="140"/>
      <c r="N64" s="140"/>
      <c r="O64" s="140"/>
      <c r="P64" s="140"/>
      <c r="Q64" s="140"/>
      <c r="R64" s="140"/>
      <c r="S64" s="140"/>
      <c r="T64" s="140"/>
      <c r="U64" s="140"/>
      <c r="V64" s="140"/>
      <c r="W64" s="140"/>
    </row>
    <row r="65">
      <c r="A65" s="140"/>
      <c r="B65" s="140"/>
      <c r="C65" s="140"/>
      <c r="D65" s="140"/>
      <c r="E65" s="140"/>
      <c r="F65" s="140"/>
      <c r="G65" s="140"/>
      <c r="H65" s="140"/>
      <c r="I65" s="140"/>
      <c r="J65" s="140"/>
      <c r="K65" s="455"/>
      <c r="L65" s="455"/>
      <c r="M65" s="140"/>
      <c r="N65" s="140"/>
      <c r="O65" s="140"/>
      <c r="P65" s="140"/>
      <c r="Q65" s="140"/>
      <c r="R65" s="140"/>
      <c r="S65" s="140"/>
      <c r="T65" s="140"/>
      <c r="U65" s="140"/>
      <c r="V65" s="140"/>
      <c r="W65" s="140"/>
    </row>
    <row r="66">
      <c r="A66" s="140"/>
      <c r="B66" s="140"/>
      <c r="C66" s="140"/>
      <c r="D66" s="140"/>
      <c r="E66" s="140"/>
      <c r="F66" s="140"/>
      <c r="G66" s="140"/>
      <c r="H66" s="140"/>
      <c r="I66" s="140"/>
      <c r="J66" s="140"/>
      <c r="K66" s="455"/>
      <c r="L66" s="455"/>
      <c r="M66" s="140"/>
      <c r="N66" s="140"/>
      <c r="O66" s="140"/>
      <c r="P66" s="140"/>
      <c r="Q66" s="140"/>
      <c r="R66" s="140"/>
      <c r="S66" s="140"/>
      <c r="T66" s="140"/>
      <c r="U66" s="140"/>
      <c r="V66" s="140"/>
      <c r="W66" s="140"/>
    </row>
    <row r="67">
      <c r="A67" s="140"/>
      <c r="B67" s="140"/>
      <c r="C67" s="140"/>
      <c r="D67" s="140"/>
      <c r="E67" s="140"/>
      <c r="F67" s="140"/>
      <c r="G67" s="140"/>
      <c r="H67" s="140"/>
      <c r="I67" s="140"/>
      <c r="J67" s="140"/>
      <c r="K67" s="455"/>
      <c r="L67" s="455"/>
      <c r="M67" s="140"/>
      <c r="N67" s="140"/>
      <c r="O67" s="140"/>
      <c r="P67" s="140"/>
      <c r="Q67" s="140"/>
      <c r="R67" s="140"/>
      <c r="S67" s="140"/>
      <c r="T67" s="140"/>
      <c r="U67" s="140"/>
      <c r="V67" s="140"/>
      <c r="W67" s="140"/>
    </row>
    <row r="68">
      <c r="A68" s="140"/>
      <c r="B68" s="140"/>
      <c r="C68" s="140"/>
      <c r="D68" s="140"/>
      <c r="E68" s="140"/>
      <c r="F68" s="140"/>
      <c r="G68" s="140"/>
      <c r="H68" s="140"/>
      <c r="I68" s="140"/>
      <c r="J68" s="140"/>
      <c r="K68" s="455"/>
      <c r="L68" s="455"/>
      <c r="M68" s="140"/>
      <c r="N68" s="140"/>
      <c r="O68" s="140"/>
      <c r="P68" s="140"/>
      <c r="Q68" s="140"/>
      <c r="R68" s="140"/>
      <c r="S68" s="140"/>
      <c r="T68" s="140"/>
      <c r="U68" s="140"/>
      <c r="V68" s="140"/>
      <c r="W68" s="140"/>
    </row>
    <row r="69">
      <c r="A69" s="140"/>
      <c r="B69" s="140"/>
      <c r="C69" s="140"/>
      <c r="D69" s="140"/>
      <c r="E69" s="140"/>
      <c r="F69" s="140"/>
      <c r="G69" s="140"/>
      <c r="H69" s="140"/>
      <c r="I69" s="140"/>
      <c r="J69" s="140"/>
      <c r="K69" s="455"/>
      <c r="L69" s="455"/>
      <c r="M69" s="140"/>
      <c r="N69" s="140"/>
      <c r="O69" s="140"/>
      <c r="P69" s="140"/>
      <c r="Q69" s="140"/>
      <c r="R69" s="140"/>
      <c r="S69" s="140"/>
      <c r="T69" s="140"/>
      <c r="U69" s="140"/>
      <c r="V69" s="140"/>
      <c r="W69" s="140"/>
    </row>
    <row r="70">
      <c r="A70" s="140"/>
      <c r="B70" s="140"/>
      <c r="C70" s="140"/>
      <c r="D70" s="140"/>
      <c r="E70" s="140"/>
      <c r="F70" s="140"/>
      <c r="G70" s="140"/>
      <c r="H70" s="140"/>
      <c r="I70" s="140"/>
      <c r="J70" s="140"/>
      <c r="K70" s="455"/>
      <c r="L70" s="455"/>
      <c r="M70" s="140"/>
      <c r="N70" s="140"/>
      <c r="O70" s="140"/>
      <c r="P70" s="140"/>
      <c r="Q70" s="140"/>
      <c r="R70" s="140"/>
      <c r="S70" s="140"/>
      <c r="T70" s="140"/>
      <c r="U70" s="140"/>
      <c r="V70" s="140"/>
      <c r="W70" s="140"/>
    </row>
    <row r="71">
      <c r="A71" s="140"/>
      <c r="B71" s="140"/>
      <c r="C71" s="140"/>
      <c r="D71" s="140"/>
      <c r="E71" s="140"/>
      <c r="F71" s="140"/>
      <c r="G71" s="140"/>
      <c r="H71" s="140"/>
      <c r="I71" s="140"/>
      <c r="J71" s="140"/>
      <c r="K71" s="455"/>
      <c r="L71" s="455"/>
      <c r="M71" s="140"/>
      <c r="N71" s="140"/>
      <c r="O71" s="140"/>
      <c r="P71" s="140"/>
      <c r="Q71" s="140"/>
      <c r="R71" s="140"/>
      <c r="S71" s="140"/>
      <c r="T71" s="140"/>
      <c r="U71" s="140"/>
      <c r="V71" s="140"/>
      <c r="W71" s="140"/>
    </row>
    <row r="72">
      <c r="A72" s="140"/>
      <c r="B72" s="140"/>
      <c r="C72" s="140"/>
      <c r="D72" s="140"/>
      <c r="E72" s="140"/>
      <c r="F72" s="140"/>
      <c r="G72" s="140"/>
      <c r="H72" s="140"/>
      <c r="I72" s="140"/>
      <c r="J72" s="140"/>
      <c r="K72" s="455"/>
      <c r="L72" s="455"/>
      <c r="M72" s="140"/>
      <c r="N72" s="140"/>
      <c r="O72" s="140"/>
      <c r="P72" s="140"/>
      <c r="Q72" s="140"/>
      <c r="R72" s="140"/>
      <c r="S72" s="140"/>
      <c r="T72" s="140"/>
      <c r="U72" s="140"/>
      <c r="V72" s="140"/>
      <c r="W72" s="140"/>
    </row>
    <row r="73">
      <c r="A73" s="140"/>
      <c r="B73" s="140"/>
      <c r="C73" s="140"/>
      <c r="D73" s="140"/>
      <c r="E73" s="140"/>
      <c r="F73" s="140"/>
      <c r="G73" s="140"/>
      <c r="H73" s="140"/>
      <c r="I73" s="140"/>
      <c r="J73" s="140"/>
      <c r="K73" s="455"/>
      <c r="L73" s="455"/>
      <c r="M73" s="140"/>
      <c r="N73" s="140"/>
      <c r="O73" s="140"/>
      <c r="P73" s="140"/>
      <c r="Q73" s="140"/>
      <c r="R73" s="140"/>
      <c r="S73" s="140"/>
      <c r="T73" s="140"/>
      <c r="U73" s="140"/>
      <c r="V73" s="140"/>
      <c r="W73" s="140"/>
    </row>
    <row r="74">
      <c r="A74" s="140"/>
      <c r="B74" s="140"/>
      <c r="C74" s="140"/>
      <c r="D74" s="140"/>
      <c r="E74" s="140"/>
      <c r="F74" s="140"/>
      <c r="G74" s="140"/>
      <c r="H74" s="140"/>
      <c r="I74" s="140"/>
      <c r="J74" s="140"/>
      <c r="K74" s="455"/>
      <c r="L74" s="455"/>
      <c r="M74" s="140"/>
      <c r="N74" s="140"/>
      <c r="O74" s="140"/>
      <c r="P74" s="140"/>
      <c r="Q74" s="140"/>
      <c r="R74" s="140"/>
      <c r="S74" s="140"/>
      <c r="T74" s="140"/>
      <c r="U74" s="140"/>
      <c r="V74" s="140"/>
      <c r="W74" s="140"/>
    </row>
    <row r="75">
      <c r="A75" s="140"/>
      <c r="B75" s="140"/>
      <c r="C75" s="140"/>
      <c r="D75" s="140"/>
      <c r="E75" s="140"/>
      <c r="F75" s="140"/>
      <c r="G75" s="140"/>
      <c r="H75" s="140"/>
      <c r="I75" s="140"/>
      <c r="J75" s="140"/>
      <c r="K75" s="455"/>
      <c r="L75" s="455"/>
      <c r="M75" s="140"/>
      <c r="N75" s="140"/>
      <c r="O75" s="140"/>
      <c r="P75" s="140"/>
      <c r="Q75" s="140"/>
      <c r="R75" s="140"/>
      <c r="S75" s="140"/>
      <c r="T75" s="140"/>
      <c r="U75" s="140"/>
      <c r="V75" s="140"/>
      <c r="W75" s="140"/>
    </row>
    <row r="76">
      <c r="A76" s="140"/>
      <c r="B76" s="140"/>
      <c r="C76" s="140"/>
      <c r="D76" s="140"/>
      <c r="E76" s="140"/>
      <c r="F76" s="140"/>
      <c r="G76" s="140"/>
      <c r="H76" s="140"/>
      <c r="I76" s="140"/>
      <c r="J76" s="140"/>
      <c r="K76" s="455"/>
      <c r="L76" s="455"/>
      <c r="M76" s="140"/>
      <c r="N76" s="140"/>
      <c r="O76" s="140"/>
      <c r="P76" s="140"/>
      <c r="Q76" s="140"/>
      <c r="R76" s="140"/>
      <c r="S76" s="140"/>
      <c r="T76" s="140"/>
      <c r="U76" s="140"/>
      <c r="V76" s="140"/>
      <c r="W76" s="140"/>
    </row>
    <row r="77">
      <c r="A77" s="140"/>
      <c r="B77" s="140"/>
      <c r="C77" s="140"/>
      <c r="D77" s="140"/>
      <c r="E77" s="140"/>
      <c r="F77" s="140"/>
      <c r="G77" s="140"/>
      <c r="H77" s="140"/>
      <c r="I77" s="140"/>
      <c r="J77" s="140"/>
      <c r="K77" s="455"/>
      <c r="L77" s="455"/>
      <c r="M77" s="140"/>
      <c r="N77" s="140"/>
      <c r="O77" s="140"/>
      <c r="P77" s="140"/>
      <c r="Q77" s="140"/>
      <c r="R77" s="140"/>
      <c r="S77" s="140"/>
      <c r="T77" s="140"/>
      <c r="U77" s="140"/>
      <c r="V77" s="140"/>
      <c r="W77" s="140"/>
    </row>
    <row r="78">
      <c r="A78" s="140"/>
      <c r="B78" s="140"/>
      <c r="C78" s="140"/>
      <c r="D78" s="140"/>
      <c r="E78" s="140"/>
      <c r="F78" s="140"/>
      <c r="G78" s="140"/>
      <c r="H78" s="140"/>
      <c r="I78" s="140"/>
      <c r="J78" s="140"/>
      <c r="K78" s="455"/>
      <c r="L78" s="455"/>
      <c r="M78" s="140"/>
      <c r="N78" s="140"/>
      <c r="O78" s="140"/>
      <c r="P78" s="140"/>
      <c r="Q78" s="140"/>
      <c r="R78" s="140"/>
      <c r="S78" s="140"/>
      <c r="T78" s="140"/>
      <c r="U78" s="140"/>
      <c r="V78" s="140"/>
      <c r="W78" s="140"/>
    </row>
    <row r="79">
      <c r="A79" s="140"/>
      <c r="B79" s="140"/>
      <c r="C79" s="140"/>
      <c r="D79" s="140"/>
      <c r="E79" s="140"/>
      <c r="F79" s="140"/>
      <c r="G79" s="140"/>
      <c r="H79" s="140"/>
      <c r="I79" s="140"/>
      <c r="J79" s="140"/>
      <c r="K79" s="455"/>
      <c r="L79" s="455"/>
      <c r="M79" s="140"/>
      <c r="N79" s="140"/>
      <c r="O79" s="140"/>
      <c r="P79" s="140"/>
      <c r="Q79" s="140"/>
      <c r="R79" s="140"/>
      <c r="S79" s="140"/>
      <c r="T79" s="140"/>
      <c r="U79" s="140"/>
      <c r="V79" s="140"/>
      <c r="W79" s="140"/>
    </row>
    <row r="80">
      <c r="A80" s="140"/>
      <c r="B80" s="140"/>
      <c r="C80" s="140"/>
      <c r="D80" s="140"/>
      <c r="E80" s="140"/>
      <c r="F80" s="140"/>
      <c r="G80" s="140"/>
      <c r="H80" s="140"/>
      <c r="I80" s="140"/>
      <c r="J80" s="140"/>
      <c r="K80" s="455"/>
      <c r="L80" s="455"/>
      <c r="M80" s="140"/>
      <c r="N80" s="140"/>
      <c r="O80" s="140"/>
      <c r="P80" s="140"/>
      <c r="Q80" s="140"/>
      <c r="R80" s="140"/>
      <c r="S80" s="140"/>
      <c r="T80" s="140"/>
      <c r="U80" s="140"/>
      <c r="V80" s="140"/>
      <c r="W80" s="140"/>
    </row>
    <row r="81">
      <c r="A81" s="140"/>
      <c r="B81" s="140"/>
      <c r="C81" s="140"/>
      <c r="D81" s="140"/>
      <c r="E81" s="140"/>
      <c r="F81" s="140"/>
      <c r="G81" s="140"/>
      <c r="H81" s="140"/>
      <c r="I81" s="140"/>
      <c r="J81" s="140"/>
      <c r="K81" s="455"/>
      <c r="L81" s="455"/>
      <c r="M81" s="140"/>
      <c r="N81" s="140"/>
      <c r="O81" s="140"/>
      <c r="P81" s="140"/>
      <c r="Q81" s="140"/>
      <c r="R81" s="140"/>
      <c r="S81" s="140"/>
      <c r="T81" s="140"/>
      <c r="U81" s="140"/>
      <c r="V81" s="140"/>
      <c r="W81" s="140"/>
    </row>
    <row r="82">
      <c r="A82" s="140"/>
      <c r="B82" s="140"/>
      <c r="C82" s="140"/>
      <c r="D82" s="140"/>
      <c r="E82" s="140"/>
      <c r="F82" s="140"/>
      <c r="G82" s="140"/>
      <c r="H82" s="140"/>
      <c r="I82" s="140"/>
      <c r="J82" s="140"/>
      <c r="K82" s="455"/>
      <c r="L82" s="455"/>
      <c r="M82" s="140"/>
      <c r="N82" s="140"/>
      <c r="O82" s="140"/>
      <c r="P82" s="140"/>
      <c r="Q82" s="140"/>
      <c r="R82" s="140"/>
      <c r="S82" s="140"/>
      <c r="T82" s="140"/>
      <c r="U82" s="140"/>
      <c r="V82" s="140"/>
      <c r="W82" s="140"/>
    </row>
    <row r="83">
      <c r="A83" s="140"/>
      <c r="B83" s="140"/>
      <c r="C83" s="140"/>
      <c r="D83" s="140"/>
      <c r="E83" s="140"/>
      <c r="F83" s="140"/>
      <c r="G83" s="140"/>
      <c r="H83" s="140"/>
      <c r="I83" s="140"/>
      <c r="J83" s="140"/>
      <c r="K83" s="455"/>
      <c r="L83" s="455"/>
      <c r="M83" s="140"/>
      <c r="N83" s="140"/>
      <c r="O83" s="140"/>
      <c r="P83" s="140"/>
      <c r="Q83" s="140"/>
      <c r="R83" s="140"/>
      <c r="S83" s="140"/>
      <c r="T83" s="140"/>
      <c r="U83" s="140"/>
      <c r="V83" s="140"/>
      <c r="W83" s="140"/>
    </row>
    <row r="84">
      <c r="A84" s="140"/>
      <c r="B84" s="140"/>
      <c r="C84" s="140"/>
      <c r="D84" s="140"/>
      <c r="E84" s="140"/>
      <c r="F84" s="140"/>
      <c r="G84" s="140"/>
      <c r="H84" s="140"/>
      <c r="I84" s="140"/>
      <c r="J84" s="140"/>
      <c r="K84" s="455"/>
      <c r="L84" s="455"/>
      <c r="M84" s="140"/>
      <c r="N84" s="140"/>
      <c r="O84" s="140"/>
      <c r="P84" s="140"/>
      <c r="Q84" s="140"/>
      <c r="R84" s="140"/>
      <c r="S84" s="140"/>
      <c r="T84" s="140"/>
      <c r="U84" s="140"/>
      <c r="V84" s="140"/>
      <c r="W84" s="140"/>
    </row>
    <row r="85">
      <c r="A85" s="140"/>
      <c r="B85" s="140"/>
      <c r="C85" s="140"/>
      <c r="D85" s="140"/>
      <c r="E85" s="140"/>
      <c r="F85" s="140"/>
      <c r="G85" s="140"/>
      <c r="H85" s="140"/>
      <c r="I85" s="140"/>
      <c r="J85" s="140"/>
      <c r="K85" s="455"/>
      <c r="L85" s="455"/>
      <c r="M85" s="140"/>
      <c r="N85" s="140"/>
      <c r="O85" s="140"/>
      <c r="P85" s="140"/>
      <c r="Q85" s="140"/>
      <c r="R85" s="140"/>
      <c r="S85" s="140"/>
      <c r="T85" s="140"/>
      <c r="U85" s="140"/>
      <c r="V85" s="140"/>
      <c r="W85" s="140"/>
    </row>
    <row r="86">
      <c r="A86" s="140"/>
      <c r="B86" s="140"/>
      <c r="C86" s="140"/>
      <c r="D86" s="140"/>
      <c r="E86" s="140"/>
      <c r="F86" s="140"/>
      <c r="G86" s="140"/>
      <c r="H86" s="140"/>
      <c r="I86" s="140"/>
      <c r="J86" s="140"/>
      <c r="K86" s="455"/>
      <c r="L86" s="455"/>
      <c r="M86" s="140"/>
      <c r="N86" s="140"/>
      <c r="O86" s="140"/>
      <c r="P86" s="140"/>
      <c r="Q86" s="140"/>
      <c r="R86" s="140"/>
      <c r="S86" s="140"/>
      <c r="T86" s="140"/>
      <c r="U86" s="140"/>
      <c r="V86" s="140"/>
      <c r="W86" s="140"/>
    </row>
    <row r="87">
      <c r="A87" s="140"/>
      <c r="B87" s="140"/>
      <c r="C87" s="140"/>
      <c r="D87" s="140"/>
      <c r="E87" s="140"/>
      <c r="F87" s="140"/>
      <c r="G87" s="140"/>
      <c r="H87" s="140"/>
      <c r="I87" s="140"/>
      <c r="J87" s="140"/>
      <c r="K87" s="455"/>
      <c r="L87" s="455"/>
      <c r="M87" s="140"/>
      <c r="N87" s="140"/>
      <c r="O87" s="140"/>
      <c r="P87" s="140"/>
      <c r="Q87" s="140"/>
      <c r="R87" s="140"/>
      <c r="S87" s="140"/>
      <c r="T87" s="140"/>
      <c r="U87" s="140"/>
      <c r="V87" s="140"/>
      <c r="W87" s="140"/>
    </row>
    <row r="88">
      <c r="A88" s="140"/>
      <c r="B88" s="140"/>
      <c r="C88" s="140"/>
      <c r="D88" s="140"/>
      <c r="E88" s="140"/>
      <c r="F88" s="140"/>
      <c r="G88" s="140"/>
      <c r="H88" s="140"/>
      <c r="I88" s="140"/>
      <c r="J88" s="140"/>
      <c r="K88" s="455"/>
      <c r="L88" s="455"/>
      <c r="M88" s="140"/>
      <c r="N88" s="140"/>
      <c r="O88" s="140"/>
      <c r="P88" s="140"/>
      <c r="Q88" s="140"/>
      <c r="R88" s="140"/>
      <c r="S88" s="140"/>
      <c r="T88" s="140"/>
      <c r="U88" s="140"/>
      <c r="V88" s="140"/>
      <c r="W88" s="140"/>
    </row>
    <row r="89">
      <c r="A89" s="140"/>
      <c r="B89" s="140"/>
      <c r="C89" s="140"/>
      <c r="D89" s="140"/>
      <c r="E89" s="140"/>
      <c r="F89" s="140"/>
      <c r="G89" s="140"/>
      <c r="H89" s="140"/>
      <c r="I89" s="140"/>
      <c r="J89" s="140"/>
      <c r="K89" s="455"/>
      <c r="L89" s="455"/>
      <c r="M89" s="140"/>
      <c r="N89" s="140"/>
      <c r="O89" s="140"/>
      <c r="P89" s="140"/>
      <c r="Q89" s="140"/>
      <c r="R89" s="140"/>
      <c r="S89" s="140"/>
      <c r="T89" s="140"/>
      <c r="U89" s="140"/>
      <c r="V89" s="140"/>
      <c r="W89" s="140"/>
    </row>
    <row r="90">
      <c r="A90" s="140"/>
      <c r="B90" s="140"/>
      <c r="C90" s="140"/>
      <c r="D90" s="140"/>
      <c r="E90" s="140"/>
      <c r="F90" s="140"/>
      <c r="G90" s="140"/>
      <c r="H90" s="140"/>
      <c r="I90" s="140"/>
      <c r="J90" s="140"/>
      <c r="K90" s="455"/>
      <c r="L90" s="455"/>
      <c r="M90" s="140"/>
      <c r="N90" s="140"/>
      <c r="O90" s="140"/>
      <c r="P90" s="140"/>
      <c r="Q90" s="140"/>
      <c r="R90" s="140"/>
      <c r="S90" s="140"/>
      <c r="T90" s="140"/>
      <c r="U90" s="140"/>
      <c r="V90" s="140"/>
      <c r="W90" s="140"/>
    </row>
    <row r="91">
      <c r="A91" s="140"/>
      <c r="B91" s="140"/>
      <c r="C91" s="140"/>
      <c r="D91" s="140"/>
      <c r="E91" s="140"/>
      <c r="F91" s="140"/>
      <c r="G91" s="140"/>
      <c r="H91" s="140"/>
      <c r="I91" s="140"/>
      <c r="J91" s="140"/>
      <c r="K91" s="455"/>
      <c r="L91" s="455"/>
      <c r="M91" s="140"/>
      <c r="N91" s="140"/>
      <c r="O91" s="140"/>
      <c r="P91" s="140"/>
      <c r="Q91" s="140"/>
      <c r="R91" s="140"/>
      <c r="S91" s="140"/>
      <c r="T91" s="140"/>
      <c r="U91" s="140"/>
      <c r="V91" s="140"/>
      <c r="W91" s="140"/>
    </row>
    <row r="92">
      <c r="A92" s="140"/>
      <c r="B92" s="140"/>
      <c r="C92" s="140"/>
      <c r="D92" s="140"/>
      <c r="E92" s="140"/>
      <c r="F92" s="140"/>
      <c r="G92" s="140"/>
      <c r="H92" s="140"/>
      <c r="I92" s="140"/>
      <c r="J92" s="140"/>
      <c r="K92" s="455"/>
      <c r="L92" s="455"/>
      <c r="M92" s="140"/>
      <c r="N92" s="140"/>
      <c r="O92" s="140"/>
      <c r="P92" s="140"/>
      <c r="Q92" s="140"/>
      <c r="R92" s="140"/>
      <c r="S92" s="140"/>
      <c r="T92" s="140"/>
      <c r="U92" s="140"/>
      <c r="V92" s="140"/>
      <c r="W92" s="140"/>
    </row>
    <row r="93">
      <c r="A93" s="140"/>
      <c r="B93" s="140"/>
      <c r="C93" s="140"/>
      <c r="D93" s="140"/>
      <c r="E93" s="140"/>
      <c r="F93" s="140"/>
      <c r="G93" s="140"/>
      <c r="H93" s="140"/>
      <c r="I93" s="140"/>
      <c r="J93" s="140"/>
      <c r="K93" s="455"/>
      <c r="L93" s="455"/>
      <c r="M93" s="140"/>
      <c r="N93" s="140"/>
      <c r="O93" s="140"/>
      <c r="P93" s="140"/>
      <c r="Q93" s="140"/>
      <c r="R93" s="140"/>
      <c r="S93" s="140"/>
      <c r="T93" s="140"/>
      <c r="U93" s="140"/>
      <c r="V93" s="140"/>
      <c r="W93" s="140"/>
    </row>
    <row r="94">
      <c r="A94" s="140"/>
      <c r="B94" s="140"/>
      <c r="C94" s="140"/>
      <c r="D94" s="140"/>
      <c r="E94" s="140"/>
      <c r="F94" s="140"/>
      <c r="G94" s="140"/>
      <c r="H94" s="140"/>
      <c r="I94" s="140"/>
      <c r="J94" s="140"/>
      <c r="K94" s="455"/>
      <c r="L94" s="455"/>
      <c r="M94" s="140"/>
      <c r="N94" s="140"/>
      <c r="O94" s="140"/>
      <c r="P94" s="140"/>
      <c r="Q94" s="140"/>
      <c r="R94" s="140"/>
      <c r="S94" s="140"/>
      <c r="T94" s="140"/>
      <c r="U94" s="140"/>
      <c r="V94" s="140"/>
      <c r="W94" s="140"/>
    </row>
    <row r="95">
      <c r="A95" s="140"/>
      <c r="B95" s="140"/>
      <c r="C95" s="140"/>
      <c r="D95" s="140"/>
      <c r="E95" s="140"/>
      <c r="F95" s="140"/>
      <c r="G95" s="140"/>
      <c r="H95" s="140"/>
      <c r="I95" s="140"/>
      <c r="J95" s="140"/>
      <c r="K95" s="455"/>
      <c r="L95" s="455"/>
      <c r="M95" s="140"/>
      <c r="N95" s="140"/>
      <c r="O95" s="140"/>
      <c r="P95" s="140"/>
      <c r="Q95" s="140"/>
      <c r="R95" s="140"/>
      <c r="S95" s="140"/>
      <c r="T95" s="140"/>
      <c r="U95" s="140"/>
      <c r="V95" s="140"/>
      <c r="W95" s="140"/>
    </row>
    <row r="96">
      <c r="A96" s="140"/>
      <c r="B96" s="140"/>
      <c r="C96" s="140"/>
      <c r="D96" s="140"/>
      <c r="E96" s="140"/>
      <c r="F96" s="140"/>
      <c r="G96" s="140"/>
      <c r="H96" s="140"/>
      <c r="I96" s="140"/>
      <c r="J96" s="140"/>
      <c r="K96" s="455"/>
      <c r="L96" s="455"/>
      <c r="M96" s="140"/>
      <c r="N96" s="140"/>
      <c r="O96" s="140"/>
      <c r="P96" s="140"/>
      <c r="Q96" s="140"/>
      <c r="R96" s="140"/>
      <c r="S96" s="140"/>
      <c r="T96" s="140"/>
      <c r="U96" s="140"/>
      <c r="V96" s="140"/>
      <c r="W96" s="140"/>
    </row>
    <row r="97">
      <c r="A97" s="140"/>
      <c r="B97" s="140"/>
      <c r="C97" s="140"/>
      <c r="D97" s="140"/>
      <c r="E97" s="140"/>
      <c r="F97" s="140"/>
      <c r="G97" s="140"/>
      <c r="H97" s="140"/>
      <c r="I97" s="140"/>
      <c r="J97" s="140"/>
      <c r="K97" s="455"/>
      <c r="L97" s="455"/>
      <c r="M97" s="140"/>
      <c r="N97" s="140"/>
      <c r="O97" s="140"/>
      <c r="P97" s="140"/>
      <c r="Q97" s="140"/>
      <c r="R97" s="140"/>
      <c r="S97" s="140"/>
      <c r="T97" s="140"/>
      <c r="U97" s="140"/>
      <c r="V97" s="140"/>
      <c r="W97" s="140"/>
    </row>
    <row r="98">
      <c r="A98" s="140"/>
      <c r="B98" s="140"/>
      <c r="C98" s="140"/>
      <c r="D98" s="140"/>
      <c r="E98" s="140"/>
      <c r="F98" s="140"/>
      <c r="G98" s="140"/>
      <c r="H98" s="140"/>
      <c r="I98" s="140"/>
      <c r="J98" s="140"/>
      <c r="K98" s="455"/>
      <c r="L98" s="455"/>
      <c r="M98" s="140"/>
      <c r="N98" s="140"/>
      <c r="O98" s="140"/>
      <c r="P98" s="140"/>
      <c r="Q98" s="140"/>
      <c r="R98" s="140"/>
      <c r="S98" s="140"/>
      <c r="T98" s="140"/>
      <c r="U98" s="140"/>
      <c r="V98" s="140"/>
      <c r="W98" s="140"/>
    </row>
    <row r="99">
      <c r="A99" s="140"/>
      <c r="B99" s="140"/>
      <c r="C99" s="140"/>
      <c r="D99" s="140"/>
      <c r="E99" s="140"/>
      <c r="F99" s="140"/>
      <c r="G99" s="140"/>
      <c r="H99" s="140"/>
      <c r="I99" s="140"/>
      <c r="J99" s="140"/>
      <c r="K99" s="455"/>
      <c r="L99" s="455"/>
      <c r="M99" s="140"/>
      <c r="N99" s="140"/>
      <c r="O99" s="140"/>
      <c r="P99" s="140"/>
      <c r="Q99" s="140"/>
      <c r="R99" s="140"/>
      <c r="S99" s="140"/>
      <c r="T99" s="140"/>
      <c r="U99" s="140"/>
      <c r="V99" s="140"/>
      <c r="W99" s="140"/>
    </row>
    <row r="100">
      <c r="A100" s="140"/>
      <c r="B100" s="140"/>
      <c r="C100" s="140"/>
      <c r="D100" s="140"/>
      <c r="E100" s="140"/>
      <c r="F100" s="140"/>
      <c r="G100" s="140"/>
      <c r="H100" s="140"/>
      <c r="I100" s="140"/>
      <c r="J100" s="140"/>
      <c r="K100" s="455"/>
      <c r="L100" s="455"/>
      <c r="M100" s="140"/>
      <c r="N100" s="140"/>
      <c r="O100" s="140"/>
      <c r="P100" s="140"/>
      <c r="Q100" s="140"/>
      <c r="R100" s="140"/>
      <c r="S100" s="140"/>
      <c r="T100" s="140"/>
      <c r="U100" s="140"/>
      <c r="V100" s="140"/>
      <c r="W100" s="140"/>
    </row>
    <row r="101">
      <c r="A101" s="140"/>
      <c r="B101" s="140"/>
      <c r="C101" s="140"/>
      <c r="D101" s="140"/>
      <c r="E101" s="140"/>
      <c r="F101" s="140"/>
      <c r="G101" s="140"/>
      <c r="H101" s="140"/>
      <c r="I101" s="140"/>
      <c r="J101" s="140"/>
      <c r="K101" s="455"/>
      <c r="L101" s="455"/>
      <c r="M101" s="140"/>
      <c r="N101" s="140"/>
      <c r="O101" s="140"/>
      <c r="P101" s="140"/>
      <c r="Q101" s="140"/>
      <c r="R101" s="140"/>
      <c r="S101" s="140"/>
      <c r="T101" s="140"/>
      <c r="U101" s="140"/>
      <c r="V101" s="140"/>
      <c r="W101" s="140"/>
    </row>
    <row r="102">
      <c r="A102" s="140"/>
      <c r="B102" s="140"/>
      <c r="C102" s="140"/>
      <c r="D102" s="140"/>
      <c r="E102" s="140"/>
      <c r="F102" s="140"/>
      <c r="G102" s="140"/>
      <c r="H102" s="140"/>
      <c r="I102" s="140"/>
      <c r="J102" s="140"/>
      <c r="K102" s="455"/>
      <c r="L102" s="455"/>
      <c r="M102" s="140"/>
      <c r="N102" s="140"/>
      <c r="O102" s="140"/>
      <c r="P102" s="140"/>
      <c r="Q102" s="140"/>
      <c r="R102" s="140"/>
      <c r="S102" s="140"/>
      <c r="T102" s="140"/>
      <c r="U102" s="140"/>
      <c r="V102" s="140"/>
      <c r="W102" s="140"/>
    </row>
    <row r="103">
      <c r="A103" s="140"/>
      <c r="B103" s="140"/>
      <c r="C103" s="140"/>
      <c r="D103" s="140"/>
      <c r="E103" s="140"/>
      <c r="F103" s="140"/>
      <c r="G103" s="140"/>
      <c r="H103" s="140"/>
      <c r="I103" s="140"/>
      <c r="J103" s="140"/>
      <c r="K103" s="455"/>
      <c r="L103" s="455"/>
      <c r="M103" s="140"/>
      <c r="N103" s="140"/>
      <c r="O103" s="140"/>
      <c r="P103" s="140"/>
      <c r="Q103" s="140"/>
      <c r="R103" s="140"/>
      <c r="S103" s="140"/>
      <c r="T103" s="140"/>
      <c r="U103" s="140"/>
      <c r="V103" s="140"/>
      <c r="W103" s="140"/>
    </row>
    <row r="104">
      <c r="A104" s="140"/>
      <c r="B104" s="140"/>
      <c r="C104" s="140"/>
      <c r="D104" s="140"/>
      <c r="E104" s="140"/>
      <c r="F104" s="140"/>
      <c r="G104" s="140"/>
      <c r="H104" s="140"/>
      <c r="I104" s="140"/>
      <c r="J104" s="140"/>
      <c r="K104" s="455"/>
      <c r="L104" s="455"/>
      <c r="M104" s="140"/>
      <c r="N104" s="140"/>
      <c r="O104" s="140"/>
      <c r="P104" s="140"/>
      <c r="Q104" s="140"/>
      <c r="R104" s="140"/>
      <c r="S104" s="140"/>
      <c r="T104" s="140"/>
      <c r="U104" s="140"/>
      <c r="V104" s="140"/>
      <c r="W104" s="140"/>
    </row>
    <row r="105">
      <c r="A105" s="140"/>
      <c r="B105" s="140"/>
      <c r="C105" s="140"/>
      <c r="D105" s="140"/>
      <c r="E105" s="140"/>
      <c r="F105" s="140"/>
      <c r="G105" s="140"/>
      <c r="H105" s="140"/>
      <c r="I105" s="140"/>
      <c r="J105" s="140"/>
      <c r="K105" s="455"/>
      <c r="L105" s="455"/>
      <c r="M105" s="140"/>
      <c r="N105" s="140"/>
      <c r="O105" s="140"/>
      <c r="P105" s="140"/>
      <c r="Q105" s="140"/>
      <c r="R105" s="140"/>
      <c r="S105" s="140"/>
      <c r="T105" s="140"/>
      <c r="U105" s="140"/>
      <c r="V105" s="140"/>
      <c r="W105" s="140"/>
    </row>
    <row r="106">
      <c r="A106" s="140"/>
      <c r="B106" s="140"/>
      <c r="C106" s="140"/>
      <c r="D106" s="140"/>
      <c r="E106" s="140"/>
      <c r="F106" s="140"/>
      <c r="G106" s="140"/>
      <c r="H106" s="140"/>
      <c r="I106" s="140"/>
      <c r="J106" s="140"/>
      <c r="K106" s="455"/>
      <c r="L106" s="455"/>
      <c r="M106" s="140"/>
      <c r="N106" s="140"/>
      <c r="O106" s="140"/>
      <c r="P106" s="140"/>
      <c r="Q106" s="140"/>
      <c r="R106" s="140"/>
      <c r="S106" s="140"/>
      <c r="T106" s="140"/>
      <c r="U106" s="140"/>
      <c r="V106" s="140"/>
      <c r="W106" s="140"/>
    </row>
    <row r="107">
      <c r="A107" s="140"/>
      <c r="B107" s="140"/>
      <c r="C107" s="140"/>
      <c r="D107" s="140"/>
      <c r="E107" s="140"/>
      <c r="F107" s="140"/>
      <c r="G107" s="140"/>
      <c r="H107" s="140"/>
      <c r="I107" s="140"/>
      <c r="J107" s="140"/>
      <c r="K107" s="455"/>
      <c r="L107" s="455"/>
      <c r="M107" s="140"/>
      <c r="N107" s="140"/>
      <c r="O107" s="140"/>
      <c r="P107" s="140"/>
      <c r="Q107" s="140"/>
      <c r="R107" s="140"/>
      <c r="S107" s="140"/>
      <c r="T107" s="140"/>
      <c r="U107" s="140"/>
      <c r="V107" s="140"/>
      <c r="W107" s="140"/>
    </row>
    <row r="108">
      <c r="A108" s="140"/>
      <c r="B108" s="140"/>
      <c r="C108" s="140"/>
      <c r="D108" s="140"/>
      <c r="E108" s="140"/>
      <c r="F108" s="140"/>
      <c r="G108" s="140"/>
      <c r="H108" s="140"/>
      <c r="I108" s="140"/>
      <c r="J108" s="140"/>
      <c r="K108" s="455"/>
      <c r="L108" s="455"/>
      <c r="M108" s="140"/>
      <c r="N108" s="140"/>
      <c r="O108" s="140"/>
      <c r="P108" s="140"/>
      <c r="Q108" s="140"/>
      <c r="R108" s="140"/>
      <c r="S108" s="140"/>
      <c r="T108" s="140"/>
      <c r="U108" s="140"/>
      <c r="V108" s="140"/>
      <c r="W108" s="140"/>
    </row>
    <row r="109">
      <c r="A109" s="140"/>
      <c r="B109" s="140"/>
      <c r="C109" s="140"/>
      <c r="D109" s="140"/>
      <c r="E109" s="140"/>
      <c r="F109" s="140"/>
      <c r="G109" s="140"/>
      <c r="H109" s="140"/>
      <c r="I109" s="140"/>
      <c r="J109" s="140"/>
      <c r="K109" s="455"/>
      <c r="L109" s="455"/>
      <c r="M109" s="140"/>
      <c r="N109" s="140"/>
      <c r="O109" s="140"/>
      <c r="P109" s="140"/>
      <c r="Q109" s="140"/>
      <c r="R109" s="140"/>
      <c r="S109" s="140"/>
      <c r="T109" s="140"/>
      <c r="U109" s="140"/>
      <c r="V109" s="140"/>
      <c r="W109" s="140"/>
    </row>
    <row r="110">
      <c r="A110" s="140"/>
      <c r="B110" s="140"/>
      <c r="C110" s="140"/>
      <c r="D110" s="140"/>
      <c r="E110" s="140"/>
      <c r="F110" s="140"/>
      <c r="G110" s="140"/>
      <c r="H110" s="140"/>
      <c r="I110" s="140"/>
      <c r="J110" s="140"/>
      <c r="K110" s="455"/>
      <c r="L110" s="455"/>
      <c r="M110" s="140"/>
      <c r="N110" s="140"/>
      <c r="O110" s="140"/>
      <c r="P110" s="140"/>
      <c r="Q110" s="140"/>
      <c r="R110" s="140"/>
      <c r="S110" s="140"/>
      <c r="T110" s="140"/>
      <c r="U110" s="140"/>
      <c r="V110" s="140"/>
      <c r="W110" s="140"/>
    </row>
    <row r="111">
      <c r="A111" s="140"/>
      <c r="B111" s="140"/>
      <c r="C111" s="140"/>
      <c r="D111" s="140"/>
      <c r="E111" s="140"/>
      <c r="F111" s="140"/>
      <c r="G111" s="140"/>
      <c r="H111" s="140"/>
      <c r="I111" s="140"/>
      <c r="J111" s="140"/>
      <c r="K111" s="455"/>
      <c r="L111" s="455"/>
      <c r="M111" s="140"/>
      <c r="N111" s="140"/>
      <c r="O111" s="140"/>
      <c r="P111" s="140"/>
      <c r="Q111" s="140"/>
      <c r="R111" s="140"/>
      <c r="S111" s="140"/>
      <c r="T111" s="140"/>
      <c r="U111" s="140"/>
      <c r="V111" s="140"/>
      <c r="W111" s="140"/>
    </row>
    <row r="112">
      <c r="A112" s="140"/>
      <c r="B112" s="140"/>
      <c r="C112" s="140"/>
      <c r="D112" s="140"/>
      <c r="E112" s="140"/>
      <c r="F112" s="140"/>
      <c r="G112" s="140"/>
      <c r="H112" s="140"/>
      <c r="I112" s="140"/>
      <c r="J112" s="140"/>
      <c r="K112" s="455"/>
      <c r="L112" s="455"/>
      <c r="M112" s="140"/>
      <c r="N112" s="140"/>
      <c r="O112" s="140"/>
      <c r="P112" s="140"/>
      <c r="Q112" s="140"/>
      <c r="R112" s="140"/>
      <c r="S112" s="140"/>
      <c r="T112" s="140"/>
      <c r="U112" s="140"/>
      <c r="V112" s="140"/>
      <c r="W112" s="140"/>
    </row>
    <row r="113">
      <c r="A113" s="140"/>
      <c r="B113" s="140"/>
      <c r="C113" s="140"/>
      <c r="D113" s="140"/>
      <c r="E113" s="140"/>
      <c r="F113" s="140"/>
      <c r="G113" s="140"/>
      <c r="H113" s="140"/>
      <c r="I113" s="140"/>
      <c r="J113" s="140"/>
      <c r="K113" s="455"/>
      <c r="L113" s="455"/>
      <c r="M113" s="140"/>
      <c r="N113" s="140"/>
      <c r="O113" s="140"/>
      <c r="P113" s="140"/>
      <c r="Q113" s="140"/>
      <c r="R113" s="140"/>
      <c r="S113" s="140"/>
      <c r="T113" s="140"/>
      <c r="U113" s="140"/>
      <c r="V113" s="140"/>
      <c r="W113" s="140"/>
    </row>
    <row r="114">
      <c r="A114" s="140"/>
      <c r="B114" s="140"/>
      <c r="C114" s="140"/>
      <c r="D114" s="140"/>
      <c r="E114" s="140"/>
      <c r="F114" s="140"/>
      <c r="G114" s="140"/>
      <c r="H114" s="140"/>
      <c r="I114" s="140"/>
      <c r="J114" s="140"/>
      <c r="K114" s="455"/>
      <c r="L114" s="455"/>
      <c r="M114" s="140"/>
      <c r="N114" s="140"/>
      <c r="O114" s="140"/>
      <c r="P114" s="140"/>
      <c r="Q114" s="140"/>
      <c r="R114" s="140"/>
      <c r="S114" s="140"/>
      <c r="T114" s="140"/>
      <c r="U114" s="140"/>
      <c r="V114" s="140"/>
      <c r="W114" s="140"/>
    </row>
    <row r="115">
      <c r="A115" s="140"/>
      <c r="B115" s="140"/>
      <c r="C115" s="140"/>
      <c r="D115" s="140"/>
      <c r="E115" s="140"/>
      <c r="F115" s="140"/>
      <c r="G115" s="140"/>
      <c r="H115" s="140"/>
      <c r="I115" s="140"/>
      <c r="J115" s="140"/>
      <c r="K115" s="455"/>
      <c r="L115" s="455"/>
      <c r="M115" s="140"/>
      <c r="N115" s="140"/>
      <c r="O115" s="140"/>
      <c r="P115" s="140"/>
      <c r="Q115" s="140"/>
      <c r="R115" s="140"/>
      <c r="S115" s="140"/>
      <c r="T115" s="140"/>
      <c r="U115" s="140"/>
      <c r="V115" s="140"/>
      <c r="W115" s="140"/>
    </row>
    <row r="116">
      <c r="A116" s="140"/>
      <c r="B116" s="140"/>
      <c r="C116" s="140"/>
      <c r="D116" s="140"/>
      <c r="E116" s="140"/>
      <c r="F116" s="140"/>
      <c r="G116" s="140"/>
      <c r="H116" s="140"/>
      <c r="I116" s="140"/>
      <c r="J116" s="140"/>
      <c r="K116" s="455"/>
      <c r="L116" s="455"/>
      <c r="M116" s="140"/>
      <c r="N116" s="140"/>
      <c r="O116" s="140"/>
      <c r="P116" s="140"/>
      <c r="Q116" s="140"/>
      <c r="R116" s="140"/>
      <c r="S116" s="140"/>
      <c r="T116" s="140"/>
      <c r="U116" s="140"/>
      <c r="V116" s="140"/>
      <c r="W116" s="140"/>
    </row>
    <row r="117">
      <c r="A117" s="140"/>
      <c r="B117" s="140"/>
      <c r="C117" s="140"/>
      <c r="D117" s="140"/>
      <c r="E117" s="140"/>
      <c r="F117" s="140"/>
      <c r="G117" s="140"/>
      <c r="H117" s="140"/>
      <c r="I117" s="140"/>
      <c r="J117" s="140"/>
      <c r="K117" s="455"/>
      <c r="L117" s="455"/>
      <c r="M117" s="140"/>
      <c r="N117" s="140"/>
      <c r="O117" s="140"/>
      <c r="P117" s="140"/>
      <c r="Q117" s="140"/>
      <c r="R117" s="140"/>
      <c r="S117" s="140"/>
      <c r="T117" s="140"/>
      <c r="U117" s="140"/>
      <c r="V117" s="140"/>
      <c r="W117" s="140"/>
    </row>
    <row r="118">
      <c r="A118" s="140"/>
      <c r="B118" s="140"/>
      <c r="C118" s="140"/>
      <c r="D118" s="140"/>
      <c r="E118" s="140"/>
      <c r="F118" s="140"/>
      <c r="G118" s="140"/>
      <c r="H118" s="140"/>
      <c r="I118" s="140"/>
      <c r="J118" s="140"/>
      <c r="K118" s="455"/>
      <c r="L118" s="455"/>
      <c r="M118" s="140"/>
      <c r="N118" s="140"/>
      <c r="O118" s="140"/>
      <c r="P118" s="140"/>
      <c r="Q118" s="140"/>
      <c r="R118" s="140"/>
      <c r="S118" s="140"/>
      <c r="T118" s="140"/>
      <c r="U118" s="140"/>
      <c r="V118" s="140"/>
      <c r="W118" s="140"/>
    </row>
    <row r="119">
      <c r="A119" s="140"/>
      <c r="B119" s="140"/>
      <c r="C119" s="140"/>
      <c r="D119" s="140"/>
      <c r="E119" s="140"/>
      <c r="F119" s="140"/>
      <c r="G119" s="140"/>
      <c r="H119" s="140"/>
      <c r="I119" s="140"/>
      <c r="J119" s="140"/>
      <c r="K119" s="455"/>
      <c r="L119" s="455"/>
      <c r="M119" s="140"/>
      <c r="N119" s="140"/>
      <c r="O119" s="140"/>
      <c r="P119" s="140"/>
      <c r="Q119" s="140"/>
      <c r="R119" s="140"/>
      <c r="S119" s="140"/>
      <c r="T119" s="140"/>
      <c r="U119" s="140"/>
      <c r="V119" s="140"/>
      <c r="W119" s="140"/>
    </row>
    <row r="120">
      <c r="A120" s="140"/>
      <c r="B120" s="140"/>
      <c r="C120" s="140"/>
      <c r="D120" s="140"/>
      <c r="E120" s="140"/>
      <c r="F120" s="140"/>
      <c r="G120" s="140"/>
      <c r="H120" s="140"/>
      <c r="I120" s="140"/>
      <c r="J120" s="140"/>
      <c r="K120" s="455"/>
      <c r="L120" s="455"/>
      <c r="M120" s="140"/>
      <c r="N120" s="140"/>
      <c r="O120" s="140"/>
      <c r="P120" s="140"/>
      <c r="Q120" s="140"/>
      <c r="R120" s="140"/>
      <c r="S120" s="140"/>
      <c r="T120" s="140"/>
      <c r="U120" s="140"/>
      <c r="V120" s="140"/>
      <c r="W120" s="140"/>
    </row>
    <row r="121">
      <c r="A121" s="140"/>
      <c r="B121" s="140"/>
      <c r="C121" s="140"/>
      <c r="D121" s="140"/>
      <c r="E121" s="140"/>
      <c r="F121" s="140"/>
      <c r="G121" s="140"/>
      <c r="H121" s="140"/>
      <c r="I121" s="140"/>
      <c r="J121" s="140"/>
      <c r="K121" s="455"/>
      <c r="L121" s="455"/>
      <c r="M121" s="140"/>
      <c r="N121" s="140"/>
      <c r="O121" s="140"/>
      <c r="P121" s="140"/>
      <c r="Q121" s="140"/>
      <c r="R121" s="140"/>
      <c r="S121" s="140"/>
      <c r="T121" s="140"/>
      <c r="U121" s="140"/>
      <c r="V121" s="140"/>
      <c r="W121" s="140"/>
    </row>
    <row r="122">
      <c r="A122" s="140"/>
      <c r="B122" s="140"/>
      <c r="C122" s="140"/>
      <c r="D122" s="140"/>
      <c r="E122" s="140"/>
      <c r="F122" s="140"/>
      <c r="G122" s="140"/>
      <c r="H122" s="140"/>
      <c r="I122" s="140"/>
      <c r="J122" s="140"/>
      <c r="K122" s="455"/>
      <c r="L122" s="455"/>
      <c r="M122" s="140"/>
      <c r="N122" s="140"/>
      <c r="O122" s="140"/>
      <c r="P122" s="140"/>
      <c r="Q122" s="140"/>
      <c r="R122" s="140"/>
      <c r="S122" s="140"/>
      <c r="T122" s="140"/>
      <c r="U122" s="140"/>
      <c r="V122" s="140"/>
      <c r="W122" s="140"/>
    </row>
    <row r="123">
      <c r="A123" s="140"/>
      <c r="B123" s="140"/>
      <c r="C123" s="140"/>
      <c r="D123" s="140"/>
      <c r="E123" s="140"/>
      <c r="F123" s="140"/>
      <c r="G123" s="140"/>
      <c r="H123" s="140"/>
      <c r="I123" s="140"/>
      <c r="J123" s="140"/>
      <c r="K123" s="455"/>
      <c r="L123" s="455"/>
      <c r="M123" s="140"/>
      <c r="N123" s="140"/>
      <c r="O123" s="140"/>
      <c r="P123" s="140"/>
      <c r="Q123" s="140"/>
      <c r="R123" s="140"/>
      <c r="S123" s="140"/>
      <c r="T123" s="140"/>
      <c r="U123" s="140"/>
      <c r="V123" s="140"/>
      <c r="W123" s="140"/>
    </row>
    <row r="124">
      <c r="A124" s="140"/>
      <c r="B124" s="140"/>
      <c r="C124" s="140"/>
      <c r="D124" s="140"/>
      <c r="E124" s="140"/>
      <c r="F124" s="140"/>
      <c r="G124" s="140"/>
      <c r="H124" s="140"/>
      <c r="I124" s="140"/>
      <c r="J124" s="140"/>
      <c r="K124" s="455"/>
      <c r="L124" s="455"/>
      <c r="M124" s="140"/>
      <c r="N124" s="140"/>
      <c r="O124" s="140"/>
      <c r="P124" s="140"/>
      <c r="Q124" s="140"/>
      <c r="R124" s="140"/>
      <c r="S124" s="140"/>
      <c r="T124" s="140"/>
      <c r="U124" s="140"/>
      <c r="V124" s="140"/>
      <c r="W124" s="140"/>
    </row>
    <row r="125">
      <c r="A125" s="140"/>
      <c r="B125" s="140"/>
      <c r="C125" s="140"/>
      <c r="D125" s="140"/>
      <c r="E125" s="140"/>
      <c r="F125" s="140"/>
      <c r="G125" s="140"/>
      <c r="H125" s="140"/>
      <c r="I125" s="140"/>
      <c r="J125" s="140"/>
      <c r="K125" s="455"/>
      <c r="L125" s="455"/>
      <c r="M125" s="140"/>
      <c r="N125" s="140"/>
      <c r="O125" s="140"/>
      <c r="P125" s="140"/>
      <c r="Q125" s="140"/>
      <c r="R125" s="140"/>
      <c r="S125" s="140"/>
      <c r="T125" s="140"/>
      <c r="U125" s="140"/>
      <c r="V125" s="140"/>
      <c r="W125" s="140"/>
    </row>
    <row r="126">
      <c r="A126" s="140"/>
      <c r="B126" s="140"/>
      <c r="C126" s="140"/>
      <c r="D126" s="140"/>
      <c r="E126" s="140"/>
      <c r="F126" s="140"/>
      <c r="G126" s="140"/>
      <c r="H126" s="140"/>
      <c r="I126" s="140"/>
      <c r="J126" s="140"/>
      <c r="K126" s="455"/>
      <c r="L126" s="455"/>
      <c r="M126" s="140"/>
      <c r="N126" s="140"/>
      <c r="O126" s="140"/>
      <c r="P126" s="140"/>
      <c r="Q126" s="140"/>
      <c r="R126" s="140"/>
      <c r="S126" s="140"/>
      <c r="T126" s="140"/>
      <c r="U126" s="140"/>
      <c r="V126" s="140"/>
      <c r="W126" s="140"/>
    </row>
    <row r="127">
      <c r="A127" s="140"/>
      <c r="B127" s="140"/>
      <c r="C127" s="140"/>
      <c r="D127" s="140"/>
      <c r="E127" s="140"/>
      <c r="F127" s="140"/>
      <c r="G127" s="140"/>
      <c r="H127" s="140"/>
      <c r="I127" s="140"/>
      <c r="J127" s="140"/>
      <c r="K127" s="455"/>
      <c r="L127" s="455"/>
      <c r="M127" s="140"/>
      <c r="N127" s="140"/>
      <c r="O127" s="140"/>
      <c r="P127" s="140"/>
      <c r="Q127" s="140"/>
      <c r="R127" s="140"/>
      <c r="S127" s="140"/>
      <c r="T127" s="140"/>
      <c r="U127" s="140"/>
      <c r="V127" s="140"/>
      <c r="W127" s="140"/>
    </row>
    <row r="128">
      <c r="A128" s="140"/>
      <c r="B128" s="140"/>
      <c r="C128" s="140"/>
      <c r="D128" s="140"/>
      <c r="E128" s="140"/>
      <c r="F128" s="140"/>
      <c r="G128" s="140"/>
      <c r="H128" s="140"/>
      <c r="I128" s="140"/>
      <c r="J128" s="140"/>
      <c r="K128" s="455"/>
      <c r="L128" s="455"/>
      <c r="M128" s="140"/>
      <c r="N128" s="140"/>
      <c r="O128" s="140"/>
      <c r="P128" s="140"/>
      <c r="Q128" s="140"/>
      <c r="R128" s="140"/>
      <c r="S128" s="140"/>
      <c r="T128" s="140"/>
      <c r="U128" s="140"/>
      <c r="V128" s="140"/>
      <c r="W128" s="140"/>
    </row>
    <row r="129">
      <c r="A129" s="140"/>
      <c r="B129" s="140"/>
      <c r="C129" s="140"/>
      <c r="D129" s="140"/>
      <c r="E129" s="140"/>
      <c r="F129" s="140"/>
      <c r="G129" s="140"/>
      <c r="H129" s="140"/>
      <c r="I129" s="140"/>
      <c r="J129" s="140"/>
      <c r="K129" s="455"/>
      <c r="L129" s="455"/>
      <c r="M129" s="140"/>
      <c r="N129" s="140"/>
      <c r="O129" s="140"/>
      <c r="P129" s="140"/>
      <c r="Q129" s="140"/>
      <c r="R129" s="140"/>
      <c r="S129" s="140"/>
      <c r="T129" s="140"/>
      <c r="U129" s="140"/>
      <c r="V129" s="140"/>
      <c r="W129" s="140"/>
    </row>
    <row r="130">
      <c r="A130" s="140"/>
      <c r="B130" s="140"/>
      <c r="C130" s="140"/>
      <c r="D130" s="140"/>
      <c r="E130" s="140"/>
      <c r="F130" s="140"/>
      <c r="G130" s="140"/>
      <c r="H130" s="140"/>
      <c r="I130" s="140"/>
      <c r="J130" s="140"/>
      <c r="K130" s="455"/>
      <c r="L130" s="455"/>
      <c r="M130" s="140"/>
      <c r="N130" s="140"/>
      <c r="O130" s="140"/>
      <c r="P130" s="140"/>
      <c r="Q130" s="140"/>
      <c r="R130" s="140"/>
      <c r="S130" s="140"/>
      <c r="T130" s="140"/>
      <c r="U130" s="140"/>
      <c r="V130" s="140"/>
      <c r="W130" s="140"/>
    </row>
    <row r="131">
      <c r="A131" s="140"/>
      <c r="B131" s="140"/>
      <c r="C131" s="140"/>
      <c r="D131" s="140"/>
      <c r="E131" s="140"/>
      <c r="F131" s="140"/>
      <c r="G131" s="140"/>
      <c r="H131" s="140"/>
      <c r="I131" s="140"/>
      <c r="J131" s="140"/>
      <c r="K131" s="455"/>
      <c r="L131" s="455"/>
      <c r="M131" s="140"/>
      <c r="N131" s="140"/>
      <c r="O131" s="140"/>
      <c r="P131" s="140"/>
      <c r="Q131" s="140"/>
      <c r="R131" s="140"/>
      <c r="S131" s="140"/>
      <c r="T131" s="140"/>
      <c r="U131" s="140"/>
      <c r="V131" s="140"/>
      <c r="W131" s="140"/>
    </row>
    <row r="132">
      <c r="A132" s="140"/>
      <c r="B132" s="140"/>
      <c r="C132" s="140"/>
      <c r="D132" s="140"/>
      <c r="E132" s="140"/>
      <c r="F132" s="140"/>
      <c r="G132" s="140"/>
      <c r="H132" s="140"/>
      <c r="I132" s="140"/>
      <c r="J132" s="140"/>
      <c r="K132" s="455"/>
      <c r="L132" s="455"/>
      <c r="M132" s="140"/>
      <c r="N132" s="140"/>
      <c r="O132" s="140"/>
      <c r="P132" s="140"/>
      <c r="Q132" s="140"/>
      <c r="R132" s="140"/>
      <c r="S132" s="140"/>
      <c r="T132" s="140"/>
      <c r="U132" s="140"/>
      <c r="V132" s="140"/>
      <c r="W132" s="140"/>
    </row>
    <row r="133">
      <c r="A133" s="140"/>
      <c r="B133" s="140"/>
      <c r="C133" s="140"/>
      <c r="D133" s="140"/>
      <c r="E133" s="140"/>
      <c r="F133" s="140"/>
      <c r="G133" s="140"/>
      <c r="H133" s="140"/>
      <c r="I133" s="140"/>
      <c r="J133" s="140"/>
      <c r="K133" s="455"/>
      <c r="L133" s="455"/>
      <c r="M133" s="140"/>
      <c r="N133" s="140"/>
      <c r="O133" s="140"/>
      <c r="P133" s="140"/>
      <c r="Q133" s="140"/>
      <c r="R133" s="140"/>
      <c r="S133" s="140"/>
      <c r="T133" s="140"/>
      <c r="U133" s="140"/>
      <c r="V133" s="140"/>
      <c r="W133" s="140"/>
    </row>
    <row r="134">
      <c r="A134" s="140"/>
      <c r="B134" s="140"/>
      <c r="C134" s="140"/>
      <c r="D134" s="140"/>
      <c r="E134" s="140"/>
      <c r="F134" s="140"/>
      <c r="G134" s="140"/>
      <c r="H134" s="140"/>
      <c r="I134" s="140"/>
      <c r="J134" s="140"/>
      <c r="K134" s="455"/>
      <c r="L134" s="455"/>
      <c r="M134" s="140"/>
      <c r="N134" s="140"/>
      <c r="O134" s="140"/>
      <c r="P134" s="140"/>
      <c r="Q134" s="140"/>
      <c r="R134" s="140"/>
      <c r="S134" s="140"/>
      <c r="T134" s="140"/>
      <c r="U134" s="140"/>
      <c r="V134" s="140"/>
      <c r="W134" s="140"/>
    </row>
    <row r="135">
      <c r="A135" s="140"/>
      <c r="B135" s="140"/>
      <c r="C135" s="140"/>
      <c r="D135" s="140"/>
      <c r="E135" s="140"/>
      <c r="F135" s="140"/>
      <c r="G135" s="140"/>
      <c r="H135" s="140"/>
      <c r="I135" s="140"/>
      <c r="J135" s="140"/>
      <c r="K135" s="455"/>
      <c r="L135" s="455"/>
      <c r="M135" s="140"/>
      <c r="N135" s="140"/>
      <c r="O135" s="140"/>
      <c r="P135" s="140"/>
      <c r="Q135" s="140"/>
      <c r="R135" s="140"/>
      <c r="S135" s="140"/>
      <c r="T135" s="140"/>
      <c r="U135" s="140"/>
      <c r="V135" s="140"/>
      <c r="W135" s="140"/>
    </row>
    <row r="136">
      <c r="A136" s="140"/>
      <c r="B136" s="140"/>
      <c r="C136" s="140"/>
      <c r="D136" s="140"/>
      <c r="E136" s="140"/>
      <c r="F136" s="140"/>
      <c r="G136" s="140"/>
      <c r="H136" s="140"/>
      <c r="I136" s="140"/>
      <c r="J136" s="140"/>
      <c r="K136" s="455"/>
      <c r="L136" s="455"/>
      <c r="M136" s="140"/>
      <c r="N136" s="140"/>
      <c r="O136" s="140"/>
      <c r="P136" s="140"/>
      <c r="Q136" s="140"/>
      <c r="R136" s="140"/>
      <c r="S136" s="140"/>
      <c r="T136" s="140"/>
      <c r="U136" s="140"/>
      <c r="V136" s="140"/>
      <c r="W136" s="140"/>
    </row>
    <row r="137">
      <c r="A137" s="140"/>
      <c r="B137" s="140"/>
      <c r="C137" s="140"/>
      <c r="D137" s="140"/>
      <c r="E137" s="140"/>
      <c r="F137" s="140"/>
      <c r="G137" s="140"/>
      <c r="H137" s="140"/>
      <c r="I137" s="140"/>
      <c r="J137" s="140"/>
      <c r="K137" s="455"/>
      <c r="L137" s="455"/>
      <c r="M137" s="140"/>
      <c r="N137" s="140"/>
      <c r="O137" s="140"/>
      <c r="P137" s="140"/>
      <c r="Q137" s="140"/>
      <c r="R137" s="140"/>
      <c r="S137" s="140"/>
      <c r="T137" s="140"/>
      <c r="U137" s="140"/>
      <c r="V137" s="140"/>
      <c r="W137" s="140"/>
    </row>
    <row r="138">
      <c r="A138" s="140"/>
      <c r="B138" s="140"/>
      <c r="C138" s="140"/>
      <c r="D138" s="140"/>
      <c r="E138" s="140"/>
      <c r="F138" s="140"/>
      <c r="G138" s="140"/>
      <c r="H138" s="140"/>
      <c r="I138" s="140"/>
      <c r="J138" s="140"/>
      <c r="K138" s="455"/>
      <c r="L138" s="455"/>
      <c r="M138" s="140"/>
      <c r="N138" s="140"/>
      <c r="O138" s="140"/>
      <c r="P138" s="140"/>
      <c r="Q138" s="140"/>
      <c r="R138" s="140"/>
      <c r="S138" s="140"/>
      <c r="T138" s="140"/>
      <c r="U138" s="140"/>
      <c r="V138" s="140"/>
      <c r="W138" s="140"/>
    </row>
    <row r="139">
      <c r="A139" s="140"/>
      <c r="B139" s="140"/>
      <c r="C139" s="140"/>
      <c r="D139" s="140"/>
      <c r="E139" s="140"/>
      <c r="F139" s="140"/>
      <c r="G139" s="140"/>
      <c r="H139" s="140"/>
      <c r="I139" s="140"/>
      <c r="J139" s="140"/>
      <c r="K139" s="455"/>
      <c r="L139" s="455"/>
      <c r="M139" s="140"/>
      <c r="N139" s="140"/>
      <c r="O139" s="140"/>
      <c r="P139" s="140"/>
      <c r="Q139" s="140"/>
      <c r="R139" s="140"/>
      <c r="S139" s="140"/>
      <c r="T139" s="140"/>
      <c r="U139" s="140"/>
      <c r="V139" s="140"/>
      <c r="W139" s="140"/>
    </row>
    <row r="140">
      <c r="A140" s="140"/>
      <c r="B140" s="140"/>
      <c r="C140" s="140"/>
      <c r="D140" s="140"/>
      <c r="E140" s="140"/>
      <c r="F140" s="140"/>
      <c r="G140" s="140"/>
      <c r="H140" s="140"/>
      <c r="I140" s="140"/>
      <c r="J140" s="140"/>
      <c r="K140" s="455"/>
      <c r="L140" s="455"/>
      <c r="M140" s="140"/>
      <c r="N140" s="140"/>
      <c r="O140" s="140"/>
      <c r="P140" s="140"/>
      <c r="Q140" s="140"/>
      <c r="R140" s="140"/>
      <c r="S140" s="140"/>
      <c r="T140" s="140"/>
      <c r="U140" s="140"/>
      <c r="V140" s="140"/>
      <c r="W140" s="140"/>
    </row>
    <row r="141">
      <c r="A141" s="140"/>
      <c r="B141" s="140"/>
      <c r="C141" s="140"/>
      <c r="D141" s="140"/>
      <c r="E141" s="140"/>
      <c r="F141" s="140"/>
      <c r="G141" s="140"/>
      <c r="H141" s="140"/>
      <c r="I141" s="140"/>
      <c r="J141" s="140"/>
      <c r="K141" s="455"/>
      <c r="L141" s="455"/>
      <c r="M141" s="140"/>
      <c r="N141" s="140"/>
      <c r="O141" s="140"/>
      <c r="P141" s="140"/>
      <c r="Q141" s="140"/>
      <c r="R141" s="140"/>
      <c r="S141" s="140"/>
      <c r="T141" s="140"/>
      <c r="U141" s="140"/>
      <c r="V141" s="140"/>
      <c r="W141" s="140"/>
    </row>
    <row r="142">
      <c r="A142" s="140"/>
      <c r="B142" s="140"/>
      <c r="C142" s="140"/>
      <c r="D142" s="140"/>
      <c r="E142" s="140"/>
      <c r="F142" s="140"/>
      <c r="G142" s="140"/>
      <c r="H142" s="140"/>
      <c r="I142" s="140"/>
      <c r="J142" s="140"/>
      <c r="K142" s="455"/>
      <c r="L142" s="455"/>
      <c r="M142" s="140"/>
      <c r="N142" s="140"/>
      <c r="O142" s="140"/>
      <c r="P142" s="140"/>
      <c r="Q142" s="140"/>
      <c r="R142" s="140"/>
      <c r="S142" s="140"/>
      <c r="T142" s="140"/>
      <c r="U142" s="140"/>
      <c r="V142" s="140"/>
      <c r="W142" s="140"/>
    </row>
    <row r="143">
      <c r="A143" s="140"/>
      <c r="B143" s="140"/>
      <c r="C143" s="140"/>
      <c r="D143" s="140"/>
      <c r="E143" s="140"/>
      <c r="F143" s="140"/>
      <c r="G143" s="140"/>
      <c r="H143" s="140"/>
      <c r="I143" s="140"/>
      <c r="J143" s="140"/>
      <c r="K143" s="455"/>
      <c r="L143" s="455"/>
      <c r="M143" s="140"/>
      <c r="N143" s="140"/>
      <c r="O143" s="140"/>
      <c r="P143" s="140"/>
      <c r="Q143" s="140"/>
      <c r="R143" s="140"/>
      <c r="S143" s="140"/>
      <c r="T143" s="140"/>
      <c r="U143" s="140"/>
      <c r="V143" s="140"/>
      <c r="W143" s="140"/>
    </row>
    <row r="144">
      <c r="A144" s="140"/>
      <c r="B144" s="140"/>
      <c r="C144" s="140"/>
      <c r="D144" s="140"/>
      <c r="E144" s="140"/>
      <c r="F144" s="140"/>
      <c r="G144" s="140"/>
      <c r="H144" s="140"/>
      <c r="I144" s="140"/>
      <c r="J144" s="140"/>
      <c r="K144" s="455"/>
      <c r="L144" s="455"/>
      <c r="M144" s="140"/>
      <c r="N144" s="140"/>
      <c r="O144" s="140"/>
      <c r="P144" s="140"/>
      <c r="Q144" s="140"/>
      <c r="R144" s="140"/>
      <c r="S144" s="140"/>
      <c r="T144" s="140"/>
      <c r="U144" s="140"/>
      <c r="V144" s="140"/>
      <c r="W144" s="140"/>
    </row>
    <row r="145">
      <c r="A145" s="140"/>
      <c r="B145" s="140"/>
      <c r="C145" s="140"/>
      <c r="D145" s="140"/>
      <c r="E145" s="140"/>
      <c r="F145" s="140"/>
      <c r="G145" s="140"/>
      <c r="H145" s="140"/>
      <c r="I145" s="140"/>
      <c r="J145" s="140"/>
      <c r="K145" s="455"/>
      <c r="L145" s="455"/>
      <c r="M145" s="140"/>
      <c r="N145" s="140"/>
      <c r="O145" s="140"/>
      <c r="P145" s="140"/>
      <c r="Q145" s="140"/>
      <c r="R145" s="140"/>
      <c r="S145" s="140"/>
      <c r="T145" s="140"/>
      <c r="U145" s="140"/>
      <c r="V145" s="140"/>
      <c r="W145" s="140"/>
    </row>
    <row r="146">
      <c r="A146" s="140"/>
      <c r="B146" s="140"/>
      <c r="C146" s="140"/>
      <c r="D146" s="140"/>
      <c r="E146" s="140"/>
      <c r="F146" s="140"/>
      <c r="G146" s="140"/>
      <c r="H146" s="140"/>
      <c r="I146" s="140"/>
      <c r="J146" s="140"/>
      <c r="K146" s="455"/>
      <c r="L146" s="455"/>
      <c r="M146" s="140"/>
      <c r="N146" s="140"/>
      <c r="O146" s="140"/>
      <c r="P146" s="140"/>
      <c r="Q146" s="140"/>
      <c r="R146" s="140"/>
      <c r="S146" s="140"/>
      <c r="T146" s="140"/>
      <c r="U146" s="140"/>
      <c r="V146" s="140"/>
      <c r="W146" s="140"/>
    </row>
    <row r="147">
      <c r="A147" s="140"/>
      <c r="B147" s="140"/>
      <c r="C147" s="140"/>
      <c r="D147" s="140"/>
      <c r="E147" s="140"/>
      <c r="F147" s="140"/>
      <c r="G147" s="140"/>
      <c r="H147" s="140"/>
      <c r="I147" s="140"/>
      <c r="J147" s="140"/>
      <c r="K147" s="455"/>
      <c r="L147" s="455"/>
      <c r="M147" s="140"/>
      <c r="N147" s="140"/>
      <c r="O147" s="140"/>
      <c r="P147" s="140"/>
      <c r="Q147" s="140"/>
      <c r="R147" s="140"/>
      <c r="S147" s="140"/>
      <c r="T147" s="140"/>
      <c r="U147" s="140"/>
      <c r="V147" s="140"/>
      <c r="W147" s="140"/>
    </row>
    <row r="148">
      <c r="A148" s="140"/>
      <c r="B148" s="140"/>
      <c r="C148" s="140"/>
      <c r="D148" s="140"/>
      <c r="E148" s="140"/>
      <c r="F148" s="140"/>
      <c r="G148" s="140"/>
      <c r="H148" s="140"/>
      <c r="I148" s="140"/>
      <c r="J148" s="140"/>
      <c r="K148" s="455"/>
      <c r="L148" s="455"/>
      <c r="M148" s="140"/>
      <c r="N148" s="140"/>
      <c r="O148" s="140"/>
      <c r="P148" s="140"/>
      <c r="Q148" s="140"/>
      <c r="R148" s="140"/>
      <c r="S148" s="140"/>
      <c r="T148" s="140"/>
      <c r="U148" s="140"/>
      <c r="V148" s="140"/>
      <c r="W148" s="140"/>
    </row>
    <row r="149">
      <c r="A149" s="140"/>
      <c r="B149" s="140"/>
      <c r="C149" s="140"/>
      <c r="D149" s="140"/>
      <c r="E149" s="140"/>
      <c r="F149" s="140"/>
      <c r="G149" s="140"/>
      <c r="H149" s="140"/>
      <c r="I149" s="140"/>
      <c r="J149" s="140"/>
      <c r="K149" s="455"/>
      <c r="L149" s="455"/>
      <c r="M149" s="140"/>
      <c r="N149" s="140"/>
      <c r="O149" s="140"/>
      <c r="P149" s="140"/>
      <c r="Q149" s="140"/>
      <c r="R149" s="140"/>
      <c r="S149" s="140"/>
      <c r="T149" s="140"/>
      <c r="U149" s="140"/>
      <c r="V149" s="140"/>
      <c r="W149" s="140"/>
    </row>
    <row r="150">
      <c r="A150" s="140"/>
      <c r="B150" s="140"/>
      <c r="C150" s="140"/>
      <c r="D150" s="140"/>
      <c r="E150" s="140"/>
      <c r="F150" s="140"/>
      <c r="G150" s="140"/>
      <c r="H150" s="140"/>
      <c r="I150" s="140"/>
      <c r="J150" s="140"/>
      <c r="K150" s="455"/>
      <c r="L150" s="455"/>
      <c r="M150" s="140"/>
      <c r="N150" s="140"/>
      <c r="O150" s="140"/>
      <c r="P150" s="140"/>
      <c r="Q150" s="140"/>
      <c r="R150" s="140"/>
      <c r="S150" s="140"/>
      <c r="T150" s="140"/>
      <c r="U150" s="140"/>
      <c r="V150" s="140"/>
      <c r="W150" s="140"/>
    </row>
    <row r="151">
      <c r="A151" s="140"/>
      <c r="B151" s="140"/>
      <c r="C151" s="140"/>
      <c r="D151" s="140"/>
      <c r="E151" s="140"/>
      <c r="F151" s="140"/>
      <c r="G151" s="140"/>
      <c r="H151" s="140"/>
      <c r="I151" s="140"/>
      <c r="J151" s="140"/>
      <c r="K151" s="455"/>
      <c r="L151" s="455"/>
      <c r="M151" s="140"/>
      <c r="N151" s="140"/>
      <c r="O151" s="140"/>
      <c r="P151" s="140"/>
      <c r="Q151" s="140"/>
      <c r="R151" s="140"/>
      <c r="S151" s="140"/>
      <c r="T151" s="140"/>
      <c r="U151" s="140"/>
      <c r="V151" s="140"/>
      <c r="W151" s="140"/>
    </row>
    <row r="152">
      <c r="A152" s="140"/>
      <c r="B152" s="140"/>
      <c r="C152" s="140"/>
      <c r="D152" s="140"/>
      <c r="E152" s="140"/>
      <c r="F152" s="140"/>
      <c r="G152" s="140"/>
      <c r="H152" s="140"/>
      <c r="I152" s="140"/>
      <c r="J152" s="140"/>
      <c r="K152" s="455"/>
      <c r="L152" s="455"/>
      <c r="M152" s="140"/>
      <c r="N152" s="140"/>
      <c r="O152" s="140"/>
      <c r="P152" s="140"/>
      <c r="Q152" s="140"/>
      <c r="R152" s="140"/>
      <c r="S152" s="140"/>
      <c r="T152" s="140"/>
      <c r="U152" s="140"/>
      <c r="V152" s="140"/>
      <c r="W152" s="140"/>
    </row>
    <row r="153">
      <c r="A153" s="140"/>
      <c r="B153" s="140"/>
      <c r="C153" s="140"/>
      <c r="D153" s="140"/>
      <c r="E153" s="140"/>
      <c r="F153" s="140"/>
      <c r="G153" s="140"/>
      <c r="H153" s="140"/>
      <c r="I153" s="140"/>
      <c r="J153" s="140"/>
      <c r="K153" s="455"/>
      <c r="L153" s="455"/>
      <c r="M153" s="140"/>
      <c r="N153" s="140"/>
      <c r="O153" s="140"/>
      <c r="P153" s="140"/>
      <c r="Q153" s="140"/>
      <c r="R153" s="140"/>
      <c r="S153" s="140"/>
      <c r="T153" s="140"/>
      <c r="U153" s="140"/>
      <c r="V153" s="140"/>
      <c r="W153" s="140"/>
    </row>
    <row r="154">
      <c r="A154" s="140"/>
      <c r="B154" s="140"/>
      <c r="C154" s="140"/>
      <c r="D154" s="140"/>
      <c r="E154" s="140"/>
      <c r="F154" s="140"/>
      <c r="G154" s="140"/>
      <c r="H154" s="140"/>
      <c r="I154" s="140"/>
      <c r="J154" s="140"/>
      <c r="K154" s="455"/>
      <c r="L154" s="455"/>
      <c r="M154" s="140"/>
      <c r="N154" s="140"/>
      <c r="O154" s="140"/>
      <c r="P154" s="140"/>
      <c r="Q154" s="140"/>
      <c r="R154" s="140"/>
      <c r="S154" s="140"/>
      <c r="T154" s="140"/>
      <c r="U154" s="140"/>
      <c r="V154" s="140"/>
      <c r="W154" s="140"/>
    </row>
    <row r="155">
      <c r="A155" s="140"/>
      <c r="B155" s="140"/>
      <c r="C155" s="140"/>
      <c r="D155" s="140"/>
      <c r="E155" s="140"/>
      <c r="F155" s="140"/>
      <c r="G155" s="140"/>
      <c r="H155" s="140"/>
      <c r="I155" s="140"/>
      <c r="J155" s="140"/>
      <c r="K155" s="455"/>
      <c r="L155" s="455"/>
      <c r="M155" s="140"/>
      <c r="N155" s="140"/>
      <c r="O155" s="140"/>
      <c r="P155" s="140"/>
      <c r="Q155" s="140"/>
      <c r="R155" s="140"/>
      <c r="S155" s="140"/>
      <c r="T155" s="140"/>
      <c r="U155" s="140"/>
      <c r="V155" s="140"/>
      <c r="W155" s="140"/>
    </row>
    <row r="156">
      <c r="A156" s="140"/>
      <c r="B156" s="140"/>
      <c r="C156" s="140"/>
      <c r="D156" s="140"/>
      <c r="E156" s="140"/>
      <c r="F156" s="140"/>
      <c r="G156" s="140"/>
      <c r="H156" s="140"/>
      <c r="I156" s="140"/>
      <c r="J156" s="140"/>
      <c r="K156" s="455"/>
      <c r="L156" s="455"/>
      <c r="M156" s="140"/>
      <c r="N156" s="140"/>
      <c r="O156" s="140"/>
      <c r="P156" s="140"/>
      <c r="Q156" s="140"/>
      <c r="R156" s="140"/>
      <c r="S156" s="140"/>
      <c r="T156" s="140"/>
      <c r="U156" s="140"/>
      <c r="V156" s="140"/>
      <c r="W156" s="140"/>
    </row>
    <row r="157">
      <c r="A157" s="140"/>
      <c r="B157" s="140"/>
      <c r="C157" s="140"/>
      <c r="D157" s="140"/>
      <c r="E157" s="140"/>
      <c r="F157" s="140"/>
      <c r="G157" s="140"/>
      <c r="H157" s="140"/>
      <c r="I157" s="140"/>
      <c r="J157" s="140"/>
      <c r="K157" s="455"/>
      <c r="L157" s="455"/>
      <c r="M157" s="140"/>
      <c r="N157" s="140"/>
      <c r="O157" s="140"/>
      <c r="P157" s="140"/>
      <c r="Q157" s="140"/>
      <c r="R157" s="140"/>
      <c r="S157" s="140"/>
      <c r="T157" s="140"/>
      <c r="U157" s="140"/>
      <c r="V157" s="140"/>
      <c r="W157" s="140"/>
    </row>
    <row r="158">
      <c r="A158" s="140"/>
      <c r="B158" s="140"/>
      <c r="C158" s="140"/>
      <c r="D158" s="140"/>
      <c r="E158" s="140"/>
      <c r="F158" s="140"/>
      <c r="G158" s="140"/>
      <c r="H158" s="140"/>
      <c r="I158" s="140"/>
      <c r="J158" s="140"/>
      <c r="K158" s="455"/>
      <c r="L158" s="455"/>
      <c r="M158" s="140"/>
      <c r="N158" s="140"/>
      <c r="O158" s="140"/>
      <c r="P158" s="140"/>
      <c r="Q158" s="140"/>
      <c r="R158" s="140"/>
      <c r="S158" s="140"/>
      <c r="T158" s="140"/>
      <c r="U158" s="140"/>
      <c r="V158" s="140"/>
      <c r="W158" s="140"/>
    </row>
    <row r="159">
      <c r="A159" s="140"/>
      <c r="B159" s="140"/>
      <c r="C159" s="140"/>
      <c r="D159" s="140"/>
      <c r="E159" s="140"/>
      <c r="F159" s="140"/>
      <c r="G159" s="140"/>
      <c r="H159" s="140"/>
      <c r="I159" s="140"/>
      <c r="J159" s="140"/>
      <c r="K159" s="455"/>
      <c r="L159" s="455"/>
      <c r="M159" s="140"/>
      <c r="N159" s="140"/>
      <c r="O159" s="140"/>
      <c r="P159" s="140"/>
      <c r="Q159" s="140"/>
      <c r="R159" s="140"/>
      <c r="S159" s="140"/>
      <c r="T159" s="140"/>
      <c r="U159" s="140"/>
      <c r="V159" s="140"/>
      <c r="W159" s="140"/>
    </row>
    <row r="160">
      <c r="A160" s="140"/>
      <c r="B160" s="140"/>
      <c r="C160" s="140"/>
      <c r="D160" s="140"/>
      <c r="E160" s="140"/>
      <c r="F160" s="140"/>
      <c r="G160" s="140"/>
      <c r="H160" s="140"/>
      <c r="I160" s="140"/>
      <c r="J160" s="140"/>
      <c r="K160" s="455"/>
      <c r="L160" s="455"/>
      <c r="M160" s="140"/>
      <c r="N160" s="140"/>
      <c r="O160" s="140"/>
      <c r="P160" s="140"/>
      <c r="Q160" s="140"/>
      <c r="R160" s="140"/>
      <c r="S160" s="140"/>
      <c r="T160" s="140"/>
      <c r="U160" s="140"/>
      <c r="V160" s="140"/>
      <c r="W160" s="140"/>
    </row>
    <row r="161">
      <c r="A161" s="140"/>
      <c r="B161" s="140"/>
      <c r="C161" s="140"/>
      <c r="D161" s="140"/>
      <c r="E161" s="140"/>
      <c r="F161" s="140"/>
      <c r="G161" s="140"/>
      <c r="H161" s="140"/>
      <c r="I161" s="140"/>
      <c r="J161" s="140"/>
      <c r="K161" s="455"/>
      <c r="L161" s="455"/>
      <c r="M161" s="140"/>
      <c r="N161" s="140"/>
      <c r="O161" s="140"/>
      <c r="P161" s="140"/>
      <c r="Q161" s="140"/>
      <c r="R161" s="140"/>
      <c r="S161" s="140"/>
      <c r="T161" s="140"/>
      <c r="U161" s="140"/>
      <c r="V161" s="140"/>
      <c r="W161" s="140"/>
    </row>
    <row r="162">
      <c r="A162" s="140"/>
      <c r="B162" s="140"/>
      <c r="C162" s="140"/>
      <c r="D162" s="140"/>
      <c r="E162" s="140"/>
      <c r="F162" s="140"/>
      <c r="G162" s="140"/>
      <c r="H162" s="140"/>
      <c r="I162" s="140"/>
      <c r="J162" s="140"/>
      <c r="K162" s="455"/>
      <c r="L162" s="455"/>
      <c r="M162" s="140"/>
      <c r="N162" s="140"/>
      <c r="O162" s="140"/>
      <c r="P162" s="140"/>
      <c r="Q162" s="140"/>
      <c r="R162" s="140"/>
      <c r="S162" s="140"/>
      <c r="T162" s="140"/>
      <c r="U162" s="140"/>
      <c r="V162" s="140"/>
      <c r="W162" s="140"/>
    </row>
    <row r="163">
      <c r="A163" s="140"/>
      <c r="B163" s="140"/>
      <c r="C163" s="140"/>
      <c r="D163" s="140"/>
      <c r="E163" s="140"/>
      <c r="F163" s="140"/>
      <c r="G163" s="140"/>
      <c r="H163" s="140"/>
      <c r="I163" s="140"/>
      <c r="J163" s="140"/>
      <c r="K163" s="455"/>
      <c r="L163" s="455"/>
      <c r="M163" s="140"/>
      <c r="N163" s="140"/>
      <c r="O163" s="140"/>
      <c r="P163" s="140"/>
      <c r="Q163" s="140"/>
      <c r="R163" s="140"/>
      <c r="S163" s="140"/>
      <c r="T163" s="140"/>
      <c r="U163" s="140"/>
      <c r="V163" s="140"/>
      <c r="W163" s="140"/>
    </row>
    <row r="164">
      <c r="A164" s="140"/>
      <c r="B164" s="140"/>
      <c r="C164" s="140"/>
      <c r="D164" s="140"/>
      <c r="E164" s="140"/>
      <c r="F164" s="140"/>
      <c r="G164" s="140"/>
      <c r="H164" s="140"/>
      <c r="I164" s="140"/>
      <c r="J164" s="140"/>
      <c r="K164" s="455"/>
      <c r="L164" s="455"/>
      <c r="M164" s="140"/>
      <c r="N164" s="140"/>
      <c r="O164" s="140"/>
      <c r="P164" s="140"/>
      <c r="Q164" s="140"/>
      <c r="R164" s="140"/>
      <c r="S164" s="140"/>
      <c r="T164" s="140"/>
      <c r="U164" s="140"/>
      <c r="V164" s="140"/>
      <c r="W164" s="140"/>
    </row>
    <row r="165">
      <c r="A165" s="140"/>
      <c r="B165" s="140"/>
      <c r="C165" s="140"/>
      <c r="D165" s="140"/>
      <c r="E165" s="140"/>
      <c r="F165" s="140"/>
      <c r="G165" s="140"/>
      <c r="H165" s="140"/>
      <c r="I165" s="140"/>
      <c r="J165" s="140"/>
      <c r="K165" s="455"/>
      <c r="L165" s="455"/>
      <c r="M165" s="140"/>
      <c r="N165" s="140"/>
      <c r="O165" s="140"/>
      <c r="P165" s="140"/>
      <c r="Q165" s="140"/>
      <c r="R165" s="140"/>
      <c r="S165" s="140"/>
      <c r="T165" s="140"/>
      <c r="U165" s="140"/>
      <c r="V165" s="140"/>
      <c r="W165" s="140"/>
    </row>
    <row r="166">
      <c r="A166" s="140"/>
      <c r="B166" s="140"/>
      <c r="C166" s="140"/>
      <c r="D166" s="140"/>
      <c r="E166" s="140"/>
      <c r="F166" s="140"/>
      <c r="G166" s="140"/>
      <c r="H166" s="140"/>
      <c r="I166" s="140"/>
      <c r="J166" s="140"/>
      <c r="K166" s="455"/>
      <c r="L166" s="455"/>
      <c r="M166" s="140"/>
      <c r="N166" s="140"/>
      <c r="O166" s="140"/>
      <c r="P166" s="140"/>
      <c r="Q166" s="140"/>
      <c r="R166" s="140"/>
      <c r="S166" s="140"/>
      <c r="T166" s="140"/>
      <c r="U166" s="140"/>
      <c r="V166" s="140"/>
      <c r="W166" s="140"/>
    </row>
    <row r="167">
      <c r="A167" s="140"/>
      <c r="B167" s="140"/>
      <c r="C167" s="140"/>
      <c r="D167" s="140"/>
      <c r="E167" s="140"/>
      <c r="F167" s="140"/>
      <c r="G167" s="140"/>
      <c r="H167" s="140"/>
      <c r="I167" s="140"/>
      <c r="J167" s="140"/>
      <c r="K167" s="455"/>
      <c r="L167" s="455"/>
      <c r="M167" s="140"/>
      <c r="N167" s="140"/>
      <c r="O167" s="140"/>
      <c r="P167" s="140"/>
      <c r="Q167" s="140"/>
      <c r="R167" s="140"/>
      <c r="S167" s="140"/>
      <c r="T167" s="140"/>
      <c r="U167" s="140"/>
      <c r="V167" s="140"/>
      <c r="W167" s="140"/>
    </row>
    <row r="168">
      <c r="A168" s="140"/>
      <c r="B168" s="140"/>
      <c r="C168" s="140"/>
      <c r="D168" s="140"/>
      <c r="E168" s="140"/>
      <c r="F168" s="140"/>
      <c r="G168" s="140"/>
      <c r="H168" s="140"/>
      <c r="I168" s="140"/>
      <c r="J168" s="140"/>
      <c r="K168" s="455"/>
      <c r="L168" s="455"/>
      <c r="M168" s="140"/>
      <c r="N168" s="140"/>
      <c r="O168" s="140"/>
      <c r="P168" s="140"/>
      <c r="Q168" s="140"/>
      <c r="R168" s="140"/>
      <c r="S168" s="140"/>
      <c r="T168" s="140"/>
      <c r="U168" s="140"/>
      <c r="V168" s="140"/>
      <c r="W168" s="140"/>
    </row>
    <row r="169">
      <c r="A169" s="140"/>
      <c r="B169" s="140"/>
      <c r="C169" s="140"/>
      <c r="D169" s="140"/>
      <c r="E169" s="140"/>
      <c r="F169" s="140"/>
      <c r="G169" s="140"/>
      <c r="H169" s="140"/>
      <c r="I169" s="140"/>
      <c r="J169" s="140"/>
      <c r="K169" s="455"/>
      <c r="L169" s="455"/>
      <c r="M169" s="140"/>
      <c r="N169" s="140"/>
      <c r="O169" s="140"/>
      <c r="P169" s="140"/>
      <c r="Q169" s="140"/>
      <c r="R169" s="140"/>
      <c r="S169" s="140"/>
      <c r="T169" s="140"/>
      <c r="U169" s="140"/>
      <c r="V169" s="140"/>
      <c r="W169" s="140"/>
    </row>
    <row r="170">
      <c r="A170" s="140"/>
      <c r="B170" s="140"/>
      <c r="C170" s="140"/>
      <c r="D170" s="140"/>
      <c r="E170" s="140"/>
      <c r="F170" s="140"/>
      <c r="G170" s="140"/>
      <c r="H170" s="140"/>
      <c r="I170" s="140"/>
      <c r="J170" s="140"/>
      <c r="K170" s="455"/>
      <c r="L170" s="455"/>
      <c r="M170" s="140"/>
      <c r="N170" s="140"/>
      <c r="O170" s="140"/>
      <c r="P170" s="140"/>
      <c r="Q170" s="140"/>
      <c r="R170" s="140"/>
      <c r="S170" s="140"/>
      <c r="T170" s="140"/>
      <c r="U170" s="140"/>
      <c r="V170" s="140"/>
      <c r="W170" s="140"/>
    </row>
    <row r="171">
      <c r="A171" s="140"/>
      <c r="B171" s="140"/>
      <c r="C171" s="140"/>
      <c r="D171" s="140"/>
      <c r="E171" s="140"/>
      <c r="F171" s="140"/>
      <c r="G171" s="140"/>
      <c r="H171" s="140"/>
      <c r="I171" s="140"/>
      <c r="J171" s="140"/>
      <c r="K171" s="455"/>
      <c r="L171" s="455"/>
      <c r="M171" s="140"/>
      <c r="N171" s="140"/>
      <c r="O171" s="140"/>
      <c r="P171" s="140"/>
      <c r="Q171" s="140"/>
      <c r="R171" s="140"/>
      <c r="S171" s="140"/>
      <c r="T171" s="140"/>
      <c r="U171" s="140"/>
      <c r="V171" s="140"/>
      <c r="W171" s="140"/>
    </row>
    <row r="172">
      <c r="A172" s="140"/>
      <c r="B172" s="140"/>
      <c r="C172" s="140"/>
      <c r="D172" s="140"/>
      <c r="E172" s="140"/>
      <c r="F172" s="140"/>
      <c r="G172" s="140"/>
      <c r="H172" s="140"/>
      <c r="I172" s="140"/>
      <c r="J172" s="140"/>
      <c r="K172" s="455"/>
      <c r="L172" s="455"/>
      <c r="M172" s="140"/>
      <c r="N172" s="140"/>
      <c r="O172" s="140"/>
      <c r="P172" s="140"/>
      <c r="Q172" s="140"/>
      <c r="R172" s="140"/>
      <c r="S172" s="140"/>
      <c r="T172" s="140"/>
      <c r="U172" s="140"/>
      <c r="V172" s="140"/>
      <c r="W172" s="140"/>
    </row>
    <row r="173">
      <c r="A173" s="140"/>
      <c r="B173" s="140"/>
      <c r="C173" s="140"/>
      <c r="D173" s="140"/>
      <c r="E173" s="140"/>
      <c r="F173" s="140"/>
      <c r="G173" s="140"/>
      <c r="H173" s="140"/>
      <c r="I173" s="140"/>
      <c r="J173" s="140"/>
      <c r="K173" s="455"/>
      <c r="L173" s="455"/>
      <c r="M173" s="140"/>
      <c r="N173" s="140"/>
      <c r="O173" s="140"/>
      <c r="P173" s="140"/>
      <c r="Q173" s="140"/>
      <c r="R173" s="140"/>
      <c r="S173" s="140"/>
      <c r="T173" s="140"/>
      <c r="U173" s="140"/>
      <c r="V173" s="140"/>
      <c r="W173" s="140"/>
    </row>
    <row r="174">
      <c r="A174" s="140"/>
      <c r="B174" s="140"/>
      <c r="C174" s="140"/>
      <c r="D174" s="140"/>
      <c r="E174" s="140"/>
      <c r="F174" s="140"/>
      <c r="G174" s="140"/>
      <c r="H174" s="140"/>
      <c r="I174" s="140"/>
      <c r="J174" s="140"/>
      <c r="K174" s="455"/>
      <c r="L174" s="455"/>
      <c r="M174" s="140"/>
      <c r="N174" s="140"/>
      <c r="O174" s="140"/>
      <c r="P174" s="140"/>
      <c r="Q174" s="140"/>
      <c r="R174" s="140"/>
      <c r="S174" s="140"/>
      <c r="T174" s="140"/>
      <c r="U174" s="140"/>
      <c r="V174" s="140"/>
      <c r="W174" s="140"/>
    </row>
    <row r="175">
      <c r="A175" s="140"/>
      <c r="B175" s="140"/>
      <c r="C175" s="140"/>
      <c r="D175" s="140"/>
      <c r="E175" s="140"/>
      <c r="F175" s="140"/>
      <c r="G175" s="140"/>
      <c r="H175" s="140"/>
      <c r="I175" s="140"/>
      <c r="J175" s="140"/>
      <c r="K175" s="455"/>
      <c r="L175" s="455"/>
      <c r="M175" s="140"/>
      <c r="N175" s="140"/>
      <c r="O175" s="140"/>
      <c r="P175" s="140"/>
      <c r="Q175" s="140"/>
      <c r="R175" s="140"/>
      <c r="S175" s="140"/>
      <c r="T175" s="140"/>
      <c r="U175" s="140"/>
      <c r="V175" s="140"/>
      <c r="W175" s="140"/>
    </row>
    <row r="176">
      <c r="A176" s="140"/>
      <c r="B176" s="140"/>
      <c r="C176" s="140"/>
      <c r="D176" s="140"/>
      <c r="E176" s="140"/>
      <c r="F176" s="140"/>
      <c r="G176" s="140"/>
      <c r="H176" s="140"/>
      <c r="I176" s="140"/>
      <c r="J176" s="140"/>
      <c r="K176" s="455"/>
      <c r="L176" s="455"/>
      <c r="M176" s="140"/>
      <c r="N176" s="140"/>
      <c r="O176" s="140"/>
      <c r="P176" s="140"/>
      <c r="Q176" s="140"/>
      <c r="R176" s="140"/>
      <c r="S176" s="140"/>
      <c r="T176" s="140"/>
      <c r="U176" s="140"/>
      <c r="V176" s="140"/>
      <c r="W176" s="140"/>
    </row>
    <row r="177">
      <c r="A177" s="140"/>
      <c r="B177" s="140"/>
      <c r="C177" s="140"/>
      <c r="D177" s="140"/>
      <c r="E177" s="140"/>
      <c r="F177" s="140"/>
      <c r="G177" s="140"/>
      <c r="H177" s="140"/>
      <c r="I177" s="140"/>
      <c r="J177" s="140"/>
      <c r="K177" s="455"/>
      <c r="L177" s="455"/>
      <c r="M177" s="140"/>
      <c r="N177" s="140"/>
      <c r="O177" s="140"/>
      <c r="P177" s="140"/>
      <c r="Q177" s="140"/>
      <c r="R177" s="140"/>
      <c r="S177" s="140"/>
      <c r="T177" s="140"/>
      <c r="U177" s="140"/>
      <c r="V177" s="140"/>
      <c r="W177" s="140"/>
    </row>
    <row r="178">
      <c r="A178" s="140"/>
      <c r="B178" s="140"/>
      <c r="C178" s="140"/>
      <c r="D178" s="140"/>
      <c r="E178" s="140"/>
      <c r="F178" s="140"/>
      <c r="G178" s="140"/>
      <c r="H178" s="140"/>
      <c r="I178" s="140"/>
      <c r="J178" s="140"/>
      <c r="K178" s="455"/>
      <c r="L178" s="455"/>
      <c r="M178" s="140"/>
      <c r="N178" s="140"/>
      <c r="O178" s="140"/>
      <c r="P178" s="140"/>
      <c r="Q178" s="140"/>
      <c r="R178" s="140"/>
      <c r="S178" s="140"/>
      <c r="T178" s="140"/>
      <c r="U178" s="140"/>
      <c r="V178" s="140"/>
      <c r="W178" s="140"/>
    </row>
    <row r="179">
      <c r="A179" s="140"/>
      <c r="B179" s="140"/>
      <c r="C179" s="140"/>
      <c r="D179" s="140"/>
      <c r="E179" s="140"/>
      <c r="F179" s="140"/>
      <c r="G179" s="140"/>
      <c r="H179" s="140"/>
      <c r="I179" s="140"/>
      <c r="J179" s="140"/>
      <c r="K179" s="455"/>
      <c r="L179" s="455"/>
      <c r="M179" s="140"/>
      <c r="N179" s="140"/>
      <c r="O179" s="140"/>
      <c r="P179" s="140"/>
      <c r="Q179" s="140"/>
      <c r="R179" s="140"/>
      <c r="S179" s="140"/>
      <c r="T179" s="140"/>
      <c r="U179" s="140"/>
      <c r="V179" s="140"/>
      <c r="W179" s="140"/>
    </row>
    <row r="180">
      <c r="A180" s="140"/>
      <c r="B180" s="140"/>
      <c r="C180" s="140"/>
      <c r="D180" s="140"/>
      <c r="E180" s="140"/>
      <c r="F180" s="140"/>
      <c r="G180" s="140"/>
      <c r="H180" s="140"/>
      <c r="I180" s="140"/>
      <c r="J180" s="140"/>
      <c r="K180" s="455"/>
      <c r="L180" s="455"/>
      <c r="M180" s="140"/>
      <c r="N180" s="140"/>
      <c r="O180" s="140"/>
      <c r="P180" s="140"/>
      <c r="Q180" s="140"/>
      <c r="R180" s="140"/>
      <c r="S180" s="140"/>
      <c r="T180" s="140"/>
      <c r="U180" s="140"/>
      <c r="V180" s="140"/>
      <c r="W180" s="140"/>
    </row>
    <row r="181">
      <c r="A181" s="140"/>
      <c r="B181" s="140"/>
      <c r="C181" s="140"/>
      <c r="D181" s="140"/>
      <c r="E181" s="140"/>
      <c r="F181" s="140"/>
      <c r="G181" s="140"/>
      <c r="H181" s="140"/>
      <c r="I181" s="140"/>
      <c r="J181" s="140"/>
      <c r="K181" s="455"/>
      <c r="L181" s="455"/>
      <c r="M181" s="140"/>
      <c r="N181" s="140"/>
      <c r="O181" s="140"/>
      <c r="P181" s="140"/>
      <c r="Q181" s="140"/>
      <c r="R181" s="140"/>
      <c r="S181" s="140"/>
      <c r="T181" s="140"/>
      <c r="U181" s="140"/>
      <c r="V181" s="140"/>
      <c r="W181" s="140"/>
    </row>
    <row r="182">
      <c r="A182" s="140"/>
      <c r="B182" s="140"/>
      <c r="C182" s="140"/>
      <c r="D182" s="140"/>
      <c r="E182" s="140"/>
      <c r="F182" s="140"/>
      <c r="G182" s="140"/>
      <c r="H182" s="140"/>
      <c r="I182" s="140"/>
      <c r="J182" s="140"/>
      <c r="K182" s="455"/>
      <c r="L182" s="455"/>
      <c r="M182" s="140"/>
      <c r="N182" s="140"/>
      <c r="O182" s="140"/>
      <c r="P182" s="140"/>
      <c r="Q182" s="140"/>
      <c r="R182" s="140"/>
      <c r="S182" s="140"/>
      <c r="T182" s="140"/>
      <c r="U182" s="140"/>
      <c r="V182" s="140"/>
      <c r="W182" s="140"/>
    </row>
    <row r="183">
      <c r="A183" s="140"/>
      <c r="B183" s="140"/>
      <c r="C183" s="140"/>
      <c r="D183" s="140"/>
      <c r="E183" s="140"/>
      <c r="F183" s="140"/>
      <c r="G183" s="140"/>
      <c r="H183" s="140"/>
      <c r="I183" s="140"/>
      <c r="J183" s="140"/>
      <c r="K183" s="455"/>
      <c r="L183" s="455"/>
      <c r="M183" s="140"/>
      <c r="N183" s="140"/>
      <c r="O183" s="140"/>
      <c r="P183" s="140"/>
      <c r="Q183" s="140"/>
      <c r="R183" s="140"/>
      <c r="S183" s="140"/>
      <c r="T183" s="140"/>
      <c r="U183" s="140"/>
      <c r="V183" s="140"/>
      <c r="W183" s="140"/>
    </row>
    <row r="184">
      <c r="A184" s="140"/>
      <c r="B184" s="140"/>
      <c r="C184" s="140"/>
      <c r="D184" s="140"/>
      <c r="E184" s="140"/>
      <c r="F184" s="140"/>
      <c r="G184" s="140"/>
      <c r="H184" s="140"/>
      <c r="I184" s="140"/>
      <c r="J184" s="140"/>
      <c r="K184" s="455"/>
      <c r="L184" s="455"/>
      <c r="M184" s="140"/>
      <c r="N184" s="140"/>
      <c r="O184" s="140"/>
      <c r="P184" s="140"/>
      <c r="Q184" s="140"/>
      <c r="R184" s="140"/>
      <c r="S184" s="140"/>
      <c r="T184" s="140"/>
      <c r="U184" s="140"/>
      <c r="V184" s="140"/>
      <c r="W184" s="140"/>
    </row>
    <row r="185">
      <c r="A185" s="140"/>
      <c r="B185" s="140"/>
      <c r="C185" s="140"/>
      <c r="D185" s="140"/>
      <c r="E185" s="140"/>
      <c r="F185" s="140"/>
      <c r="G185" s="140"/>
      <c r="H185" s="140"/>
      <c r="I185" s="140"/>
      <c r="J185" s="140"/>
      <c r="K185" s="455"/>
      <c r="L185" s="455"/>
      <c r="M185" s="140"/>
      <c r="N185" s="140"/>
      <c r="O185" s="140"/>
      <c r="P185" s="140"/>
      <c r="Q185" s="140"/>
      <c r="R185" s="140"/>
      <c r="S185" s="140"/>
      <c r="T185" s="140"/>
      <c r="U185" s="140"/>
      <c r="V185" s="140"/>
      <c r="W185" s="140"/>
    </row>
    <row r="186">
      <c r="A186" s="140"/>
      <c r="B186" s="140"/>
      <c r="C186" s="140"/>
      <c r="D186" s="140"/>
      <c r="E186" s="140"/>
      <c r="F186" s="140"/>
      <c r="G186" s="140"/>
      <c r="H186" s="140"/>
      <c r="I186" s="140"/>
      <c r="J186" s="140"/>
      <c r="K186" s="455"/>
      <c r="L186" s="455"/>
      <c r="M186" s="140"/>
      <c r="N186" s="140"/>
      <c r="O186" s="140"/>
      <c r="P186" s="140"/>
      <c r="Q186" s="140"/>
      <c r="R186" s="140"/>
      <c r="S186" s="140"/>
      <c r="T186" s="140"/>
      <c r="U186" s="140"/>
      <c r="V186" s="140"/>
      <c r="W186" s="140"/>
    </row>
    <row r="187">
      <c r="A187" s="140"/>
      <c r="B187" s="140"/>
      <c r="C187" s="140"/>
      <c r="D187" s="140"/>
      <c r="E187" s="140"/>
      <c r="F187" s="140"/>
      <c r="G187" s="140"/>
      <c r="H187" s="140"/>
      <c r="I187" s="140"/>
      <c r="J187" s="140"/>
      <c r="K187" s="455"/>
      <c r="L187" s="455"/>
      <c r="M187" s="140"/>
      <c r="N187" s="140"/>
      <c r="O187" s="140"/>
      <c r="P187" s="140"/>
      <c r="Q187" s="140"/>
      <c r="R187" s="140"/>
      <c r="S187" s="140"/>
      <c r="T187" s="140"/>
      <c r="U187" s="140"/>
      <c r="V187" s="140"/>
      <c r="W187" s="140"/>
    </row>
    <row r="188">
      <c r="A188" s="140"/>
      <c r="B188" s="140"/>
      <c r="C188" s="140"/>
      <c r="D188" s="140"/>
      <c r="E188" s="140"/>
      <c r="F188" s="140"/>
      <c r="G188" s="140"/>
      <c r="H188" s="140"/>
      <c r="I188" s="140"/>
      <c r="J188" s="140"/>
      <c r="K188" s="455"/>
      <c r="L188" s="455"/>
      <c r="M188" s="140"/>
      <c r="N188" s="140"/>
      <c r="O188" s="140"/>
      <c r="P188" s="140"/>
      <c r="Q188" s="140"/>
      <c r="R188" s="140"/>
      <c r="S188" s="140"/>
      <c r="T188" s="140"/>
      <c r="U188" s="140"/>
      <c r="V188" s="140"/>
      <c r="W188" s="140"/>
    </row>
    <row r="189">
      <c r="A189" s="140"/>
      <c r="B189" s="140"/>
      <c r="C189" s="140"/>
      <c r="D189" s="140"/>
      <c r="E189" s="140"/>
      <c r="F189" s="140"/>
      <c r="G189" s="140"/>
      <c r="H189" s="140"/>
      <c r="I189" s="140"/>
      <c r="J189" s="140"/>
      <c r="K189" s="455"/>
      <c r="L189" s="455"/>
      <c r="M189" s="140"/>
      <c r="N189" s="140"/>
      <c r="O189" s="140"/>
      <c r="P189" s="140"/>
      <c r="Q189" s="140"/>
      <c r="R189" s="140"/>
      <c r="S189" s="140"/>
      <c r="T189" s="140"/>
      <c r="U189" s="140"/>
      <c r="V189" s="140"/>
      <c r="W189" s="140"/>
    </row>
    <row r="190">
      <c r="A190" s="140"/>
      <c r="B190" s="140"/>
      <c r="C190" s="140"/>
      <c r="D190" s="140"/>
      <c r="E190" s="140"/>
      <c r="F190" s="140"/>
      <c r="G190" s="140"/>
      <c r="H190" s="140"/>
      <c r="I190" s="140"/>
      <c r="J190" s="140"/>
      <c r="K190" s="455"/>
      <c r="L190" s="455"/>
      <c r="M190" s="140"/>
      <c r="N190" s="140"/>
      <c r="O190" s="140"/>
      <c r="P190" s="140"/>
      <c r="Q190" s="140"/>
      <c r="R190" s="140"/>
      <c r="S190" s="140"/>
      <c r="T190" s="140"/>
      <c r="U190" s="140"/>
      <c r="V190" s="140"/>
      <c r="W190" s="140"/>
    </row>
    <row r="191">
      <c r="A191" s="140"/>
      <c r="B191" s="140"/>
      <c r="C191" s="140"/>
      <c r="D191" s="140"/>
      <c r="E191" s="140"/>
      <c r="F191" s="140"/>
      <c r="G191" s="140"/>
      <c r="H191" s="140"/>
      <c r="I191" s="140"/>
      <c r="J191" s="140"/>
      <c r="K191" s="455"/>
      <c r="L191" s="455"/>
      <c r="M191" s="140"/>
      <c r="N191" s="140"/>
      <c r="O191" s="140"/>
      <c r="P191" s="140"/>
      <c r="Q191" s="140"/>
      <c r="R191" s="140"/>
      <c r="S191" s="140"/>
      <c r="T191" s="140"/>
      <c r="U191" s="140"/>
      <c r="V191" s="140"/>
      <c r="W191" s="140"/>
    </row>
    <row r="192">
      <c r="A192" s="140"/>
      <c r="B192" s="140"/>
      <c r="C192" s="140"/>
      <c r="D192" s="140"/>
      <c r="E192" s="140"/>
      <c r="F192" s="140"/>
      <c r="G192" s="140"/>
      <c r="H192" s="140"/>
      <c r="I192" s="140"/>
      <c r="J192" s="140"/>
      <c r="K192" s="455"/>
      <c r="L192" s="455"/>
      <c r="M192" s="140"/>
      <c r="N192" s="140"/>
      <c r="O192" s="140"/>
      <c r="P192" s="140"/>
      <c r="Q192" s="140"/>
      <c r="R192" s="140"/>
      <c r="S192" s="140"/>
      <c r="T192" s="140"/>
      <c r="U192" s="140"/>
      <c r="V192" s="140"/>
      <c r="W192" s="140"/>
    </row>
    <row r="193">
      <c r="A193" s="140"/>
      <c r="B193" s="140"/>
      <c r="C193" s="140"/>
      <c r="D193" s="140"/>
      <c r="E193" s="140"/>
      <c r="F193" s="140"/>
      <c r="G193" s="140"/>
      <c r="H193" s="140"/>
      <c r="I193" s="140"/>
      <c r="J193" s="140"/>
      <c r="K193" s="455"/>
      <c r="L193" s="455"/>
      <c r="M193" s="140"/>
      <c r="N193" s="140"/>
      <c r="O193" s="140"/>
      <c r="P193" s="140"/>
      <c r="Q193" s="140"/>
      <c r="R193" s="140"/>
      <c r="S193" s="140"/>
      <c r="T193" s="140"/>
      <c r="U193" s="140"/>
      <c r="V193" s="140"/>
      <c r="W193" s="140"/>
    </row>
    <row r="194">
      <c r="A194" s="140"/>
      <c r="B194" s="140"/>
      <c r="C194" s="140"/>
      <c r="D194" s="140"/>
      <c r="E194" s="140"/>
      <c r="F194" s="140"/>
      <c r="G194" s="140"/>
      <c r="H194" s="140"/>
      <c r="I194" s="140"/>
      <c r="J194" s="140"/>
      <c r="K194" s="455"/>
      <c r="L194" s="455"/>
      <c r="M194" s="140"/>
      <c r="N194" s="140"/>
      <c r="O194" s="140"/>
      <c r="P194" s="140"/>
      <c r="Q194" s="140"/>
      <c r="R194" s="140"/>
      <c r="S194" s="140"/>
      <c r="T194" s="140"/>
      <c r="U194" s="140"/>
      <c r="V194" s="140"/>
      <c r="W194" s="140"/>
    </row>
    <row r="195">
      <c r="A195" s="140"/>
      <c r="B195" s="140"/>
      <c r="C195" s="140"/>
      <c r="D195" s="140"/>
      <c r="E195" s="140"/>
      <c r="F195" s="140"/>
      <c r="G195" s="140"/>
      <c r="H195" s="140"/>
      <c r="I195" s="140"/>
      <c r="J195" s="140"/>
      <c r="K195" s="455"/>
      <c r="L195" s="455"/>
      <c r="M195" s="140"/>
      <c r="N195" s="140"/>
      <c r="O195" s="140"/>
      <c r="P195" s="140"/>
      <c r="Q195" s="140"/>
      <c r="R195" s="140"/>
      <c r="S195" s="140"/>
      <c r="T195" s="140"/>
      <c r="U195" s="140"/>
      <c r="V195" s="140"/>
      <c r="W195" s="140"/>
    </row>
    <row r="196">
      <c r="A196" s="140"/>
      <c r="B196" s="140"/>
      <c r="C196" s="140"/>
      <c r="D196" s="140"/>
      <c r="E196" s="140"/>
      <c r="F196" s="140"/>
      <c r="G196" s="140"/>
      <c r="H196" s="140"/>
      <c r="I196" s="140"/>
      <c r="J196" s="140"/>
      <c r="K196" s="455"/>
      <c r="L196" s="455"/>
      <c r="M196" s="140"/>
      <c r="N196" s="140"/>
      <c r="O196" s="140"/>
      <c r="P196" s="140"/>
      <c r="Q196" s="140"/>
      <c r="R196" s="140"/>
      <c r="S196" s="140"/>
      <c r="T196" s="140"/>
      <c r="U196" s="140"/>
      <c r="V196" s="140"/>
      <c r="W196" s="140"/>
    </row>
    <row r="197">
      <c r="A197" s="140"/>
      <c r="B197" s="140"/>
      <c r="C197" s="140"/>
      <c r="D197" s="140"/>
      <c r="E197" s="140"/>
      <c r="F197" s="140"/>
      <c r="G197" s="140"/>
      <c r="H197" s="140"/>
      <c r="I197" s="140"/>
      <c r="J197" s="140"/>
      <c r="K197" s="455"/>
      <c r="L197" s="455"/>
      <c r="M197" s="140"/>
      <c r="N197" s="140"/>
      <c r="O197" s="140"/>
      <c r="P197" s="140"/>
      <c r="Q197" s="140"/>
      <c r="R197" s="140"/>
      <c r="S197" s="140"/>
      <c r="T197" s="140"/>
      <c r="U197" s="140"/>
      <c r="V197" s="140"/>
      <c r="W197" s="140"/>
    </row>
    <row r="198">
      <c r="A198" s="140"/>
      <c r="B198" s="140"/>
      <c r="C198" s="140"/>
      <c r="D198" s="140"/>
      <c r="E198" s="140"/>
      <c r="F198" s="140"/>
      <c r="G198" s="140"/>
      <c r="H198" s="140"/>
      <c r="I198" s="140"/>
      <c r="J198" s="140"/>
      <c r="K198" s="455"/>
      <c r="L198" s="455"/>
      <c r="M198" s="140"/>
      <c r="N198" s="140"/>
      <c r="O198" s="140"/>
      <c r="P198" s="140"/>
      <c r="Q198" s="140"/>
      <c r="R198" s="140"/>
      <c r="S198" s="140"/>
      <c r="T198" s="140"/>
      <c r="U198" s="140"/>
      <c r="V198" s="140"/>
      <c r="W198" s="140"/>
    </row>
    <row r="199">
      <c r="A199" s="140"/>
      <c r="B199" s="140"/>
      <c r="C199" s="140"/>
      <c r="D199" s="140"/>
      <c r="E199" s="140"/>
      <c r="F199" s="140"/>
      <c r="G199" s="140"/>
      <c r="H199" s="140"/>
      <c r="I199" s="140"/>
      <c r="J199" s="140"/>
      <c r="K199" s="455"/>
      <c r="L199" s="455"/>
      <c r="M199" s="140"/>
      <c r="N199" s="140"/>
      <c r="O199" s="140"/>
      <c r="P199" s="140"/>
      <c r="Q199" s="140"/>
      <c r="R199" s="140"/>
      <c r="S199" s="140"/>
      <c r="T199" s="140"/>
      <c r="U199" s="140"/>
      <c r="V199" s="140"/>
      <c r="W199" s="140"/>
    </row>
    <row r="200">
      <c r="A200" s="140"/>
      <c r="B200" s="140"/>
      <c r="C200" s="140"/>
      <c r="D200" s="140"/>
      <c r="E200" s="140"/>
      <c r="F200" s="140"/>
      <c r="G200" s="140"/>
      <c r="H200" s="140"/>
      <c r="I200" s="140"/>
      <c r="J200" s="140"/>
      <c r="K200" s="455"/>
      <c r="L200" s="455"/>
      <c r="M200" s="140"/>
      <c r="N200" s="140"/>
      <c r="O200" s="140"/>
      <c r="P200" s="140"/>
      <c r="Q200" s="140"/>
      <c r="R200" s="140"/>
      <c r="S200" s="140"/>
      <c r="T200" s="140"/>
      <c r="U200" s="140"/>
      <c r="V200" s="140"/>
      <c r="W200" s="140"/>
    </row>
    <row r="201">
      <c r="A201" s="140"/>
      <c r="B201" s="140"/>
      <c r="C201" s="140"/>
      <c r="D201" s="140"/>
      <c r="E201" s="140"/>
      <c r="F201" s="140"/>
      <c r="G201" s="140"/>
      <c r="H201" s="140"/>
      <c r="I201" s="140"/>
      <c r="J201" s="140"/>
      <c r="K201" s="455"/>
      <c r="L201" s="455"/>
      <c r="M201" s="140"/>
      <c r="N201" s="140"/>
      <c r="O201" s="140"/>
      <c r="P201" s="140"/>
      <c r="Q201" s="140"/>
      <c r="R201" s="140"/>
      <c r="S201" s="140"/>
      <c r="T201" s="140"/>
      <c r="U201" s="140"/>
      <c r="V201" s="140"/>
      <c r="W201" s="140"/>
    </row>
    <row r="202">
      <c r="A202" s="140"/>
      <c r="B202" s="140"/>
      <c r="C202" s="140"/>
      <c r="D202" s="140"/>
      <c r="E202" s="140"/>
      <c r="F202" s="140"/>
      <c r="G202" s="140"/>
      <c r="H202" s="140"/>
      <c r="I202" s="140"/>
      <c r="J202" s="140"/>
      <c r="K202" s="455"/>
      <c r="L202" s="455"/>
      <c r="M202" s="140"/>
      <c r="N202" s="140"/>
      <c r="O202" s="140"/>
      <c r="P202" s="140"/>
      <c r="Q202" s="140"/>
      <c r="R202" s="140"/>
      <c r="S202" s="140"/>
      <c r="T202" s="140"/>
      <c r="U202" s="140"/>
      <c r="V202" s="140"/>
      <c r="W202" s="140"/>
    </row>
    <row r="203">
      <c r="A203" s="140"/>
      <c r="B203" s="140"/>
      <c r="C203" s="140"/>
      <c r="D203" s="140"/>
      <c r="E203" s="140"/>
      <c r="F203" s="140"/>
      <c r="G203" s="140"/>
      <c r="H203" s="140"/>
      <c r="I203" s="140"/>
      <c r="J203" s="140"/>
      <c r="K203" s="455"/>
      <c r="L203" s="455"/>
      <c r="M203" s="140"/>
      <c r="N203" s="140"/>
      <c r="O203" s="140"/>
      <c r="P203" s="140"/>
      <c r="Q203" s="140"/>
      <c r="R203" s="140"/>
      <c r="S203" s="140"/>
      <c r="T203" s="140"/>
      <c r="U203" s="140"/>
      <c r="V203" s="140"/>
      <c r="W203" s="140"/>
    </row>
    <row r="204">
      <c r="A204" s="140"/>
      <c r="B204" s="140"/>
      <c r="C204" s="140"/>
      <c r="D204" s="140"/>
      <c r="E204" s="140"/>
      <c r="F204" s="140"/>
      <c r="G204" s="140"/>
      <c r="H204" s="140"/>
      <c r="I204" s="140"/>
      <c r="J204" s="140"/>
      <c r="K204" s="455"/>
      <c r="L204" s="455"/>
      <c r="M204" s="140"/>
      <c r="N204" s="140"/>
      <c r="O204" s="140"/>
      <c r="P204" s="140"/>
      <c r="Q204" s="140"/>
      <c r="R204" s="140"/>
      <c r="S204" s="140"/>
      <c r="T204" s="140"/>
      <c r="U204" s="140"/>
      <c r="V204" s="140"/>
      <c r="W204" s="140"/>
    </row>
    <row r="205">
      <c r="A205" s="140"/>
      <c r="B205" s="140"/>
      <c r="C205" s="140"/>
      <c r="D205" s="140"/>
      <c r="E205" s="140"/>
      <c r="F205" s="140"/>
      <c r="G205" s="140"/>
      <c r="H205" s="140"/>
      <c r="I205" s="140"/>
      <c r="J205" s="140"/>
      <c r="K205" s="455"/>
      <c r="L205" s="455"/>
      <c r="M205" s="140"/>
      <c r="N205" s="140"/>
      <c r="O205" s="140"/>
      <c r="P205" s="140"/>
      <c r="Q205" s="140"/>
      <c r="R205" s="140"/>
      <c r="S205" s="140"/>
      <c r="T205" s="140"/>
      <c r="U205" s="140"/>
      <c r="V205" s="140"/>
      <c r="W205" s="140"/>
    </row>
    <row r="206">
      <c r="A206" s="140"/>
      <c r="B206" s="140"/>
      <c r="C206" s="140"/>
      <c r="D206" s="140"/>
      <c r="E206" s="140"/>
      <c r="F206" s="140"/>
      <c r="G206" s="140"/>
      <c r="H206" s="140"/>
      <c r="I206" s="140"/>
      <c r="J206" s="140"/>
      <c r="K206" s="455"/>
      <c r="L206" s="455"/>
      <c r="M206" s="140"/>
      <c r="N206" s="140"/>
      <c r="O206" s="140"/>
      <c r="P206" s="140"/>
      <c r="Q206" s="140"/>
      <c r="R206" s="140"/>
      <c r="S206" s="140"/>
      <c r="T206" s="140"/>
      <c r="U206" s="140"/>
      <c r="V206" s="140"/>
      <c r="W206" s="140"/>
    </row>
    <row r="207">
      <c r="A207" s="140"/>
      <c r="B207" s="140"/>
      <c r="C207" s="140"/>
      <c r="D207" s="140"/>
      <c r="E207" s="140"/>
      <c r="F207" s="140"/>
      <c r="G207" s="140"/>
      <c r="H207" s="140"/>
      <c r="I207" s="140"/>
      <c r="J207" s="140"/>
      <c r="K207" s="455"/>
      <c r="L207" s="455"/>
      <c r="M207" s="140"/>
      <c r="N207" s="140"/>
      <c r="O207" s="140"/>
      <c r="P207" s="140"/>
      <c r="Q207" s="140"/>
      <c r="R207" s="140"/>
      <c r="S207" s="140"/>
      <c r="T207" s="140"/>
      <c r="U207" s="140"/>
      <c r="V207" s="140"/>
      <c r="W207" s="140"/>
    </row>
    <row r="208">
      <c r="A208" s="140"/>
      <c r="B208" s="140"/>
      <c r="C208" s="140"/>
      <c r="D208" s="140"/>
      <c r="E208" s="140"/>
      <c r="F208" s="140"/>
      <c r="G208" s="140"/>
      <c r="H208" s="140"/>
      <c r="I208" s="140"/>
      <c r="J208" s="140"/>
      <c r="K208" s="455"/>
      <c r="L208" s="455"/>
      <c r="M208" s="140"/>
      <c r="N208" s="140"/>
      <c r="O208" s="140"/>
      <c r="P208" s="140"/>
      <c r="Q208" s="140"/>
      <c r="R208" s="140"/>
      <c r="S208" s="140"/>
      <c r="T208" s="140"/>
      <c r="U208" s="140"/>
      <c r="V208" s="140"/>
      <c r="W208" s="140"/>
    </row>
    <row r="209">
      <c r="A209" s="140"/>
      <c r="B209" s="140"/>
      <c r="C209" s="140"/>
      <c r="D209" s="140"/>
      <c r="E209" s="140"/>
      <c r="F209" s="140"/>
      <c r="G209" s="140"/>
      <c r="H209" s="140"/>
      <c r="I209" s="140"/>
      <c r="J209" s="140"/>
      <c r="K209" s="455"/>
      <c r="L209" s="455"/>
      <c r="M209" s="140"/>
      <c r="N209" s="140"/>
      <c r="O209" s="140"/>
      <c r="P209" s="140"/>
      <c r="Q209" s="140"/>
      <c r="R209" s="140"/>
      <c r="S209" s="140"/>
      <c r="T209" s="140"/>
      <c r="U209" s="140"/>
      <c r="V209" s="140"/>
      <c r="W209" s="140"/>
    </row>
    <row r="210">
      <c r="A210" s="140"/>
      <c r="B210" s="140"/>
      <c r="C210" s="140"/>
      <c r="D210" s="140"/>
      <c r="E210" s="140"/>
      <c r="F210" s="140"/>
      <c r="G210" s="140"/>
      <c r="H210" s="140"/>
      <c r="I210" s="140"/>
      <c r="J210" s="140"/>
      <c r="K210" s="455"/>
      <c r="L210" s="455"/>
      <c r="M210" s="140"/>
      <c r="N210" s="140"/>
      <c r="O210" s="140"/>
      <c r="P210" s="140"/>
      <c r="Q210" s="140"/>
      <c r="R210" s="140"/>
      <c r="S210" s="140"/>
      <c r="T210" s="140"/>
      <c r="U210" s="140"/>
      <c r="V210" s="140"/>
      <c r="W210" s="140"/>
    </row>
    <row r="211">
      <c r="A211" s="140"/>
      <c r="B211" s="140"/>
      <c r="C211" s="140"/>
      <c r="D211" s="140"/>
      <c r="E211" s="140"/>
      <c r="F211" s="140"/>
      <c r="G211" s="140"/>
      <c r="H211" s="140"/>
      <c r="I211" s="140"/>
      <c r="J211" s="140"/>
      <c r="K211" s="455"/>
      <c r="L211" s="455"/>
      <c r="M211" s="140"/>
      <c r="N211" s="140"/>
      <c r="O211" s="140"/>
      <c r="P211" s="140"/>
      <c r="Q211" s="140"/>
      <c r="R211" s="140"/>
      <c r="S211" s="140"/>
      <c r="T211" s="140"/>
      <c r="U211" s="140"/>
      <c r="V211" s="140"/>
      <c r="W211" s="140"/>
    </row>
    <row r="212">
      <c r="A212" s="140"/>
      <c r="B212" s="140"/>
      <c r="C212" s="140"/>
      <c r="D212" s="140"/>
      <c r="E212" s="140"/>
      <c r="F212" s="140"/>
      <c r="G212" s="140"/>
      <c r="H212" s="140"/>
      <c r="I212" s="140"/>
      <c r="J212" s="140"/>
      <c r="K212" s="455"/>
      <c r="L212" s="455"/>
      <c r="M212" s="140"/>
      <c r="N212" s="140"/>
      <c r="O212" s="140"/>
      <c r="P212" s="140"/>
      <c r="Q212" s="140"/>
      <c r="R212" s="140"/>
      <c r="S212" s="140"/>
      <c r="T212" s="140"/>
      <c r="U212" s="140"/>
      <c r="V212" s="140"/>
      <c r="W212" s="140"/>
    </row>
    <row r="213">
      <c r="A213" s="140"/>
      <c r="B213" s="140"/>
      <c r="C213" s="140"/>
      <c r="D213" s="140"/>
      <c r="E213" s="140"/>
      <c r="F213" s="140"/>
      <c r="G213" s="140"/>
      <c r="H213" s="140"/>
      <c r="I213" s="140"/>
      <c r="J213" s="140"/>
      <c r="K213" s="455"/>
      <c r="L213" s="455"/>
      <c r="M213" s="140"/>
      <c r="N213" s="140"/>
      <c r="O213" s="140"/>
      <c r="P213" s="140"/>
      <c r="Q213" s="140"/>
      <c r="R213" s="140"/>
      <c r="S213" s="140"/>
      <c r="T213" s="140"/>
      <c r="U213" s="140"/>
      <c r="V213" s="140"/>
      <c r="W213" s="140"/>
    </row>
    <row r="214">
      <c r="A214" s="140"/>
      <c r="B214" s="140"/>
      <c r="C214" s="140"/>
      <c r="D214" s="140"/>
      <c r="E214" s="140"/>
      <c r="F214" s="140"/>
      <c r="G214" s="140"/>
      <c r="H214" s="140"/>
      <c r="I214" s="140"/>
      <c r="J214" s="140"/>
      <c r="K214" s="455"/>
      <c r="L214" s="455"/>
      <c r="M214" s="140"/>
      <c r="N214" s="140"/>
      <c r="O214" s="140"/>
      <c r="P214" s="140"/>
      <c r="Q214" s="140"/>
      <c r="R214" s="140"/>
      <c r="S214" s="140"/>
      <c r="T214" s="140"/>
      <c r="U214" s="140"/>
      <c r="V214" s="140"/>
      <c r="W214" s="140"/>
    </row>
    <row r="215">
      <c r="A215" s="140"/>
      <c r="B215" s="140"/>
      <c r="C215" s="140"/>
      <c r="D215" s="140"/>
      <c r="E215" s="140"/>
      <c r="F215" s="140"/>
      <c r="G215" s="140"/>
      <c r="H215" s="140"/>
      <c r="I215" s="140"/>
      <c r="J215" s="140"/>
      <c r="K215" s="455"/>
      <c r="L215" s="455"/>
      <c r="M215" s="140"/>
      <c r="N215" s="140"/>
      <c r="O215" s="140"/>
      <c r="P215" s="140"/>
      <c r="Q215" s="140"/>
      <c r="R215" s="140"/>
      <c r="S215" s="140"/>
      <c r="T215" s="140"/>
      <c r="U215" s="140"/>
      <c r="V215" s="140"/>
      <c r="W215" s="140"/>
    </row>
    <row r="216">
      <c r="A216" s="140"/>
      <c r="B216" s="140"/>
      <c r="C216" s="140"/>
      <c r="D216" s="140"/>
      <c r="E216" s="140"/>
      <c r="F216" s="140"/>
      <c r="G216" s="140"/>
      <c r="H216" s="140"/>
      <c r="I216" s="140"/>
      <c r="J216" s="140"/>
      <c r="K216" s="455"/>
      <c r="L216" s="455"/>
      <c r="M216" s="140"/>
      <c r="N216" s="140"/>
      <c r="O216" s="140"/>
      <c r="P216" s="140"/>
      <c r="Q216" s="140"/>
      <c r="R216" s="140"/>
      <c r="S216" s="140"/>
      <c r="T216" s="140"/>
      <c r="U216" s="140"/>
      <c r="V216" s="140"/>
      <c r="W216" s="140"/>
    </row>
    <row r="217">
      <c r="A217" s="140"/>
      <c r="B217" s="140"/>
      <c r="C217" s="140"/>
      <c r="D217" s="140"/>
      <c r="E217" s="140"/>
      <c r="F217" s="140"/>
      <c r="G217" s="140"/>
      <c r="H217" s="140"/>
      <c r="I217" s="140"/>
      <c r="J217" s="140"/>
      <c r="K217" s="455"/>
      <c r="L217" s="455"/>
      <c r="M217" s="140"/>
      <c r="N217" s="140"/>
      <c r="O217" s="140"/>
      <c r="P217" s="140"/>
      <c r="Q217" s="140"/>
      <c r="R217" s="140"/>
      <c r="S217" s="140"/>
      <c r="T217" s="140"/>
      <c r="U217" s="140"/>
      <c r="V217" s="140"/>
      <c r="W217" s="140"/>
    </row>
    <row r="218">
      <c r="A218" s="140"/>
      <c r="B218" s="140"/>
      <c r="C218" s="140"/>
      <c r="D218" s="140"/>
      <c r="E218" s="140"/>
      <c r="F218" s="140"/>
      <c r="G218" s="140"/>
      <c r="H218" s="140"/>
      <c r="I218" s="140"/>
      <c r="J218" s="140"/>
      <c r="K218" s="455"/>
      <c r="L218" s="455"/>
      <c r="M218" s="140"/>
      <c r="N218" s="140"/>
      <c r="O218" s="140"/>
      <c r="P218" s="140"/>
      <c r="Q218" s="140"/>
      <c r="R218" s="140"/>
      <c r="S218" s="140"/>
      <c r="T218" s="140"/>
      <c r="U218" s="140"/>
      <c r="V218" s="140"/>
      <c r="W218" s="140"/>
    </row>
    <row r="219">
      <c r="A219" s="140"/>
      <c r="B219" s="140"/>
      <c r="C219" s="140"/>
      <c r="D219" s="140"/>
      <c r="E219" s="140"/>
      <c r="F219" s="140"/>
      <c r="G219" s="140"/>
      <c r="H219" s="140"/>
      <c r="I219" s="140"/>
      <c r="J219" s="140"/>
      <c r="K219" s="455"/>
      <c r="L219" s="455"/>
      <c r="M219" s="140"/>
      <c r="N219" s="140"/>
      <c r="O219" s="140"/>
      <c r="P219" s="140"/>
      <c r="Q219" s="140"/>
      <c r="R219" s="140"/>
      <c r="S219" s="140"/>
      <c r="T219" s="140"/>
      <c r="U219" s="140"/>
      <c r="V219" s="140"/>
      <c r="W219" s="140"/>
    </row>
    <row r="220">
      <c r="A220" s="140"/>
      <c r="B220" s="140"/>
      <c r="C220" s="140"/>
      <c r="D220" s="140"/>
      <c r="E220" s="140"/>
      <c r="F220" s="140"/>
      <c r="G220" s="140"/>
      <c r="H220" s="140"/>
      <c r="I220" s="140"/>
      <c r="J220" s="140"/>
      <c r="K220" s="455"/>
      <c r="L220" s="455"/>
      <c r="M220" s="140"/>
      <c r="N220" s="140"/>
      <c r="O220" s="140"/>
      <c r="P220" s="140"/>
      <c r="Q220" s="140"/>
      <c r="R220" s="140"/>
      <c r="S220" s="140"/>
      <c r="T220" s="140"/>
      <c r="U220" s="140"/>
      <c r="V220" s="140"/>
      <c r="W220" s="140"/>
    </row>
    <row r="221">
      <c r="A221" s="140"/>
      <c r="B221" s="140"/>
      <c r="C221" s="140"/>
      <c r="D221" s="140"/>
      <c r="E221" s="140"/>
      <c r="F221" s="140"/>
      <c r="G221" s="140"/>
      <c r="H221" s="140"/>
      <c r="I221" s="140"/>
      <c r="J221" s="140"/>
      <c r="K221" s="455"/>
      <c r="L221" s="455"/>
      <c r="M221" s="140"/>
      <c r="N221" s="140"/>
      <c r="O221" s="140"/>
      <c r="P221" s="140"/>
      <c r="Q221" s="140"/>
      <c r="R221" s="140"/>
      <c r="S221" s="140"/>
      <c r="T221" s="140"/>
      <c r="U221" s="140"/>
      <c r="V221" s="140"/>
      <c r="W221" s="140"/>
    </row>
    <row r="222">
      <c r="A222" s="140"/>
      <c r="B222" s="140"/>
      <c r="C222" s="140"/>
      <c r="D222" s="140"/>
      <c r="E222" s="140"/>
      <c r="F222" s="140"/>
      <c r="G222" s="140"/>
      <c r="H222" s="140"/>
      <c r="I222" s="140"/>
      <c r="J222" s="140"/>
      <c r="K222" s="455"/>
      <c r="L222" s="455"/>
      <c r="M222" s="140"/>
      <c r="N222" s="140"/>
      <c r="O222" s="140"/>
      <c r="P222" s="140"/>
      <c r="Q222" s="140"/>
      <c r="R222" s="140"/>
      <c r="S222" s="140"/>
      <c r="T222" s="140"/>
      <c r="U222" s="140"/>
      <c r="V222" s="140"/>
      <c r="W222" s="140"/>
    </row>
    <row r="223">
      <c r="A223" s="140"/>
      <c r="B223" s="140"/>
      <c r="C223" s="140"/>
      <c r="D223" s="140"/>
      <c r="E223" s="140"/>
      <c r="F223" s="140"/>
      <c r="G223" s="140"/>
      <c r="H223" s="140"/>
      <c r="I223" s="140"/>
      <c r="J223" s="140"/>
      <c r="K223" s="455"/>
      <c r="L223" s="455"/>
      <c r="M223" s="140"/>
      <c r="N223" s="140"/>
      <c r="O223" s="140"/>
      <c r="P223" s="140"/>
      <c r="Q223" s="140"/>
      <c r="R223" s="140"/>
      <c r="S223" s="140"/>
      <c r="T223" s="140"/>
      <c r="U223" s="140"/>
      <c r="V223" s="140"/>
      <c r="W223" s="140"/>
    </row>
    <row r="224">
      <c r="A224" s="140"/>
      <c r="B224" s="140"/>
      <c r="C224" s="140"/>
      <c r="D224" s="140"/>
      <c r="E224" s="140"/>
      <c r="F224" s="140"/>
      <c r="G224" s="140"/>
      <c r="H224" s="140"/>
      <c r="I224" s="140"/>
      <c r="J224" s="140"/>
      <c r="K224" s="455"/>
      <c r="L224" s="455"/>
      <c r="M224" s="140"/>
      <c r="N224" s="140"/>
      <c r="O224" s="140"/>
      <c r="P224" s="140"/>
      <c r="Q224" s="140"/>
      <c r="R224" s="140"/>
      <c r="S224" s="140"/>
      <c r="T224" s="140"/>
      <c r="U224" s="140"/>
      <c r="V224" s="140"/>
      <c r="W224" s="140"/>
    </row>
    <row r="225">
      <c r="A225" s="140"/>
      <c r="B225" s="140"/>
      <c r="C225" s="140"/>
      <c r="D225" s="140"/>
      <c r="E225" s="140"/>
      <c r="F225" s="140"/>
      <c r="G225" s="140"/>
      <c r="H225" s="140"/>
      <c r="I225" s="140"/>
      <c r="J225" s="140"/>
      <c r="K225" s="455"/>
      <c r="L225" s="455"/>
      <c r="M225" s="140"/>
      <c r="N225" s="140"/>
      <c r="O225" s="140"/>
      <c r="P225" s="140"/>
      <c r="Q225" s="140"/>
      <c r="R225" s="140"/>
      <c r="S225" s="140"/>
      <c r="T225" s="140"/>
      <c r="U225" s="140"/>
      <c r="V225" s="140"/>
      <c r="W225" s="140"/>
    </row>
    <row r="226">
      <c r="A226" s="140"/>
      <c r="B226" s="140"/>
      <c r="C226" s="140"/>
      <c r="D226" s="140"/>
      <c r="E226" s="140"/>
      <c r="F226" s="140"/>
      <c r="G226" s="140"/>
      <c r="H226" s="140"/>
      <c r="I226" s="140"/>
      <c r="J226" s="140"/>
      <c r="K226" s="455"/>
      <c r="L226" s="455"/>
      <c r="M226" s="140"/>
      <c r="N226" s="140"/>
      <c r="O226" s="140"/>
      <c r="P226" s="140"/>
      <c r="Q226" s="140"/>
      <c r="R226" s="140"/>
      <c r="S226" s="140"/>
      <c r="T226" s="140"/>
      <c r="U226" s="140"/>
      <c r="V226" s="140"/>
      <c r="W226" s="140"/>
    </row>
    <row r="227">
      <c r="A227" s="140"/>
      <c r="B227" s="140"/>
      <c r="C227" s="140"/>
      <c r="D227" s="140"/>
      <c r="E227" s="140"/>
      <c r="F227" s="140"/>
      <c r="G227" s="140"/>
      <c r="H227" s="140"/>
      <c r="I227" s="140"/>
      <c r="J227" s="140"/>
      <c r="K227" s="455"/>
      <c r="L227" s="455"/>
      <c r="M227" s="140"/>
      <c r="N227" s="140"/>
      <c r="O227" s="140"/>
      <c r="P227" s="140"/>
      <c r="Q227" s="140"/>
      <c r="R227" s="140"/>
      <c r="S227" s="140"/>
      <c r="T227" s="140"/>
      <c r="U227" s="140"/>
      <c r="V227" s="140"/>
      <c r="W227" s="140"/>
    </row>
    <row r="228">
      <c r="A228" s="140"/>
      <c r="B228" s="140"/>
      <c r="C228" s="140"/>
      <c r="D228" s="140"/>
      <c r="E228" s="140"/>
      <c r="F228" s="140"/>
      <c r="G228" s="140"/>
      <c r="H228" s="140"/>
      <c r="I228" s="140"/>
      <c r="J228" s="140"/>
      <c r="K228" s="455"/>
      <c r="L228" s="455"/>
      <c r="M228" s="140"/>
      <c r="N228" s="140"/>
      <c r="O228" s="140"/>
      <c r="P228" s="140"/>
      <c r="Q228" s="140"/>
      <c r="R228" s="140"/>
      <c r="S228" s="140"/>
      <c r="T228" s="140"/>
      <c r="U228" s="140"/>
      <c r="V228" s="140"/>
      <c r="W228" s="140"/>
    </row>
    <row r="229">
      <c r="A229" s="140"/>
      <c r="B229" s="140"/>
      <c r="C229" s="140"/>
      <c r="D229" s="140"/>
      <c r="E229" s="140"/>
      <c r="F229" s="140"/>
      <c r="G229" s="140"/>
      <c r="H229" s="140"/>
      <c r="I229" s="140"/>
      <c r="J229" s="140"/>
      <c r="K229" s="455"/>
      <c r="L229" s="455"/>
      <c r="M229" s="140"/>
      <c r="N229" s="140"/>
      <c r="O229" s="140"/>
      <c r="P229" s="140"/>
      <c r="Q229" s="140"/>
      <c r="R229" s="140"/>
      <c r="S229" s="140"/>
      <c r="T229" s="140"/>
      <c r="U229" s="140"/>
      <c r="V229" s="140"/>
      <c r="W229" s="140"/>
    </row>
    <row r="230">
      <c r="A230" s="140"/>
      <c r="B230" s="140"/>
      <c r="C230" s="140"/>
      <c r="D230" s="140"/>
      <c r="E230" s="140"/>
      <c r="F230" s="140"/>
      <c r="G230" s="140"/>
      <c r="H230" s="140"/>
      <c r="I230" s="140"/>
      <c r="J230" s="140"/>
      <c r="K230" s="455"/>
      <c r="L230" s="455"/>
      <c r="M230" s="140"/>
      <c r="N230" s="140"/>
      <c r="O230" s="140"/>
      <c r="P230" s="140"/>
      <c r="Q230" s="140"/>
      <c r="R230" s="140"/>
      <c r="S230" s="140"/>
      <c r="T230" s="140"/>
      <c r="U230" s="140"/>
      <c r="V230" s="140"/>
      <c r="W230" s="140"/>
    </row>
    <row r="231">
      <c r="A231" s="140"/>
      <c r="B231" s="140"/>
      <c r="C231" s="140"/>
      <c r="D231" s="140"/>
      <c r="E231" s="140"/>
      <c r="F231" s="140"/>
      <c r="G231" s="140"/>
      <c r="H231" s="140"/>
      <c r="I231" s="140"/>
      <c r="J231" s="140"/>
      <c r="K231" s="455"/>
      <c r="L231" s="455"/>
      <c r="M231" s="140"/>
      <c r="N231" s="140"/>
      <c r="O231" s="140"/>
      <c r="P231" s="140"/>
      <c r="Q231" s="140"/>
      <c r="R231" s="140"/>
      <c r="S231" s="140"/>
      <c r="T231" s="140"/>
      <c r="U231" s="140"/>
      <c r="V231" s="140"/>
      <c r="W231" s="140"/>
    </row>
    <row r="232">
      <c r="A232" s="140"/>
      <c r="B232" s="140"/>
      <c r="C232" s="140"/>
      <c r="D232" s="140"/>
      <c r="E232" s="140"/>
      <c r="F232" s="140"/>
      <c r="G232" s="140"/>
      <c r="H232" s="140"/>
      <c r="I232" s="140"/>
      <c r="J232" s="140"/>
      <c r="K232" s="455"/>
      <c r="L232" s="455"/>
      <c r="M232" s="140"/>
      <c r="N232" s="140"/>
      <c r="O232" s="140"/>
      <c r="P232" s="140"/>
      <c r="Q232" s="140"/>
      <c r="R232" s="140"/>
      <c r="S232" s="140"/>
      <c r="T232" s="140"/>
      <c r="U232" s="140"/>
      <c r="V232" s="140"/>
      <c r="W232" s="140"/>
    </row>
    <row r="233">
      <c r="A233" s="140"/>
      <c r="B233" s="140"/>
      <c r="C233" s="140"/>
      <c r="D233" s="140"/>
      <c r="E233" s="140"/>
      <c r="F233" s="140"/>
      <c r="G233" s="140"/>
      <c r="H233" s="140"/>
      <c r="I233" s="140"/>
      <c r="J233" s="140"/>
      <c r="K233" s="455"/>
      <c r="L233" s="455"/>
      <c r="M233" s="140"/>
      <c r="N233" s="140"/>
      <c r="O233" s="140"/>
      <c r="P233" s="140"/>
      <c r="Q233" s="140"/>
      <c r="R233" s="140"/>
      <c r="S233" s="140"/>
      <c r="T233" s="140"/>
      <c r="U233" s="140"/>
      <c r="V233" s="140"/>
      <c r="W233" s="140"/>
    </row>
    <row r="234">
      <c r="A234" s="140"/>
      <c r="B234" s="140"/>
      <c r="C234" s="140"/>
      <c r="D234" s="140"/>
      <c r="E234" s="140"/>
      <c r="F234" s="140"/>
      <c r="G234" s="140"/>
      <c r="H234" s="140"/>
      <c r="I234" s="140"/>
      <c r="J234" s="140"/>
      <c r="K234" s="455"/>
      <c r="L234" s="455"/>
      <c r="M234" s="140"/>
      <c r="N234" s="140"/>
      <c r="O234" s="140"/>
      <c r="P234" s="140"/>
      <c r="Q234" s="140"/>
      <c r="R234" s="140"/>
      <c r="S234" s="140"/>
      <c r="T234" s="140"/>
      <c r="U234" s="140"/>
      <c r="V234" s="140"/>
      <c r="W234" s="140"/>
    </row>
    <row r="235">
      <c r="A235" s="140"/>
      <c r="B235" s="140"/>
      <c r="C235" s="140"/>
      <c r="D235" s="140"/>
      <c r="E235" s="140"/>
      <c r="F235" s="140"/>
      <c r="G235" s="140"/>
      <c r="H235" s="140"/>
      <c r="I235" s="140"/>
      <c r="J235" s="140"/>
      <c r="K235" s="455"/>
      <c r="L235" s="455"/>
      <c r="M235" s="140"/>
      <c r="N235" s="140"/>
      <c r="O235" s="140"/>
      <c r="P235" s="140"/>
      <c r="Q235" s="140"/>
      <c r="R235" s="140"/>
      <c r="S235" s="140"/>
      <c r="T235" s="140"/>
      <c r="U235" s="140"/>
      <c r="V235" s="140"/>
      <c r="W235" s="140"/>
    </row>
    <row r="236">
      <c r="A236" s="140"/>
      <c r="B236" s="140"/>
      <c r="C236" s="140"/>
      <c r="D236" s="140"/>
      <c r="E236" s="140"/>
      <c r="F236" s="140"/>
      <c r="G236" s="140"/>
      <c r="H236" s="140"/>
      <c r="I236" s="140"/>
      <c r="J236" s="140"/>
      <c r="K236" s="455"/>
      <c r="L236" s="455"/>
      <c r="M236" s="140"/>
      <c r="N236" s="140"/>
      <c r="O236" s="140"/>
      <c r="P236" s="140"/>
      <c r="Q236" s="140"/>
      <c r="R236" s="140"/>
      <c r="S236" s="140"/>
      <c r="T236" s="140"/>
      <c r="U236" s="140"/>
      <c r="V236" s="140"/>
      <c r="W236" s="140"/>
    </row>
    <row r="237">
      <c r="A237" s="140"/>
      <c r="B237" s="140"/>
      <c r="C237" s="140"/>
      <c r="D237" s="140"/>
      <c r="E237" s="140"/>
      <c r="F237" s="140"/>
      <c r="G237" s="140"/>
      <c r="H237" s="140"/>
      <c r="I237" s="140"/>
      <c r="J237" s="140"/>
      <c r="K237" s="455"/>
      <c r="L237" s="455"/>
      <c r="M237" s="140"/>
      <c r="N237" s="140"/>
      <c r="O237" s="140"/>
      <c r="P237" s="140"/>
      <c r="Q237" s="140"/>
      <c r="R237" s="140"/>
      <c r="S237" s="140"/>
      <c r="T237" s="140"/>
      <c r="U237" s="140"/>
      <c r="V237" s="140"/>
      <c r="W237" s="140"/>
    </row>
    <row r="238">
      <c r="A238" s="140"/>
      <c r="B238" s="140"/>
      <c r="C238" s="140"/>
      <c r="D238" s="140"/>
      <c r="E238" s="140"/>
      <c r="F238" s="140"/>
      <c r="G238" s="140"/>
      <c r="H238" s="140"/>
      <c r="I238" s="140"/>
      <c r="J238" s="140"/>
      <c r="K238" s="455"/>
      <c r="L238" s="455"/>
      <c r="M238" s="140"/>
      <c r="N238" s="140"/>
      <c r="O238" s="140"/>
      <c r="P238" s="140"/>
      <c r="Q238" s="140"/>
      <c r="R238" s="140"/>
      <c r="S238" s="140"/>
      <c r="T238" s="140"/>
      <c r="U238" s="140"/>
      <c r="V238" s="140"/>
      <c r="W238" s="140"/>
    </row>
    <row r="239">
      <c r="A239" s="140"/>
      <c r="B239" s="140"/>
      <c r="C239" s="140"/>
      <c r="D239" s="140"/>
      <c r="E239" s="140"/>
      <c r="F239" s="140"/>
      <c r="G239" s="140"/>
      <c r="H239" s="140"/>
      <c r="I239" s="140"/>
      <c r="J239" s="140"/>
      <c r="K239" s="455"/>
      <c r="L239" s="455"/>
      <c r="M239" s="140"/>
      <c r="N239" s="140"/>
      <c r="O239" s="140"/>
      <c r="P239" s="140"/>
      <c r="Q239" s="140"/>
      <c r="R239" s="140"/>
      <c r="S239" s="140"/>
      <c r="T239" s="140"/>
      <c r="U239" s="140"/>
      <c r="V239" s="140"/>
      <c r="W239" s="140"/>
    </row>
    <row r="240">
      <c r="A240" s="140"/>
      <c r="B240" s="140"/>
      <c r="C240" s="140"/>
      <c r="D240" s="140"/>
      <c r="E240" s="140"/>
      <c r="F240" s="140"/>
      <c r="G240" s="140"/>
      <c r="H240" s="140"/>
      <c r="I240" s="140"/>
      <c r="J240" s="140"/>
      <c r="K240" s="455"/>
      <c r="L240" s="455"/>
      <c r="M240" s="140"/>
      <c r="N240" s="140"/>
      <c r="O240" s="140"/>
      <c r="P240" s="140"/>
      <c r="Q240" s="140"/>
      <c r="R240" s="140"/>
      <c r="S240" s="140"/>
      <c r="T240" s="140"/>
      <c r="U240" s="140"/>
      <c r="V240" s="140"/>
      <c r="W240" s="140"/>
    </row>
    <row r="241">
      <c r="A241" s="140"/>
      <c r="B241" s="140"/>
      <c r="C241" s="140"/>
      <c r="D241" s="140"/>
      <c r="E241" s="140"/>
      <c r="F241" s="140"/>
      <c r="G241" s="140"/>
      <c r="H241" s="140"/>
      <c r="I241" s="140"/>
      <c r="J241" s="140"/>
      <c r="K241" s="455"/>
      <c r="L241" s="455"/>
      <c r="M241" s="140"/>
      <c r="N241" s="140"/>
      <c r="O241" s="140"/>
      <c r="P241" s="140"/>
      <c r="Q241" s="140"/>
      <c r="R241" s="140"/>
      <c r="S241" s="140"/>
      <c r="T241" s="140"/>
      <c r="U241" s="140"/>
      <c r="V241" s="140"/>
      <c r="W241" s="140"/>
    </row>
    <row r="242">
      <c r="A242" s="140"/>
      <c r="B242" s="140"/>
      <c r="C242" s="140"/>
      <c r="D242" s="140"/>
      <c r="E242" s="140"/>
      <c r="F242" s="140"/>
      <c r="G242" s="140"/>
      <c r="H242" s="140"/>
      <c r="I242" s="140"/>
      <c r="J242" s="140"/>
      <c r="K242" s="455"/>
      <c r="L242" s="455"/>
      <c r="M242" s="140"/>
      <c r="N242" s="140"/>
      <c r="O242" s="140"/>
      <c r="P242" s="140"/>
      <c r="Q242" s="140"/>
      <c r="R242" s="140"/>
      <c r="S242" s="140"/>
      <c r="T242" s="140"/>
      <c r="U242" s="140"/>
      <c r="V242" s="140"/>
      <c r="W242" s="140"/>
    </row>
    <row r="243">
      <c r="A243" s="140"/>
      <c r="B243" s="140"/>
      <c r="C243" s="140"/>
      <c r="D243" s="140"/>
      <c r="E243" s="140"/>
      <c r="F243" s="140"/>
      <c r="G243" s="140"/>
      <c r="H243" s="140"/>
      <c r="I243" s="140"/>
      <c r="J243" s="140"/>
      <c r="K243" s="455"/>
      <c r="L243" s="455"/>
      <c r="M243" s="140"/>
      <c r="N243" s="140"/>
      <c r="O243" s="140"/>
      <c r="P243" s="140"/>
      <c r="Q243" s="140"/>
      <c r="R243" s="140"/>
      <c r="S243" s="140"/>
      <c r="T243" s="140"/>
      <c r="U243" s="140"/>
      <c r="V243" s="140"/>
      <c r="W243" s="140"/>
    </row>
    <row r="244">
      <c r="A244" s="140"/>
      <c r="B244" s="140"/>
      <c r="C244" s="140"/>
      <c r="D244" s="140"/>
      <c r="E244" s="140"/>
      <c r="F244" s="140"/>
      <c r="G244" s="140"/>
      <c r="H244" s="140"/>
      <c r="I244" s="140"/>
      <c r="J244" s="140"/>
      <c r="K244" s="455"/>
      <c r="L244" s="455"/>
      <c r="M244" s="140"/>
      <c r="N244" s="140"/>
      <c r="O244" s="140"/>
      <c r="P244" s="140"/>
      <c r="Q244" s="140"/>
      <c r="R244" s="140"/>
      <c r="S244" s="140"/>
      <c r="T244" s="140"/>
      <c r="U244" s="140"/>
      <c r="V244" s="140"/>
      <c r="W244" s="140"/>
    </row>
    <row r="245">
      <c r="A245" s="140"/>
      <c r="B245" s="140"/>
      <c r="C245" s="140"/>
      <c r="D245" s="140"/>
      <c r="E245" s="140"/>
      <c r="F245" s="140"/>
      <c r="G245" s="140"/>
      <c r="H245" s="140"/>
      <c r="I245" s="140"/>
      <c r="J245" s="140"/>
      <c r="K245" s="455"/>
      <c r="L245" s="455"/>
      <c r="M245" s="140"/>
      <c r="N245" s="140"/>
      <c r="O245" s="140"/>
      <c r="P245" s="140"/>
      <c r="Q245" s="140"/>
      <c r="R245" s="140"/>
      <c r="S245" s="140"/>
      <c r="T245" s="140"/>
      <c r="U245" s="140"/>
      <c r="V245" s="140"/>
      <c r="W245" s="140"/>
    </row>
    <row r="246">
      <c r="A246" s="140"/>
      <c r="B246" s="140"/>
      <c r="C246" s="140"/>
      <c r="D246" s="140"/>
      <c r="E246" s="140"/>
      <c r="F246" s="140"/>
      <c r="G246" s="140"/>
      <c r="H246" s="140"/>
      <c r="I246" s="140"/>
      <c r="J246" s="140"/>
      <c r="K246" s="455"/>
      <c r="L246" s="455"/>
      <c r="M246" s="140"/>
      <c r="N246" s="140"/>
      <c r="O246" s="140"/>
      <c r="P246" s="140"/>
      <c r="Q246" s="140"/>
      <c r="R246" s="140"/>
      <c r="S246" s="140"/>
      <c r="T246" s="140"/>
      <c r="U246" s="140"/>
      <c r="V246" s="140"/>
      <c r="W246" s="140"/>
    </row>
    <row r="247">
      <c r="A247" s="140"/>
      <c r="B247" s="140"/>
      <c r="C247" s="140"/>
      <c r="D247" s="140"/>
      <c r="E247" s="140"/>
      <c r="F247" s="140"/>
      <c r="G247" s="140"/>
      <c r="H247" s="140"/>
      <c r="I247" s="140"/>
      <c r="J247" s="140"/>
      <c r="K247" s="455"/>
      <c r="L247" s="455"/>
      <c r="M247" s="140"/>
      <c r="N247" s="140"/>
      <c r="O247" s="140"/>
      <c r="P247" s="140"/>
      <c r="Q247" s="140"/>
      <c r="R247" s="140"/>
      <c r="S247" s="140"/>
      <c r="T247" s="140"/>
      <c r="U247" s="140"/>
      <c r="V247" s="140"/>
      <c r="W247" s="140"/>
    </row>
    <row r="248">
      <c r="A248" s="140"/>
      <c r="B248" s="140"/>
      <c r="C248" s="140"/>
      <c r="D248" s="140"/>
      <c r="E248" s="140"/>
      <c r="F248" s="140"/>
      <c r="G248" s="140"/>
      <c r="H248" s="140"/>
      <c r="I248" s="140"/>
      <c r="J248" s="140"/>
      <c r="K248" s="455"/>
      <c r="L248" s="455"/>
      <c r="M248" s="140"/>
      <c r="N248" s="140"/>
      <c r="O248" s="140"/>
      <c r="P248" s="140"/>
      <c r="Q248" s="140"/>
      <c r="R248" s="140"/>
      <c r="S248" s="140"/>
      <c r="T248" s="140"/>
      <c r="U248" s="140"/>
      <c r="V248" s="140"/>
      <c r="W248" s="140"/>
    </row>
    <row r="249">
      <c r="A249" s="140"/>
      <c r="B249" s="140"/>
      <c r="C249" s="140"/>
      <c r="D249" s="140"/>
      <c r="E249" s="140"/>
      <c r="F249" s="140"/>
      <c r="G249" s="140"/>
      <c r="H249" s="140"/>
      <c r="I249" s="140"/>
      <c r="J249" s="140"/>
      <c r="K249" s="455"/>
      <c r="L249" s="455"/>
      <c r="M249" s="140"/>
      <c r="N249" s="140"/>
      <c r="O249" s="140"/>
      <c r="P249" s="140"/>
      <c r="Q249" s="140"/>
      <c r="R249" s="140"/>
      <c r="S249" s="140"/>
      <c r="T249" s="140"/>
      <c r="U249" s="140"/>
      <c r="V249" s="140"/>
      <c r="W249" s="140"/>
    </row>
    <row r="250">
      <c r="A250" s="140"/>
      <c r="B250" s="140"/>
      <c r="C250" s="140"/>
      <c r="D250" s="140"/>
      <c r="E250" s="140"/>
      <c r="F250" s="140"/>
      <c r="G250" s="140"/>
      <c r="H250" s="140"/>
      <c r="I250" s="140"/>
      <c r="J250" s="140"/>
      <c r="K250" s="455"/>
      <c r="L250" s="455"/>
      <c r="M250" s="140"/>
      <c r="N250" s="140"/>
      <c r="O250" s="140"/>
      <c r="P250" s="140"/>
      <c r="Q250" s="140"/>
      <c r="R250" s="140"/>
      <c r="S250" s="140"/>
      <c r="T250" s="140"/>
      <c r="U250" s="140"/>
      <c r="V250" s="140"/>
      <c r="W250" s="140"/>
    </row>
    <row r="251">
      <c r="A251" s="140"/>
      <c r="B251" s="140"/>
      <c r="C251" s="140"/>
      <c r="D251" s="140"/>
      <c r="E251" s="140"/>
      <c r="F251" s="140"/>
      <c r="G251" s="140"/>
      <c r="H251" s="140"/>
      <c r="I251" s="140"/>
      <c r="J251" s="140"/>
      <c r="K251" s="455"/>
      <c r="L251" s="455"/>
      <c r="M251" s="140"/>
      <c r="N251" s="140"/>
      <c r="O251" s="140"/>
      <c r="P251" s="140"/>
      <c r="Q251" s="140"/>
      <c r="R251" s="140"/>
      <c r="S251" s="140"/>
      <c r="T251" s="140"/>
      <c r="U251" s="140"/>
      <c r="V251" s="140"/>
      <c r="W251" s="140"/>
    </row>
    <row r="252">
      <c r="A252" s="140"/>
      <c r="B252" s="140"/>
      <c r="C252" s="140"/>
      <c r="D252" s="140"/>
      <c r="E252" s="140"/>
      <c r="F252" s="140"/>
      <c r="G252" s="140"/>
      <c r="H252" s="140"/>
      <c r="I252" s="140"/>
      <c r="J252" s="140"/>
      <c r="K252" s="455"/>
      <c r="L252" s="455"/>
      <c r="M252" s="140"/>
      <c r="N252" s="140"/>
      <c r="O252" s="140"/>
      <c r="P252" s="140"/>
      <c r="Q252" s="140"/>
      <c r="R252" s="140"/>
      <c r="S252" s="140"/>
      <c r="T252" s="140"/>
      <c r="U252" s="140"/>
      <c r="V252" s="140"/>
      <c r="W252" s="140"/>
    </row>
    <row r="253">
      <c r="A253" s="140"/>
      <c r="B253" s="140"/>
      <c r="C253" s="140"/>
      <c r="D253" s="140"/>
      <c r="E253" s="140"/>
      <c r="F253" s="140"/>
      <c r="G253" s="140"/>
      <c r="H253" s="140"/>
      <c r="I253" s="140"/>
      <c r="J253" s="140"/>
      <c r="K253" s="455"/>
      <c r="L253" s="455"/>
      <c r="M253" s="140"/>
      <c r="N253" s="140"/>
      <c r="O253" s="140"/>
      <c r="P253" s="140"/>
      <c r="Q253" s="140"/>
      <c r="R253" s="140"/>
      <c r="S253" s="140"/>
      <c r="T253" s="140"/>
      <c r="U253" s="140"/>
      <c r="V253" s="140"/>
      <c r="W253" s="140"/>
    </row>
    <row r="254">
      <c r="A254" s="140"/>
      <c r="B254" s="140"/>
      <c r="C254" s="140"/>
      <c r="D254" s="140"/>
      <c r="E254" s="140"/>
      <c r="F254" s="140"/>
      <c r="G254" s="140"/>
      <c r="H254" s="140"/>
      <c r="I254" s="140"/>
      <c r="J254" s="140"/>
      <c r="K254" s="455"/>
      <c r="L254" s="455"/>
      <c r="M254" s="140"/>
      <c r="N254" s="140"/>
      <c r="O254" s="140"/>
      <c r="P254" s="140"/>
      <c r="Q254" s="140"/>
      <c r="R254" s="140"/>
      <c r="S254" s="140"/>
      <c r="T254" s="140"/>
      <c r="U254" s="140"/>
      <c r="V254" s="140"/>
      <c r="W254" s="140"/>
    </row>
    <row r="255">
      <c r="A255" s="140"/>
      <c r="B255" s="140"/>
      <c r="C255" s="140"/>
      <c r="D255" s="140"/>
      <c r="E255" s="140"/>
      <c r="F255" s="140"/>
      <c r="G255" s="140"/>
      <c r="H255" s="140"/>
      <c r="I255" s="140"/>
      <c r="J255" s="140"/>
      <c r="K255" s="455"/>
      <c r="L255" s="455"/>
      <c r="M255" s="140"/>
      <c r="N255" s="140"/>
      <c r="O255" s="140"/>
      <c r="P255" s="140"/>
      <c r="Q255" s="140"/>
      <c r="R255" s="140"/>
      <c r="S255" s="140"/>
      <c r="T255" s="140"/>
      <c r="U255" s="140"/>
      <c r="V255" s="140"/>
      <c r="W255" s="140"/>
    </row>
    <row r="256">
      <c r="A256" s="140"/>
      <c r="B256" s="140"/>
      <c r="C256" s="140"/>
      <c r="D256" s="140"/>
      <c r="E256" s="140"/>
      <c r="F256" s="140"/>
      <c r="G256" s="140"/>
      <c r="H256" s="140"/>
      <c r="I256" s="140"/>
      <c r="J256" s="140"/>
      <c r="K256" s="455"/>
      <c r="L256" s="455"/>
      <c r="M256" s="140"/>
      <c r="N256" s="140"/>
      <c r="O256" s="140"/>
      <c r="P256" s="140"/>
      <c r="Q256" s="140"/>
      <c r="R256" s="140"/>
      <c r="S256" s="140"/>
      <c r="T256" s="140"/>
      <c r="U256" s="140"/>
      <c r="V256" s="140"/>
      <c r="W256" s="140"/>
    </row>
    <row r="257">
      <c r="A257" s="140"/>
      <c r="B257" s="140"/>
      <c r="C257" s="140"/>
      <c r="D257" s="140"/>
      <c r="E257" s="140"/>
      <c r="F257" s="140"/>
      <c r="G257" s="140"/>
      <c r="H257" s="140"/>
      <c r="I257" s="140"/>
      <c r="J257" s="140"/>
      <c r="K257" s="455"/>
      <c r="L257" s="455"/>
      <c r="M257" s="140"/>
      <c r="N257" s="140"/>
      <c r="O257" s="140"/>
      <c r="P257" s="140"/>
      <c r="Q257" s="140"/>
      <c r="R257" s="140"/>
      <c r="S257" s="140"/>
      <c r="T257" s="140"/>
      <c r="U257" s="140"/>
      <c r="V257" s="140"/>
      <c r="W257" s="140"/>
    </row>
    <row r="258">
      <c r="A258" s="140"/>
      <c r="B258" s="140"/>
      <c r="C258" s="140"/>
      <c r="D258" s="140"/>
      <c r="E258" s="140"/>
      <c r="F258" s="140"/>
      <c r="G258" s="140"/>
      <c r="H258" s="140"/>
      <c r="I258" s="140"/>
      <c r="J258" s="140"/>
      <c r="K258" s="455"/>
      <c r="L258" s="455"/>
      <c r="M258" s="140"/>
      <c r="N258" s="140"/>
      <c r="O258" s="140"/>
      <c r="P258" s="140"/>
      <c r="Q258" s="140"/>
      <c r="R258" s="140"/>
      <c r="S258" s="140"/>
      <c r="T258" s="140"/>
      <c r="U258" s="140"/>
      <c r="V258" s="140"/>
      <c r="W258" s="140"/>
    </row>
    <row r="259">
      <c r="A259" s="140"/>
      <c r="B259" s="140"/>
      <c r="C259" s="140"/>
      <c r="D259" s="140"/>
      <c r="E259" s="140"/>
      <c r="F259" s="140"/>
      <c r="G259" s="140"/>
      <c r="H259" s="140"/>
      <c r="I259" s="140"/>
      <c r="J259" s="140"/>
      <c r="K259" s="455"/>
      <c r="L259" s="455"/>
      <c r="M259" s="140"/>
      <c r="N259" s="140"/>
      <c r="O259" s="140"/>
      <c r="P259" s="140"/>
      <c r="Q259" s="140"/>
      <c r="R259" s="140"/>
      <c r="S259" s="140"/>
      <c r="T259" s="140"/>
      <c r="U259" s="140"/>
      <c r="V259" s="140"/>
      <c r="W259" s="140"/>
    </row>
    <row r="260">
      <c r="A260" s="140"/>
      <c r="B260" s="140"/>
      <c r="C260" s="140"/>
      <c r="D260" s="140"/>
      <c r="E260" s="140"/>
      <c r="F260" s="140"/>
      <c r="G260" s="140"/>
      <c r="H260" s="140"/>
      <c r="I260" s="140"/>
      <c r="J260" s="140"/>
      <c r="K260" s="455"/>
      <c r="L260" s="455"/>
      <c r="M260" s="140"/>
      <c r="N260" s="140"/>
      <c r="O260" s="140"/>
      <c r="P260" s="140"/>
      <c r="Q260" s="140"/>
      <c r="R260" s="140"/>
      <c r="S260" s="140"/>
      <c r="T260" s="140"/>
      <c r="U260" s="140"/>
      <c r="V260" s="140"/>
      <c r="W260" s="140"/>
    </row>
    <row r="261">
      <c r="A261" s="140"/>
      <c r="B261" s="140"/>
      <c r="C261" s="140"/>
      <c r="D261" s="140"/>
      <c r="E261" s="140"/>
      <c r="F261" s="140"/>
      <c r="G261" s="140"/>
      <c r="H261" s="140"/>
      <c r="I261" s="140"/>
      <c r="J261" s="140"/>
      <c r="K261" s="455"/>
      <c r="L261" s="455"/>
      <c r="M261" s="140"/>
      <c r="N261" s="140"/>
      <c r="O261" s="140"/>
      <c r="P261" s="140"/>
      <c r="Q261" s="140"/>
      <c r="R261" s="140"/>
      <c r="S261" s="140"/>
      <c r="T261" s="140"/>
      <c r="U261" s="140"/>
      <c r="V261" s="140"/>
      <c r="W261" s="140"/>
    </row>
    <row r="262">
      <c r="A262" s="140"/>
      <c r="B262" s="140"/>
      <c r="C262" s="140"/>
      <c r="D262" s="140"/>
      <c r="E262" s="140"/>
      <c r="F262" s="140"/>
      <c r="G262" s="140"/>
      <c r="H262" s="140"/>
      <c r="I262" s="140"/>
      <c r="J262" s="140"/>
      <c r="K262" s="455"/>
      <c r="L262" s="455"/>
      <c r="M262" s="140"/>
      <c r="N262" s="140"/>
      <c r="O262" s="140"/>
      <c r="P262" s="140"/>
      <c r="Q262" s="140"/>
      <c r="R262" s="140"/>
      <c r="S262" s="140"/>
      <c r="T262" s="140"/>
      <c r="U262" s="140"/>
      <c r="V262" s="140"/>
      <c r="W262" s="140"/>
    </row>
    <row r="263">
      <c r="A263" s="140"/>
      <c r="B263" s="140"/>
      <c r="C263" s="140"/>
      <c r="D263" s="140"/>
      <c r="E263" s="140"/>
      <c r="F263" s="140"/>
      <c r="G263" s="140"/>
      <c r="H263" s="140"/>
      <c r="I263" s="140"/>
      <c r="J263" s="140"/>
      <c r="K263" s="455"/>
      <c r="L263" s="455"/>
      <c r="M263" s="140"/>
      <c r="N263" s="140"/>
      <c r="O263" s="140"/>
      <c r="P263" s="140"/>
      <c r="Q263" s="140"/>
      <c r="R263" s="140"/>
      <c r="S263" s="140"/>
      <c r="T263" s="140"/>
      <c r="U263" s="140"/>
      <c r="V263" s="140"/>
      <c r="W263" s="140"/>
    </row>
    <row r="264">
      <c r="A264" s="140"/>
      <c r="B264" s="140"/>
      <c r="C264" s="140"/>
      <c r="D264" s="140"/>
      <c r="E264" s="140"/>
      <c r="F264" s="140"/>
      <c r="G264" s="140"/>
      <c r="H264" s="140"/>
      <c r="I264" s="140"/>
      <c r="J264" s="140"/>
      <c r="K264" s="455"/>
      <c r="L264" s="455"/>
      <c r="M264" s="140"/>
      <c r="N264" s="140"/>
      <c r="O264" s="140"/>
      <c r="P264" s="140"/>
      <c r="Q264" s="140"/>
      <c r="R264" s="140"/>
      <c r="S264" s="140"/>
      <c r="T264" s="140"/>
      <c r="U264" s="140"/>
      <c r="V264" s="140"/>
      <c r="W264" s="140"/>
    </row>
    <row r="265">
      <c r="A265" s="140"/>
      <c r="B265" s="140"/>
      <c r="C265" s="140"/>
      <c r="D265" s="140"/>
      <c r="E265" s="140"/>
      <c r="F265" s="140"/>
      <c r="G265" s="140"/>
      <c r="H265" s="140"/>
      <c r="I265" s="140"/>
      <c r="J265" s="140"/>
      <c r="K265" s="455"/>
      <c r="L265" s="455"/>
      <c r="M265" s="140"/>
      <c r="N265" s="140"/>
      <c r="O265" s="140"/>
      <c r="P265" s="140"/>
      <c r="Q265" s="140"/>
      <c r="R265" s="140"/>
      <c r="S265" s="140"/>
      <c r="T265" s="140"/>
      <c r="U265" s="140"/>
      <c r="V265" s="140"/>
      <c r="W265" s="140"/>
    </row>
    <row r="266">
      <c r="A266" s="140"/>
      <c r="B266" s="140"/>
      <c r="C266" s="140"/>
      <c r="D266" s="140"/>
      <c r="E266" s="140"/>
      <c r="F266" s="140"/>
      <c r="G266" s="140"/>
      <c r="H266" s="140"/>
      <c r="I266" s="140"/>
      <c r="J266" s="140"/>
      <c r="K266" s="455"/>
      <c r="L266" s="455"/>
      <c r="M266" s="140"/>
      <c r="N266" s="140"/>
      <c r="O266" s="140"/>
      <c r="P266" s="140"/>
      <c r="Q266" s="140"/>
      <c r="R266" s="140"/>
      <c r="S266" s="140"/>
      <c r="T266" s="140"/>
      <c r="U266" s="140"/>
      <c r="V266" s="140"/>
      <c r="W266" s="140"/>
    </row>
    <row r="267">
      <c r="A267" s="140"/>
      <c r="B267" s="140"/>
      <c r="C267" s="140"/>
      <c r="D267" s="140"/>
      <c r="E267" s="140"/>
      <c r="F267" s="140"/>
      <c r="G267" s="140"/>
      <c r="H267" s="140"/>
      <c r="I267" s="140"/>
      <c r="J267" s="140"/>
      <c r="K267" s="455"/>
      <c r="L267" s="455"/>
      <c r="M267" s="140"/>
      <c r="N267" s="140"/>
      <c r="O267" s="140"/>
      <c r="P267" s="140"/>
      <c r="Q267" s="140"/>
      <c r="R267" s="140"/>
      <c r="S267" s="140"/>
      <c r="T267" s="140"/>
      <c r="U267" s="140"/>
      <c r="V267" s="140"/>
      <c r="W267" s="140"/>
    </row>
    <row r="268">
      <c r="A268" s="140"/>
      <c r="B268" s="140"/>
      <c r="C268" s="140"/>
      <c r="D268" s="140"/>
      <c r="E268" s="140"/>
      <c r="F268" s="140"/>
      <c r="G268" s="140"/>
      <c r="H268" s="140"/>
      <c r="I268" s="140"/>
      <c r="J268" s="140"/>
      <c r="K268" s="455"/>
      <c r="L268" s="455"/>
      <c r="M268" s="140"/>
      <c r="N268" s="140"/>
      <c r="O268" s="140"/>
      <c r="P268" s="140"/>
      <c r="Q268" s="140"/>
      <c r="R268" s="140"/>
      <c r="S268" s="140"/>
      <c r="T268" s="140"/>
      <c r="U268" s="140"/>
      <c r="V268" s="140"/>
      <c r="W268" s="140"/>
    </row>
    <row r="269">
      <c r="A269" s="140"/>
      <c r="B269" s="140"/>
      <c r="C269" s="140"/>
      <c r="D269" s="140"/>
      <c r="E269" s="140"/>
      <c r="F269" s="140"/>
      <c r="G269" s="140"/>
      <c r="H269" s="140"/>
      <c r="I269" s="140"/>
      <c r="J269" s="140"/>
      <c r="K269" s="455"/>
      <c r="L269" s="455"/>
      <c r="M269" s="140"/>
      <c r="N269" s="140"/>
      <c r="O269" s="140"/>
      <c r="P269" s="140"/>
      <c r="Q269" s="140"/>
      <c r="R269" s="140"/>
      <c r="S269" s="140"/>
      <c r="T269" s="140"/>
      <c r="U269" s="140"/>
      <c r="V269" s="140"/>
      <c r="W269" s="140"/>
    </row>
    <row r="270">
      <c r="A270" s="140"/>
      <c r="B270" s="140"/>
      <c r="C270" s="140"/>
      <c r="D270" s="140"/>
      <c r="E270" s="140"/>
      <c r="F270" s="140"/>
      <c r="G270" s="140"/>
      <c r="H270" s="140"/>
      <c r="I270" s="140"/>
      <c r="J270" s="140"/>
      <c r="K270" s="455"/>
      <c r="L270" s="455"/>
      <c r="M270" s="140"/>
      <c r="N270" s="140"/>
      <c r="O270" s="140"/>
      <c r="P270" s="140"/>
      <c r="Q270" s="140"/>
      <c r="R270" s="140"/>
      <c r="S270" s="140"/>
      <c r="T270" s="140"/>
      <c r="U270" s="140"/>
      <c r="V270" s="140"/>
      <c r="W270" s="140"/>
    </row>
    <row r="271">
      <c r="A271" s="140"/>
      <c r="B271" s="140"/>
      <c r="C271" s="140"/>
      <c r="D271" s="140"/>
      <c r="E271" s="140"/>
      <c r="F271" s="140"/>
      <c r="G271" s="140"/>
      <c r="H271" s="140"/>
      <c r="I271" s="140"/>
      <c r="J271" s="140"/>
      <c r="K271" s="455"/>
      <c r="L271" s="455"/>
      <c r="M271" s="140"/>
      <c r="N271" s="140"/>
      <c r="O271" s="140"/>
      <c r="P271" s="140"/>
      <c r="Q271" s="140"/>
      <c r="R271" s="140"/>
      <c r="S271" s="140"/>
      <c r="T271" s="140"/>
      <c r="U271" s="140"/>
      <c r="V271" s="140"/>
      <c r="W271" s="140"/>
    </row>
    <row r="272">
      <c r="A272" s="140"/>
      <c r="B272" s="140"/>
      <c r="C272" s="140"/>
      <c r="D272" s="140"/>
      <c r="E272" s="140"/>
      <c r="F272" s="140"/>
      <c r="G272" s="140"/>
      <c r="H272" s="140"/>
      <c r="I272" s="140"/>
      <c r="J272" s="140"/>
      <c r="K272" s="455"/>
      <c r="L272" s="455"/>
      <c r="M272" s="140"/>
      <c r="N272" s="140"/>
      <c r="O272" s="140"/>
      <c r="P272" s="140"/>
      <c r="Q272" s="140"/>
      <c r="R272" s="140"/>
      <c r="S272" s="140"/>
      <c r="T272" s="140"/>
      <c r="U272" s="140"/>
      <c r="V272" s="140"/>
      <c r="W272" s="140"/>
    </row>
    <row r="273">
      <c r="A273" s="140"/>
      <c r="B273" s="140"/>
      <c r="C273" s="140"/>
      <c r="D273" s="140"/>
      <c r="E273" s="140"/>
      <c r="F273" s="140"/>
      <c r="G273" s="140"/>
      <c r="H273" s="140"/>
      <c r="I273" s="140"/>
      <c r="J273" s="140"/>
      <c r="K273" s="455"/>
      <c r="L273" s="455"/>
      <c r="M273" s="140"/>
      <c r="N273" s="140"/>
      <c r="O273" s="140"/>
      <c r="P273" s="140"/>
      <c r="Q273" s="140"/>
      <c r="R273" s="140"/>
      <c r="S273" s="140"/>
      <c r="T273" s="140"/>
      <c r="U273" s="140"/>
      <c r="V273" s="140"/>
      <c r="W273" s="140"/>
    </row>
    <row r="274">
      <c r="A274" s="140"/>
      <c r="B274" s="140"/>
      <c r="C274" s="140"/>
      <c r="D274" s="140"/>
      <c r="E274" s="140"/>
      <c r="F274" s="140"/>
      <c r="G274" s="140"/>
      <c r="H274" s="140"/>
      <c r="I274" s="140"/>
      <c r="J274" s="140"/>
      <c r="K274" s="455"/>
      <c r="L274" s="455"/>
      <c r="M274" s="140"/>
      <c r="N274" s="140"/>
      <c r="O274" s="140"/>
      <c r="P274" s="140"/>
      <c r="Q274" s="140"/>
      <c r="R274" s="140"/>
      <c r="S274" s="140"/>
      <c r="T274" s="140"/>
      <c r="U274" s="140"/>
      <c r="V274" s="140"/>
      <c r="W274" s="140"/>
    </row>
    <row r="275">
      <c r="A275" s="140"/>
      <c r="B275" s="140"/>
      <c r="C275" s="140"/>
      <c r="D275" s="140"/>
      <c r="E275" s="140"/>
      <c r="F275" s="140"/>
      <c r="G275" s="140"/>
      <c r="H275" s="140"/>
      <c r="I275" s="140"/>
      <c r="J275" s="140"/>
      <c r="K275" s="455"/>
      <c r="L275" s="455"/>
      <c r="M275" s="140"/>
      <c r="N275" s="140"/>
      <c r="O275" s="140"/>
      <c r="P275" s="140"/>
      <c r="Q275" s="140"/>
      <c r="R275" s="140"/>
      <c r="S275" s="140"/>
      <c r="T275" s="140"/>
      <c r="U275" s="140"/>
      <c r="V275" s="140"/>
      <c r="W275" s="140"/>
    </row>
    <row r="276">
      <c r="A276" s="140"/>
      <c r="B276" s="140"/>
      <c r="C276" s="140"/>
      <c r="D276" s="140"/>
      <c r="E276" s="140"/>
      <c r="F276" s="140"/>
      <c r="G276" s="140"/>
      <c r="H276" s="140"/>
      <c r="I276" s="140"/>
      <c r="J276" s="140"/>
      <c r="K276" s="455"/>
      <c r="L276" s="455"/>
      <c r="M276" s="140"/>
      <c r="N276" s="140"/>
      <c r="O276" s="140"/>
      <c r="P276" s="140"/>
      <c r="Q276" s="140"/>
      <c r="R276" s="140"/>
      <c r="S276" s="140"/>
      <c r="T276" s="140"/>
      <c r="U276" s="140"/>
      <c r="V276" s="140"/>
      <c r="W276" s="140"/>
    </row>
    <row r="277">
      <c r="A277" s="140"/>
      <c r="B277" s="140"/>
      <c r="C277" s="140"/>
      <c r="D277" s="140"/>
      <c r="E277" s="140"/>
      <c r="F277" s="140"/>
      <c r="G277" s="140"/>
      <c r="H277" s="140"/>
      <c r="I277" s="140"/>
      <c r="J277" s="140"/>
      <c r="K277" s="455"/>
      <c r="L277" s="455"/>
      <c r="M277" s="140"/>
      <c r="N277" s="140"/>
      <c r="O277" s="140"/>
      <c r="P277" s="140"/>
      <c r="Q277" s="140"/>
      <c r="R277" s="140"/>
      <c r="S277" s="140"/>
      <c r="T277" s="140"/>
      <c r="U277" s="140"/>
      <c r="V277" s="140"/>
      <c r="W277" s="140"/>
    </row>
    <row r="278">
      <c r="A278" s="140"/>
      <c r="B278" s="140"/>
      <c r="C278" s="140"/>
      <c r="D278" s="140"/>
      <c r="E278" s="140"/>
      <c r="F278" s="140"/>
      <c r="G278" s="140"/>
      <c r="H278" s="140"/>
      <c r="I278" s="140"/>
      <c r="J278" s="140"/>
      <c r="K278" s="455"/>
      <c r="L278" s="455"/>
      <c r="M278" s="140"/>
      <c r="N278" s="140"/>
      <c r="O278" s="140"/>
      <c r="P278" s="140"/>
      <c r="Q278" s="140"/>
      <c r="R278" s="140"/>
      <c r="S278" s="140"/>
      <c r="T278" s="140"/>
      <c r="U278" s="140"/>
      <c r="V278" s="140"/>
      <c r="W278" s="140"/>
    </row>
    <row r="279">
      <c r="A279" s="140"/>
      <c r="B279" s="140"/>
      <c r="C279" s="140"/>
      <c r="D279" s="140"/>
      <c r="E279" s="140"/>
      <c r="F279" s="140"/>
      <c r="G279" s="140"/>
      <c r="H279" s="140"/>
      <c r="I279" s="140"/>
      <c r="J279" s="140"/>
      <c r="K279" s="455"/>
      <c r="L279" s="455"/>
      <c r="M279" s="140"/>
      <c r="N279" s="140"/>
      <c r="O279" s="140"/>
      <c r="P279" s="140"/>
      <c r="Q279" s="140"/>
      <c r="R279" s="140"/>
      <c r="S279" s="140"/>
      <c r="T279" s="140"/>
      <c r="U279" s="140"/>
      <c r="V279" s="140"/>
      <c r="W279" s="140"/>
    </row>
    <row r="280">
      <c r="A280" s="140"/>
      <c r="B280" s="140"/>
      <c r="C280" s="140"/>
      <c r="D280" s="140"/>
      <c r="E280" s="140"/>
      <c r="F280" s="140"/>
      <c r="G280" s="140"/>
      <c r="H280" s="140"/>
      <c r="I280" s="140"/>
      <c r="J280" s="140"/>
      <c r="K280" s="455"/>
      <c r="L280" s="455"/>
      <c r="M280" s="140"/>
      <c r="N280" s="140"/>
      <c r="O280" s="140"/>
      <c r="P280" s="140"/>
      <c r="Q280" s="140"/>
      <c r="R280" s="140"/>
      <c r="S280" s="140"/>
      <c r="T280" s="140"/>
      <c r="U280" s="140"/>
      <c r="V280" s="140"/>
      <c r="W280" s="140"/>
    </row>
    <row r="281">
      <c r="A281" s="140"/>
      <c r="B281" s="140"/>
      <c r="C281" s="140"/>
      <c r="D281" s="140"/>
      <c r="E281" s="140"/>
      <c r="F281" s="140"/>
      <c r="G281" s="140"/>
      <c r="H281" s="140"/>
      <c r="I281" s="140"/>
      <c r="J281" s="140"/>
      <c r="K281" s="455"/>
      <c r="L281" s="455"/>
      <c r="M281" s="140"/>
      <c r="N281" s="140"/>
      <c r="O281" s="140"/>
      <c r="P281" s="140"/>
      <c r="Q281" s="140"/>
      <c r="R281" s="140"/>
      <c r="S281" s="140"/>
      <c r="T281" s="140"/>
      <c r="U281" s="140"/>
      <c r="V281" s="140"/>
      <c r="W281" s="140"/>
    </row>
    <row r="282">
      <c r="A282" s="140"/>
      <c r="B282" s="140"/>
      <c r="C282" s="140"/>
      <c r="D282" s="140"/>
      <c r="E282" s="140"/>
      <c r="F282" s="140"/>
      <c r="G282" s="140"/>
      <c r="H282" s="140"/>
      <c r="I282" s="140"/>
      <c r="J282" s="140"/>
      <c r="K282" s="455"/>
      <c r="L282" s="455"/>
      <c r="M282" s="140"/>
      <c r="N282" s="140"/>
      <c r="O282" s="140"/>
      <c r="P282" s="140"/>
      <c r="Q282" s="140"/>
      <c r="R282" s="140"/>
      <c r="S282" s="140"/>
      <c r="T282" s="140"/>
      <c r="U282" s="140"/>
      <c r="V282" s="140"/>
      <c r="W282" s="140"/>
    </row>
    <row r="283">
      <c r="A283" s="140"/>
      <c r="B283" s="140"/>
      <c r="C283" s="140"/>
      <c r="D283" s="140"/>
      <c r="E283" s="140"/>
      <c r="F283" s="140"/>
      <c r="G283" s="140"/>
      <c r="H283" s="140"/>
      <c r="I283" s="140"/>
      <c r="J283" s="140"/>
      <c r="K283" s="455"/>
      <c r="L283" s="455"/>
      <c r="M283" s="140"/>
      <c r="N283" s="140"/>
      <c r="O283" s="140"/>
      <c r="P283" s="140"/>
      <c r="Q283" s="140"/>
      <c r="R283" s="140"/>
      <c r="S283" s="140"/>
      <c r="T283" s="140"/>
      <c r="U283" s="140"/>
      <c r="V283" s="140"/>
      <c r="W283" s="140"/>
    </row>
    <row r="284">
      <c r="A284" s="140"/>
      <c r="B284" s="140"/>
      <c r="C284" s="140"/>
      <c r="D284" s="140"/>
      <c r="E284" s="140"/>
      <c r="F284" s="140"/>
      <c r="G284" s="140"/>
      <c r="H284" s="140"/>
      <c r="I284" s="140"/>
      <c r="J284" s="140"/>
      <c r="K284" s="455"/>
      <c r="L284" s="455"/>
      <c r="M284" s="140"/>
      <c r="N284" s="140"/>
      <c r="O284" s="140"/>
      <c r="P284" s="140"/>
      <c r="Q284" s="140"/>
      <c r="R284" s="140"/>
      <c r="S284" s="140"/>
      <c r="T284" s="140"/>
      <c r="U284" s="140"/>
      <c r="V284" s="140"/>
      <c r="W284" s="140"/>
    </row>
    <row r="285">
      <c r="A285" s="140"/>
      <c r="B285" s="140"/>
      <c r="C285" s="140"/>
      <c r="D285" s="140"/>
      <c r="E285" s="140"/>
      <c r="F285" s="140"/>
      <c r="G285" s="140"/>
      <c r="H285" s="140"/>
      <c r="I285" s="140"/>
      <c r="J285" s="140"/>
      <c r="K285" s="455"/>
      <c r="L285" s="455"/>
      <c r="M285" s="140"/>
      <c r="N285" s="140"/>
      <c r="O285" s="140"/>
      <c r="P285" s="140"/>
      <c r="Q285" s="140"/>
      <c r="R285" s="140"/>
      <c r="S285" s="140"/>
      <c r="T285" s="140"/>
      <c r="U285" s="140"/>
      <c r="V285" s="140"/>
      <c r="W285" s="140"/>
    </row>
    <row r="286">
      <c r="A286" s="140"/>
      <c r="B286" s="140"/>
      <c r="C286" s="140"/>
      <c r="D286" s="140"/>
      <c r="E286" s="140"/>
      <c r="F286" s="140"/>
      <c r="G286" s="140"/>
      <c r="H286" s="140"/>
      <c r="I286" s="140"/>
      <c r="J286" s="140"/>
      <c r="K286" s="455"/>
      <c r="L286" s="455"/>
      <c r="M286" s="140"/>
      <c r="N286" s="140"/>
      <c r="O286" s="140"/>
      <c r="P286" s="140"/>
      <c r="Q286" s="140"/>
      <c r="R286" s="140"/>
      <c r="S286" s="140"/>
      <c r="T286" s="140"/>
      <c r="U286" s="140"/>
      <c r="V286" s="140"/>
      <c r="W286" s="140"/>
    </row>
    <row r="287">
      <c r="A287" s="140"/>
      <c r="B287" s="140"/>
      <c r="C287" s="140"/>
      <c r="D287" s="140"/>
      <c r="E287" s="140"/>
      <c r="F287" s="140"/>
      <c r="G287" s="140"/>
      <c r="H287" s="140"/>
      <c r="I287" s="140"/>
      <c r="J287" s="140"/>
      <c r="K287" s="455"/>
      <c r="L287" s="455"/>
      <c r="M287" s="140"/>
      <c r="N287" s="140"/>
      <c r="O287" s="140"/>
      <c r="P287" s="140"/>
      <c r="Q287" s="140"/>
      <c r="R287" s="140"/>
      <c r="S287" s="140"/>
      <c r="T287" s="140"/>
      <c r="U287" s="140"/>
      <c r="V287" s="140"/>
      <c r="W287" s="140"/>
    </row>
    <row r="288">
      <c r="A288" s="140"/>
      <c r="B288" s="140"/>
      <c r="C288" s="140"/>
      <c r="D288" s="140"/>
      <c r="E288" s="140"/>
      <c r="F288" s="140"/>
      <c r="G288" s="140"/>
      <c r="H288" s="140"/>
      <c r="I288" s="140"/>
      <c r="J288" s="140"/>
      <c r="K288" s="455"/>
      <c r="L288" s="455"/>
      <c r="M288" s="140"/>
      <c r="N288" s="140"/>
      <c r="O288" s="140"/>
      <c r="P288" s="140"/>
      <c r="Q288" s="140"/>
      <c r="R288" s="140"/>
      <c r="S288" s="140"/>
      <c r="T288" s="140"/>
      <c r="U288" s="140"/>
      <c r="V288" s="140"/>
      <c r="W288" s="140"/>
    </row>
    <row r="289">
      <c r="A289" s="140"/>
      <c r="B289" s="140"/>
      <c r="C289" s="140"/>
      <c r="D289" s="140"/>
      <c r="E289" s="140"/>
      <c r="F289" s="140"/>
      <c r="G289" s="140"/>
      <c r="H289" s="140"/>
      <c r="I289" s="140"/>
      <c r="J289" s="140"/>
      <c r="K289" s="455"/>
      <c r="L289" s="455"/>
      <c r="M289" s="140"/>
      <c r="N289" s="140"/>
      <c r="O289" s="140"/>
      <c r="P289" s="140"/>
      <c r="Q289" s="140"/>
      <c r="R289" s="140"/>
      <c r="S289" s="140"/>
      <c r="T289" s="140"/>
      <c r="U289" s="140"/>
      <c r="V289" s="140"/>
      <c r="W289" s="140"/>
    </row>
    <row r="290">
      <c r="A290" s="140"/>
      <c r="B290" s="140"/>
      <c r="C290" s="140"/>
      <c r="D290" s="140"/>
      <c r="E290" s="140"/>
      <c r="F290" s="140"/>
      <c r="G290" s="140"/>
      <c r="H290" s="140"/>
      <c r="I290" s="140"/>
      <c r="J290" s="140"/>
      <c r="K290" s="455"/>
      <c r="L290" s="455"/>
      <c r="M290" s="140"/>
      <c r="N290" s="140"/>
      <c r="O290" s="140"/>
      <c r="P290" s="140"/>
      <c r="Q290" s="140"/>
      <c r="R290" s="140"/>
      <c r="S290" s="140"/>
      <c r="T290" s="140"/>
      <c r="U290" s="140"/>
      <c r="V290" s="140"/>
      <c r="W290" s="140"/>
    </row>
    <row r="291">
      <c r="A291" s="140"/>
      <c r="B291" s="140"/>
      <c r="C291" s="140"/>
      <c r="D291" s="140"/>
      <c r="E291" s="140"/>
      <c r="F291" s="140"/>
      <c r="G291" s="140"/>
      <c r="H291" s="140"/>
      <c r="I291" s="140"/>
      <c r="J291" s="140"/>
      <c r="K291" s="455"/>
      <c r="L291" s="455"/>
      <c r="M291" s="140"/>
      <c r="N291" s="140"/>
      <c r="O291" s="140"/>
      <c r="P291" s="140"/>
      <c r="Q291" s="140"/>
      <c r="R291" s="140"/>
      <c r="S291" s="140"/>
      <c r="T291" s="140"/>
      <c r="U291" s="140"/>
      <c r="V291" s="140"/>
      <c r="W291" s="140"/>
    </row>
    <row r="292">
      <c r="A292" s="140"/>
      <c r="B292" s="140"/>
      <c r="C292" s="140"/>
      <c r="D292" s="140"/>
      <c r="E292" s="140"/>
      <c r="F292" s="140"/>
      <c r="G292" s="140"/>
      <c r="H292" s="140"/>
      <c r="I292" s="140"/>
      <c r="J292" s="140"/>
      <c r="K292" s="455"/>
      <c r="L292" s="455"/>
      <c r="M292" s="140"/>
      <c r="N292" s="140"/>
      <c r="O292" s="140"/>
      <c r="P292" s="140"/>
      <c r="Q292" s="140"/>
      <c r="R292" s="140"/>
      <c r="S292" s="140"/>
      <c r="T292" s="140"/>
      <c r="U292" s="140"/>
      <c r="V292" s="140"/>
      <c r="W292" s="140"/>
    </row>
    <row r="293">
      <c r="A293" s="140"/>
      <c r="B293" s="140"/>
      <c r="C293" s="140"/>
      <c r="D293" s="140"/>
      <c r="E293" s="140"/>
      <c r="F293" s="140"/>
      <c r="G293" s="140"/>
      <c r="H293" s="140"/>
      <c r="I293" s="140"/>
      <c r="J293" s="140"/>
      <c r="K293" s="455"/>
      <c r="L293" s="455"/>
      <c r="M293" s="140"/>
      <c r="N293" s="140"/>
      <c r="O293" s="140"/>
      <c r="P293" s="140"/>
      <c r="Q293" s="140"/>
      <c r="R293" s="140"/>
      <c r="S293" s="140"/>
      <c r="T293" s="140"/>
      <c r="U293" s="140"/>
      <c r="V293" s="140"/>
      <c r="W293" s="140"/>
    </row>
    <row r="294">
      <c r="A294" s="140"/>
      <c r="B294" s="140"/>
      <c r="C294" s="140"/>
      <c r="D294" s="140"/>
      <c r="E294" s="140"/>
      <c r="F294" s="140"/>
      <c r="G294" s="140"/>
      <c r="H294" s="140"/>
      <c r="I294" s="140"/>
      <c r="J294" s="140"/>
      <c r="K294" s="455"/>
      <c r="L294" s="455"/>
      <c r="M294" s="140"/>
      <c r="N294" s="140"/>
      <c r="O294" s="140"/>
      <c r="P294" s="140"/>
      <c r="Q294" s="140"/>
      <c r="R294" s="140"/>
      <c r="S294" s="140"/>
      <c r="T294" s="140"/>
      <c r="U294" s="140"/>
      <c r="V294" s="140"/>
      <c r="W294" s="140"/>
    </row>
    <row r="295">
      <c r="A295" s="140"/>
      <c r="B295" s="140"/>
      <c r="C295" s="140"/>
      <c r="D295" s="140"/>
      <c r="E295" s="140"/>
      <c r="F295" s="140"/>
      <c r="G295" s="140"/>
      <c r="H295" s="140"/>
      <c r="I295" s="140"/>
      <c r="J295" s="140"/>
      <c r="K295" s="455"/>
      <c r="L295" s="455"/>
      <c r="M295" s="140"/>
      <c r="N295" s="140"/>
      <c r="O295" s="140"/>
      <c r="P295" s="140"/>
      <c r="Q295" s="140"/>
      <c r="R295" s="140"/>
      <c r="S295" s="140"/>
      <c r="T295" s="140"/>
      <c r="U295" s="140"/>
      <c r="V295" s="140"/>
      <c r="W295" s="140"/>
    </row>
    <row r="296">
      <c r="A296" s="140"/>
      <c r="B296" s="140"/>
      <c r="C296" s="140"/>
      <c r="D296" s="140"/>
      <c r="E296" s="140"/>
      <c r="F296" s="140"/>
      <c r="G296" s="140"/>
      <c r="H296" s="140"/>
      <c r="I296" s="140"/>
      <c r="J296" s="140"/>
      <c r="K296" s="455"/>
      <c r="L296" s="455"/>
      <c r="M296" s="140"/>
      <c r="N296" s="140"/>
      <c r="O296" s="140"/>
      <c r="P296" s="140"/>
      <c r="Q296" s="140"/>
      <c r="R296" s="140"/>
      <c r="S296" s="140"/>
      <c r="T296" s="140"/>
      <c r="U296" s="140"/>
      <c r="V296" s="140"/>
      <c r="W296" s="140"/>
    </row>
    <row r="297">
      <c r="A297" s="140"/>
      <c r="B297" s="140"/>
      <c r="C297" s="140"/>
      <c r="D297" s="140"/>
      <c r="E297" s="140"/>
      <c r="F297" s="140"/>
      <c r="G297" s="140"/>
      <c r="H297" s="140"/>
      <c r="I297" s="140"/>
      <c r="J297" s="140"/>
      <c r="K297" s="455"/>
      <c r="L297" s="455"/>
      <c r="M297" s="140"/>
      <c r="N297" s="140"/>
      <c r="O297" s="140"/>
      <c r="P297" s="140"/>
      <c r="Q297" s="140"/>
      <c r="R297" s="140"/>
      <c r="S297" s="140"/>
      <c r="T297" s="140"/>
      <c r="U297" s="140"/>
      <c r="V297" s="140"/>
      <c r="W297" s="140"/>
    </row>
    <row r="298">
      <c r="A298" s="140"/>
      <c r="B298" s="140"/>
      <c r="C298" s="140"/>
      <c r="D298" s="140"/>
      <c r="E298" s="140"/>
      <c r="F298" s="140"/>
      <c r="G298" s="140"/>
      <c r="H298" s="140"/>
      <c r="I298" s="140"/>
      <c r="J298" s="140"/>
      <c r="K298" s="455"/>
      <c r="L298" s="455"/>
      <c r="M298" s="140"/>
      <c r="N298" s="140"/>
      <c r="O298" s="140"/>
      <c r="P298" s="140"/>
      <c r="Q298" s="140"/>
      <c r="R298" s="140"/>
      <c r="S298" s="140"/>
      <c r="T298" s="140"/>
      <c r="U298" s="140"/>
      <c r="V298" s="140"/>
      <c r="W298" s="140"/>
    </row>
    <row r="299">
      <c r="A299" s="140"/>
      <c r="B299" s="140"/>
      <c r="C299" s="140"/>
      <c r="D299" s="140"/>
      <c r="E299" s="140"/>
      <c r="F299" s="140"/>
      <c r="G299" s="140"/>
      <c r="H299" s="140"/>
      <c r="I299" s="140"/>
      <c r="J299" s="140"/>
      <c r="K299" s="455"/>
      <c r="L299" s="455"/>
      <c r="M299" s="140"/>
      <c r="N299" s="140"/>
      <c r="O299" s="140"/>
      <c r="P299" s="140"/>
      <c r="Q299" s="140"/>
      <c r="R299" s="140"/>
      <c r="S299" s="140"/>
      <c r="T299" s="140"/>
      <c r="U299" s="140"/>
      <c r="V299" s="140"/>
      <c r="W299" s="140"/>
    </row>
    <row r="300">
      <c r="A300" s="140"/>
      <c r="B300" s="140"/>
      <c r="C300" s="140"/>
      <c r="D300" s="140"/>
      <c r="E300" s="140"/>
      <c r="F300" s="140"/>
      <c r="G300" s="140"/>
      <c r="H300" s="140"/>
      <c r="I300" s="140"/>
      <c r="J300" s="140"/>
      <c r="K300" s="455"/>
      <c r="L300" s="455"/>
      <c r="M300" s="140"/>
      <c r="N300" s="140"/>
      <c r="O300" s="140"/>
      <c r="P300" s="140"/>
      <c r="Q300" s="140"/>
      <c r="R300" s="140"/>
      <c r="S300" s="140"/>
      <c r="T300" s="140"/>
      <c r="U300" s="140"/>
      <c r="V300" s="140"/>
      <c r="W300" s="140"/>
    </row>
    <row r="301">
      <c r="A301" s="140"/>
      <c r="B301" s="140"/>
      <c r="C301" s="140"/>
      <c r="D301" s="140"/>
      <c r="E301" s="140"/>
      <c r="F301" s="140"/>
      <c r="G301" s="140"/>
      <c r="H301" s="140"/>
      <c r="I301" s="140"/>
      <c r="J301" s="140"/>
      <c r="K301" s="455"/>
      <c r="L301" s="455"/>
      <c r="M301" s="140"/>
      <c r="N301" s="140"/>
      <c r="O301" s="140"/>
      <c r="P301" s="140"/>
      <c r="Q301" s="140"/>
      <c r="R301" s="140"/>
      <c r="S301" s="140"/>
      <c r="T301" s="140"/>
      <c r="U301" s="140"/>
      <c r="V301" s="140"/>
      <c r="W301" s="140"/>
    </row>
    <row r="302">
      <c r="A302" s="140"/>
      <c r="B302" s="140"/>
      <c r="C302" s="140"/>
      <c r="D302" s="140"/>
      <c r="E302" s="140"/>
      <c r="F302" s="140"/>
      <c r="G302" s="140"/>
      <c r="H302" s="140"/>
      <c r="I302" s="140"/>
      <c r="J302" s="140"/>
      <c r="K302" s="455"/>
      <c r="L302" s="455"/>
      <c r="M302" s="140"/>
      <c r="N302" s="140"/>
      <c r="O302" s="140"/>
      <c r="P302" s="140"/>
      <c r="Q302" s="140"/>
      <c r="R302" s="140"/>
      <c r="S302" s="140"/>
      <c r="T302" s="140"/>
      <c r="U302" s="140"/>
      <c r="V302" s="140"/>
      <c r="W302" s="140"/>
    </row>
    <row r="303">
      <c r="A303" s="140"/>
      <c r="B303" s="140"/>
      <c r="C303" s="140"/>
      <c r="D303" s="140"/>
      <c r="E303" s="140"/>
      <c r="F303" s="140"/>
      <c r="G303" s="140"/>
      <c r="H303" s="140"/>
      <c r="I303" s="140"/>
      <c r="J303" s="140"/>
      <c r="K303" s="455"/>
      <c r="L303" s="455"/>
      <c r="M303" s="140"/>
      <c r="N303" s="140"/>
      <c r="O303" s="140"/>
      <c r="P303" s="140"/>
      <c r="Q303" s="140"/>
      <c r="R303" s="140"/>
      <c r="S303" s="140"/>
      <c r="T303" s="140"/>
      <c r="U303" s="140"/>
      <c r="V303" s="140"/>
      <c r="W303" s="140"/>
    </row>
    <row r="304">
      <c r="A304" s="140"/>
      <c r="B304" s="140"/>
      <c r="C304" s="140"/>
      <c r="D304" s="140"/>
      <c r="E304" s="140"/>
      <c r="F304" s="140"/>
      <c r="G304" s="140"/>
      <c r="H304" s="140"/>
      <c r="I304" s="140"/>
      <c r="J304" s="140"/>
      <c r="K304" s="455"/>
      <c r="L304" s="455"/>
      <c r="M304" s="140"/>
      <c r="N304" s="140"/>
      <c r="O304" s="140"/>
      <c r="P304" s="140"/>
      <c r="Q304" s="140"/>
      <c r="R304" s="140"/>
      <c r="S304" s="140"/>
      <c r="T304" s="140"/>
      <c r="U304" s="140"/>
      <c r="V304" s="140"/>
      <c r="W304" s="140"/>
    </row>
    <row r="305">
      <c r="A305" s="140"/>
      <c r="B305" s="140"/>
      <c r="C305" s="140"/>
      <c r="D305" s="140"/>
      <c r="E305" s="140"/>
      <c r="F305" s="140"/>
      <c r="G305" s="140"/>
      <c r="H305" s="140"/>
      <c r="I305" s="140"/>
      <c r="J305" s="140"/>
      <c r="K305" s="455"/>
      <c r="L305" s="455"/>
      <c r="M305" s="140"/>
      <c r="N305" s="140"/>
      <c r="O305" s="140"/>
      <c r="P305" s="140"/>
      <c r="Q305" s="140"/>
      <c r="R305" s="140"/>
      <c r="S305" s="140"/>
      <c r="T305" s="140"/>
      <c r="U305" s="140"/>
      <c r="V305" s="140"/>
      <c r="W305" s="140"/>
    </row>
    <row r="306">
      <c r="A306" s="140"/>
      <c r="B306" s="140"/>
      <c r="C306" s="140"/>
      <c r="D306" s="140"/>
      <c r="E306" s="140"/>
      <c r="F306" s="140"/>
      <c r="G306" s="140"/>
      <c r="H306" s="140"/>
      <c r="I306" s="140"/>
      <c r="J306" s="140"/>
      <c r="K306" s="455"/>
      <c r="L306" s="455"/>
      <c r="M306" s="140"/>
      <c r="N306" s="140"/>
      <c r="O306" s="140"/>
      <c r="P306" s="140"/>
      <c r="Q306" s="140"/>
      <c r="R306" s="140"/>
      <c r="S306" s="140"/>
      <c r="T306" s="140"/>
      <c r="U306" s="140"/>
      <c r="V306" s="140"/>
      <c r="W306" s="140"/>
    </row>
    <row r="307">
      <c r="A307" s="140"/>
      <c r="B307" s="140"/>
      <c r="C307" s="140"/>
      <c r="D307" s="140"/>
      <c r="E307" s="140"/>
      <c r="F307" s="140"/>
      <c r="G307" s="140"/>
      <c r="H307" s="140"/>
      <c r="I307" s="140"/>
      <c r="J307" s="140"/>
      <c r="K307" s="455"/>
      <c r="L307" s="455"/>
      <c r="M307" s="140"/>
      <c r="N307" s="140"/>
      <c r="O307" s="140"/>
      <c r="P307" s="140"/>
      <c r="Q307" s="140"/>
      <c r="R307" s="140"/>
      <c r="S307" s="140"/>
      <c r="T307" s="140"/>
      <c r="U307" s="140"/>
      <c r="V307" s="140"/>
      <c r="W307" s="140"/>
    </row>
    <row r="308">
      <c r="A308" s="140"/>
      <c r="B308" s="140"/>
      <c r="C308" s="140"/>
      <c r="D308" s="140"/>
      <c r="E308" s="140"/>
      <c r="F308" s="140"/>
      <c r="G308" s="140"/>
      <c r="H308" s="140"/>
      <c r="I308" s="140"/>
      <c r="J308" s="140"/>
      <c r="K308" s="455"/>
      <c r="L308" s="455"/>
      <c r="M308" s="140"/>
      <c r="N308" s="140"/>
      <c r="O308" s="140"/>
      <c r="P308" s="140"/>
      <c r="Q308" s="140"/>
      <c r="R308" s="140"/>
      <c r="S308" s="140"/>
      <c r="T308" s="140"/>
      <c r="U308" s="140"/>
      <c r="V308" s="140"/>
      <c r="W308" s="140"/>
    </row>
    <row r="309">
      <c r="A309" s="140"/>
      <c r="B309" s="140"/>
      <c r="C309" s="140"/>
      <c r="D309" s="140"/>
      <c r="E309" s="140"/>
      <c r="F309" s="140"/>
      <c r="G309" s="140"/>
      <c r="H309" s="140"/>
      <c r="I309" s="140"/>
      <c r="J309" s="140"/>
      <c r="K309" s="455"/>
      <c r="L309" s="455"/>
      <c r="M309" s="140"/>
      <c r="N309" s="140"/>
      <c r="O309" s="140"/>
      <c r="P309" s="140"/>
      <c r="Q309" s="140"/>
      <c r="R309" s="140"/>
      <c r="S309" s="140"/>
      <c r="T309" s="140"/>
      <c r="U309" s="140"/>
      <c r="V309" s="140"/>
      <c r="W309" s="140"/>
    </row>
    <row r="310">
      <c r="A310" s="140"/>
      <c r="B310" s="140"/>
      <c r="C310" s="140"/>
      <c r="D310" s="140"/>
      <c r="E310" s="140"/>
      <c r="F310" s="140"/>
      <c r="G310" s="140"/>
      <c r="H310" s="140"/>
      <c r="I310" s="140"/>
      <c r="J310" s="140"/>
      <c r="K310" s="455"/>
      <c r="L310" s="455"/>
      <c r="M310" s="140"/>
      <c r="N310" s="140"/>
      <c r="O310" s="140"/>
      <c r="P310" s="140"/>
      <c r="Q310" s="140"/>
      <c r="R310" s="140"/>
      <c r="S310" s="140"/>
      <c r="T310" s="140"/>
      <c r="U310" s="140"/>
      <c r="V310" s="140"/>
      <c r="W310" s="140"/>
    </row>
    <row r="311">
      <c r="A311" s="140"/>
      <c r="B311" s="140"/>
      <c r="C311" s="140"/>
      <c r="D311" s="140"/>
      <c r="E311" s="140"/>
      <c r="F311" s="140"/>
      <c r="G311" s="140"/>
      <c r="H311" s="140"/>
      <c r="I311" s="140"/>
      <c r="J311" s="140"/>
      <c r="K311" s="455"/>
      <c r="L311" s="455"/>
      <c r="M311" s="140"/>
      <c r="N311" s="140"/>
      <c r="O311" s="140"/>
      <c r="P311" s="140"/>
      <c r="Q311" s="140"/>
      <c r="R311" s="140"/>
      <c r="S311" s="140"/>
      <c r="T311" s="140"/>
      <c r="U311" s="140"/>
      <c r="V311" s="140"/>
      <c r="W311" s="140"/>
    </row>
    <row r="312">
      <c r="A312" s="140"/>
      <c r="B312" s="140"/>
      <c r="C312" s="140"/>
      <c r="D312" s="140"/>
      <c r="E312" s="140"/>
      <c r="F312" s="140"/>
      <c r="G312" s="140"/>
      <c r="H312" s="140"/>
      <c r="I312" s="140"/>
      <c r="J312" s="140"/>
      <c r="K312" s="455"/>
      <c r="L312" s="455"/>
      <c r="M312" s="140"/>
      <c r="N312" s="140"/>
      <c r="O312" s="140"/>
      <c r="P312" s="140"/>
      <c r="Q312" s="140"/>
      <c r="R312" s="140"/>
      <c r="S312" s="140"/>
      <c r="T312" s="140"/>
      <c r="U312" s="140"/>
      <c r="V312" s="140"/>
      <c r="W312" s="140"/>
    </row>
    <row r="313">
      <c r="A313" s="140"/>
      <c r="B313" s="140"/>
      <c r="C313" s="140"/>
      <c r="D313" s="140"/>
      <c r="E313" s="140"/>
      <c r="F313" s="140"/>
      <c r="G313" s="140"/>
      <c r="H313" s="140"/>
      <c r="I313" s="140"/>
      <c r="J313" s="140"/>
      <c r="K313" s="455"/>
      <c r="L313" s="455"/>
      <c r="M313" s="140"/>
      <c r="N313" s="140"/>
      <c r="O313" s="140"/>
      <c r="P313" s="140"/>
      <c r="Q313" s="140"/>
      <c r="R313" s="140"/>
      <c r="S313" s="140"/>
      <c r="T313" s="140"/>
      <c r="U313" s="140"/>
      <c r="V313" s="140"/>
      <c r="W313" s="140"/>
    </row>
    <row r="314">
      <c r="A314" s="140"/>
      <c r="B314" s="140"/>
      <c r="C314" s="140"/>
      <c r="D314" s="140"/>
      <c r="E314" s="140"/>
      <c r="F314" s="140"/>
      <c r="G314" s="140"/>
      <c r="H314" s="140"/>
      <c r="I314" s="140"/>
      <c r="J314" s="140"/>
      <c r="K314" s="455"/>
      <c r="L314" s="455"/>
      <c r="M314" s="140"/>
      <c r="N314" s="140"/>
      <c r="O314" s="140"/>
      <c r="P314" s="140"/>
      <c r="Q314" s="140"/>
      <c r="R314" s="140"/>
      <c r="S314" s="140"/>
      <c r="T314" s="140"/>
      <c r="U314" s="140"/>
      <c r="V314" s="140"/>
      <c r="W314" s="140"/>
    </row>
    <row r="315">
      <c r="A315" s="140"/>
      <c r="B315" s="140"/>
      <c r="C315" s="140"/>
      <c r="D315" s="140"/>
      <c r="E315" s="140"/>
      <c r="F315" s="140"/>
      <c r="G315" s="140"/>
      <c r="H315" s="140"/>
      <c r="I315" s="140"/>
      <c r="J315" s="140"/>
      <c r="K315" s="455"/>
      <c r="L315" s="455"/>
      <c r="M315" s="140"/>
      <c r="N315" s="140"/>
      <c r="O315" s="140"/>
      <c r="P315" s="140"/>
      <c r="Q315" s="140"/>
      <c r="R315" s="140"/>
      <c r="S315" s="140"/>
      <c r="T315" s="140"/>
      <c r="U315" s="140"/>
      <c r="V315" s="140"/>
      <c r="W315" s="140"/>
    </row>
    <row r="316">
      <c r="A316" s="140"/>
      <c r="B316" s="140"/>
      <c r="C316" s="140"/>
      <c r="D316" s="140"/>
      <c r="E316" s="140"/>
      <c r="F316" s="140"/>
      <c r="G316" s="140"/>
      <c r="H316" s="140"/>
      <c r="I316" s="140"/>
      <c r="J316" s="140"/>
      <c r="K316" s="455"/>
      <c r="L316" s="455"/>
      <c r="M316" s="140"/>
      <c r="N316" s="140"/>
      <c r="O316" s="140"/>
      <c r="P316" s="140"/>
      <c r="Q316" s="140"/>
      <c r="R316" s="140"/>
      <c r="S316" s="140"/>
      <c r="T316" s="140"/>
      <c r="U316" s="140"/>
      <c r="V316" s="140"/>
      <c r="W316" s="140"/>
    </row>
    <row r="317">
      <c r="A317" s="140"/>
      <c r="B317" s="140"/>
      <c r="C317" s="140"/>
      <c r="D317" s="140"/>
      <c r="E317" s="140"/>
      <c r="F317" s="140"/>
      <c r="G317" s="140"/>
      <c r="H317" s="140"/>
      <c r="I317" s="140"/>
      <c r="J317" s="140"/>
      <c r="K317" s="455"/>
      <c r="L317" s="455"/>
      <c r="M317" s="140"/>
      <c r="N317" s="140"/>
      <c r="O317" s="140"/>
      <c r="P317" s="140"/>
      <c r="Q317" s="140"/>
      <c r="R317" s="140"/>
      <c r="S317" s="140"/>
      <c r="T317" s="140"/>
      <c r="U317" s="140"/>
      <c r="V317" s="140"/>
      <c r="W317" s="140"/>
    </row>
    <row r="318">
      <c r="A318" s="140"/>
      <c r="B318" s="140"/>
      <c r="C318" s="140"/>
      <c r="D318" s="140"/>
      <c r="E318" s="140"/>
      <c r="F318" s="140"/>
      <c r="G318" s="140"/>
      <c r="H318" s="140"/>
      <c r="I318" s="140"/>
      <c r="J318" s="140"/>
      <c r="K318" s="455"/>
      <c r="L318" s="455"/>
      <c r="M318" s="140"/>
      <c r="N318" s="140"/>
      <c r="O318" s="140"/>
      <c r="P318" s="140"/>
      <c r="Q318" s="140"/>
      <c r="R318" s="140"/>
      <c r="S318" s="140"/>
      <c r="T318" s="140"/>
      <c r="U318" s="140"/>
      <c r="V318" s="140"/>
      <c r="W318" s="140"/>
    </row>
    <row r="319">
      <c r="A319" s="140"/>
      <c r="B319" s="140"/>
      <c r="C319" s="140"/>
      <c r="D319" s="140"/>
      <c r="E319" s="140"/>
      <c r="F319" s="140"/>
      <c r="G319" s="140"/>
      <c r="H319" s="140"/>
      <c r="I319" s="140"/>
      <c r="J319" s="140"/>
      <c r="K319" s="455"/>
      <c r="L319" s="455"/>
      <c r="M319" s="140"/>
      <c r="N319" s="140"/>
      <c r="O319" s="140"/>
      <c r="P319" s="140"/>
      <c r="Q319" s="140"/>
      <c r="R319" s="140"/>
      <c r="S319" s="140"/>
      <c r="T319" s="140"/>
      <c r="U319" s="140"/>
      <c r="V319" s="140"/>
      <c r="W319" s="140"/>
    </row>
    <row r="320">
      <c r="A320" s="140"/>
      <c r="B320" s="140"/>
      <c r="C320" s="140"/>
      <c r="D320" s="140"/>
      <c r="E320" s="140"/>
      <c r="F320" s="140"/>
      <c r="G320" s="140"/>
      <c r="H320" s="140"/>
      <c r="I320" s="140"/>
      <c r="J320" s="140"/>
      <c r="K320" s="455"/>
      <c r="L320" s="455"/>
      <c r="M320" s="140"/>
      <c r="N320" s="140"/>
      <c r="O320" s="140"/>
      <c r="P320" s="140"/>
      <c r="Q320" s="140"/>
      <c r="R320" s="140"/>
      <c r="S320" s="140"/>
      <c r="T320" s="140"/>
      <c r="U320" s="140"/>
      <c r="V320" s="140"/>
      <c r="W320" s="140"/>
    </row>
    <row r="321">
      <c r="A321" s="140"/>
      <c r="B321" s="140"/>
      <c r="C321" s="140"/>
      <c r="D321" s="140"/>
      <c r="E321" s="140"/>
      <c r="F321" s="140"/>
      <c r="G321" s="140"/>
      <c r="H321" s="140"/>
      <c r="I321" s="140"/>
      <c r="J321" s="140"/>
      <c r="K321" s="455"/>
      <c r="L321" s="455"/>
      <c r="M321" s="140"/>
      <c r="N321" s="140"/>
      <c r="O321" s="140"/>
      <c r="P321" s="140"/>
      <c r="Q321" s="140"/>
      <c r="R321" s="140"/>
      <c r="S321" s="140"/>
      <c r="T321" s="140"/>
      <c r="U321" s="140"/>
      <c r="V321" s="140"/>
      <c r="W321" s="140"/>
    </row>
    <row r="322">
      <c r="A322" s="140"/>
      <c r="B322" s="140"/>
      <c r="C322" s="140"/>
      <c r="D322" s="140"/>
      <c r="E322" s="140"/>
      <c r="F322" s="140"/>
      <c r="G322" s="140"/>
      <c r="H322" s="140"/>
      <c r="I322" s="140"/>
      <c r="J322" s="140"/>
      <c r="K322" s="455"/>
      <c r="L322" s="455"/>
      <c r="M322" s="140"/>
      <c r="N322" s="140"/>
      <c r="O322" s="140"/>
      <c r="P322" s="140"/>
      <c r="Q322" s="140"/>
      <c r="R322" s="140"/>
      <c r="S322" s="140"/>
      <c r="T322" s="140"/>
      <c r="U322" s="140"/>
      <c r="V322" s="140"/>
      <c r="W322" s="140"/>
    </row>
    <row r="323">
      <c r="A323" s="140"/>
      <c r="B323" s="140"/>
      <c r="C323" s="140"/>
      <c r="D323" s="140"/>
      <c r="E323" s="140"/>
      <c r="F323" s="140"/>
      <c r="G323" s="140"/>
      <c r="H323" s="140"/>
      <c r="I323" s="140"/>
      <c r="J323" s="140"/>
      <c r="K323" s="455"/>
      <c r="L323" s="455"/>
      <c r="M323" s="140"/>
      <c r="N323" s="140"/>
      <c r="O323" s="140"/>
      <c r="P323" s="140"/>
      <c r="Q323" s="140"/>
      <c r="R323" s="140"/>
      <c r="S323" s="140"/>
      <c r="T323" s="140"/>
      <c r="U323" s="140"/>
      <c r="V323" s="140"/>
      <c r="W323" s="140"/>
    </row>
    <row r="324">
      <c r="A324" s="140"/>
      <c r="B324" s="140"/>
      <c r="C324" s="140"/>
      <c r="D324" s="140"/>
      <c r="E324" s="140"/>
      <c r="F324" s="140"/>
      <c r="G324" s="140"/>
      <c r="H324" s="140"/>
      <c r="I324" s="140"/>
      <c r="J324" s="140"/>
      <c r="K324" s="455"/>
      <c r="L324" s="455"/>
      <c r="M324" s="140"/>
      <c r="N324" s="140"/>
      <c r="O324" s="140"/>
      <c r="P324" s="140"/>
      <c r="Q324" s="140"/>
      <c r="R324" s="140"/>
      <c r="S324" s="140"/>
      <c r="T324" s="140"/>
      <c r="U324" s="140"/>
      <c r="V324" s="140"/>
      <c r="W324" s="140"/>
    </row>
    <row r="325">
      <c r="A325" s="140"/>
      <c r="B325" s="140"/>
      <c r="C325" s="140"/>
      <c r="D325" s="140"/>
      <c r="E325" s="140"/>
      <c r="F325" s="140"/>
      <c r="G325" s="140"/>
      <c r="H325" s="140"/>
      <c r="I325" s="140"/>
      <c r="J325" s="140"/>
      <c r="K325" s="455"/>
      <c r="L325" s="455"/>
      <c r="M325" s="140"/>
      <c r="N325" s="140"/>
      <c r="O325" s="140"/>
      <c r="P325" s="140"/>
      <c r="Q325" s="140"/>
      <c r="R325" s="140"/>
      <c r="S325" s="140"/>
      <c r="T325" s="140"/>
      <c r="U325" s="140"/>
      <c r="V325" s="140"/>
      <c r="W325" s="140"/>
    </row>
    <row r="326">
      <c r="A326" s="140"/>
      <c r="B326" s="140"/>
      <c r="C326" s="140"/>
      <c r="D326" s="140"/>
      <c r="E326" s="140"/>
      <c r="F326" s="140"/>
      <c r="G326" s="140"/>
      <c r="H326" s="140"/>
      <c r="I326" s="140"/>
      <c r="J326" s="140"/>
      <c r="K326" s="455"/>
      <c r="L326" s="455"/>
      <c r="M326" s="140"/>
      <c r="N326" s="140"/>
      <c r="O326" s="140"/>
      <c r="P326" s="140"/>
      <c r="Q326" s="140"/>
      <c r="R326" s="140"/>
      <c r="S326" s="140"/>
      <c r="T326" s="140"/>
      <c r="U326" s="140"/>
      <c r="V326" s="140"/>
      <c r="W326" s="140"/>
    </row>
    <row r="327">
      <c r="A327" s="140"/>
      <c r="B327" s="140"/>
      <c r="C327" s="140"/>
      <c r="D327" s="140"/>
      <c r="E327" s="140"/>
      <c r="F327" s="140"/>
      <c r="G327" s="140"/>
      <c r="H327" s="140"/>
      <c r="I327" s="140"/>
      <c r="J327" s="140"/>
      <c r="K327" s="455"/>
      <c r="L327" s="455"/>
      <c r="M327" s="140"/>
      <c r="N327" s="140"/>
      <c r="O327" s="140"/>
      <c r="P327" s="140"/>
      <c r="Q327" s="140"/>
      <c r="R327" s="140"/>
      <c r="S327" s="140"/>
      <c r="T327" s="140"/>
      <c r="U327" s="140"/>
      <c r="V327" s="140"/>
      <c r="W327" s="140"/>
    </row>
    <row r="328">
      <c r="A328" s="140"/>
      <c r="B328" s="140"/>
      <c r="C328" s="140"/>
      <c r="D328" s="140"/>
      <c r="E328" s="140"/>
      <c r="F328" s="140"/>
      <c r="G328" s="140"/>
      <c r="H328" s="140"/>
      <c r="I328" s="140"/>
      <c r="J328" s="140"/>
      <c r="K328" s="455"/>
      <c r="L328" s="455"/>
      <c r="M328" s="140"/>
      <c r="N328" s="140"/>
      <c r="O328" s="140"/>
      <c r="P328" s="140"/>
      <c r="Q328" s="140"/>
      <c r="R328" s="140"/>
      <c r="S328" s="140"/>
      <c r="T328" s="140"/>
      <c r="U328" s="140"/>
      <c r="V328" s="140"/>
      <c r="W328" s="140"/>
    </row>
    <row r="329">
      <c r="A329" s="140"/>
      <c r="B329" s="140"/>
      <c r="C329" s="140"/>
      <c r="D329" s="140"/>
      <c r="E329" s="140"/>
      <c r="F329" s="140"/>
      <c r="G329" s="140"/>
      <c r="H329" s="140"/>
      <c r="I329" s="140"/>
      <c r="J329" s="140"/>
      <c r="K329" s="455"/>
      <c r="L329" s="455"/>
      <c r="M329" s="140"/>
      <c r="N329" s="140"/>
      <c r="O329" s="140"/>
      <c r="P329" s="140"/>
      <c r="Q329" s="140"/>
      <c r="R329" s="140"/>
      <c r="S329" s="140"/>
      <c r="T329" s="140"/>
      <c r="U329" s="140"/>
      <c r="V329" s="140"/>
      <c r="W329" s="140"/>
    </row>
    <row r="330">
      <c r="A330" s="140"/>
      <c r="B330" s="140"/>
      <c r="C330" s="140"/>
      <c r="D330" s="140"/>
      <c r="E330" s="140"/>
      <c r="F330" s="140"/>
      <c r="G330" s="140"/>
      <c r="H330" s="140"/>
      <c r="I330" s="140"/>
      <c r="J330" s="140"/>
      <c r="K330" s="455"/>
      <c r="L330" s="455"/>
      <c r="M330" s="140"/>
      <c r="N330" s="140"/>
      <c r="O330" s="140"/>
      <c r="P330" s="140"/>
      <c r="Q330" s="140"/>
      <c r="R330" s="140"/>
      <c r="S330" s="140"/>
      <c r="T330" s="140"/>
      <c r="U330" s="140"/>
      <c r="V330" s="140"/>
      <c r="W330" s="140"/>
    </row>
    <row r="331">
      <c r="A331" s="140"/>
      <c r="B331" s="140"/>
      <c r="C331" s="140"/>
      <c r="D331" s="140"/>
      <c r="E331" s="140"/>
      <c r="F331" s="140"/>
      <c r="G331" s="140"/>
      <c r="H331" s="140"/>
      <c r="I331" s="140"/>
      <c r="J331" s="140"/>
      <c r="K331" s="455"/>
      <c r="L331" s="455"/>
      <c r="M331" s="140"/>
      <c r="N331" s="140"/>
      <c r="O331" s="140"/>
      <c r="P331" s="140"/>
      <c r="Q331" s="140"/>
      <c r="R331" s="140"/>
      <c r="S331" s="140"/>
      <c r="T331" s="140"/>
      <c r="U331" s="140"/>
      <c r="V331" s="140"/>
      <c r="W331" s="140"/>
    </row>
    <row r="332">
      <c r="A332" s="140"/>
      <c r="B332" s="140"/>
      <c r="C332" s="140"/>
      <c r="D332" s="140"/>
      <c r="E332" s="140"/>
      <c r="F332" s="140"/>
      <c r="G332" s="140"/>
      <c r="H332" s="140"/>
      <c r="I332" s="140"/>
      <c r="J332" s="140"/>
      <c r="K332" s="455"/>
      <c r="L332" s="455"/>
      <c r="M332" s="140"/>
      <c r="N332" s="140"/>
      <c r="O332" s="140"/>
      <c r="P332" s="140"/>
      <c r="Q332" s="140"/>
      <c r="R332" s="140"/>
      <c r="S332" s="140"/>
      <c r="T332" s="140"/>
      <c r="U332" s="140"/>
      <c r="V332" s="140"/>
      <c r="W332" s="140"/>
    </row>
    <row r="333">
      <c r="A333" s="140"/>
      <c r="B333" s="140"/>
      <c r="C333" s="140"/>
      <c r="D333" s="140"/>
      <c r="E333" s="140"/>
      <c r="F333" s="140"/>
      <c r="G333" s="140"/>
      <c r="H333" s="140"/>
      <c r="I333" s="140"/>
      <c r="J333" s="140"/>
      <c r="K333" s="455"/>
      <c r="L333" s="455"/>
      <c r="M333" s="140"/>
      <c r="N333" s="140"/>
      <c r="O333" s="140"/>
      <c r="P333" s="140"/>
      <c r="Q333" s="140"/>
      <c r="R333" s="140"/>
      <c r="S333" s="140"/>
      <c r="T333" s="140"/>
      <c r="U333" s="140"/>
      <c r="V333" s="140"/>
      <c r="W333" s="140"/>
    </row>
    <row r="334">
      <c r="A334" s="140"/>
      <c r="B334" s="140"/>
      <c r="C334" s="140"/>
      <c r="D334" s="140"/>
      <c r="E334" s="140"/>
      <c r="F334" s="140"/>
      <c r="G334" s="140"/>
      <c r="H334" s="140"/>
      <c r="I334" s="140"/>
      <c r="J334" s="140"/>
      <c r="K334" s="455"/>
      <c r="L334" s="455"/>
      <c r="M334" s="140"/>
      <c r="N334" s="140"/>
      <c r="O334" s="140"/>
      <c r="P334" s="140"/>
      <c r="Q334" s="140"/>
      <c r="R334" s="140"/>
      <c r="S334" s="140"/>
      <c r="T334" s="140"/>
      <c r="U334" s="140"/>
      <c r="V334" s="140"/>
      <c r="W334" s="140"/>
    </row>
    <row r="335">
      <c r="A335" s="140"/>
      <c r="B335" s="140"/>
      <c r="C335" s="140"/>
      <c r="D335" s="140"/>
      <c r="E335" s="140"/>
      <c r="F335" s="140"/>
      <c r="G335" s="140"/>
      <c r="H335" s="140"/>
      <c r="I335" s="140"/>
      <c r="J335" s="140"/>
      <c r="K335" s="455"/>
      <c r="L335" s="455"/>
      <c r="M335" s="140"/>
      <c r="N335" s="140"/>
      <c r="O335" s="140"/>
      <c r="P335" s="140"/>
      <c r="Q335" s="140"/>
      <c r="R335" s="140"/>
      <c r="S335" s="140"/>
      <c r="T335" s="140"/>
      <c r="U335" s="140"/>
      <c r="V335" s="140"/>
      <c r="W335" s="140"/>
    </row>
    <row r="336">
      <c r="A336" s="140"/>
      <c r="B336" s="140"/>
      <c r="C336" s="140"/>
      <c r="D336" s="140"/>
      <c r="E336" s="140"/>
      <c r="F336" s="140"/>
      <c r="G336" s="140"/>
      <c r="H336" s="140"/>
      <c r="I336" s="140"/>
      <c r="J336" s="140"/>
      <c r="K336" s="455"/>
      <c r="L336" s="455"/>
      <c r="M336" s="140"/>
      <c r="N336" s="140"/>
      <c r="O336" s="140"/>
      <c r="P336" s="140"/>
      <c r="Q336" s="140"/>
      <c r="R336" s="140"/>
      <c r="S336" s="140"/>
      <c r="T336" s="140"/>
      <c r="U336" s="140"/>
      <c r="V336" s="140"/>
      <c r="W336" s="140"/>
    </row>
    <row r="337">
      <c r="A337" s="140"/>
      <c r="B337" s="140"/>
      <c r="C337" s="140"/>
      <c r="D337" s="140"/>
      <c r="E337" s="140"/>
      <c r="F337" s="140"/>
      <c r="G337" s="140"/>
      <c r="H337" s="140"/>
      <c r="I337" s="140"/>
      <c r="J337" s="140"/>
      <c r="K337" s="455"/>
      <c r="L337" s="455"/>
      <c r="M337" s="140"/>
      <c r="N337" s="140"/>
      <c r="O337" s="140"/>
      <c r="P337" s="140"/>
      <c r="Q337" s="140"/>
      <c r="R337" s="140"/>
      <c r="S337" s="140"/>
      <c r="T337" s="140"/>
      <c r="U337" s="140"/>
      <c r="V337" s="140"/>
      <c r="W337" s="140"/>
    </row>
    <row r="338">
      <c r="A338" s="140"/>
      <c r="B338" s="140"/>
      <c r="C338" s="140"/>
      <c r="D338" s="140"/>
      <c r="E338" s="140"/>
      <c r="F338" s="140"/>
      <c r="G338" s="140"/>
      <c r="H338" s="140"/>
      <c r="I338" s="140"/>
      <c r="J338" s="140"/>
      <c r="K338" s="455"/>
      <c r="L338" s="455"/>
      <c r="M338" s="140"/>
      <c r="N338" s="140"/>
      <c r="O338" s="140"/>
      <c r="P338" s="140"/>
      <c r="Q338" s="140"/>
      <c r="R338" s="140"/>
      <c r="S338" s="140"/>
      <c r="T338" s="140"/>
      <c r="U338" s="140"/>
      <c r="V338" s="140"/>
      <c r="W338" s="140"/>
    </row>
    <row r="339">
      <c r="A339" s="140"/>
      <c r="B339" s="140"/>
      <c r="C339" s="140"/>
      <c r="D339" s="140"/>
      <c r="E339" s="140"/>
      <c r="F339" s="140"/>
      <c r="G339" s="140"/>
      <c r="H339" s="140"/>
      <c r="I339" s="140"/>
      <c r="J339" s="140"/>
      <c r="K339" s="455"/>
      <c r="L339" s="455"/>
      <c r="M339" s="140"/>
      <c r="N339" s="140"/>
      <c r="O339" s="140"/>
      <c r="P339" s="140"/>
      <c r="Q339" s="140"/>
      <c r="R339" s="140"/>
      <c r="S339" s="140"/>
      <c r="T339" s="140"/>
      <c r="U339" s="140"/>
      <c r="V339" s="140"/>
      <c r="W339" s="140"/>
    </row>
    <row r="340">
      <c r="A340" s="140"/>
      <c r="B340" s="140"/>
      <c r="C340" s="140"/>
      <c r="D340" s="140"/>
      <c r="E340" s="140"/>
      <c r="F340" s="140"/>
      <c r="G340" s="140"/>
      <c r="H340" s="140"/>
      <c r="I340" s="140"/>
      <c r="J340" s="140"/>
      <c r="K340" s="455"/>
      <c r="L340" s="455"/>
      <c r="M340" s="140"/>
      <c r="N340" s="140"/>
      <c r="O340" s="140"/>
      <c r="P340" s="140"/>
      <c r="Q340" s="140"/>
      <c r="R340" s="140"/>
      <c r="S340" s="140"/>
      <c r="T340" s="140"/>
      <c r="U340" s="140"/>
      <c r="V340" s="140"/>
      <c r="W340" s="140"/>
    </row>
    <row r="341">
      <c r="A341" s="140"/>
      <c r="B341" s="140"/>
      <c r="C341" s="140"/>
      <c r="D341" s="140"/>
      <c r="E341" s="140"/>
      <c r="F341" s="140"/>
      <c r="G341" s="140"/>
      <c r="H341" s="140"/>
      <c r="I341" s="140"/>
      <c r="J341" s="140"/>
      <c r="K341" s="455"/>
      <c r="L341" s="455"/>
      <c r="M341" s="140"/>
      <c r="N341" s="140"/>
      <c r="O341" s="140"/>
      <c r="P341" s="140"/>
      <c r="Q341" s="140"/>
      <c r="R341" s="140"/>
      <c r="S341" s="140"/>
      <c r="T341" s="140"/>
      <c r="U341" s="140"/>
      <c r="V341" s="140"/>
      <c r="W341" s="140"/>
    </row>
    <row r="342">
      <c r="A342" s="140"/>
      <c r="B342" s="140"/>
      <c r="C342" s="140"/>
      <c r="D342" s="140"/>
      <c r="E342" s="140"/>
      <c r="F342" s="140"/>
      <c r="G342" s="140"/>
      <c r="H342" s="140"/>
      <c r="I342" s="140"/>
      <c r="J342" s="140"/>
      <c r="K342" s="455"/>
      <c r="L342" s="455"/>
      <c r="M342" s="140"/>
      <c r="N342" s="140"/>
      <c r="O342" s="140"/>
      <c r="P342" s="140"/>
      <c r="Q342" s="140"/>
      <c r="R342" s="140"/>
      <c r="S342" s="140"/>
      <c r="T342" s="140"/>
      <c r="U342" s="140"/>
      <c r="V342" s="140"/>
      <c r="W342" s="140"/>
    </row>
    <row r="343">
      <c r="A343" s="140"/>
      <c r="B343" s="140"/>
      <c r="C343" s="140"/>
      <c r="D343" s="140"/>
      <c r="E343" s="140"/>
      <c r="F343" s="140"/>
      <c r="G343" s="140"/>
      <c r="H343" s="140"/>
      <c r="I343" s="140"/>
      <c r="J343" s="140"/>
      <c r="K343" s="455"/>
      <c r="L343" s="455"/>
      <c r="M343" s="140"/>
      <c r="N343" s="140"/>
      <c r="O343" s="140"/>
      <c r="P343" s="140"/>
      <c r="Q343" s="140"/>
      <c r="R343" s="140"/>
      <c r="S343" s="140"/>
      <c r="T343" s="140"/>
      <c r="U343" s="140"/>
      <c r="V343" s="140"/>
      <c r="W343" s="140"/>
    </row>
    <row r="344">
      <c r="A344" s="140"/>
      <c r="B344" s="140"/>
      <c r="C344" s="140"/>
      <c r="D344" s="140"/>
      <c r="E344" s="140"/>
      <c r="F344" s="140"/>
      <c r="G344" s="140"/>
      <c r="H344" s="140"/>
      <c r="I344" s="140"/>
      <c r="J344" s="140"/>
      <c r="K344" s="455"/>
      <c r="L344" s="455"/>
      <c r="M344" s="140"/>
      <c r="N344" s="140"/>
      <c r="O344" s="140"/>
      <c r="P344" s="140"/>
      <c r="Q344" s="140"/>
      <c r="R344" s="140"/>
      <c r="S344" s="140"/>
      <c r="T344" s="140"/>
      <c r="U344" s="140"/>
      <c r="V344" s="140"/>
      <c r="W344" s="140"/>
    </row>
    <row r="345">
      <c r="A345" s="140"/>
      <c r="B345" s="140"/>
      <c r="C345" s="140"/>
      <c r="D345" s="140"/>
      <c r="E345" s="140"/>
      <c r="F345" s="140"/>
      <c r="G345" s="140"/>
      <c r="H345" s="140"/>
      <c r="I345" s="140"/>
      <c r="J345" s="140"/>
      <c r="K345" s="455"/>
      <c r="L345" s="455"/>
      <c r="M345" s="140"/>
      <c r="N345" s="140"/>
      <c r="O345" s="140"/>
      <c r="P345" s="140"/>
      <c r="Q345" s="140"/>
      <c r="R345" s="140"/>
      <c r="S345" s="140"/>
      <c r="T345" s="140"/>
      <c r="U345" s="140"/>
      <c r="V345" s="140"/>
      <c r="W345" s="140"/>
    </row>
    <row r="346">
      <c r="A346" s="140"/>
      <c r="B346" s="140"/>
      <c r="C346" s="140"/>
      <c r="D346" s="140"/>
      <c r="E346" s="140"/>
      <c r="F346" s="140"/>
      <c r="G346" s="140"/>
      <c r="H346" s="140"/>
      <c r="I346" s="140"/>
      <c r="J346" s="140"/>
      <c r="K346" s="455"/>
      <c r="L346" s="455"/>
      <c r="M346" s="140"/>
      <c r="N346" s="140"/>
      <c r="O346" s="140"/>
      <c r="P346" s="140"/>
      <c r="Q346" s="140"/>
      <c r="R346" s="140"/>
      <c r="S346" s="140"/>
      <c r="T346" s="140"/>
      <c r="U346" s="140"/>
      <c r="V346" s="140"/>
      <c r="W346" s="140"/>
    </row>
    <row r="347">
      <c r="A347" s="140"/>
      <c r="B347" s="140"/>
      <c r="C347" s="140"/>
      <c r="D347" s="140"/>
      <c r="E347" s="140"/>
      <c r="F347" s="140"/>
      <c r="G347" s="140"/>
      <c r="H347" s="140"/>
      <c r="I347" s="140"/>
      <c r="J347" s="140"/>
      <c r="K347" s="455"/>
      <c r="L347" s="455"/>
      <c r="M347" s="140"/>
      <c r="N347" s="140"/>
      <c r="O347" s="140"/>
      <c r="P347" s="140"/>
      <c r="Q347" s="140"/>
      <c r="R347" s="140"/>
      <c r="S347" s="140"/>
      <c r="T347" s="140"/>
      <c r="U347" s="140"/>
      <c r="V347" s="140"/>
      <c r="W347" s="140"/>
    </row>
    <row r="348">
      <c r="A348" s="140"/>
      <c r="B348" s="140"/>
      <c r="C348" s="140"/>
      <c r="D348" s="140"/>
      <c r="E348" s="140"/>
      <c r="F348" s="140"/>
      <c r="G348" s="140"/>
      <c r="H348" s="140"/>
      <c r="I348" s="140"/>
      <c r="J348" s="140"/>
      <c r="K348" s="455"/>
      <c r="L348" s="455"/>
      <c r="M348" s="140"/>
      <c r="N348" s="140"/>
      <c r="O348" s="140"/>
      <c r="P348" s="140"/>
      <c r="Q348" s="140"/>
      <c r="R348" s="140"/>
      <c r="S348" s="140"/>
      <c r="T348" s="140"/>
      <c r="U348" s="140"/>
      <c r="V348" s="140"/>
      <c r="W348" s="140"/>
    </row>
    <row r="349">
      <c r="A349" s="140"/>
      <c r="B349" s="140"/>
      <c r="C349" s="140"/>
      <c r="D349" s="140"/>
      <c r="E349" s="140"/>
      <c r="F349" s="140"/>
      <c r="G349" s="140"/>
      <c r="H349" s="140"/>
      <c r="I349" s="140"/>
      <c r="J349" s="140"/>
      <c r="K349" s="455"/>
      <c r="L349" s="455"/>
      <c r="M349" s="140"/>
      <c r="N349" s="140"/>
      <c r="O349" s="140"/>
      <c r="P349" s="140"/>
      <c r="Q349" s="140"/>
      <c r="R349" s="140"/>
      <c r="S349" s="140"/>
      <c r="T349" s="140"/>
      <c r="U349" s="140"/>
      <c r="V349" s="140"/>
      <c r="W349" s="140"/>
    </row>
    <row r="350">
      <c r="A350" s="140"/>
      <c r="B350" s="140"/>
      <c r="C350" s="140"/>
      <c r="D350" s="140"/>
      <c r="E350" s="140"/>
      <c r="F350" s="140"/>
      <c r="G350" s="140"/>
      <c r="H350" s="140"/>
      <c r="I350" s="140"/>
      <c r="J350" s="140"/>
      <c r="K350" s="455"/>
      <c r="L350" s="455"/>
      <c r="M350" s="140"/>
      <c r="N350" s="140"/>
      <c r="O350" s="140"/>
      <c r="P350" s="140"/>
      <c r="Q350" s="140"/>
      <c r="R350" s="140"/>
      <c r="S350" s="140"/>
      <c r="T350" s="140"/>
      <c r="U350" s="140"/>
      <c r="V350" s="140"/>
      <c r="W350" s="140"/>
    </row>
    <row r="351">
      <c r="A351" s="140"/>
      <c r="B351" s="140"/>
      <c r="C351" s="140"/>
      <c r="D351" s="140"/>
      <c r="E351" s="140"/>
      <c r="F351" s="140"/>
      <c r="G351" s="140"/>
      <c r="H351" s="140"/>
      <c r="I351" s="140"/>
      <c r="J351" s="140"/>
      <c r="K351" s="455"/>
      <c r="L351" s="455"/>
      <c r="M351" s="140"/>
      <c r="N351" s="140"/>
      <c r="O351" s="140"/>
      <c r="P351" s="140"/>
      <c r="Q351" s="140"/>
      <c r="R351" s="140"/>
      <c r="S351" s="140"/>
      <c r="T351" s="140"/>
      <c r="U351" s="140"/>
      <c r="V351" s="140"/>
      <c r="W351" s="140"/>
    </row>
    <row r="352">
      <c r="A352" s="140"/>
      <c r="B352" s="140"/>
      <c r="C352" s="140"/>
      <c r="D352" s="140"/>
      <c r="E352" s="140"/>
      <c r="F352" s="140"/>
      <c r="G352" s="140"/>
      <c r="H352" s="140"/>
      <c r="I352" s="140"/>
      <c r="J352" s="140"/>
      <c r="K352" s="455"/>
      <c r="L352" s="455"/>
      <c r="M352" s="140"/>
      <c r="N352" s="140"/>
      <c r="O352" s="140"/>
      <c r="P352" s="140"/>
      <c r="Q352" s="140"/>
      <c r="R352" s="140"/>
      <c r="S352" s="140"/>
      <c r="T352" s="140"/>
      <c r="U352" s="140"/>
      <c r="V352" s="140"/>
      <c r="W352" s="140"/>
    </row>
    <row r="353">
      <c r="A353" s="140"/>
      <c r="B353" s="140"/>
      <c r="C353" s="140"/>
      <c r="D353" s="140"/>
      <c r="E353" s="140"/>
      <c r="F353" s="140"/>
      <c r="G353" s="140"/>
      <c r="H353" s="140"/>
      <c r="I353" s="140"/>
      <c r="J353" s="140"/>
      <c r="K353" s="455"/>
      <c r="L353" s="455"/>
      <c r="M353" s="140"/>
      <c r="N353" s="140"/>
      <c r="O353" s="140"/>
      <c r="P353" s="140"/>
      <c r="Q353" s="140"/>
      <c r="R353" s="140"/>
      <c r="S353" s="140"/>
      <c r="T353" s="140"/>
      <c r="U353" s="140"/>
      <c r="V353" s="140"/>
      <c r="W353" s="140"/>
    </row>
    <row r="354">
      <c r="A354" s="140"/>
      <c r="B354" s="140"/>
      <c r="C354" s="140"/>
      <c r="D354" s="140"/>
      <c r="E354" s="140"/>
      <c r="F354" s="140"/>
      <c r="G354" s="140"/>
      <c r="H354" s="140"/>
      <c r="I354" s="140"/>
      <c r="J354" s="140"/>
      <c r="K354" s="455"/>
      <c r="L354" s="455"/>
      <c r="M354" s="140"/>
      <c r="N354" s="140"/>
      <c r="O354" s="140"/>
      <c r="P354" s="140"/>
      <c r="Q354" s="140"/>
      <c r="R354" s="140"/>
      <c r="S354" s="140"/>
      <c r="T354" s="140"/>
      <c r="U354" s="140"/>
      <c r="V354" s="140"/>
      <c r="W354" s="140"/>
    </row>
    <row r="355">
      <c r="A355" s="140"/>
      <c r="B355" s="140"/>
      <c r="C355" s="140"/>
      <c r="D355" s="140"/>
      <c r="E355" s="140"/>
      <c r="F355" s="140"/>
      <c r="G355" s="140"/>
      <c r="H355" s="140"/>
      <c r="I355" s="140"/>
      <c r="J355" s="140"/>
      <c r="K355" s="455"/>
      <c r="L355" s="455"/>
      <c r="M355" s="140"/>
      <c r="N355" s="140"/>
      <c r="O355" s="140"/>
      <c r="P355" s="140"/>
      <c r="Q355" s="140"/>
      <c r="R355" s="140"/>
      <c r="S355" s="140"/>
      <c r="T355" s="140"/>
      <c r="U355" s="140"/>
      <c r="V355" s="140"/>
      <c r="W355" s="140"/>
    </row>
    <row r="356">
      <c r="A356" s="140"/>
      <c r="B356" s="140"/>
      <c r="C356" s="140"/>
      <c r="D356" s="140"/>
      <c r="E356" s="140"/>
      <c r="F356" s="140"/>
      <c r="G356" s="140"/>
      <c r="H356" s="140"/>
      <c r="I356" s="140"/>
      <c r="J356" s="140"/>
      <c r="K356" s="455"/>
      <c r="L356" s="455"/>
      <c r="M356" s="140"/>
      <c r="N356" s="140"/>
      <c r="O356" s="140"/>
      <c r="P356" s="140"/>
      <c r="Q356" s="140"/>
      <c r="R356" s="140"/>
      <c r="S356" s="140"/>
      <c r="T356" s="140"/>
      <c r="U356" s="140"/>
      <c r="V356" s="140"/>
      <c r="W356" s="140"/>
    </row>
    <row r="357">
      <c r="A357" s="140"/>
      <c r="B357" s="140"/>
      <c r="C357" s="140"/>
      <c r="D357" s="140"/>
      <c r="E357" s="140"/>
      <c r="F357" s="140"/>
      <c r="G357" s="140"/>
      <c r="H357" s="140"/>
      <c r="I357" s="140"/>
      <c r="J357" s="140"/>
      <c r="K357" s="455"/>
      <c r="L357" s="455"/>
      <c r="M357" s="140"/>
      <c r="N357" s="140"/>
      <c r="O357" s="140"/>
      <c r="P357" s="140"/>
      <c r="Q357" s="140"/>
      <c r="R357" s="140"/>
      <c r="S357" s="140"/>
      <c r="T357" s="140"/>
      <c r="U357" s="140"/>
      <c r="V357" s="140"/>
      <c r="W357" s="140"/>
    </row>
    <row r="358">
      <c r="A358" s="140"/>
      <c r="B358" s="140"/>
      <c r="C358" s="140"/>
      <c r="D358" s="140"/>
      <c r="E358" s="140"/>
      <c r="F358" s="140"/>
      <c r="G358" s="140"/>
      <c r="H358" s="140"/>
      <c r="I358" s="140"/>
      <c r="J358" s="140"/>
      <c r="K358" s="455"/>
      <c r="L358" s="455"/>
      <c r="M358" s="140"/>
      <c r="N358" s="140"/>
      <c r="O358" s="140"/>
      <c r="P358" s="140"/>
      <c r="Q358" s="140"/>
      <c r="R358" s="140"/>
      <c r="S358" s="140"/>
      <c r="T358" s="140"/>
      <c r="U358" s="140"/>
      <c r="V358" s="140"/>
      <c r="W358" s="140"/>
    </row>
    <row r="359">
      <c r="A359" s="140"/>
      <c r="B359" s="140"/>
      <c r="C359" s="140"/>
      <c r="D359" s="140"/>
      <c r="E359" s="140"/>
      <c r="F359" s="140"/>
      <c r="G359" s="140"/>
      <c r="H359" s="140"/>
      <c r="I359" s="140"/>
      <c r="J359" s="140"/>
      <c r="K359" s="455"/>
      <c r="L359" s="455"/>
      <c r="M359" s="140"/>
      <c r="N359" s="140"/>
      <c r="O359" s="140"/>
      <c r="P359" s="140"/>
      <c r="Q359" s="140"/>
      <c r="R359" s="140"/>
      <c r="S359" s="140"/>
      <c r="T359" s="140"/>
      <c r="U359" s="140"/>
      <c r="V359" s="140"/>
      <c r="W359" s="140"/>
    </row>
    <row r="360">
      <c r="A360" s="140"/>
      <c r="B360" s="140"/>
      <c r="C360" s="140"/>
      <c r="D360" s="140"/>
      <c r="E360" s="140"/>
      <c r="F360" s="140"/>
      <c r="G360" s="140"/>
      <c r="H360" s="140"/>
      <c r="I360" s="140"/>
      <c r="J360" s="140"/>
      <c r="K360" s="455"/>
      <c r="L360" s="455"/>
      <c r="M360" s="140"/>
      <c r="N360" s="140"/>
      <c r="O360" s="140"/>
      <c r="P360" s="140"/>
      <c r="Q360" s="140"/>
      <c r="R360" s="140"/>
      <c r="S360" s="140"/>
      <c r="T360" s="140"/>
      <c r="U360" s="140"/>
      <c r="V360" s="140"/>
      <c r="W360" s="140"/>
    </row>
    <row r="361">
      <c r="A361" s="140"/>
      <c r="B361" s="140"/>
      <c r="C361" s="140"/>
      <c r="D361" s="140"/>
      <c r="E361" s="140"/>
      <c r="F361" s="140"/>
      <c r="G361" s="140"/>
      <c r="H361" s="140"/>
      <c r="I361" s="140"/>
      <c r="J361" s="140"/>
      <c r="K361" s="455"/>
      <c r="L361" s="455"/>
      <c r="M361" s="140"/>
      <c r="N361" s="140"/>
      <c r="O361" s="140"/>
      <c r="P361" s="140"/>
      <c r="Q361" s="140"/>
      <c r="R361" s="140"/>
      <c r="S361" s="140"/>
      <c r="T361" s="140"/>
      <c r="U361" s="140"/>
      <c r="V361" s="140"/>
      <c r="W361" s="140"/>
    </row>
    <row r="362">
      <c r="A362" s="140"/>
      <c r="B362" s="140"/>
      <c r="C362" s="140"/>
      <c r="D362" s="140"/>
      <c r="E362" s="140"/>
      <c r="F362" s="140"/>
      <c r="G362" s="140"/>
      <c r="H362" s="140"/>
      <c r="I362" s="140"/>
      <c r="J362" s="140"/>
      <c r="K362" s="455"/>
      <c r="L362" s="455"/>
      <c r="M362" s="140"/>
      <c r="N362" s="140"/>
      <c r="O362" s="140"/>
      <c r="P362" s="140"/>
      <c r="Q362" s="140"/>
      <c r="R362" s="140"/>
      <c r="S362" s="140"/>
      <c r="T362" s="140"/>
      <c r="U362" s="140"/>
      <c r="V362" s="140"/>
      <c r="W362" s="140"/>
    </row>
    <row r="363">
      <c r="A363" s="140"/>
      <c r="B363" s="140"/>
      <c r="C363" s="140"/>
      <c r="D363" s="140"/>
      <c r="E363" s="140"/>
      <c r="F363" s="140"/>
      <c r="G363" s="140"/>
      <c r="H363" s="140"/>
      <c r="I363" s="140"/>
      <c r="J363" s="140"/>
      <c r="K363" s="455"/>
      <c r="L363" s="455"/>
      <c r="M363" s="140"/>
      <c r="N363" s="140"/>
      <c r="O363" s="140"/>
      <c r="P363" s="140"/>
      <c r="Q363" s="140"/>
      <c r="R363" s="140"/>
      <c r="S363" s="140"/>
      <c r="T363" s="140"/>
      <c r="U363" s="140"/>
      <c r="V363" s="140"/>
      <c r="W363" s="140"/>
    </row>
    <row r="364">
      <c r="A364" s="140"/>
      <c r="B364" s="140"/>
      <c r="C364" s="140"/>
      <c r="D364" s="140"/>
      <c r="E364" s="140"/>
      <c r="F364" s="140"/>
      <c r="G364" s="140"/>
      <c r="H364" s="140"/>
      <c r="I364" s="140"/>
      <c r="J364" s="140"/>
      <c r="K364" s="455"/>
      <c r="L364" s="455"/>
      <c r="M364" s="140"/>
      <c r="N364" s="140"/>
      <c r="O364" s="140"/>
      <c r="P364" s="140"/>
      <c r="Q364" s="140"/>
      <c r="R364" s="140"/>
      <c r="S364" s="140"/>
      <c r="T364" s="140"/>
      <c r="U364" s="140"/>
      <c r="V364" s="140"/>
      <c r="W364" s="140"/>
    </row>
    <row r="365">
      <c r="A365" s="140"/>
      <c r="B365" s="140"/>
      <c r="C365" s="140"/>
      <c r="D365" s="140"/>
      <c r="E365" s="140"/>
      <c r="F365" s="140"/>
      <c r="G365" s="140"/>
      <c r="H365" s="140"/>
      <c r="I365" s="140"/>
      <c r="J365" s="140"/>
      <c r="K365" s="455"/>
      <c r="L365" s="455"/>
      <c r="M365" s="140"/>
      <c r="N365" s="140"/>
      <c r="O365" s="140"/>
      <c r="P365" s="140"/>
      <c r="Q365" s="140"/>
      <c r="R365" s="140"/>
      <c r="S365" s="140"/>
      <c r="T365" s="140"/>
      <c r="U365" s="140"/>
      <c r="V365" s="140"/>
      <c r="W365" s="140"/>
    </row>
    <row r="366">
      <c r="A366" s="140"/>
      <c r="B366" s="140"/>
      <c r="C366" s="140"/>
      <c r="D366" s="140"/>
      <c r="E366" s="140"/>
      <c r="F366" s="140"/>
      <c r="G366" s="140"/>
      <c r="H366" s="140"/>
      <c r="I366" s="140"/>
      <c r="J366" s="140"/>
      <c r="K366" s="455"/>
      <c r="L366" s="455"/>
      <c r="M366" s="140"/>
      <c r="N366" s="140"/>
      <c r="O366" s="140"/>
      <c r="P366" s="140"/>
      <c r="Q366" s="140"/>
      <c r="R366" s="140"/>
      <c r="S366" s="140"/>
      <c r="T366" s="140"/>
      <c r="U366" s="140"/>
      <c r="V366" s="140"/>
      <c r="W366" s="140"/>
    </row>
    <row r="367">
      <c r="A367" s="140"/>
      <c r="B367" s="140"/>
      <c r="C367" s="140"/>
      <c r="D367" s="140"/>
      <c r="E367" s="140"/>
      <c r="F367" s="140"/>
      <c r="G367" s="140"/>
      <c r="H367" s="140"/>
      <c r="I367" s="140"/>
      <c r="J367" s="140"/>
      <c r="K367" s="455"/>
      <c r="L367" s="455"/>
      <c r="M367" s="140"/>
      <c r="N367" s="140"/>
      <c r="O367" s="140"/>
      <c r="P367" s="140"/>
      <c r="Q367" s="140"/>
      <c r="R367" s="140"/>
      <c r="S367" s="140"/>
      <c r="T367" s="140"/>
      <c r="U367" s="140"/>
      <c r="V367" s="140"/>
      <c r="W367" s="140"/>
    </row>
    <row r="368">
      <c r="A368" s="140"/>
      <c r="B368" s="140"/>
      <c r="C368" s="140"/>
      <c r="D368" s="140"/>
      <c r="E368" s="140"/>
      <c r="F368" s="140"/>
      <c r="G368" s="140"/>
      <c r="H368" s="140"/>
      <c r="I368" s="140"/>
      <c r="J368" s="140"/>
      <c r="K368" s="455"/>
      <c r="L368" s="455"/>
      <c r="M368" s="140"/>
      <c r="N368" s="140"/>
      <c r="O368" s="140"/>
      <c r="P368" s="140"/>
      <c r="Q368" s="140"/>
      <c r="R368" s="140"/>
      <c r="S368" s="140"/>
      <c r="T368" s="140"/>
      <c r="U368" s="140"/>
      <c r="V368" s="140"/>
      <c r="W368" s="140"/>
    </row>
    <row r="369">
      <c r="A369" s="140"/>
      <c r="B369" s="140"/>
      <c r="C369" s="140"/>
      <c r="D369" s="140"/>
      <c r="E369" s="140"/>
      <c r="F369" s="140"/>
      <c r="G369" s="140"/>
      <c r="H369" s="140"/>
      <c r="I369" s="140"/>
      <c r="J369" s="140"/>
      <c r="K369" s="455"/>
      <c r="L369" s="455"/>
      <c r="M369" s="140"/>
      <c r="N369" s="140"/>
      <c r="O369" s="140"/>
      <c r="P369" s="140"/>
      <c r="Q369" s="140"/>
      <c r="R369" s="140"/>
      <c r="S369" s="140"/>
      <c r="T369" s="140"/>
      <c r="U369" s="140"/>
      <c r="V369" s="140"/>
      <c r="W369" s="140"/>
    </row>
    <row r="370">
      <c r="A370" s="140"/>
      <c r="B370" s="140"/>
      <c r="C370" s="140"/>
      <c r="D370" s="140"/>
      <c r="E370" s="140"/>
      <c r="F370" s="140"/>
      <c r="G370" s="140"/>
      <c r="H370" s="140"/>
      <c r="I370" s="140"/>
      <c r="J370" s="140"/>
      <c r="K370" s="455"/>
      <c r="L370" s="455"/>
      <c r="M370" s="140"/>
      <c r="N370" s="140"/>
      <c r="O370" s="140"/>
      <c r="P370" s="140"/>
      <c r="Q370" s="140"/>
      <c r="R370" s="140"/>
      <c r="S370" s="140"/>
      <c r="T370" s="140"/>
      <c r="U370" s="140"/>
      <c r="V370" s="140"/>
      <c r="W370" s="140"/>
    </row>
    <row r="371">
      <c r="A371" s="140"/>
      <c r="B371" s="140"/>
      <c r="C371" s="140"/>
      <c r="D371" s="140"/>
      <c r="E371" s="140"/>
      <c r="F371" s="140"/>
      <c r="G371" s="140"/>
      <c r="H371" s="140"/>
      <c r="I371" s="140"/>
      <c r="J371" s="140"/>
      <c r="K371" s="455"/>
      <c r="L371" s="455"/>
      <c r="M371" s="140"/>
      <c r="N371" s="140"/>
      <c r="O371" s="140"/>
      <c r="P371" s="140"/>
      <c r="Q371" s="140"/>
      <c r="R371" s="140"/>
      <c r="S371" s="140"/>
      <c r="T371" s="140"/>
      <c r="U371" s="140"/>
      <c r="V371" s="140"/>
      <c r="W371" s="140"/>
    </row>
    <row r="372">
      <c r="A372" s="140"/>
      <c r="B372" s="140"/>
      <c r="C372" s="140"/>
      <c r="D372" s="140"/>
      <c r="E372" s="140"/>
      <c r="F372" s="140"/>
      <c r="G372" s="140"/>
      <c r="H372" s="140"/>
      <c r="I372" s="140"/>
      <c r="J372" s="140"/>
      <c r="K372" s="455"/>
      <c r="L372" s="455"/>
      <c r="M372" s="140"/>
      <c r="N372" s="140"/>
      <c r="O372" s="140"/>
      <c r="P372" s="140"/>
      <c r="Q372" s="140"/>
      <c r="R372" s="140"/>
      <c r="S372" s="140"/>
      <c r="T372" s="140"/>
      <c r="U372" s="140"/>
      <c r="V372" s="140"/>
      <c r="W372" s="140"/>
    </row>
    <row r="373">
      <c r="A373" s="140"/>
      <c r="B373" s="140"/>
      <c r="C373" s="140"/>
      <c r="D373" s="140"/>
      <c r="E373" s="140"/>
      <c r="F373" s="140"/>
      <c r="G373" s="140"/>
      <c r="H373" s="140"/>
      <c r="I373" s="140"/>
      <c r="J373" s="140"/>
      <c r="K373" s="455"/>
      <c r="L373" s="455"/>
      <c r="M373" s="140"/>
      <c r="N373" s="140"/>
      <c r="O373" s="140"/>
      <c r="P373" s="140"/>
      <c r="Q373" s="140"/>
      <c r="R373" s="140"/>
      <c r="S373" s="140"/>
      <c r="T373" s="140"/>
      <c r="U373" s="140"/>
      <c r="V373" s="140"/>
      <c r="W373" s="140"/>
    </row>
    <row r="374">
      <c r="A374" s="140"/>
      <c r="B374" s="140"/>
      <c r="C374" s="140"/>
      <c r="D374" s="140"/>
      <c r="E374" s="140"/>
      <c r="F374" s="140"/>
      <c r="G374" s="140"/>
      <c r="H374" s="140"/>
      <c r="I374" s="140"/>
      <c r="J374" s="140"/>
      <c r="K374" s="455"/>
      <c r="L374" s="455"/>
      <c r="M374" s="140"/>
      <c r="N374" s="140"/>
      <c r="O374" s="140"/>
      <c r="P374" s="140"/>
      <c r="Q374" s="140"/>
      <c r="R374" s="140"/>
      <c r="S374" s="140"/>
      <c r="T374" s="140"/>
      <c r="U374" s="140"/>
      <c r="V374" s="140"/>
      <c r="W374" s="140"/>
    </row>
    <row r="375">
      <c r="A375" s="140"/>
      <c r="B375" s="140"/>
      <c r="C375" s="140"/>
      <c r="D375" s="140"/>
      <c r="E375" s="140"/>
      <c r="F375" s="140"/>
      <c r="G375" s="140"/>
      <c r="H375" s="140"/>
      <c r="I375" s="140"/>
      <c r="J375" s="140"/>
      <c r="K375" s="455"/>
      <c r="L375" s="455"/>
      <c r="M375" s="140"/>
      <c r="N375" s="140"/>
      <c r="O375" s="140"/>
      <c r="P375" s="140"/>
      <c r="Q375" s="140"/>
      <c r="R375" s="140"/>
      <c r="S375" s="140"/>
      <c r="T375" s="140"/>
      <c r="U375" s="140"/>
      <c r="V375" s="140"/>
      <c r="W375" s="140"/>
    </row>
    <row r="376">
      <c r="A376" s="140"/>
      <c r="B376" s="140"/>
      <c r="C376" s="140"/>
      <c r="D376" s="140"/>
      <c r="E376" s="140"/>
      <c r="F376" s="140"/>
      <c r="G376" s="140"/>
      <c r="H376" s="140"/>
      <c r="I376" s="140"/>
      <c r="J376" s="140"/>
      <c r="K376" s="455"/>
      <c r="L376" s="455"/>
      <c r="M376" s="140"/>
      <c r="N376" s="140"/>
      <c r="O376" s="140"/>
      <c r="P376" s="140"/>
      <c r="Q376" s="140"/>
      <c r="R376" s="140"/>
      <c r="S376" s="140"/>
      <c r="T376" s="140"/>
      <c r="U376" s="140"/>
      <c r="V376" s="140"/>
      <c r="W376" s="140"/>
    </row>
    <row r="377">
      <c r="A377" s="140"/>
      <c r="B377" s="140"/>
      <c r="C377" s="140"/>
      <c r="D377" s="140"/>
      <c r="E377" s="140"/>
      <c r="F377" s="140"/>
      <c r="G377" s="140"/>
      <c r="H377" s="140"/>
      <c r="I377" s="140"/>
      <c r="J377" s="140"/>
      <c r="K377" s="455"/>
      <c r="L377" s="455"/>
      <c r="M377" s="140"/>
      <c r="N377" s="140"/>
      <c r="O377" s="140"/>
      <c r="P377" s="140"/>
      <c r="Q377" s="140"/>
      <c r="R377" s="140"/>
      <c r="S377" s="140"/>
      <c r="T377" s="140"/>
      <c r="U377" s="140"/>
      <c r="V377" s="140"/>
      <c r="W377" s="140"/>
    </row>
    <row r="378">
      <c r="A378" s="140"/>
      <c r="B378" s="140"/>
      <c r="C378" s="140"/>
      <c r="D378" s="140"/>
      <c r="E378" s="140"/>
      <c r="F378" s="140"/>
      <c r="G378" s="140"/>
      <c r="H378" s="140"/>
      <c r="I378" s="140"/>
      <c r="J378" s="140"/>
      <c r="K378" s="455"/>
      <c r="L378" s="455"/>
      <c r="M378" s="140"/>
      <c r="N378" s="140"/>
      <c r="O378" s="140"/>
      <c r="P378" s="140"/>
      <c r="Q378" s="140"/>
      <c r="R378" s="140"/>
      <c r="S378" s="140"/>
      <c r="T378" s="140"/>
      <c r="U378" s="140"/>
      <c r="V378" s="140"/>
      <c r="W378" s="140"/>
    </row>
    <row r="379">
      <c r="A379" s="140"/>
      <c r="B379" s="140"/>
      <c r="C379" s="140"/>
      <c r="D379" s="140"/>
      <c r="E379" s="140"/>
      <c r="F379" s="140"/>
      <c r="G379" s="140"/>
      <c r="H379" s="140"/>
      <c r="I379" s="140"/>
      <c r="J379" s="140"/>
      <c r="K379" s="455"/>
      <c r="L379" s="455"/>
      <c r="M379" s="140"/>
      <c r="N379" s="140"/>
      <c r="O379" s="140"/>
      <c r="P379" s="140"/>
      <c r="Q379" s="140"/>
      <c r="R379" s="140"/>
      <c r="S379" s="140"/>
      <c r="T379" s="140"/>
      <c r="U379" s="140"/>
      <c r="V379" s="140"/>
      <c r="W379" s="140"/>
    </row>
    <row r="380">
      <c r="A380" s="140"/>
      <c r="B380" s="140"/>
      <c r="C380" s="140"/>
      <c r="D380" s="140"/>
      <c r="E380" s="140"/>
      <c r="F380" s="140"/>
      <c r="G380" s="140"/>
      <c r="H380" s="140"/>
      <c r="I380" s="140"/>
      <c r="J380" s="140"/>
      <c r="K380" s="455"/>
      <c r="L380" s="455"/>
      <c r="M380" s="140"/>
      <c r="N380" s="140"/>
      <c r="O380" s="140"/>
      <c r="P380" s="140"/>
      <c r="Q380" s="140"/>
      <c r="R380" s="140"/>
      <c r="S380" s="140"/>
      <c r="T380" s="140"/>
      <c r="U380" s="140"/>
      <c r="V380" s="140"/>
      <c r="W380" s="140"/>
    </row>
    <row r="381">
      <c r="A381" s="140"/>
      <c r="B381" s="140"/>
      <c r="C381" s="140"/>
      <c r="D381" s="140"/>
      <c r="E381" s="140"/>
      <c r="F381" s="140"/>
      <c r="G381" s="140"/>
      <c r="H381" s="140"/>
      <c r="I381" s="140"/>
      <c r="J381" s="140"/>
      <c r="K381" s="455"/>
      <c r="L381" s="455"/>
      <c r="M381" s="140"/>
      <c r="N381" s="140"/>
      <c r="O381" s="140"/>
      <c r="P381" s="140"/>
      <c r="Q381" s="140"/>
      <c r="R381" s="140"/>
      <c r="S381" s="140"/>
      <c r="T381" s="140"/>
      <c r="U381" s="140"/>
      <c r="V381" s="140"/>
      <c r="W381" s="140"/>
    </row>
    <row r="382">
      <c r="A382" s="140"/>
      <c r="B382" s="140"/>
      <c r="C382" s="140"/>
      <c r="D382" s="140"/>
      <c r="E382" s="140"/>
      <c r="F382" s="140"/>
      <c r="G382" s="140"/>
      <c r="H382" s="140"/>
      <c r="I382" s="140"/>
      <c r="J382" s="140"/>
      <c r="K382" s="455"/>
      <c r="L382" s="455"/>
      <c r="M382" s="140"/>
      <c r="N382" s="140"/>
      <c r="O382" s="140"/>
      <c r="P382" s="140"/>
      <c r="Q382" s="140"/>
      <c r="R382" s="140"/>
      <c r="S382" s="140"/>
      <c r="T382" s="140"/>
      <c r="U382" s="140"/>
      <c r="V382" s="140"/>
      <c r="W382" s="140"/>
    </row>
    <row r="383">
      <c r="A383" s="140"/>
      <c r="B383" s="140"/>
      <c r="C383" s="140"/>
      <c r="D383" s="140"/>
      <c r="E383" s="140"/>
      <c r="F383" s="140"/>
      <c r="G383" s="140"/>
      <c r="H383" s="140"/>
      <c r="I383" s="140"/>
      <c r="J383" s="140"/>
      <c r="K383" s="455"/>
      <c r="L383" s="455"/>
      <c r="M383" s="140"/>
      <c r="N383" s="140"/>
      <c r="O383" s="140"/>
      <c r="P383" s="140"/>
      <c r="Q383" s="140"/>
      <c r="R383" s="140"/>
      <c r="S383" s="140"/>
      <c r="T383" s="140"/>
      <c r="U383" s="140"/>
      <c r="V383" s="140"/>
      <c r="W383" s="140"/>
    </row>
    <row r="384">
      <c r="A384" s="140"/>
      <c r="B384" s="140"/>
      <c r="C384" s="140"/>
      <c r="D384" s="140"/>
      <c r="E384" s="140"/>
      <c r="F384" s="140"/>
      <c r="G384" s="140"/>
      <c r="H384" s="140"/>
      <c r="I384" s="140"/>
      <c r="J384" s="140"/>
      <c r="K384" s="455"/>
      <c r="L384" s="455"/>
      <c r="M384" s="140"/>
      <c r="N384" s="140"/>
      <c r="O384" s="140"/>
      <c r="P384" s="140"/>
      <c r="Q384" s="140"/>
      <c r="R384" s="140"/>
      <c r="S384" s="140"/>
      <c r="T384" s="140"/>
      <c r="U384" s="140"/>
      <c r="V384" s="140"/>
      <c r="W384" s="140"/>
    </row>
    <row r="385">
      <c r="A385" s="140"/>
      <c r="B385" s="140"/>
      <c r="C385" s="140"/>
      <c r="D385" s="140"/>
      <c r="E385" s="140"/>
      <c r="F385" s="140"/>
      <c r="G385" s="140"/>
      <c r="H385" s="140"/>
      <c r="I385" s="140"/>
      <c r="J385" s="140"/>
      <c r="K385" s="455"/>
      <c r="L385" s="455"/>
      <c r="M385" s="140"/>
      <c r="N385" s="140"/>
      <c r="O385" s="140"/>
      <c r="P385" s="140"/>
      <c r="Q385" s="140"/>
      <c r="R385" s="140"/>
      <c r="S385" s="140"/>
      <c r="T385" s="140"/>
      <c r="U385" s="140"/>
      <c r="V385" s="140"/>
      <c r="W385" s="140"/>
    </row>
    <row r="386">
      <c r="A386" s="140"/>
      <c r="B386" s="140"/>
      <c r="C386" s="140"/>
      <c r="D386" s="140"/>
      <c r="E386" s="140"/>
      <c r="F386" s="140"/>
      <c r="G386" s="140"/>
      <c r="H386" s="140"/>
      <c r="I386" s="140"/>
      <c r="J386" s="140"/>
      <c r="K386" s="455"/>
      <c r="L386" s="455"/>
      <c r="M386" s="140"/>
      <c r="N386" s="140"/>
      <c r="O386" s="140"/>
      <c r="P386" s="140"/>
      <c r="Q386" s="140"/>
      <c r="R386" s="140"/>
      <c r="S386" s="140"/>
      <c r="T386" s="140"/>
      <c r="U386" s="140"/>
      <c r="V386" s="140"/>
      <c r="W386" s="140"/>
    </row>
    <row r="387">
      <c r="A387" s="140"/>
      <c r="B387" s="140"/>
      <c r="C387" s="140"/>
      <c r="D387" s="140"/>
      <c r="E387" s="140"/>
      <c r="F387" s="140"/>
      <c r="G387" s="140"/>
      <c r="H387" s="140"/>
      <c r="I387" s="140"/>
      <c r="J387" s="140"/>
      <c r="K387" s="455"/>
      <c r="L387" s="455"/>
      <c r="M387" s="140"/>
      <c r="N387" s="140"/>
      <c r="O387" s="140"/>
      <c r="P387" s="140"/>
      <c r="Q387" s="140"/>
      <c r="R387" s="140"/>
      <c r="S387" s="140"/>
      <c r="T387" s="140"/>
      <c r="U387" s="140"/>
      <c r="V387" s="140"/>
      <c r="W387" s="140"/>
    </row>
    <row r="388">
      <c r="A388" s="140"/>
      <c r="B388" s="140"/>
      <c r="C388" s="140"/>
      <c r="D388" s="140"/>
      <c r="E388" s="140"/>
      <c r="F388" s="140"/>
      <c r="G388" s="140"/>
      <c r="H388" s="140"/>
      <c r="I388" s="140"/>
      <c r="J388" s="140"/>
      <c r="K388" s="455"/>
      <c r="L388" s="455"/>
      <c r="M388" s="140"/>
      <c r="N388" s="140"/>
      <c r="O388" s="140"/>
      <c r="P388" s="140"/>
      <c r="Q388" s="140"/>
      <c r="R388" s="140"/>
      <c r="S388" s="140"/>
      <c r="T388" s="140"/>
      <c r="U388" s="140"/>
      <c r="V388" s="140"/>
      <c r="W388" s="140"/>
    </row>
    <row r="389">
      <c r="A389" s="140"/>
      <c r="B389" s="140"/>
      <c r="C389" s="140"/>
      <c r="D389" s="140"/>
      <c r="E389" s="140"/>
      <c r="F389" s="140"/>
      <c r="G389" s="140"/>
      <c r="H389" s="140"/>
      <c r="I389" s="140"/>
      <c r="J389" s="140"/>
      <c r="K389" s="455"/>
      <c r="L389" s="455"/>
      <c r="M389" s="140"/>
      <c r="N389" s="140"/>
      <c r="O389" s="140"/>
      <c r="P389" s="140"/>
      <c r="Q389" s="140"/>
      <c r="R389" s="140"/>
      <c r="S389" s="140"/>
      <c r="T389" s="140"/>
      <c r="U389" s="140"/>
      <c r="V389" s="140"/>
      <c r="W389" s="140"/>
    </row>
    <row r="390">
      <c r="A390" s="140"/>
      <c r="B390" s="140"/>
      <c r="C390" s="140"/>
      <c r="D390" s="140"/>
      <c r="E390" s="140"/>
      <c r="F390" s="140"/>
      <c r="G390" s="140"/>
      <c r="H390" s="140"/>
      <c r="I390" s="140"/>
      <c r="J390" s="140"/>
      <c r="K390" s="455"/>
      <c r="L390" s="455"/>
      <c r="M390" s="140"/>
      <c r="N390" s="140"/>
      <c r="O390" s="140"/>
      <c r="P390" s="140"/>
      <c r="Q390" s="140"/>
      <c r="R390" s="140"/>
      <c r="S390" s="140"/>
      <c r="T390" s="140"/>
      <c r="U390" s="140"/>
      <c r="V390" s="140"/>
      <c r="W390" s="140"/>
    </row>
    <row r="391">
      <c r="A391" s="140"/>
      <c r="B391" s="140"/>
      <c r="C391" s="140"/>
      <c r="D391" s="140"/>
      <c r="E391" s="140"/>
      <c r="F391" s="140"/>
      <c r="G391" s="140"/>
      <c r="H391" s="140"/>
      <c r="I391" s="140"/>
      <c r="J391" s="140"/>
      <c r="K391" s="455"/>
      <c r="L391" s="455"/>
      <c r="M391" s="140"/>
      <c r="N391" s="140"/>
      <c r="O391" s="140"/>
      <c r="P391" s="140"/>
      <c r="Q391" s="140"/>
      <c r="R391" s="140"/>
      <c r="S391" s="140"/>
      <c r="T391" s="140"/>
      <c r="U391" s="140"/>
      <c r="V391" s="140"/>
      <c r="W391" s="140"/>
    </row>
    <row r="392">
      <c r="A392" s="140"/>
      <c r="B392" s="140"/>
      <c r="C392" s="140"/>
      <c r="D392" s="140"/>
      <c r="E392" s="140"/>
      <c r="F392" s="140"/>
      <c r="G392" s="140"/>
      <c r="H392" s="140"/>
      <c r="I392" s="140"/>
      <c r="J392" s="140"/>
      <c r="K392" s="455"/>
      <c r="L392" s="455"/>
      <c r="M392" s="140"/>
      <c r="N392" s="140"/>
      <c r="O392" s="140"/>
      <c r="P392" s="140"/>
      <c r="Q392" s="140"/>
      <c r="R392" s="140"/>
      <c r="S392" s="140"/>
      <c r="T392" s="140"/>
      <c r="U392" s="140"/>
      <c r="V392" s="140"/>
      <c r="W392" s="140"/>
    </row>
    <row r="393">
      <c r="A393" s="140"/>
      <c r="B393" s="140"/>
      <c r="C393" s="140"/>
      <c r="D393" s="140"/>
      <c r="E393" s="140"/>
      <c r="F393" s="140"/>
      <c r="G393" s="140"/>
      <c r="H393" s="140"/>
      <c r="I393" s="140"/>
      <c r="J393" s="140"/>
      <c r="K393" s="455"/>
      <c r="L393" s="455"/>
      <c r="M393" s="140"/>
      <c r="N393" s="140"/>
      <c r="O393" s="140"/>
      <c r="P393" s="140"/>
      <c r="Q393" s="140"/>
      <c r="R393" s="140"/>
      <c r="S393" s="140"/>
      <c r="T393" s="140"/>
      <c r="U393" s="140"/>
      <c r="V393" s="140"/>
      <c r="W393" s="140"/>
    </row>
    <row r="394">
      <c r="A394" s="140"/>
      <c r="B394" s="140"/>
      <c r="C394" s="140"/>
      <c r="D394" s="140"/>
      <c r="E394" s="140"/>
      <c r="F394" s="140"/>
      <c r="G394" s="140"/>
      <c r="H394" s="140"/>
      <c r="I394" s="140"/>
      <c r="J394" s="140"/>
      <c r="K394" s="455"/>
      <c r="L394" s="455"/>
      <c r="M394" s="140"/>
      <c r="N394" s="140"/>
      <c r="O394" s="140"/>
      <c r="P394" s="140"/>
      <c r="Q394" s="140"/>
      <c r="R394" s="140"/>
      <c r="S394" s="140"/>
      <c r="T394" s="140"/>
      <c r="U394" s="140"/>
      <c r="V394" s="140"/>
      <c r="W394" s="140"/>
    </row>
    <row r="395">
      <c r="A395" s="140"/>
      <c r="B395" s="140"/>
      <c r="C395" s="140"/>
      <c r="D395" s="140"/>
      <c r="E395" s="140"/>
      <c r="F395" s="140"/>
      <c r="G395" s="140"/>
      <c r="H395" s="140"/>
      <c r="I395" s="140"/>
      <c r="J395" s="140"/>
      <c r="K395" s="455"/>
      <c r="L395" s="455"/>
      <c r="M395" s="140"/>
      <c r="N395" s="140"/>
      <c r="O395" s="140"/>
      <c r="P395" s="140"/>
      <c r="Q395" s="140"/>
      <c r="R395" s="140"/>
      <c r="S395" s="140"/>
      <c r="T395" s="140"/>
      <c r="U395" s="140"/>
      <c r="V395" s="140"/>
      <c r="W395" s="140"/>
    </row>
    <row r="396">
      <c r="A396" s="140"/>
      <c r="B396" s="140"/>
      <c r="C396" s="140"/>
      <c r="D396" s="140"/>
      <c r="E396" s="140"/>
      <c r="F396" s="140"/>
      <c r="G396" s="140"/>
      <c r="H396" s="140"/>
      <c r="I396" s="140"/>
      <c r="J396" s="140"/>
      <c r="K396" s="455"/>
      <c r="L396" s="455"/>
      <c r="M396" s="140"/>
      <c r="N396" s="140"/>
      <c r="O396" s="140"/>
      <c r="P396" s="140"/>
      <c r="Q396" s="140"/>
      <c r="R396" s="140"/>
      <c r="S396" s="140"/>
      <c r="T396" s="140"/>
      <c r="U396" s="140"/>
      <c r="V396" s="140"/>
      <c r="W396" s="140"/>
    </row>
    <row r="397">
      <c r="A397" s="140"/>
      <c r="B397" s="140"/>
      <c r="C397" s="140"/>
      <c r="D397" s="140"/>
      <c r="E397" s="140"/>
      <c r="F397" s="140"/>
      <c r="G397" s="140"/>
      <c r="H397" s="140"/>
      <c r="I397" s="140"/>
      <c r="J397" s="140"/>
      <c r="K397" s="455"/>
      <c r="L397" s="455"/>
      <c r="M397" s="140"/>
      <c r="N397" s="140"/>
      <c r="O397" s="140"/>
      <c r="P397" s="140"/>
      <c r="Q397" s="140"/>
      <c r="R397" s="140"/>
      <c r="S397" s="140"/>
      <c r="T397" s="140"/>
      <c r="U397" s="140"/>
      <c r="V397" s="140"/>
      <c r="W397" s="140"/>
    </row>
    <row r="398">
      <c r="A398" s="140"/>
      <c r="B398" s="140"/>
      <c r="C398" s="140"/>
      <c r="D398" s="140"/>
      <c r="E398" s="140"/>
      <c r="F398" s="140"/>
      <c r="G398" s="140"/>
      <c r="H398" s="140"/>
      <c r="I398" s="140"/>
      <c r="J398" s="140"/>
      <c r="K398" s="455"/>
      <c r="L398" s="455"/>
      <c r="M398" s="140"/>
      <c r="N398" s="140"/>
      <c r="O398" s="140"/>
      <c r="P398" s="140"/>
      <c r="Q398" s="140"/>
      <c r="R398" s="140"/>
      <c r="S398" s="140"/>
      <c r="T398" s="140"/>
      <c r="U398" s="140"/>
      <c r="V398" s="140"/>
      <c r="W398" s="140"/>
    </row>
    <row r="399">
      <c r="A399" s="140"/>
      <c r="B399" s="140"/>
      <c r="C399" s="140"/>
      <c r="D399" s="140"/>
      <c r="E399" s="140"/>
      <c r="F399" s="140"/>
      <c r="G399" s="140"/>
      <c r="H399" s="140"/>
      <c r="I399" s="140"/>
      <c r="J399" s="140"/>
      <c r="K399" s="455"/>
      <c r="L399" s="455"/>
      <c r="M399" s="140"/>
      <c r="N399" s="140"/>
      <c r="O399" s="140"/>
      <c r="P399" s="140"/>
      <c r="Q399" s="140"/>
      <c r="R399" s="140"/>
      <c r="S399" s="140"/>
      <c r="T399" s="140"/>
      <c r="U399" s="140"/>
      <c r="V399" s="140"/>
      <c r="W399" s="140"/>
    </row>
    <row r="400">
      <c r="A400" s="140"/>
      <c r="B400" s="140"/>
      <c r="C400" s="140"/>
      <c r="D400" s="140"/>
      <c r="E400" s="140"/>
      <c r="F400" s="140"/>
      <c r="G400" s="140"/>
      <c r="H400" s="140"/>
      <c r="I400" s="140"/>
      <c r="J400" s="140"/>
      <c r="K400" s="455"/>
      <c r="L400" s="455"/>
      <c r="M400" s="140"/>
      <c r="N400" s="140"/>
      <c r="O400" s="140"/>
      <c r="P400" s="140"/>
      <c r="Q400" s="140"/>
      <c r="R400" s="140"/>
      <c r="S400" s="140"/>
      <c r="T400" s="140"/>
      <c r="U400" s="140"/>
      <c r="V400" s="140"/>
      <c r="W400" s="140"/>
    </row>
    <row r="401">
      <c r="A401" s="140"/>
      <c r="B401" s="140"/>
      <c r="C401" s="140"/>
      <c r="D401" s="140"/>
      <c r="E401" s="140"/>
      <c r="F401" s="140"/>
      <c r="G401" s="140"/>
      <c r="H401" s="140"/>
      <c r="I401" s="140"/>
      <c r="J401" s="140"/>
      <c r="K401" s="455"/>
      <c r="L401" s="455"/>
      <c r="M401" s="140"/>
      <c r="N401" s="140"/>
      <c r="O401" s="140"/>
      <c r="P401" s="140"/>
      <c r="Q401" s="140"/>
      <c r="R401" s="140"/>
      <c r="S401" s="140"/>
      <c r="T401" s="140"/>
      <c r="U401" s="140"/>
      <c r="V401" s="140"/>
      <c r="W401" s="140"/>
    </row>
    <row r="402">
      <c r="A402" s="140"/>
      <c r="B402" s="140"/>
      <c r="C402" s="140"/>
      <c r="D402" s="140"/>
      <c r="E402" s="140"/>
      <c r="F402" s="140"/>
      <c r="G402" s="140"/>
      <c r="H402" s="140"/>
      <c r="I402" s="140"/>
      <c r="J402" s="140"/>
      <c r="K402" s="455"/>
      <c r="L402" s="455"/>
      <c r="M402" s="140"/>
      <c r="N402" s="140"/>
      <c r="O402" s="140"/>
      <c r="P402" s="140"/>
      <c r="Q402" s="140"/>
      <c r="R402" s="140"/>
      <c r="S402" s="140"/>
      <c r="T402" s="140"/>
      <c r="U402" s="140"/>
      <c r="V402" s="140"/>
      <c r="W402" s="140"/>
    </row>
    <row r="403">
      <c r="A403" s="140"/>
      <c r="B403" s="140"/>
      <c r="C403" s="140"/>
      <c r="D403" s="140"/>
      <c r="E403" s="140"/>
      <c r="F403" s="140"/>
      <c r="G403" s="140"/>
      <c r="H403" s="140"/>
      <c r="I403" s="140"/>
      <c r="J403" s="140"/>
      <c r="K403" s="455"/>
      <c r="L403" s="455"/>
      <c r="M403" s="140"/>
      <c r="N403" s="140"/>
      <c r="O403" s="140"/>
      <c r="P403" s="140"/>
      <c r="Q403" s="140"/>
      <c r="R403" s="140"/>
      <c r="S403" s="140"/>
      <c r="T403" s="140"/>
      <c r="U403" s="140"/>
      <c r="V403" s="140"/>
      <c r="W403" s="140"/>
    </row>
    <row r="404">
      <c r="A404" s="140"/>
      <c r="B404" s="140"/>
      <c r="C404" s="140"/>
      <c r="D404" s="140"/>
      <c r="E404" s="140"/>
      <c r="F404" s="140"/>
      <c r="G404" s="140"/>
      <c r="H404" s="140"/>
      <c r="I404" s="140"/>
      <c r="J404" s="140"/>
      <c r="K404" s="455"/>
      <c r="L404" s="455"/>
      <c r="M404" s="140"/>
      <c r="N404" s="140"/>
      <c r="O404" s="140"/>
      <c r="P404" s="140"/>
      <c r="Q404" s="140"/>
      <c r="R404" s="140"/>
      <c r="S404" s="140"/>
      <c r="T404" s="140"/>
      <c r="U404" s="140"/>
      <c r="V404" s="140"/>
      <c r="W404" s="140"/>
    </row>
    <row r="405">
      <c r="A405" s="140"/>
      <c r="B405" s="140"/>
      <c r="C405" s="140"/>
      <c r="D405" s="140"/>
      <c r="E405" s="140"/>
      <c r="F405" s="140"/>
      <c r="G405" s="140"/>
      <c r="H405" s="140"/>
      <c r="I405" s="140"/>
      <c r="J405" s="140"/>
      <c r="K405" s="455"/>
      <c r="L405" s="455"/>
      <c r="M405" s="140"/>
      <c r="N405" s="140"/>
      <c r="O405" s="140"/>
      <c r="P405" s="140"/>
      <c r="Q405" s="140"/>
      <c r="R405" s="140"/>
      <c r="S405" s="140"/>
      <c r="T405" s="140"/>
      <c r="U405" s="140"/>
      <c r="V405" s="140"/>
      <c r="W405" s="140"/>
    </row>
    <row r="406">
      <c r="A406" s="140"/>
      <c r="B406" s="140"/>
      <c r="C406" s="140"/>
      <c r="D406" s="140"/>
      <c r="E406" s="140"/>
      <c r="F406" s="140"/>
      <c r="G406" s="140"/>
      <c r="H406" s="140"/>
      <c r="I406" s="140"/>
      <c r="J406" s="140"/>
      <c r="K406" s="455"/>
      <c r="L406" s="455"/>
      <c r="M406" s="140"/>
      <c r="N406" s="140"/>
      <c r="O406" s="140"/>
      <c r="P406" s="140"/>
      <c r="Q406" s="140"/>
      <c r="R406" s="140"/>
      <c r="S406" s="140"/>
      <c r="T406" s="140"/>
      <c r="U406" s="140"/>
      <c r="V406" s="140"/>
      <c r="W406" s="140"/>
    </row>
    <row r="407">
      <c r="A407" s="140"/>
      <c r="B407" s="140"/>
      <c r="C407" s="140"/>
      <c r="D407" s="140"/>
      <c r="E407" s="140"/>
      <c r="F407" s="140"/>
      <c r="G407" s="140"/>
      <c r="H407" s="140"/>
      <c r="I407" s="140"/>
      <c r="J407" s="140"/>
      <c r="K407" s="455"/>
      <c r="L407" s="455"/>
      <c r="M407" s="140"/>
      <c r="N407" s="140"/>
      <c r="O407" s="140"/>
      <c r="P407" s="140"/>
      <c r="Q407" s="140"/>
      <c r="R407" s="140"/>
      <c r="S407" s="140"/>
      <c r="T407" s="140"/>
      <c r="U407" s="140"/>
      <c r="V407" s="140"/>
      <c r="W407" s="140"/>
    </row>
    <row r="408">
      <c r="A408" s="140"/>
      <c r="B408" s="140"/>
      <c r="C408" s="140"/>
      <c r="D408" s="140"/>
      <c r="E408" s="140"/>
      <c r="F408" s="140"/>
      <c r="G408" s="140"/>
      <c r="H408" s="140"/>
      <c r="I408" s="140"/>
      <c r="J408" s="140"/>
      <c r="K408" s="455"/>
      <c r="L408" s="455"/>
      <c r="M408" s="140"/>
      <c r="N408" s="140"/>
      <c r="O408" s="140"/>
      <c r="P408" s="140"/>
      <c r="Q408" s="140"/>
      <c r="R408" s="140"/>
      <c r="S408" s="140"/>
      <c r="T408" s="140"/>
      <c r="U408" s="140"/>
      <c r="V408" s="140"/>
      <c r="W408" s="140"/>
    </row>
    <row r="409">
      <c r="A409" s="140"/>
      <c r="B409" s="140"/>
      <c r="C409" s="140"/>
      <c r="D409" s="140"/>
      <c r="E409" s="140"/>
      <c r="F409" s="140"/>
      <c r="G409" s="140"/>
      <c r="H409" s="140"/>
      <c r="I409" s="140"/>
      <c r="J409" s="140"/>
      <c r="K409" s="455"/>
      <c r="L409" s="455"/>
      <c r="M409" s="140"/>
      <c r="N409" s="140"/>
      <c r="O409" s="140"/>
      <c r="P409" s="140"/>
      <c r="Q409" s="140"/>
      <c r="R409" s="140"/>
      <c r="S409" s="140"/>
      <c r="T409" s="140"/>
      <c r="U409" s="140"/>
      <c r="V409" s="140"/>
      <c r="W409" s="140"/>
    </row>
    <row r="410">
      <c r="A410" s="140"/>
      <c r="B410" s="140"/>
      <c r="C410" s="140"/>
      <c r="D410" s="140"/>
      <c r="E410" s="140"/>
      <c r="F410" s="140"/>
      <c r="G410" s="140"/>
      <c r="H410" s="140"/>
      <c r="I410" s="140"/>
      <c r="J410" s="140"/>
      <c r="K410" s="455"/>
      <c r="L410" s="455"/>
      <c r="M410" s="140"/>
      <c r="N410" s="140"/>
      <c r="O410" s="140"/>
      <c r="P410" s="140"/>
      <c r="Q410" s="140"/>
      <c r="R410" s="140"/>
      <c r="S410" s="140"/>
      <c r="T410" s="140"/>
      <c r="U410" s="140"/>
      <c r="V410" s="140"/>
      <c r="W410" s="140"/>
    </row>
    <row r="411">
      <c r="A411" s="140"/>
      <c r="B411" s="140"/>
      <c r="C411" s="140"/>
      <c r="D411" s="140"/>
      <c r="E411" s="140"/>
      <c r="F411" s="140"/>
      <c r="G411" s="140"/>
      <c r="H411" s="140"/>
      <c r="I411" s="140"/>
      <c r="J411" s="140"/>
      <c r="K411" s="455"/>
      <c r="L411" s="455"/>
      <c r="M411" s="140"/>
      <c r="N411" s="140"/>
      <c r="O411" s="140"/>
      <c r="P411" s="140"/>
      <c r="Q411" s="140"/>
      <c r="R411" s="140"/>
      <c r="S411" s="140"/>
      <c r="T411" s="140"/>
      <c r="U411" s="140"/>
      <c r="V411" s="140"/>
      <c r="W411" s="140"/>
    </row>
    <row r="412">
      <c r="A412" s="140"/>
      <c r="B412" s="140"/>
      <c r="C412" s="140"/>
      <c r="D412" s="140"/>
      <c r="E412" s="140"/>
      <c r="F412" s="140"/>
      <c r="G412" s="140"/>
      <c r="H412" s="140"/>
      <c r="I412" s="140"/>
      <c r="J412" s="140"/>
      <c r="K412" s="455"/>
      <c r="L412" s="455"/>
      <c r="M412" s="140"/>
      <c r="N412" s="140"/>
      <c r="O412" s="140"/>
      <c r="P412" s="140"/>
      <c r="Q412" s="140"/>
      <c r="R412" s="140"/>
      <c r="S412" s="140"/>
      <c r="T412" s="140"/>
      <c r="U412" s="140"/>
      <c r="V412" s="140"/>
      <c r="W412" s="140"/>
    </row>
    <row r="413">
      <c r="A413" s="140"/>
      <c r="B413" s="140"/>
      <c r="C413" s="140"/>
      <c r="D413" s="140"/>
      <c r="E413" s="140"/>
      <c r="F413" s="140"/>
      <c r="G413" s="140"/>
      <c r="H413" s="140"/>
      <c r="I413" s="140"/>
      <c r="J413" s="140"/>
      <c r="K413" s="455"/>
      <c r="L413" s="455"/>
      <c r="M413" s="140"/>
      <c r="N413" s="140"/>
      <c r="O413" s="140"/>
      <c r="P413" s="140"/>
      <c r="Q413" s="140"/>
      <c r="R413" s="140"/>
      <c r="S413" s="140"/>
      <c r="T413" s="140"/>
      <c r="U413" s="140"/>
      <c r="V413" s="140"/>
      <c r="W413" s="140"/>
    </row>
    <row r="414">
      <c r="A414" s="140"/>
      <c r="B414" s="140"/>
      <c r="C414" s="140"/>
      <c r="D414" s="140"/>
      <c r="E414" s="140"/>
      <c r="F414" s="140"/>
      <c r="G414" s="140"/>
      <c r="H414" s="140"/>
      <c r="I414" s="140"/>
      <c r="J414" s="140"/>
      <c r="K414" s="455"/>
      <c r="L414" s="455"/>
      <c r="M414" s="140"/>
      <c r="N414" s="140"/>
      <c r="O414" s="140"/>
      <c r="P414" s="140"/>
      <c r="Q414" s="140"/>
      <c r="R414" s="140"/>
      <c r="S414" s="140"/>
      <c r="T414" s="140"/>
      <c r="U414" s="140"/>
      <c r="V414" s="140"/>
      <c r="W414" s="140"/>
    </row>
    <row r="415">
      <c r="A415" s="140"/>
      <c r="B415" s="140"/>
      <c r="C415" s="140"/>
      <c r="D415" s="140"/>
      <c r="E415" s="140"/>
      <c r="F415" s="140"/>
      <c r="G415" s="140"/>
      <c r="H415" s="140"/>
      <c r="I415" s="140"/>
      <c r="J415" s="140"/>
      <c r="K415" s="455"/>
      <c r="L415" s="455"/>
      <c r="M415" s="140"/>
      <c r="N415" s="140"/>
      <c r="O415" s="140"/>
      <c r="P415" s="140"/>
      <c r="Q415" s="140"/>
      <c r="R415" s="140"/>
      <c r="S415" s="140"/>
      <c r="T415" s="140"/>
      <c r="U415" s="140"/>
      <c r="V415" s="140"/>
      <c r="W415" s="140"/>
    </row>
    <row r="416">
      <c r="A416" s="140"/>
      <c r="B416" s="140"/>
      <c r="C416" s="140"/>
      <c r="D416" s="140"/>
      <c r="E416" s="140"/>
      <c r="F416" s="140"/>
      <c r="G416" s="140"/>
      <c r="H416" s="140"/>
      <c r="I416" s="140"/>
      <c r="J416" s="140"/>
      <c r="K416" s="455"/>
      <c r="L416" s="455"/>
      <c r="M416" s="140"/>
      <c r="N416" s="140"/>
      <c r="O416" s="140"/>
      <c r="P416" s="140"/>
      <c r="Q416" s="140"/>
      <c r="R416" s="140"/>
      <c r="S416" s="140"/>
      <c r="T416" s="140"/>
      <c r="U416" s="140"/>
      <c r="V416" s="140"/>
      <c r="W416" s="140"/>
    </row>
    <row r="417">
      <c r="A417" s="140"/>
      <c r="B417" s="140"/>
      <c r="C417" s="140"/>
      <c r="D417" s="140"/>
      <c r="E417" s="140"/>
      <c r="F417" s="140"/>
      <c r="G417" s="140"/>
      <c r="H417" s="140"/>
      <c r="I417" s="140"/>
      <c r="J417" s="140"/>
      <c r="K417" s="455"/>
      <c r="L417" s="455"/>
      <c r="M417" s="140"/>
      <c r="N417" s="140"/>
      <c r="O417" s="140"/>
      <c r="P417" s="140"/>
      <c r="Q417" s="140"/>
      <c r="R417" s="140"/>
      <c r="S417" s="140"/>
      <c r="T417" s="140"/>
      <c r="U417" s="140"/>
      <c r="V417" s="140"/>
      <c r="W417" s="140"/>
    </row>
    <row r="418">
      <c r="A418" s="140"/>
      <c r="B418" s="140"/>
      <c r="C418" s="140"/>
      <c r="D418" s="140"/>
      <c r="E418" s="140"/>
      <c r="F418" s="140"/>
      <c r="G418" s="140"/>
      <c r="H418" s="140"/>
      <c r="I418" s="140"/>
      <c r="J418" s="140"/>
      <c r="K418" s="455"/>
      <c r="L418" s="455"/>
      <c r="M418" s="140"/>
      <c r="N418" s="140"/>
      <c r="O418" s="140"/>
      <c r="P418" s="140"/>
      <c r="Q418" s="140"/>
      <c r="R418" s="140"/>
      <c r="S418" s="140"/>
      <c r="T418" s="140"/>
      <c r="U418" s="140"/>
      <c r="V418" s="140"/>
      <c r="W418" s="140"/>
    </row>
    <row r="419">
      <c r="A419" s="140"/>
      <c r="B419" s="140"/>
      <c r="C419" s="140"/>
      <c r="D419" s="140"/>
      <c r="E419" s="140"/>
      <c r="F419" s="140"/>
      <c r="G419" s="140"/>
      <c r="H419" s="140"/>
      <c r="I419" s="140"/>
      <c r="J419" s="140"/>
      <c r="K419" s="455"/>
      <c r="L419" s="455"/>
      <c r="M419" s="140"/>
      <c r="N419" s="140"/>
      <c r="O419" s="140"/>
      <c r="P419" s="140"/>
      <c r="Q419" s="140"/>
      <c r="R419" s="140"/>
      <c r="S419" s="140"/>
      <c r="T419" s="140"/>
      <c r="U419" s="140"/>
      <c r="V419" s="140"/>
      <c r="W419" s="140"/>
    </row>
    <row r="420">
      <c r="A420" s="140"/>
      <c r="B420" s="140"/>
      <c r="C420" s="140"/>
      <c r="D420" s="140"/>
      <c r="E420" s="140"/>
      <c r="F420" s="140"/>
      <c r="G420" s="140"/>
      <c r="H420" s="140"/>
      <c r="I420" s="140"/>
      <c r="J420" s="140"/>
      <c r="K420" s="455"/>
      <c r="L420" s="455"/>
      <c r="M420" s="140"/>
      <c r="N420" s="140"/>
      <c r="O420" s="140"/>
      <c r="P420" s="140"/>
      <c r="Q420" s="140"/>
      <c r="R420" s="140"/>
      <c r="S420" s="140"/>
      <c r="T420" s="140"/>
      <c r="U420" s="140"/>
      <c r="V420" s="140"/>
      <c r="W420" s="140"/>
    </row>
    <row r="421">
      <c r="A421" s="140"/>
      <c r="B421" s="140"/>
      <c r="C421" s="140"/>
      <c r="D421" s="140"/>
      <c r="E421" s="140"/>
      <c r="F421" s="140"/>
      <c r="G421" s="140"/>
      <c r="H421" s="140"/>
      <c r="I421" s="140"/>
      <c r="J421" s="140"/>
      <c r="K421" s="455"/>
      <c r="L421" s="455"/>
      <c r="M421" s="140"/>
      <c r="N421" s="140"/>
      <c r="O421" s="140"/>
      <c r="P421" s="140"/>
      <c r="Q421" s="140"/>
      <c r="R421" s="140"/>
      <c r="S421" s="140"/>
      <c r="T421" s="140"/>
      <c r="U421" s="140"/>
      <c r="V421" s="140"/>
      <c r="W421" s="140"/>
    </row>
    <row r="422">
      <c r="A422" s="140"/>
      <c r="B422" s="140"/>
      <c r="C422" s="140"/>
      <c r="D422" s="140"/>
      <c r="E422" s="140"/>
      <c r="F422" s="140"/>
      <c r="G422" s="140"/>
      <c r="H422" s="140"/>
      <c r="I422" s="140"/>
      <c r="J422" s="140"/>
      <c r="K422" s="455"/>
      <c r="L422" s="455"/>
      <c r="M422" s="140"/>
      <c r="N422" s="140"/>
      <c r="O422" s="140"/>
      <c r="P422" s="140"/>
      <c r="Q422" s="140"/>
      <c r="R422" s="140"/>
      <c r="S422" s="140"/>
      <c r="T422" s="140"/>
      <c r="U422" s="140"/>
      <c r="V422" s="140"/>
      <c r="W422" s="140"/>
    </row>
    <row r="423">
      <c r="A423" s="140"/>
      <c r="B423" s="140"/>
      <c r="C423" s="140"/>
      <c r="D423" s="140"/>
      <c r="E423" s="140"/>
      <c r="F423" s="140"/>
      <c r="G423" s="140"/>
      <c r="H423" s="140"/>
      <c r="I423" s="140"/>
      <c r="J423" s="140"/>
      <c r="K423" s="455"/>
      <c r="L423" s="455"/>
      <c r="M423" s="140"/>
      <c r="N423" s="140"/>
      <c r="O423" s="140"/>
      <c r="P423" s="140"/>
      <c r="Q423" s="140"/>
      <c r="R423" s="140"/>
      <c r="S423" s="140"/>
      <c r="T423" s="140"/>
      <c r="U423" s="140"/>
      <c r="V423" s="140"/>
      <c r="W423" s="140"/>
    </row>
    <row r="424">
      <c r="A424" s="140"/>
      <c r="B424" s="140"/>
      <c r="C424" s="140"/>
      <c r="D424" s="140"/>
      <c r="E424" s="140"/>
      <c r="F424" s="140"/>
      <c r="G424" s="140"/>
      <c r="H424" s="140"/>
      <c r="I424" s="140"/>
      <c r="J424" s="140"/>
      <c r="K424" s="455"/>
      <c r="L424" s="455"/>
      <c r="M424" s="140"/>
      <c r="N424" s="140"/>
      <c r="O424" s="140"/>
      <c r="P424" s="140"/>
      <c r="Q424" s="140"/>
      <c r="R424" s="140"/>
      <c r="S424" s="140"/>
      <c r="T424" s="140"/>
      <c r="U424" s="140"/>
      <c r="V424" s="140"/>
      <c r="W424" s="140"/>
    </row>
    <row r="425">
      <c r="A425" s="140"/>
      <c r="B425" s="140"/>
      <c r="C425" s="140"/>
      <c r="D425" s="140"/>
      <c r="E425" s="140"/>
      <c r="F425" s="140"/>
      <c r="G425" s="140"/>
      <c r="H425" s="140"/>
      <c r="I425" s="140"/>
      <c r="J425" s="140"/>
      <c r="K425" s="455"/>
      <c r="L425" s="455"/>
      <c r="M425" s="140"/>
      <c r="N425" s="140"/>
      <c r="O425" s="140"/>
      <c r="P425" s="140"/>
      <c r="Q425" s="140"/>
      <c r="R425" s="140"/>
      <c r="S425" s="140"/>
      <c r="T425" s="140"/>
      <c r="U425" s="140"/>
      <c r="V425" s="140"/>
      <c r="W425" s="140"/>
    </row>
    <row r="426">
      <c r="A426" s="140"/>
      <c r="B426" s="140"/>
      <c r="C426" s="140"/>
      <c r="D426" s="140"/>
      <c r="E426" s="140"/>
      <c r="F426" s="140"/>
      <c r="G426" s="140"/>
      <c r="H426" s="140"/>
      <c r="I426" s="140"/>
      <c r="J426" s="140"/>
      <c r="K426" s="455"/>
      <c r="L426" s="455"/>
      <c r="M426" s="140"/>
      <c r="N426" s="140"/>
      <c r="O426" s="140"/>
      <c r="P426" s="140"/>
      <c r="Q426" s="140"/>
      <c r="R426" s="140"/>
      <c r="S426" s="140"/>
      <c r="T426" s="140"/>
      <c r="U426" s="140"/>
      <c r="V426" s="140"/>
      <c r="W426" s="140"/>
    </row>
    <row r="427">
      <c r="A427" s="140"/>
      <c r="B427" s="140"/>
      <c r="C427" s="140"/>
      <c r="D427" s="140"/>
      <c r="E427" s="140"/>
      <c r="F427" s="140"/>
      <c r="G427" s="140"/>
      <c r="H427" s="140"/>
      <c r="I427" s="140"/>
      <c r="J427" s="140"/>
      <c r="K427" s="455"/>
      <c r="L427" s="455"/>
      <c r="M427" s="140"/>
      <c r="N427" s="140"/>
      <c r="O427" s="140"/>
      <c r="P427" s="140"/>
      <c r="Q427" s="140"/>
      <c r="R427" s="140"/>
      <c r="S427" s="140"/>
      <c r="T427" s="140"/>
      <c r="U427" s="140"/>
      <c r="V427" s="140"/>
      <c r="W427" s="140"/>
    </row>
    <row r="428">
      <c r="A428" s="140"/>
      <c r="B428" s="140"/>
      <c r="C428" s="140"/>
      <c r="D428" s="140"/>
      <c r="E428" s="140"/>
      <c r="F428" s="140"/>
      <c r="G428" s="140"/>
      <c r="H428" s="140"/>
      <c r="I428" s="140"/>
      <c r="J428" s="140"/>
      <c r="K428" s="455"/>
      <c r="L428" s="455"/>
      <c r="M428" s="140"/>
      <c r="N428" s="140"/>
      <c r="O428" s="140"/>
      <c r="P428" s="140"/>
      <c r="Q428" s="140"/>
      <c r="R428" s="140"/>
      <c r="S428" s="140"/>
      <c r="T428" s="140"/>
      <c r="U428" s="140"/>
      <c r="V428" s="140"/>
      <c r="W428" s="140"/>
    </row>
    <row r="429">
      <c r="A429" s="140"/>
      <c r="B429" s="140"/>
      <c r="C429" s="140"/>
      <c r="D429" s="140"/>
      <c r="E429" s="140"/>
      <c r="F429" s="140"/>
      <c r="G429" s="140"/>
      <c r="H429" s="140"/>
      <c r="I429" s="140"/>
      <c r="J429" s="140"/>
      <c r="K429" s="455"/>
      <c r="L429" s="455"/>
      <c r="M429" s="140"/>
      <c r="N429" s="140"/>
      <c r="O429" s="140"/>
      <c r="P429" s="140"/>
      <c r="Q429" s="140"/>
      <c r="R429" s="140"/>
      <c r="S429" s="140"/>
      <c r="T429" s="140"/>
      <c r="U429" s="140"/>
      <c r="V429" s="140"/>
      <c r="W429" s="140"/>
    </row>
    <row r="430">
      <c r="A430" s="140"/>
      <c r="B430" s="140"/>
      <c r="C430" s="140"/>
      <c r="D430" s="140"/>
      <c r="E430" s="140"/>
      <c r="F430" s="140"/>
      <c r="G430" s="140"/>
      <c r="H430" s="140"/>
      <c r="I430" s="140"/>
      <c r="J430" s="140"/>
      <c r="K430" s="455"/>
      <c r="L430" s="455"/>
      <c r="M430" s="140"/>
      <c r="N430" s="140"/>
      <c r="O430" s="140"/>
      <c r="P430" s="140"/>
      <c r="Q430" s="140"/>
      <c r="R430" s="140"/>
      <c r="S430" s="140"/>
      <c r="T430" s="140"/>
      <c r="U430" s="140"/>
      <c r="V430" s="140"/>
      <c r="W430" s="140"/>
    </row>
    <row r="431">
      <c r="A431" s="140"/>
      <c r="B431" s="140"/>
      <c r="C431" s="140"/>
      <c r="D431" s="140"/>
      <c r="E431" s="140"/>
      <c r="F431" s="140"/>
      <c r="G431" s="140"/>
      <c r="H431" s="140"/>
      <c r="I431" s="140"/>
      <c r="J431" s="140"/>
      <c r="K431" s="455"/>
      <c r="L431" s="455"/>
      <c r="M431" s="140"/>
      <c r="N431" s="140"/>
      <c r="O431" s="140"/>
      <c r="P431" s="140"/>
      <c r="Q431" s="140"/>
      <c r="R431" s="140"/>
      <c r="S431" s="140"/>
      <c r="T431" s="140"/>
      <c r="U431" s="140"/>
      <c r="V431" s="140"/>
      <c r="W431" s="140"/>
    </row>
    <row r="432">
      <c r="A432" s="140"/>
      <c r="B432" s="140"/>
      <c r="C432" s="140"/>
      <c r="D432" s="140"/>
      <c r="E432" s="140"/>
      <c r="F432" s="140"/>
      <c r="G432" s="140"/>
      <c r="H432" s="140"/>
      <c r="I432" s="140"/>
      <c r="J432" s="140"/>
      <c r="K432" s="455"/>
      <c r="L432" s="455"/>
      <c r="M432" s="140"/>
      <c r="N432" s="140"/>
      <c r="O432" s="140"/>
      <c r="P432" s="140"/>
      <c r="Q432" s="140"/>
      <c r="R432" s="140"/>
      <c r="S432" s="140"/>
      <c r="T432" s="140"/>
      <c r="U432" s="140"/>
      <c r="V432" s="140"/>
      <c r="W432" s="140"/>
    </row>
    <row r="433">
      <c r="A433" s="140"/>
      <c r="B433" s="140"/>
      <c r="C433" s="140"/>
      <c r="D433" s="140"/>
      <c r="E433" s="140"/>
      <c r="F433" s="140"/>
      <c r="G433" s="140"/>
      <c r="H433" s="140"/>
      <c r="I433" s="140"/>
      <c r="J433" s="140"/>
      <c r="K433" s="455"/>
      <c r="L433" s="455"/>
      <c r="M433" s="140"/>
      <c r="N433" s="140"/>
      <c r="O433" s="140"/>
      <c r="P433" s="140"/>
      <c r="Q433" s="140"/>
      <c r="R433" s="140"/>
      <c r="S433" s="140"/>
      <c r="T433" s="140"/>
      <c r="U433" s="140"/>
      <c r="V433" s="140"/>
      <c r="W433" s="140"/>
    </row>
    <row r="434">
      <c r="A434" s="140"/>
      <c r="B434" s="140"/>
      <c r="C434" s="140"/>
      <c r="D434" s="140"/>
      <c r="E434" s="140"/>
      <c r="F434" s="140"/>
      <c r="G434" s="140"/>
      <c r="H434" s="140"/>
      <c r="I434" s="140"/>
      <c r="J434" s="140"/>
      <c r="K434" s="455"/>
      <c r="L434" s="455"/>
      <c r="M434" s="140"/>
      <c r="N434" s="140"/>
      <c r="O434" s="140"/>
      <c r="P434" s="140"/>
      <c r="Q434" s="140"/>
      <c r="R434" s="140"/>
      <c r="S434" s="140"/>
      <c r="T434" s="140"/>
      <c r="U434" s="140"/>
      <c r="V434" s="140"/>
      <c r="W434" s="140"/>
    </row>
    <row r="435">
      <c r="A435" s="140"/>
      <c r="B435" s="140"/>
      <c r="C435" s="140"/>
      <c r="D435" s="140"/>
      <c r="E435" s="140"/>
      <c r="F435" s="140"/>
      <c r="G435" s="140"/>
      <c r="H435" s="140"/>
      <c r="I435" s="140"/>
      <c r="J435" s="140"/>
      <c r="K435" s="455"/>
      <c r="L435" s="455"/>
      <c r="M435" s="140"/>
      <c r="N435" s="140"/>
      <c r="O435" s="140"/>
      <c r="P435" s="140"/>
      <c r="Q435" s="140"/>
      <c r="R435" s="140"/>
      <c r="S435" s="140"/>
      <c r="T435" s="140"/>
      <c r="U435" s="140"/>
      <c r="V435" s="140"/>
      <c r="W435" s="140"/>
    </row>
    <row r="436">
      <c r="A436" s="140"/>
      <c r="B436" s="140"/>
      <c r="C436" s="140"/>
      <c r="D436" s="140"/>
      <c r="E436" s="140"/>
      <c r="F436" s="140"/>
      <c r="G436" s="140"/>
      <c r="H436" s="140"/>
      <c r="I436" s="140"/>
      <c r="J436" s="140"/>
      <c r="K436" s="455"/>
      <c r="L436" s="455"/>
      <c r="M436" s="140"/>
      <c r="N436" s="140"/>
      <c r="O436" s="140"/>
      <c r="P436" s="140"/>
      <c r="Q436" s="140"/>
      <c r="R436" s="140"/>
      <c r="S436" s="140"/>
      <c r="T436" s="140"/>
      <c r="U436" s="140"/>
      <c r="V436" s="140"/>
      <c r="W436" s="140"/>
    </row>
    <row r="437">
      <c r="A437" s="140"/>
      <c r="B437" s="140"/>
      <c r="C437" s="140"/>
      <c r="D437" s="140"/>
      <c r="E437" s="140"/>
      <c r="F437" s="140"/>
      <c r="G437" s="140"/>
      <c r="H437" s="140"/>
      <c r="I437" s="140"/>
      <c r="J437" s="140"/>
      <c r="K437" s="455"/>
      <c r="L437" s="455"/>
      <c r="M437" s="140"/>
      <c r="N437" s="140"/>
      <c r="O437" s="140"/>
      <c r="P437" s="140"/>
      <c r="Q437" s="140"/>
      <c r="R437" s="140"/>
      <c r="S437" s="140"/>
      <c r="T437" s="140"/>
      <c r="U437" s="140"/>
      <c r="V437" s="140"/>
      <c r="W437" s="140"/>
    </row>
    <row r="438">
      <c r="A438" s="140"/>
      <c r="B438" s="140"/>
      <c r="C438" s="140"/>
      <c r="D438" s="140"/>
      <c r="E438" s="140"/>
      <c r="F438" s="140"/>
      <c r="G438" s="140"/>
      <c r="H438" s="140"/>
      <c r="I438" s="140"/>
      <c r="J438" s="140"/>
      <c r="K438" s="455"/>
      <c r="L438" s="455"/>
      <c r="M438" s="140"/>
      <c r="N438" s="140"/>
      <c r="O438" s="140"/>
      <c r="P438" s="140"/>
      <c r="Q438" s="140"/>
      <c r="R438" s="140"/>
      <c r="S438" s="140"/>
      <c r="T438" s="140"/>
      <c r="U438" s="140"/>
      <c r="V438" s="140"/>
      <c r="W438" s="140"/>
    </row>
    <row r="439">
      <c r="A439" s="140"/>
      <c r="B439" s="140"/>
      <c r="C439" s="140"/>
      <c r="D439" s="140"/>
      <c r="E439" s="140"/>
      <c r="F439" s="140"/>
      <c r="G439" s="140"/>
      <c r="H439" s="140"/>
      <c r="I439" s="140"/>
      <c r="J439" s="140"/>
      <c r="K439" s="455"/>
      <c r="L439" s="455"/>
      <c r="M439" s="140"/>
      <c r="N439" s="140"/>
      <c r="O439" s="140"/>
      <c r="P439" s="140"/>
      <c r="Q439" s="140"/>
      <c r="R439" s="140"/>
      <c r="S439" s="140"/>
      <c r="T439" s="140"/>
      <c r="U439" s="140"/>
      <c r="V439" s="140"/>
      <c r="W439" s="140"/>
    </row>
    <row r="440">
      <c r="A440" s="140"/>
      <c r="B440" s="140"/>
      <c r="C440" s="140"/>
      <c r="D440" s="140"/>
      <c r="E440" s="140"/>
      <c r="F440" s="140"/>
      <c r="G440" s="140"/>
      <c r="H440" s="140"/>
      <c r="I440" s="140"/>
      <c r="J440" s="140"/>
      <c r="K440" s="455"/>
      <c r="L440" s="455"/>
      <c r="M440" s="140"/>
      <c r="N440" s="140"/>
      <c r="O440" s="140"/>
      <c r="P440" s="140"/>
      <c r="Q440" s="140"/>
      <c r="R440" s="140"/>
      <c r="S440" s="140"/>
      <c r="T440" s="140"/>
      <c r="U440" s="140"/>
      <c r="V440" s="140"/>
      <c r="W440" s="140"/>
    </row>
    <row r="441">
      <c r="A441" s="140"/>
      <c r="B441" s="140"/>
      <c r="C441" s="140"/>
      <c r="D441" s="140"/>
      <c r="E441" s="140"/>
      <c r="F441" s="140"/>
      <c r="G441" s="140"/>
      <c r="H441" s="140"/>
      <c r="I441" s="140"/>
      <c r="J441" s="140"/>
      <c r="K441" s="455"/>
      <c r="L441" s="455"/>
      <c r="M441" s="140"/>
      <c r="N441" s="140"/>
      <c r="O441" s="140"/>
      <c r="P441" s="140"/>
      <c r="Q441" s="140"/>
      <c r="R441" s="140"/>
      <c r="S441" s="140"/>
      <c r="T441" s="140"/>
      <c r="U441" s="140"/>
      <c r="V441" s="140"/>
      <c r="W441" s="140"/>
    </row>
    <row r="442">
      <c r="A442" s="140"/>
      <c r="B442" s="140"/>
      <c r="C442" s="140"/>
      <c r="D442" s="140"/>
      <c r="E442" s="140"/>
      <c r="F442" s="140"/>
      <c r="G442" s="140"/>
      <c r="H442" s="140"/>
      <c r="I442" s="140"/>
      <c r="J442" s="140"/>
      <c r="K442" s="455"/>
      <c r="L442" s="455"/>
      <c r="M442" s="140"/>
      <c r="N442" s="140"/>
      <c r="O442" s="140"/>
      <c r="P442" s="140"/>
      <c r="Q442" s="140"/>
      <c r="R442" s="140"/>
      <c r="S442" s="140"/>
      <c r="T442" s="140"/>
      <c r="U442" s="140"/>
      <c r="V442" s="140"/>
      <c r="W442" s="140"/>
    </row>
    <row r="443">
      <c r="A443" s="140"/>
      <c r="B443" s="140"/>
      <c r="C443" s="140"/>
      <c r="D443" s="140"/>
      <c r="E443" s="140"/>
      <c r="F443" s="140"/>
      <c r="G443" s="140"/>
      <c r="H443" s="140"/>
      <c r="I443" s="140"/>
      <c r="J443" s="140"/>
      <c r="K443" s="455"/>
      <c r="L443" s="455"/>
      <c r="M443" s="140"/>
      <c r="N443" s="140"/>
      <c r="O443" s="140"/>
      <c r="P443" s="140"/>
      <c r="Q443" s="140"/>
      <c r="R443" s="140"/>
      <c r="S443" s="140"/>
      <c r="T443" s="140"/>
      <c r="U443" s="140"/>
      <c r="V443" s="140"/>
      <c r="W443" s="140"/>
    </row>
    <row r="444">
      <c r="A444" s="140"/>
      <c r="B444" s="140"/>
      <c r="C444" s="140"/>
      <c r="D444" s="140"/>
      <c r="E444" s="140"/>
      <c r="F444" s="140"/>
      <c r="G444" s="140"/>
      <c r="H444" s="140"/>
      <c r="I444" s="140"/>
      <c r="J444" s="140"/>
      <c r="K444" s="455"/>
      <c r="L444" s="455"/>
      <c r="M444" s="140"/>
      <c r="N444" s="140"/>
      <c r="O444" s="140"/>
      <c r="P444" s="140"/>
      <c r="Q444" s="140"/>
      <c r="R444" s="140"/>
      <c r="S444" s="140"/>
      <c r="T444" s="140"/>
      <c r="U444" s="140"/>
      <c r="V444" s="140"/>
      <c r="W444" s="140"/>
    </row>
    <row r="445">
      <c r="A445" s="140"/>
      <c r="B445" s="140"/>
      <c r="C445" s="140"/>
      <c r="D445" s="140"/>
      <c r="E445" s="140"/>
      <c r="F445" s="140"/>
      <c r="G445" s="140"/>
      <c r="H445" s="140"/>
      <c r="I445" s="140"/>
      <c r="J445" s="140"/>
      <c r="K445" s="455"/>
      <c r="L445" s="455"/>
      <c r="M445" s="140"/>
      <c r="N445" s="140"/>
      <c r="O445" s="140"/>
      <c r="P445" s="140"/>
      <c r="Q445" s="140"/>
      <c r="R445" s="140"/>
      <c r="S445" s="140"/>
      <c r="T445" s="140"/>
      <c r="U445" s="140"/>
      <c r="V445" s="140"/>
      <c r="W445" s="140"/>
    </row>
    <row r="446">
      <c r="A446" s="140"/>
      <c r="B446" s="140"/>
      <c r="C446" s="140"/>
      <c r="D446" s="140"/>
      <c r="E446" s="140"/>
      <c r="F446" s="140"/>
      <c r="G446" s="140"/>
      <c r="H446" s="140"/>
      <c r="I446" s="140"/>
      <c r="J446" s="140"/>
      <c r="K446" s="455"/>
      <c r="L446" s="455"/>
      <c r="M446" s="140"/>
      <c r="N446" s="140"/>
      <c r="O446" s="140"/>
      <c r="P446" s="140"/>
      <c r="Q446" s="140"/>
      <c r="R446" s="140"/>
      <c r="S446" s="140"/>
      <c r="T446" s="140"/>
      <c r="U446" s="140"/>
      <c r="V446" s="140"/>
      <c r="W446" s="140"/>
    </row>
    <row r="447">
      <c r="A447" s="140"/>
      <c r="B447" s="140"/>
      <c r="C447" s="140"/>
      <c r="D447" s="140"/>
      <c r="E447" s="140"/>
      <c r="F447" s="140"/>
      <c r="G447" s="140"/>
      <c r="H447" s="140"/>
      <c r="I447" s="140"/>
      <c r="J447" s="140"/>
      <c r="K447" s="455"/>
      <c r="L447" s="455"/>
      <c r="M447" s="140"/>
      <c r="N447" s="140"/>
      <c r="O447" s="140"/>
      <c r="P447" s="140"/>
      <c r="Q447" s="140"/>
      <c r="R447" s="140"/>
      <c r="S447" s="140"/>
      <c r="T447" s="140"/>
      <c r="U447" s="140"/>
      <c r="V447" s="140"/>
      <c r="W447" s="140"/>
    </row>
    <row r="448">
      <c r="A448" s="140"/>
      <c r="B448" s="140"/>
      <c r="C448" s="140"/>
      <c r="D448" s="140"/>
      <c r="E448" s="140"/>
      <c r="F448" s="140"/>
      <c r="G448" s="140"/>
      <c r="H448" s="140"/>
      <c r="I448" s="140"/>
      <c r="J448" s="140"/>
      <c r="K448" s="455"/>
      <c r="L448" s="455"/>
      <c r="M448" s="140"/>
      <c r="N448" s="140"/>
      <c r="O448" s="140"/>
      <c r="P448" s="140"/>
      <c r="Q448" s="140"/>
      <c r="R448" s="140"/>
      <c r="S448" s="140"/>
      <c r="T448" s="140"/>
      <c r="U448" s="140"/>
      <c r="V448" s="140"/>
      <c r="W448" s="140"/>
    </row>
    <row r="449">
      <c r="A449" s="140"/>
      <c r="B449" s="140"/>
      <c r="C449" s="140"/>
      <c r="D449" s="140"/>
      <c r="E449" s="140"/>
      <c r="F449" s="140"/>
      <c r="G449" s="140"/>
      <c r="H449" s="140"/>
      <c r="I449" s="140"/>
      <c r="J449" s="140"/>
      <c r="K449" s="455"/>
      <c r="L449" s="455"/>
      <c r="M449" s="140"/>
      <c r="N449" s="140"/>
      <c r="O449" s="140"/>
      <c r="P449" s="140"/>
      <c r="Q449" s="140"/>
      <c r="R449" s="140"/>
      <c r="S449" s="140"/>
      <c r="T449" s="140"/>
      <c r="U449" s="140"/>
      <c r="V449" s="140"/>
      <c r="W449" s="140"/>
    </row>
    <row r="450">
      <c r="A450" s="140"/>
      <c r="B450" s="140"/>
      <c r="C450" s="140"/>
      <c r="D450" s="140"/>
      <c r="E450" s="140"/>
      <c r="F450" s="140"/>
      <c r="G450" s="140"/>
      <c r="H450" s="140"/>
      <c r="I450" s="140"/>
      <c r="J450" s="140"/>
      <c r="K450" s="455"/>
      <c r="L450" s="455"/>
      <c r="M450" s="140"/>
      <c r="N450" s="140"/>
      <c r="O450" s="140"/>
      <c r="P450" s="140"/>
      <c r="Q450" s="140"/>
      <c r="R450" s="140"/>
      <c r="S450" s="140"/>
      <c r="T450" s="140"/>
      <c r="U450" s="140"/>
      <c r="V450" s="140"/>
      <c r="W450" s="140"/>
    </row>
    <row r="451">
      <c r="A451" s="140"/>
      <c r="B451" s="140"/>
      <c r="C451" s="140"/>
      <c r="D451" s="140"/>
      <c r="E451" s="140"/>
      <c r="F451" s="140"/>
      <c r="G451" s="140"/>
      <c r="H451" s="140"/>
      <c r="I451" s="140"/>
      <c r="J451" s="140"/>
      <c r="K451" s="455"/>
      <c r="L451" s="455"/>
      <c r="M451" s="140"/>
      <c r="N451" s="140"/>
      <c r="O451" s="140"/>
      <c r="P451" s="140"/>
      <c r="Q451" s="140"/>
      <c r="R451" s="140"/>
      <c r="S451" s="140"/>
      <c r="T451" s="140"/>
      <c r="U451" s="140"/>
      <c r="V451" s="140"/>
      <c r="W451" s="140"/>
    </row>
    <row r="452">
      <c r="A452" s="140"/>
      <c r="B452" s="140"/>
      <c r="C452" s="140"/>
      <c r="D452" s="140"/>
      <c r="E452" s="140"/>
      <c r="F452" s="140"/>
      <c r="G452" s="140"/>
      <c r="H452" s="140"/>
      <c r="I452" s="140"/>
      <c r="J452" s="140"/>
      <c r="K452" s="455"/>
      <c r="L452" s="455"/>
      <c r="M452" s="140"/>
      <c r="N452" s="140"/>
      <c r="O452" s="140"/>
      <c r="P452" s="140"/>
      <c r="Q452" s="140"/>
      <c r="R452" s="140"/>
      <c r="S452" s="140"/>
      <c r="T452" s="140"/>
      <c r="U452" s="140"/>
      <c r="V452" s="140"/>
      <c r="W452" s="140"/>
    </row>
    <row r="453">
      <c r="A453" s="140"/>
      <c r="B453" s="140"/>
      <c r="C453" s="140"/>
      <c r="D453" s="140"/>
      <c r="E453" s="140"/>
      <c r="F453" s="140"/>
      <c r="G453" s="140"/>
      <c r="H453" s="140"/>
      <c r="I453" s="140"/>
      <c r="J453" s="140"/>
      <c r="K453" s="455"/>
      <c r="L453" s="455"/>
      <c r="M453" s="140"/>
      <c r="N453" s="140"/>
      <c r="O453" s="140"/>
      <c r="P453" s="140"/>
      <c r="Q453" s="140"/>
      <c r="R453" s="140"/>
      <c r="S453" s="140"/>
      <c r="T453" s="140"/>
      <c r="U453" s="140"/>
      <c r="V453" s="140"/>
      <c r="W453" s="140"/>
    </row>
    <row r="454">
      <c r="A454" s="140"/>
      <c r="B454" s="140"/>
      <c r="C454" s="140"/>
      <c r="D454" s="140"/>
      <c r="E454" s="140"/>
      <c r="F454" s="140"/>
      <c r="G454" s="140"/>
      <c r="H454" s="140"/>
      <c r="I454" s="140"/>
      <c r="J454" s="140"/>
      <c r="K454" s="455"/>
      <c r="L454" s="455"/>
      <c r="M454" s="140"/>
      <c r="N454" s="140"/>
      <c r="O454" s="140"/>
      <c r="P454" s="140"/>
      <c r="Q454" s="140"/>
      <c r="R454" s="140"/>
      <c r="S454" s="140"/>
      <c r="T454" s="140"/>
      <c r="U454" s="140"/>
      <c r="V454" s="140"/>
      <c r="W454" s="140"/>
    </row>
    <row r="455">
      <c r="A455" s="140"/>
      <c r="B455" s="140"/>
      <c r="C455" s="140"/>
      <c r="D455" s="140"/>
      <c r="E455" s="140"/>
      <c r="F455" s="140"/>
      <c r="G455" s="140"/>
      <c r="H455" s="140"/>
      <c r="I455" s="140"/>
      <c r="J455" s="140"/>
      <c r="K455" s="455"/>
      <c r="L455" s="455"/>
      <c r="M455" s="140"/>
      <c r="N455" s="140"/>
      <c r="O455" s="140"/>
      <c r="P455" s="140"/>
      <c r="Q455" s="140"/>
      <c r="R455" s="140"/>
      <c r="S455" s="140"/>
      <c r="T455" s="140"/>
      <c r="U455" s="140"/>
      <c r="V455" s="140"/>
      <c r="W455" s="140"/>
    </row>
    <row r="456">
      <c r="A456" s="140"/>
      <c r="B456" s="140"/>
      <c r="C456" s="140"/>
      <c r="D456" s="140"/>
      <c r="E456" s="140"/>
      <c r="F456" s="140"/>
      <c r="G456" s="140"/>
      <c r="H456" s="140"/>
      <c r="I456" s="140"/>
      <c r="J456" s="140"/>
      <c r="K456" s="455"/>
      <c r="L456" s="455"/>
      <c r="M456" s="140"/>
      <c r="N456" s="140"/>
      <c r="O456" s="140"/>
      <c r="P456" s="140"/>
      <c r="Q456" s="140"/>
      <c r="R456" s="140"/>
      <c r="S456" s="140"/>
      <c r="T456" s="140"/>
      <c r="U456" s="140"/>
      <c r="V456" s="140"/>
      <c r="W456" s="140"/>
    </row>
    <row r="457">
      <c r="A457" s="140"/>
      <c r="B457" s="140"/>
      <c r="C457" s="140"/>
      <c r="D457" s="140"/>
      <c r="E457" s="140"/>
      <c r="F457" s="140"/>
      <c r="G457" s="140"/>
      <c r="H457" s="140"/>
      <c r="I457" s="140"/>
      <c r="J457" s="140"/>
      <c r="K457" s="455"/>
      <c r="L457" s="455"/>
      <c r="M457" s="140"/>
      <c r="N457" s="140"/>
      <c r="O457" s="140"/>
      <c r="P457" s="140"/>
      <c r="Q457" s="140"/>
      <c r="R457" s="140"/>
      <c r="S457" s="140"/>
      <c r="T457" s="140"/>
      <c r="U457" s="140"/>
      <c r="V457" s="140"/>
      <c r="W457" s="140"/>
    </row>
    <row r="458">
      <c r="A458" s="140"/>
      <c r="B458" s="140"/>
      <c r="C458" s="140"/>
      <c r="D458" s="140"/>
      <c r="E458" s="140"/>
      <c r="F458" s="140"/>
      <c r="G458" s="140"/>
      <c r="H458" s="140"/>
      <c r="I458" s="140"/>
      <c r="J458" s="140"/>
      <c r="K458" s="455"/>
      <c r="L458" s="455"/>
      <c r="M458" s="140"/>
      <c r="N458" s="140"/>
      <c r="O458" s="140"/>
      <c r="P458" s="140"/>
      <c r="Q458" s="140"/>
      <c r="R458" s="140"/>
      <c r="S458" s="140"/>
      <c r="T458" s="140"/>
      <c r="U458" s="140"/>
      <c r="V458" s="140"/>
      <c r="W458" s="140"/>
    </row>
    <row r="459">
      <c r="A459" s="140"/>
      <c r="B459" s="140"/>
      <c r="C459" s="140"/>
      <c r="D459" s="140"/>
      <c r="E459" s="140"/>
      <c r="F459" s="140"/>
      <c r="G459" s="140"/>
      <c r="H459" s="140"/>
      <c r="I459" s="140"/>
      <c r="J459" s="140"/>
      <c r="K459" s="455"/>
      <c r="L459" s="455"/>
      <c r="M459" s="140"/>
      <c r="N459" s="140"/>
      <c r="O459" s="140"/>
      <c r="P459" s="140"/>
      <c r="Q459" s="140"/>
      <c r="R459" s="140"/>
      <c r="S459" s="140"/>
      <c r="T459" s="140"/>
      <c r="U459" s="140"/>
      <c r="V459" s="140"/>
      <c r="W459" s="140"/>
    </row>
    <row r="460">
      <c r="A460" s="140"/>
      <c r="B460" s="140"/>
      <c r="C460" s="140"/>
      <c r="D460" s="140"/>
      <c r="E460" s="140"/>
      <c r="F460" s="140"/>
      <c r="G460" s="140"/>
      <c r="H460" s="140"/>
      <c r="I460" s="140"/>
      <c r="J460" s="140"/>
      <c r="K460" s="455"/>
      <c r="L460" s="455"/>
      <c r="M460" s="140"/>
      <c r="N460" s="140"/>
      <c r="O460" s="140"/>
      <c r="P460" s="140"/>
      <c r="Q460" s="140"/>
      <c r="R460" s="140"/>
      <c r="S460" s="140"/>
      <c r="T460" s="140"/>
      <c r="U460" s="140"/>
      <c r="V460" s="140"/>
      <c r="W460" s="140"/>
    </row>
    <row r="461">
      <c r="A461" s="140"/>
      <c r="B461" s="140"/>
      <c r="C461" s="140"/>
      <c r="D461" s="140"/>
      <c r="E461" s="140"/>
      <c r="F461" s="140"/>
      <c r="G461" s="140"/>
      <c r="H461" s="140"/>
      <c r="I461" s="140"/>
      <c r="J461" s="140"/>
      <c r="K461" s="455"/>
      <c r="L461" s="455"/>
      <c r="M461" s="140"/>
      <c r="N461" s="140"/>
      <c r="O461" s="140"/>
      <c r="P461" s="140"/>
      <c r="Q461" s="140"/>
      <c r="R461" s="140"/>
      <c r="S461" s="140"/>
      <c r="T461" s="140"/>
      <c r="U461" s="140"/>
      <c r="V461" s="140"/>
      <c r="W461" s="140"/>
    </row>
    <row r="462">
      <c r="A462" s="140"/>
      <c r="B462" s="140"/>
      <c r="C462" s="140"/>
      <c r="D462" s="140"/>
      <c r="E462" s="140"/>
      <c r="F462" s="140"/>
      <c r="G462" s="140"/>
      <c r="H462" s="140"/>
      <c r="I462" s="140"/>
      <c r="J462" s="140"/>
      <c r="K462" s="455"/>
      <c r="L462" s="455"/>
      <c r="M462" s="140"/>
      <c r="N462" s="140"/>
      <c r="O462" s="140"/>
      <c r="P462" s="140"/>
      <c r="Q462" s="140"/>
      <c r="R462" s="140"/>
      <c r="S462" s="140"/>
      <c r="T462" s="140"/>
      <c r="U462" s="140"/>
      <c r="V462" s="140"/>
      <c r="W462" s="140"/>
    </row>
    <row r="463">
      <c r="A463" s="140"/>
      <c r="B463" s="140"/>
      <c r="C463" s="140"/>
      <c r="D463" s="140"/>
      <c r="E463" s="140"/>
      <c r="F463" s="140"/>
      <c r="G463" s="140"/>
      <c r="H463" s="140"/>
      <c r="I463" s="140"/>
      <c r="J463" s="140"/>
      <c r="K463" s="455"/>
      <c r="L463" s="455"/>
      <c r="M463" s="140"/>
      <c r="N463" s="140"/>
      <c r="O463" s="140"/>
      <c r="P463" s="140"/>
      <c r="Q463" s="140"/>
      <c r="R463" s="140"/>
      <c r="S463" s="140"/>
      <c r="T463" s="140"/>
      <c r="U463" s="140"/>
      <c r="V463" s="140"/>
      <c r="W463" s="140"/>
    </row>
    <row r="464">
      <c r="A464" s="140"/>
      <c r="B464" s="140"/>
      <c r="C464" s="140"/>
      <c r="D464" s="140"/>
      <c r="E464" s="140"/>
      <c r="F464" s="140"/>
      <c r="G464" s="140"/>
      <c r="H464" s="140"/>
      <c r="I464" s="140"/>
      <c r="J464" s="140"/>
      <c r="K464" s="455"/>
      <c r="L464" s="455"/>
      <c r="M464" s="140"/>
      <c r="N464" s="140"/>
      <c r="O464" s="140"/>
      <c r="P464" s="140"/>
      <c r="Q464" s="140"/>
      <c r="R464" s="140"/>
      <c r="S464" s="140"/>
      <c r="T464" s="140"/>
      <c r="U464" s="140"/>
      <c r="V464" s="140"/>
      <c r="W464" s="140"/>
    </row>
    <row r="465">
      <c r="A465" s="140"/>
      <c r="B465" s="140"/>
      <c r="C465" s="140"/>
      <c r="D465" s="140"/>
      <c r="E465" s="140"/>
      <c r="F465" s="140"/>
      <c r="G465" s="140"/>
      <c r="H465" s="140"/>
      <c r="I465" s="140"/>
      <c r="J465" s="140"/>
      <c r="K465" s="455"/>
      <c r="L465" s="455"/>
      <c r="M465" s="140"/>
      <c r="N465" s="140"/>
      <c r="O465" s="140"/>
      <c r="P465" s="140"/>
      <c r="Q465" s="140"/>
      <c r="R465" s="140"/>
      <c r="S465" s="140"/>
      <c r="T465" s="140"/>
      <c r="U465" s="140"/>
      <c r="V465" s="140"/>
      <c r="W465" s="140"/>
    </row>
    <row r="466">
      <c r="A466" s="140"/>
      <c r="B466" s="140"/>
      <c r="C466" s="140"/>
      <c r="D466" s="140"/>
      <c r="E466" s="140"/>
      <c r="F466" s="140"/>
      <c r="G466" s="140"/>
      <c r="H466" s="140"/>
      <c r="I466" s="140"/>
      <c r="J466" s="140"/>
      <c r="K466" s="455"/>
      <c r="L466" s="455"/>
      <c r="M466" s="140"/>
      <c r="N466" s="140"/>
      <c r="O466" s="140"/>
      <c r="P466" s="140"/>
      <c r="Q466" s="140"/>
      <c r="R466" s="140"/>
      <c r="S466" s="140"/>
      <c r="T466" s="140"/>
      <c r="U466" s="140"/>
      <c r="V466" s="140"/>
      <c r="W466" s="140"/>
    </row>
    <row r="467">
      <c r="A467" s="140"/>
      <c r="B467" s="140"/>
      <c r="C467" s="140"/>
      <c r="D467" s="140"/>
      <c r="E467" s="140"/>
      <c r="F467" s="140"/>
      <c r="G467" s="140"/>
      <c r="H467" s="140"/>
      <c r="I467" s="140"/>
      <c r="J467" s="140"/>
      <c r="K467" s="455"/>
      <c r="L467" s="455"/>
      <c r="M467" s="140"/>
      <c r="N467" s="140"/>
      <c r="O467" s="140"/>
      <c r="P467" s="140"/>
      <c r="Q467" s="140"/>
      <c r="R467" s="140"/>
      <c r="S467" s="140"/>
      <c r="T467" s="140"/>
      <c r="U467" s="140"/>
      <c r="V467" s="140"/>
      <c r="W467" s="140"/>
    </row>
    <row r="468">
      <c r="A468" s="140"/>
      <c r="B468" s="140"/>
      <c r="C468" s="140"/>
      <c r="D468" s="140"/>
      <c r="E468" s="140"/>
      <c r="F468" s="140"/>
      <c r="G468" s="140"/>
      <c r="H468" s="140"/>
      <c r="I468" s="140"/>
      <c r="J468" s="140"/>
      <c r="K468" s="455"/>
      <c r="L468" s="455"/>
      <c r="M468" s="140"/>
      <c r="N468" s="140"/>
      <c r="O468" s="140"/>
      <c r="P468" s="140"/>
      <c r="Q468" s="140"/>
      <c r="R468" s="140"/>
      <c r="S468" s="140"/>
      <c r="T468" s="140"/>
      <c r="U468" s="140"/>
      <c r="V468" s="140"/>
      <c r="W468" s="140"/>
    </row>
    <row r="469">
      <c r="A469" s="140"/>
      <c r="B469" s="140"/>
      <c r="C469" s="140"/>
      <c r="D469" s="140"/>
      <c r="E469" s="140"/>
      <c r="F469" s="140"/>
      <c r="G469" s="140"/>
      <c r="H469" s="140"/>
      <c r="I469" s="140"/>
      <c r="J469" s="140"/>
      <c r="K469" s="455"/>
      <c r="L469" s="455"/>
      <c r="M469" s="140"/>
      <c r="N469" s="140"/>
      <c r="O469" s="140"/>
      <c r="P469" s="140"/>
      <c r="Q469" s="140"/>
      <c r="R469" s="140"/>
      <c r="S469" s="140"/>
      <c r="T469" s="140"/>
      <c r="U469" s="140"/>
      <c r="V469" s="140"/>
      <c r="W469" s="140"/>
    </row>
    <row r="470">
      <c r="A470" s="140"/>
      <c r="B470" s="140"/>
      <c r="C470" s="140"/>
      <c r="D470" s="140"/>
      <c r="E470" s="140"/>
      <c r="F470" s="140"/>
      <c r="G470" s="140"/>
      <c r="H470" s="140"/>
      <c r="I470" s="140"/>
      <c r="J470" s="140"/>
      <c r="K470" s="455"/>
      <c r="L470" s="455"/>
      <c r="M470" s="140"/>
      <c r="N470" s="140"/>
      <c r="O470" s="140"/>
      <c r="P470" s="140"/>
      <c r="Q470" s="140"/>
      <c r="R470" s="140"/>
      <c r="S470" s="140"/>
      <c r="T470" s="140"/>
      <c r="U470" s="140"/>
      <c r="V470" s="140"/>
      <c r="W470" s="140"/>
    </row>
    <row r="471">
      <c r="A471" s="140"/>
      <c r="B471" s="140"/>
      <c r="C471" s="140"/>
      <c r="D471" s="140"/>
      <c r="E471" s="140"/>
      <c r="F471" s="140"/>
      <c r="G471" s="140"/>
      <c r="H471" s="140"/>
      <c r="I471" s="140"/>
      <c r="J471" s="140"/>
      <c r="K471" s="455"/>
      <c r="L471" s="455"/>
      <c r="M471" s="140"/>
      <c r="N471" s="140"/>
      <c r="O471" s="140"/>
      <c r="P471" s="140"/>
      <c r="Q471" s="140"/>
      <c r="R471" s="140"/>
      <c r="S471" s="140"/>
      <c r="T471" s="140"/>
      <c r="U471" s="140"/>
      <c r="V471" s="140"/>
      <c r="W471" s="140"/>
    </row>
    <row r="472">
      <c r="A472" s="140"/>
      <c r="B472" s="140"/>
      <c r="C472" s="140"/>
      <c r="D472" s="140"/>
      <c r="E472" s="140"/>
      <c r="F472" s="140"/>
      <c r="G472" s="140"/>
      <c r="H472" s="140"/>
      <c r="I472" s="140"/>
      <c r="J472" s="140"/>
      <c r="K472" s="455"/>
      <c r="L472" s="455"/>
      <c r="M472" s="140"/>
      <c r="N472" s="140"/>
      <c r="O472" s="140"/>
      <c r="P472" s="140"/>
      <c r="Q472" s="140"/>
      <c r="R472" s="140"/>
      <c r="S472" s="140"/>
      <c r="T472" s="140"/>
      <c r="U472" s="140"/>
      <c r="V472" s="140"/>
      <c r="W472" s="140"/>
    </row>
    <row r="473">
      <c r="A473" s="140"/>
      <c r="B473" s="140"/>
      <c r="C473" s="140"/>
      <c r="D473" s="140"/>
      <c r="E473" s="140"/>
      <c r="F473" s="140"/>
      <c r="G473" s="140"/>
      <c r="H473" s="140"/>
      <c r="I473" s="140"/>
      <c r="J473" s="140"/>
      <c r="K473" s="455"/>
      <c r="L473" s="455"/>
      <c r="M473" s="140"/>
      <c r="N473" s="140"/>
      <c r="O473" s="140"/>
      <c r="P473" s="140"/>
      <c r="Q473" s="140"/>
      <c r="R473" s="140"/>
      <c r="S473" s="140"/>
      <c r="T473" s="140"/>
      <c r="U473" s="140"/>
      <c r="V473" s="140"/>
      <c r="W473" s="140"/>
    </row>
    <row r="474">
      <c r="A474" s="140"/>
      <c r="B474" s="140"/>
      <c r="C474" s="140"/>
      <c r="D474" s="140"/>
      <c r="E474" s="140"/>
      <c r="F474" s="140"/>
      <c r="G474" s="140"/>
      <c r="H474" s="140"/>
      <c r="I474" s="140"/>
      <c r="J474" s="140"/>
      <c r="K474" s="455"/>
      <c r="L474" s="455"/>
      <c r="M474" s="140"/>
      <c r="N474" s="140"/>
      <c r="O474" s="140"/>
      <c r="P474" s="140"/>
      <c r="Q474" s="140"/>
      <c r="R474" s="140"/>
      <c r="S474" s="140"/>
      <c r="T474" s="140"/>
      <c r="U474" s="140"/>
      <c r="V474" s="140"/>
      <c r="W474" s="140"/>
    </row>
    <row r="475">
      <c r="A475" s="140"/>
      <c r="B475" s="140"/>
      <c r="C475" s="140"/>
      <c r="D475" s="140"/>
      <c r="E475" s="140"/>
      <c r="F475" s="140"/>
      <c r="G475" s="140"/>
      <c r="H475" s="140"/>
      <c r="I475" s="140"/>
      <c r="J475" s="140"/>
      <c r="K475" s="455"/>
      <c r="L475" s="455"/>
      <c r="M475" s="140"/>
      <c r="N475" s="140"/>
      <c r="O475" s="140"/>
      <c r="P475" s="140"/>
      <c r="Q475" s="140"/>
      <c r="R475" s="140"/>
      <c r="S475" s="140"/>
      <c r="T475" s="140"/>
      <c r="U475" s="140"/>
      <c r="V475" s="140"/>
      <c r="W475" s="140"/>
    </row>
    <row r="476">
      <c r="A476" s="140"/>
      <c r="B476" s="140"/>
      <c r="C476" s="140"/>
      <c r="D476" s="140"/>
      <c r="E476" s="140"/>
      <c r="F476" s="140"/>
      <c r="G476" s="140"/>
      <c r="H476" s="140"/>
      <c r="I476" s="140"/>
      <c r="J476" s="140"/>
      <c r="K476" s="455"/>
      <c r="L476" s="455"/>
      <c r="M476" s="140"/>
      <c r="N476" s="140"/>
      <c r="O476" s="140"/>
      <c r="P476" s="140"/>
      <c r="Q476" s="140"/>
      <c r="R476" s="140"/>
      <c r="S476" s="140"/>
      <c r="T476" s="140"/>
      <c r="U476" s="140"/>
      <c r="V476" s="140"/>
      <c r="W476" s="140"/>
    </row>
    <row r="477">
      <c r="A477" s="140"/>
      <c r="B477" s="140"/>
      <c r="C477" s="140"/>
      <c r="D477" s="140"/>
      <c r="E477" s="140"/>
      <c r="F477" s="140"/>
      <c r="G477" s="140"/>
      <c r="H477" s="140"/>
      <c r="I477" s="140"/>
      <c r="J477" s="140"/>
      <c r="K477" s="455"/>
      <c r="L477" s="455"/>
      <c r="M477" s="140"/>
      <c r="N477" s="140"/>
      <c r="O477" s="140"/>
      <c r="P477" s="140"/>
      <c r="Q477" s="140"/>
      <c r="R477" s="140"/>
      <c r="S477" s="140"/>
      <c r="T477" s="140"/>
      <c r="U477" s="140"/>
      <c r="V477" s="140"/>
      <c r="W477" s="140"/>
    </row>
    <row r="478">
      <c r="A478" s="140"/>
      <c r="B478" s="140"/>
      <c r="C478" s="140"/>
      <c r="D478" s="140"/>
      <c r="E478" s="140"/>
      <c r="F478" s="140"/>
      <c r="G478" s="140"/>
      <c r="H478" s="140"/>
      <c r="I478" s="140"/>
      <c r="J478" s="140"/>
      <c r="K478" s="455"/>
      <c r="L478" s="455"/>
      <c r="M478" s="140"/>
      <c r="N478" s="140"/>
      <c r="O478" s="140"/>
      <c r="P478" s="140"/>
      <c r="Q478" s="140"/>
      <c r="R478" s="140"/>
      <c r="S478" s="140"/>
      <c r="T478" s="140"/>
      <c r="U478" s="140"/>
      <c r="V478" s="140"/>
      <c r="W478" s="140"/>
    </row>
    <row r="479">
      <c r="A479" s="140"/>
      <c r="B479" s="140"/>
      <c r="C479" s="140"/>
      <c r="D479" s="140"/>
      <c r="E479" s="140"/>
      <c r="F479" s="140"/>
      <c r="G479" s="140"/>
      <c r="H479" s="140"/>
      <c r="I479" s="140"/>
      <c r="J479" s="140"/>
      <c r="K479" s="455"/>
      <c r="L479" s="455"/>
      <c r="M479" s="140"/>
      <c r="N479" s="140"/>
      <c r="O479" s="140"/>
      <c r="P479" s="140"/>
      <c r="Q479" s="140"/>
      <c r="R479" s="140"/>
      <c r="S479" s="140"/>
      <c r="T479" s="140"/>
      <c r="U479" s="140"/>
      <c r="V479" s="140"/>
      <c r="W479" s="140"/>
    </row>
    <row r="480">
      <c r="A480" s="140"/>
      <c r="B480" s="140"/>
      <c r="C480" s="140"/>
      <c r="D480" s="140"/>
      <c r="E480" s="140"/>
      <c r="F480" s="140"/>
      <c r="G480" s="140"/>
      <c r="H480" s="140"/>
      <c r="I480" s="140"/>
      <c r="J480" s="140"/>
      <c r="K480" s="455"/>
      <c r="L480" s="455"/>
      <c r="M480" s="140"/>
      <c r="N480" s="140"/>
      <c r="O480" s="140"/>
      <c r="P480" s="140"/>
      <c r="Q480" s="140"/>
      <c r="R480" s="140"/>
      <c r="S480" s="140"/>
      <c r="T480" s="140"/>
      <c r="U480" s="140"/>
      <c r="V480" s="140"/>
      <c r="W480" s="140"/>
    </row>
    <row r="481">
      <c r="A481" s="140"/>
      <c r="B481" s="140"/>
      <c r="C481" s="140"/>
      <c r="D481" s="140"/>
      <c r="E481" s="140"/>
      <c r="F481" s="140"/>
      <c r="G481" s="140"/>
      <c r="H481" s="140"/>
      <c r="I481" s="140"/>
      <c r="J481" s="140"/>
      <c r="K481" s="455"/>
      <c r="L481" s="455"/>
      <c r="M481" s="140"/>
      <c r="N481" s="140"/>
      <c r="O481" s="140"/>
      <c r="P481" s="140"/>
      <c r="Q481" s="140"/>
      <c r="R481" s="140"/>
      <c r="S481" s="140"/>
      <c r="T481" s="140"/>
      <c r="U481" s="140"/>
      <c r="V481" s="140"/>
      <c r="W481" s="140"/>
    </row>
    <row r="482">
      <c r="A482" s="140"/>
      <c r="B482" s="140"/>
      <c r="C482" s="140"/>
      <c r="D482" s="140"/>
      <c r="E482" s="140"/>
      <c r="F482" s="140"/>
      <c r="G482" s="140"/>
      <c r="H482" s="140"/>
      <c r="I482" s="140"/>
      <c r="J482" s="140"/>
      <c r="K482" s="455"/>
      <c r="L482" s="455"/>
      <c r="M482" s="140"/>
      <c r="N482" s="140"/>
      <c r="O482" s="140"/>
      <c r="P482" s="140"/>
      <c r="Q482" s="140"/>
      <c r="R482" s="140"/>
      <c r="S482" s="140"/>
      <c r="T482" s="140"/>
      <c r="U482" s="140"/>
      <c r="V482" s="140"/>
      <c r="W482" s="140"/>
    </row>
    <row r="483">
      <c r="A483" s="140"/>
      <c r="B483" s="140"/>
      <c r="C483" s="140"/>
      <c r="D483" s="140"/>
      <c r="E483" s="140"/>
      <c r="F483" s="140"/>
      <c r="G483" s="140"/>
      <c r="H483" s="140"/>
      <c r="I483" s="140"/>
      <c r="J483" s="140"/>
      <c r="K483" s="455"/>
      <c r="L483" s="455"/>
      <c r="M483" s="140"/>
      <c r="N483" s="140"/>
      <c r="O483" s="140"/>
      <c r="P483" s="140"/>
      <c r="Q483" s="140"/>
      <c r="R483" s="140"/>
      <c r="S483" s="140"/>
      <c r="T483" s="140"/>
      <c r="U483" s="140"/>
      <c r="V483" s="140"/>
      <c r="W483" s="140"/>
    </row>
    <row r="484">
      <c r="A484" s="140"/>
      <c r="B484" s="140"/>
      <c r="C484" s="140"/>
      <c r="D484" s="140"/>
      <c r="E484" s="140"/>
      <c r="F484" s="140"/>
      <c r="G484" s="140"/>
      <c r="H484" s="140"/>
      <c r="I484" s="140"/>
      <c r="J484" s="140"/>
      <c r="K484" s="455"/>
      <c r="L484" s="455"/>
      <c r="M484" s="140"/>
      <c r="N484" s="140"/>
      <c r="O484" s="140"/>
      <c r="P484" s="140"/>
      <c r="Q484" s="140"/>
      <c r="R484" s="140"/>
      <c r="S484" s="140"/>
      <c r="T484" s="140"/>
      <c r="U484" s="140"/>
      <c r="V484" s="140"/>
      <c r="W484" s="140"/>
    </row>
    <row r="485">
      <c r="A485" s="140"/>
      <c r="B485" s="140"/>
      <c r="C485" s="140"/>
      <c r="D485" s="140"/>
      <c r="E485" s="140"/>
      <c r="F485" s="140"/>
      <c r="G485" s="140"/>
      <c r="H485" s="140"/>
      <c r="I485" s="140"/>
      <c r="J485" s="140"/>
      <c r="K485" s="455"/>
      <c r="L485" s="455"/>
      <c r="M485" s="140"/>
      <c r="N485" s="140"/>
      <c r="O485" s="140"/>
      <c r="P485" s="140"/>
      <c r="Q485" s="140"/>
      <c r="R485" s="140"/>
      <c r="S485" s="140"/>
      <c r="T485" s="140"/>
      <c r="U485" s="140"/>
      <c r="V485" s="140"/>
      <c r="W485" s="140"/>
    </row>
    <row r="486">
      <c r="A486" s="140"/>
      <c r="B486" s="140"/>
      <c r="C486" s="140"/>
      <c r="D486" s="140"/>
      <c r="E486" s="140"/>
      <c r="F486" s="140"/>
      <c r="G486" s="140"/>
      <c r="H486" s="140"/>
      <c r="I486" s="140"/>
      <c r="J486" s="140"/>
      <c r="K486" s="455"/>
      <c r="L486" s="455"/>
      <c r="M486" s="140"/>
      <c r="N486" s="140"/>
      <c r="O486" s="140"/>
      <c r="P486" s="140"/>
      <c r="Q486" s="140"/>
      <c r="R486" s="140"/>
      <c r="S486" s="140"/>
      <c r="T486" s="140"/>
      <c r="U486" s="140"/>
      <c r="V486" s="140"/>
      <c r="W486" s="140"/>
    </row>
    <row r="487">
      <c r="A487" s="140"/>
      <c r="B487" s="140"/>
      <c r="C487" s="140"/>
      <c r="D487" s="140"/>
      <c r="E487" s="140"/>
      <c r="F487" s="140"/>
      <c r="G487" s="140"/>
      <c r="H487" s="140"/>
      <c r="I487" s="140"/>
      <c r="J487" s="140"/>
      <c r="K487" s="455"/>
      <c r="L487" s="455"/>
      <c r="M487" s="140"/>
      <c r="N487" s="140"/>
      <c r="O487" s="140"/>
      <c r="P487" s="140"/>
      <c r="Q487" s="140"/>
      <c r="R487" s="140"/>
      <c r="S487" s="140"/>
      <c r="T487" s="140"/>
      <c r="U487" s="140"/>
      <c r="V487" s="140"/>
      <c r="W487" s="140"/>
    </row>
    <row r="488">
      <c r="A488" s="140"/>
      <c r="B488" s="140"/>
      <c r="C488" s="140"/>
      <c r="D488" s="140"/>
      <c r="E488" s="140"/>
      <c r="F488" s="140"/>
      <c r="G488" s="140"/>
      <c r="H488" s="140"/>
      <c r="I488" s="140"/>
      <c r="J488" s="140"/>
      <c r="K488" s="455"/>
      <c r="L488" s="455"/>
      <c r="M488" s="140"/>
      <c r="N488" s="140"/>
      <c r="O488" s="140"/>
      <c r="P488" s="140"/>
      <c r="Q488" s="140"/>
      <c r="R488" s="140"/>
      <c r="S488" s="140"/>
      <c r="T488" s="140"/>
      <c r="U488" s="140"/>
      <c r="V488" s="140"/>
      <c r="W488" s="140"/>
    </row>
    <row r="489">
      <c r="A489" s="140"/>
      <c r="B489" s="140"/>
      <c r="C489" s="140"/>
      <c r="D489" s="140"/>
      <c r="E489" s="140"/>
      <c r="F489" s="140"/>
      <c r="G489" s="140"/>
      <c r="H489" s="140"/>
      <c r="I489" s="140"/>
      <c r="J489" s="140"/>
      <c r="K489" s="455"/>
      <c r="L489" s="455"/>
      <c r="M489" s="140"/>
      <c r="N489" s="140"/>
      <c r="O489" s="140"/>
      <c r="P489" s="140"/>
      <c r="Q489" s="140"/>
      <c r="R489" s="140"/>
      <c r="S489" s="140"/>
      <c r="T489" s="140"/>
      <c r="U489" s="140"/>
      <c r="V489" s="140"/>
      <c r="W489" s="140"/>
    </row>
    <row r="490">
      <c r="A490" s="140"/>
      <c r="B490" s="140"/>
      <c r="C490" s="140"/>
      <c r="D490" s="140"/>
      <c r="E490" s="140"/>
      <c r="F490" s="140"/>
      <c r="G490" s="140"/>
      <c r="H490" s="140"/>
      <c r="I490" s="140"/>
      <c r="J490" s="140"/>
      <c r="K490" s="455"/>
      <c r="L490" s="455"/>
      <c r="M490" s="140"/>
      <c r="N490" s="140"/>
      <c r="O490" s="140"/>
      <c r="P490" s="140"/>
      <c r="Q490" s="140"/>
      <c r="R490" s="140"/>
      <c r="S490" s="140"/>
      <c r="T490" s="140"/>
      <c r="U490" s="140"/>
      <c r="V490" s="140"/>
      <c r="W490" s="140"/>
    </row>
    <row r="491">
      <c r="A491" s="140"/>
      <c r="B491" s="140"/>
      <c r="C491" s="140"/>
      <c r="D491" s="140"/>
      <c r="E491" s="140"/>
      <c r="F491" s="140"/>
      <c r="G491" s="140"/>
      <c r="H491" s="140"/>
      <c r="I491" s="140"/>
      <c r="J491" s="140"/>
      <c r="K491" s="455"/>
      <c r="L491" s="455"/>
      <c r="M491" s="140"/>
      <c r="N491" s="140"/>
      <c r="O491" s="140"/>
      <c r="P491" s="140"/>
      <c r="Q491" s="140"/>
      <c r="R491" s="140"/>
      <c r="S491" s="140"/>
      <c r="T491" s="140"/>
      <c r="U491" s="140"/>
      <c r="V491" s="140"/>
      <c r="W491" s="140"/>
    </row>
    <row r="492">
      <c r="A492" s="140"/>
      <c r="B492" s="140"/>
      <c r="C492" s="140"/>
      <c r="D492" s="140"/>
      <c r="E492" s="140"/>
      <c r="F492" s="140"/>
      <c r="G492" s="140"/>
      <c r="H492" s="140"/>
      <c r="I492" s="140"/>
      <c r="J492" s="140"/>
      <c r="K492" s="455"/>
      <c r="L492" s="455"/>
      <c r="M492" s="140"/>
      <c r="N492" s="140"/>
      <c r="O492" s="140"/>
      <c r="P492" s="140"/>
      <c r="Q492" s="140"/>
      <c r="R492" s="140"/>
      <c r="S492" s="140"/>
      <c r="T492" s="140"/>
      <c r="U492" s="140"/>
      <c r="V492" s="140"/>
      <c r="W492" s="140"/>
    </row>
    <row r="493">
      <c r="A493" s="140"/>
      <c r="B493" s="140"/>
      <c r="C493" s="140"/>
      <c r="D493" s="140"/>
      <c r="E493" s="140"/>
      <c r="F493" s="140"/>
      <c r="G493" s="140"/>
      <c r="H493" s="140"/>
      <c r="I493" s="140"/>
      <c r="J493" s="140"/>
      <c r="K493" s="455"/>
      <c r="L493" s="455"/>
      <c r="M493" s="140"/>
      <c r="N493" s="140"/>
      <c r="O493" s="140"/>
      <c r="P493" s="140"/>
      <c r="Q493" s="140"/>
      <c r="R493" s="140"/>
      <c r="S493" s="140"/>
      <c r="T493" s="140"/>
      <c r="U493" s="140"/>
      <c r="V493" s="140"/>
      <c r="W493" s="140"/>
    </row>
    <row r="494">
      <c r="A494" s="140"/>
      <c r="B494" s="140"/>
      <c r="C494" s="140"/>
      <c r="D494" s="140"/>
      <c r="E494" s="140"/>
      <c r="F494" s="140"/>
      <c r="G494" s="140"/>
      <c r="H494" s="140"/>
      <c r="I494" s="140"/>
      <c r="J494" s="140"/>
      <c r="K494" s="455"/>
      <c r="L494" s="455"/>
      <c r="M494" s="140"/>
      <c r="N494" s="140"/>
      <c r="O494" s="140"/>
      <c r="P494" s="140"/>
      <c r="Q494" s="140"/>
      <c r="R494" s="140"/>
      <c r="S494" s="140"/>
      <c r="T494" s="140"/>
      <c r="U494" s="140"/>
      <c r="V494" s="140"/>
      <c r="W494" s="140"/>
    </row>
    <row r="495">
      <c r="A495" s="140"/>
      <c r="B495" s="140"/>
      <c r="C495" s="140"/>
      <c r="D495" s="140"/>
      <c r="E495" s="140"/>
      <c r="F495" s="140"/>
      <c r="G495" s="140"/>
      <c r="H495" s="140"/>
      <c r="I495" s="140"/>
      <c r="J495" s="140"/>
      <c r="K495" s="455"/>
      <c r="L495" s="455"/>
      <c r="M495" s="140"/>
      <c r="N495" s="140"/>
      <c r="O495" s="140"/>
      <c r="P495" s="140"/>
      <c r="Q495" s="140"/>
      <c r="R495" s="140"/>
      <c r="S495" s="140"/>
      <c r="T495" s="140"/>
      <c r="U495" s="140"/>
      <c r="V495" s="140"/>
      <c r="W495" s="140"/>
    </row>
    <row r="496">
      <c r="A496" s="140"/>
      <c r="B496" s="140"/>
      <c r="C496" s="140"/>
      <c r="D496" s="140"/>
      <c r="E496" s="140"/>
      <c r="F496" s="140"/>
      <c r="G496" s="140"/>
      <c r="H496" s="140"/>
      <c r="I496" s="140"/>
      <c r="J496" s="140"/>
      <c r="K496" s="455"/>
      <c r="L496" s="455"/>
      <c r="M496" s="140"/>
      <c r="N496" s="140"/>
      <c r="O496" s="140"/>
      <c r="P496" s="140"/>
      <c r="Q496" s="140"/>
      <c r="R496" s="140"/>
      <c r="S496" s="140"/>
      <c r="T496" s="140"/>
      <c r="U496" s="140"/>
      <c r="V496" s="140"/>
      <c r="W496" s="140"/>
    </row>
    <row r="497">
      <c r="A497" s="140"/>
      <c r="B497" s="140"/>
      <c r="C497" s="140"/>
      <c r="D497" s="140"/>
      <c r="E497" s="140"/>
      <c r="F497" s="140"/>
      <c r="G497" s="140"/>
      <c r="H497" s="140"/>
      <c r="I497" s="140"/>
      <c r="J497" s="140"/>
      <c r="K497" s="455"/>
      <c r="L497" s="455"/>
      <c r="M497" s="140"/>
      <c r="N497" s="140"/>
      <c r="O497" s="140"/>
      <c r="P497" s="140"/>
      <c r="Q497" s="140"/>
      <c r="R497" s="140"/>
      <c r="S497" s="140"/>
      <c r="T497" s="140"/>
      <c r="U497" s="140"/>
      <c r="V497" s="140"/>
      <c r="W497" s="140"/>
    </row>
    <row r="498">
      <c r="A498" s="140"/>
      <c r="B498" s="140"/>
      <c r="C498" s="140"/>
      <c r="D498" s="140"/>
      <c r="E498" s="140"/>
      <c r="F498" s="140"/>
      <c r="G498" s="140"/>
      <c r="H498" s="140"/>
      <c r="I498" s="140"/>
      <c r="J498" s="140"/>
      <c r="K498" s="455"/>
      <c r="L498" s="455"/>
      <c r="M498" s="140"/>
      <c r="N498" s="140"/>
      <c r="O498" s="140"/>
      <c r="P498" s="140"/>
      <c r="Q498" s="140"/>
      <c r="R498" s="140"/>
      <c r="S498" s="140"/>
      <c r="T498" s="140"/>
      <c r="U498" s="140"/>
      <c r="V498" s="140"/>
      <c r="W498" s="140"/>
    </row>
    <row r="499">
      <c r="A499" s="140"/>
      <c r="B499" s="140"/>
      <c r="C499" s="140"/>
      <c r="D499" s="140"/>
      <c r="E499" s="140"/>
      <c r="F499" s="140"/>
      <c r="G499" s="140"/>
      <c r="H499" s="140"/>
      <c r="I499" s="140"/>
      <c r="J499" s="140"/>
      <c r="K499" s="455"/>
      <c r="L499" s="455"/>
      <c r="M499" s="140"/>
      <c r="N499" s="140"/>
      <c r="O499" s="140"/>
      <c r="P499" s="140"/>
      <c r="Q499" s="140"/>
      <c r="R499" s="140"/>
      <c r="S499" s="140"/>
      <c r="T499" s="140"/>
      <c r="U499" s="140"/>
      <c r="V499" s="140"/>
      <c r="W499" s="140"/>
    </row>
    <row r="500">
      <c r="A500" s="140"/>
      <c r="B500" s="140"/>
      <c r="C500" s="140"/>
      <c r="D500" s="140"/>
      <c r="E500" s="140"/>
      <c r="F500" s="140"/>
      <c r="G500" s="140"/>
      <c r="H500" s="140"/>
      <c r="I500" s="140"/>
      <c r="J500" s="140"/>
      <c r="K500" s="455"/>
      <c r="L500" s="455"/>
      <c r="M500" s="140"/>
      <c r="N500" s="140"/>
      <c r="O500" s="140"/>
      <c r="P500" s="140"/>
      <c r="Q500" s="140"/>
      <c r="R500" s="140"/>
      <c r="S500" s="140"/>
      <c r="T500" s="140"/>
      <c r="U500" s="140"/>
      <c r="V500" s="140"/>
      <c r="W500" s="140"/>
    </row>
    <row r="501">
      <c r="A501" s="140"/>
      <c r="B501" s="140"/>
      <c r="C501" s="140"/>
      <c r="D501" s="140"/>
      <c r="E501" s="140"/>
      <c r="F501" s="140"/>
      <c r="G501" s="140"/>
      <c r="H501" s="140"/>
      <c r="I501" s="140"/>
      <c r="J501" s="140"/>
      <c r="K501" s="455"/>
      <c r="L501" s="455"/>
      <c r="M501" s="140"/>
      <c r="N501" s="140"/>
      <c r="O501" s="140"/>
      <c r="P501" s="140"/>
      <c r="Q501" s="140"/>
      <c r="R501" s="140"/>
      <c r="S501" s="140"/>
      <c r="T501" s="140"/>
      <c r="U501" s="140"/>
      <c r="V501" s="140"/>
      <c r="W501" s="140"/>
    </row>
    <row r="502">
      <c r="A502" s="140"/>
      <c r="B502" s="140"/>
      <c r="C502" s="140"/>
      <c r="D502" s="140"/>
      <c r="E502" s="140"/>
      <c r="F502" s="140"/>
      <c r="G502" s="140"/>
      <c r="H502" s="140"/>
      <c r="I502" s="140"/>
      <c r="J502" s="140"/>
      <c r="K502" s="455"/>
      <c r="L502" s="455"/>
      <c r="M502" s="140"/>
      <c r="N502" s="140"/>
      <c r="O502" s="140"/>
      <c r="P502" s="140"/>
      <c r="Q502" s="140"/>
      <c r="R502" s="140"/>
      <c r="S502" s="140"/>
      <c r="T502" s="140"/>
      <c r="U502" s="140"/>
      <c r="V502" s="140"/>
      <c r="W502" s="140"/>
    </row>
    <row r="503">
      <c r="A503" s="140"/>
      <c r="B503" s="140"/>
      <c r="C503" s="140"/>
      <c r="D503" s="140"/>
      <c r="E503" s="140"/>
      <c r="F503" s="140"/>
      <c r="G503" s="140"/>
      <c r="H503" s="140"/>
      <c r="I503" s="140"/>
      <c r="J503" s="140"/>
      <c r="K503" s="455"/>
      <c r="L503" s="455"/>
      <c r="M503" s="140"/>
      <c r="N503" s="140"/>
      <c r="O503" s="140"/>
      <c r="P503" s="140"/>
      <c r="Q503" s="140"/>
      <c r="R503" s="140"/>
      <c r="S503" s="140"/>
      <c r="T503" s="140"/>
      <c r="U503" s="140"/>
      <c r="V503" s="140"/>
      <c r="W503" s="140"/>
    </row>
    <row r="504">
      <c r="A504" s="140"/>
      <c r="B504" s="140"/>
      <c r="C504" s="140"/>
      <c r="D504" s="140"/>
      <c r="E504" s="140"/>
      <c r="F504" s="140"/>
      <c r="G504" s="140"/>
      <c r="H504" s="140"/>
      <c r="I504" s="140"/>
      <c r="J504" s="140"/>
      <c r="K504" s="455"/>
      <c r="L504" s="455"/>
      <c r="M504" s="140"/>
      <c r="N504" s="140"/>
      <c r="O504" s="140"/>
      <c r="P504" s="140"/>
      <c r="Q504" s="140"/>
      <c r="R504" s="140"/>
      <c r="S504" s="140"/>
      <c r="T504" s="140"/>
      <c r="U504" s="140"/>
      <c r="V504" s="140"/>
      <c r="W504" s="140"/>
    </row>
    <row r="505">
      <c r="A505" s="140"/>
      <c r="B505" s="140"/>
      <c r="C505" s="140"/>
      <c r="D505" s="140"/>
      <c r="E505" s="140"/>
      <c r="F505" s="140"/>
      <c r="G505" s="140"/>
      <c r="H505" s="140"/>
      <c r="I505" s="140"/>
      <c r="J505" s="140"/>
      <c r="K505" s="455"/>
      <c r="L505" s="455"/>
      <c r="M505" s="140"/>
      <c r="N505" s="140"/>
      <c r="O505" s="140"/>
      <c r="P505" s="140"/>
      <c r="Q505" s="140"/>
      <c r="R505" s="140"/>
      <c r="S505" s="140"/>
      <c r="T505" s="140"/>
      <c r="U505" s="140"/>
      <c r="V505" s="140"/>
      <c r="W505" s="140"/>
    </row>
    <row r="506">
      <c r="A506" s="140"/>
      <c r="B506" s="140"/>
      <c r="C506" s="140"/>
      <c r="D506" s="140"/>
      <c r="E506" s="140"/>
      <c r="F506" s="140"/>
      <c r="G506" s="140"/>
      <c r="H506" s="140"/>
      <c r="I506" s="140"/>
      <c r="J506" s="140"/>
      <c r="K506" s="455"/>
      <c r="L506" s="455"/>
      <c r="M506" s="140"/>
      <c r="N506" s="140"/>
      <c r="O506" s="140"/>
      <c r="P506" s="140"/>
      <c r="Q506" s="140"/>
      <c r="R506" s="140"/>
      <c r="S506" s="140"/>
      <c r="T506" s="140"/>
      <c r="U506" s="140"/>
      <c r="V506" s="140"/>
      <c r="W506" s="140"/>
    </row>
    <row r="507">
      <c r="A507" s="140"/>
      <c r="B507" s="140"/>
      <c r="C507" s="140"/>
      <c r="D507" s="140"/>
      <c r="E507" s="140"/>
      <c r="F507" s="140"/>
      <c r="G507" s="140"/>
      <c r="H507" s="140"/>
      <c r="I507" s="140"/>
      <c r="J507" s="140"/>
      <c r="K507" s="455"/>
      <c r="L507" s="455"/>
      <c r="M507" s="140"/>
      <c r="N507" s="140"/>
      <c r="O507" s="140"/>
      <c r="P507" s="140"/>
      <c r="Q507" s="140"/>
      <c r="R507" s="140"/>
      <c r="S507" s="140"/>
      <c r="T507" s="140"/>
      <c r="U507" s="140"/>
      <c r="V507" s="140"/>
      <c r="W507" s="140"/>
    </row>
    <row r="508">
      <c r="A508" s="140"/>
      <c r="B508" s="140"/>
      <c r="C508" s="140"/>
      <c r="D508" s="140"/>
      <c r="E508" s="140"/>
      <c r="F508" s="140"/>
      <c r="G508" s="140"/>
      <c r="H508" s="140"/>
      <c r="I508" s="140"/>
      <c r="J508" s="140"/>
      <c r="K508" s="455"/>
      <c r="L508" s="455"/>
      <c r="M508" s="140"/>
      <c r="N508" s="140"/>
      <c r="O508" s="140"/>
      <c r="P508" s="140"/>
      <c r="Q508" s="140"/>
      <c r="R508" s="140"/>
      <c r="S508" s="140"/>
      <c r="T508" s="140"/>
      <c r="U508" s="140"/>
      <c r="V508" s="140"/>
      <c r="W508" s="140"/>
    </row>
    <row r="509">
      <c r="A509" s="140"/>
      <c r="B509" s="140"/>
      <c r="C509" s="140"/>
      <c r="D509" s="140"/>
      <c r="E509" s="140"/>
      <c r="F509" s="140"/>
      <c r="G509" s="140"/>
      <c r="H509" s="140"/>
      <c r="I509" s="140"/>
      <c r="J509" s="140"/>
      <c r="K509" s="455"/>
      <c r="L509" s="455"/>
      <c r="M509" s="140"/>
      <c r="N509" s="140"/>
      <c r="O509" s="140"/>
      <c r="P509" s="140"/>
      <c r="Q509" s="140"/>
      <c r="R509" s="140"/>
      <c r="S509" s="140"/>
      <c r="T509" s="140"/>
      <c r="U509" s="140"/>
      <c r="V509" s="140"/>
      <c r="W509" s="140"/>
    </row>
    <row r="510">
      <c r="A510" s="140"/>
      <c r="B510" s="140"/>
      <c r="C510" s="140"/>
      <c r="D510" s="140"/>
      <c r="E510" s="140"/>
      <c r="F510" s="140"/>
      <c r="G510" s="140"/>
      <c r="H510" s="140"/>
      <c r="I510" s="140"/>
      <c r="J510" s="140"/>
      <c r="K510" s="455"/>
      <c r="L510" s="455"/>
      <c r="M510" s="140"/>
      <c r="N510" s="140"/>
      <c r="O510" s="140"/>
      <c r="P510" s="140"/>
      <c r="Q510" s="140"/>
      <c r="R510" s="140"/>
      <c r="S510" s="140"/>
      <c r="T510" s="140"/>
      <c r="U510" s="140"/>
      <c r="V510" s="140"/>
      <c r="W510" s="140"/>
    </row>
    <row r="511">
      <c r="A511" s="140"/>
      <c r="B511" s="140"/>
      <c r="C511" s="140"/>
      <c r="D511" s="140"/>
      <c r="E511" s="140"/>
      <c r="F511" s="140"/>
      <c r="G511" s="140"/>
      <c r="H511" s="140"/>
      <c r="I511" s="140"/>
      <c r="J511" s="140"/>
      <c r="K511" s="455"/>
      <c r="L511" s="455"/>
      <c r="M511" s="140"/>
      <c r="N511" s="140"/>
      <c r="O511" s="140"/>
      <c r="P511" s="140"/>
      <c r="Q511" s="140"/>
      <c r="R511" s="140"/>
      <c r="S511" s="140"/>
      <c r="T511" s="140"/>
      <c r="U511" s="140"/>
      <c r="V511" s="140"/>
      <c r="W511" s="140"/>
    </row>
    <row r="512">
      <c r="A512" s="140"/>
      <c r="B512" s="140"/>
      <c r="C512" s="140"/>
      <c r="D512" s="140"/>
      <c r="E512" s="140"/>
      <c r="F512" s="140"/>
      <c r="G512" s="140"/>
      <c r="H512" s="140"/>
      <c r="I512" s="140"/>
      <c r="J512" s="140"/>
      <c r="K512" s="455"/>
      <c r="L512" s="455"/>
      <c r="M512" s="140"/>
      <c r="N512" s="140"/>
      <c r="O512" s="140"/>
      <c r="P512" s="140"/>
      <c r="Q512" s="140"/>
      <c r="R512" s="140"/>
      <c r="S512" s="140"/>
      <c r="T512" s="140"/>
      <c r="U512" s="140"/>
      <c r="V512" s="140"/>
      <c r="W512" s="140"/>
    </row>
    <row r="513">
      <c r="A513" s="140"/>
      <c r="B513" s="140"/>
      <c r="C513" s="140"/>
      <c r="D513" s="140"/>
      <c r="E513" s="140"/>
      <c r="F513" s="140"/>
      <c r="G513" s="140"/>
      <c r="H513" s="140"/>
      <c r="I513" s="140"/>
      <c r="J513" s="140"/>
      <c r="K513" s="455"/>
      <c r="L513" s="455"/>
      <c r="M513" s="140"/>
      <c r="N513" s="140"/>
      <c r="O513" s="140"/>
      <c r="P513" s="140"/>
      <c r="Q513" s="140"/>
      <c r="R513" s="140"/>
      <c r="S513" s="140"/>
      <c r="T513" s="140"/>
      <c r="U513" s="140"/>
      <c r="V513" s="140"/>
      <c r="W513" s="140"/>
    </row>
    <row r="514">
      <c r="A514" s="140"/>
      <c r="B514" s="140"/>
      <c r="C514" s="140"/>
      <c r="D514" s="140"/>
      <c r="E514" s="140"/>
      <c r="F514" s="140"/>
      <c r="G514" s="140"/>
      <c r="H514" s="140"/>
      <c r="I514" s="140"/>
      <c r="J514" s="140"/>
      <c r="K514" s="455"/>
      <c r="L514" s="455"/>
      <c r="M514" s="140"/>
      <c r="N514" s="140"/>
      <c r="O514" s="140"/>
      <c r="P514" s="140"/>
      <c r="Q514" s="140"/>
      <c r="R514" s="140"/>
      <c r="S514" s="140"/>
      <c r="T514" s="140"/>
      <c r="U514" s="140"/>
      <c r="V514" s="140"/>
      <c r="W514" s="140"/>
    </row>
    <row r="515">
      <c r="A515" s="140"/>
      <c r="B515" s="140"/>
      <c r="C515" s="140"/>
      <c r="D515" s="140"/>
      <c r="E515" s="140"/>
      <c r="F515" s="140"/>
      <c r="G515" s="140"/>
      <c r="H515" s="140"/>
      <c r="I515" s="140"/>
      <c r="J515" s="140"/>
      <c r="K515" s="455"/>
      <c r="L515" s="455"/>
      <c r="M515" s="140"/>
      <c r="N515" s="140"/>
      <c r="O515" s="140"/>
      <c r="P515" s="140"/>
      <c r="Q515" s="140"/>
      <c r="R515" s="140"/>
      <c r="S515" s="140"/>
      <c r="T515" s="140"/>
      <c r="U515" s="140"/>
      <c r="V515" s="140"/>
      <c r="W515" s="140"/>
    </row>
    <row r="516">
      <c r="A516" s="140"/>
      <c r="B516" s="140"/>
      <c r="C516" s="140"/>
      <c r="D516" s="140"/>
      <c r="E516" s="140"/>
      <c r="F516" s="140"/>
      <c r="G516" s="140"/>
      <c r="H516" s="140"/>
      <c r="I516" s="140"/>
      <c r="J516" s="140"/>
      <c r="K516" s="455"/>
      <c r="L516" s="455"/>
      <c r="M516" s="140"/>
      <c r="N516" s="140"/>
      <c r="O516" s="140"/>
      <c r="P516" s="140"/>
      <c r="Q516" s="140"/>
      <c r="R516" s="140"/>
      <c r="S516" s="140"/>
      <c r="T516" s="140"/>
      <c r="U516" s="140"/>
      <c r="V516" s="140"/>
      <c r="W516" s="140"/>
    </row>
    <row r="517">
      <c r="A517" s="140"/>
      <c r="B517" s="140"/>
      <c r="C517" s="140"/>
      <c r="D517" s="140"/>
      <c r="E517" s="140"/>
      <c r="F517" s="140"/>
      <c r="G517" s="140"/>
      <c r="H517" s="140"/>
      <c r="I517" s="140"/>
      <c r="J517" s="140"/>
      <c r="K517" s="455"/>
      <c r="L517" s="455"/>
      <c r="M517" s="140"/>
      <c r="N517" s="140"/>
      <c r="O517" s="140"/>
      <c r="P517" s="140"/>
      <c r="Q517" s="140"/>
      <c r="R517" s="140"/>
      <c r="S517" s="140"/>
      <c r="T517" s="140"/>
      <c r="U517" s="140"/>
      <c r="V517" s="140"/>
      <c r="W517" s="140"/>
    </row>
    <row r="518">
      <c r="A518" s="140"/>
      <c r="B518" s="140"/>
      <c r="C518" s="140"/>
      <c r="D518" s="140"/>
      <c r="E518" s="140"/>
      <c r="F518" s="140"/>
      <c r="G518" s="140"/>
      <c r="H518" s="140"/>
      <c r="I518" s="140"/>
      <c r="J518" s="140"/>
      <c r="K518" s="455"/>
      <c r="L518" s="455"/>
      <c r="M518" s="140"/>
      <c r="N518" s="140"/>
      <c r="O518" s="140"/>
      <c r="P518" s="140"/>
      <c r="Q518" s="140"/>
      <c r="R518" s="140"/>
      <c r="S518" s="140"/>
      <c r="T518" s="140"/>
      <c r="U518" s="140"/>
      <c r="V518" s="140"/>
      <c r="W518" s="140"/>
    </row>
    <row r="519">
      <c r="A519" s="140"/>
      <c r="B519" s="140"/>
      <c r="C519" s="140"/>
      <c r="D519" s="140"/>
      <c r="E519" s="140"/>
      <c r="F519" s="140"/>
      <c r="G519" s="140"/>
      <c r="H519" s="140"/>
      <c r="I519" s="140"/>
      <c r="J519" s="140"/>
      <c r="K519" s="455"/>
      <c r="L519" s="455"/>
      <c r="M519" s="140"/>
      <c r="N519" s="140"/>
      <c r="O519" s="140"/>
      <c r="P519" s="140"/>
      <c r="Q519" s="140"/>
      <c r="R519" s="140"/>
      <c r="S519" s="140"/>
      <c r="T519" s="140"/>
      <c r="U519" s="140"/>
      <c r="V519" s="140"/>
      <c r="W519" s="140"/>
    </row>
    <row r="520">
      <c r="A520" s="140"/>
      <c r="B520" s="140"/>
      <c r="C520" s="140"/>
      <c r="D520" s="140"/>
      <c r="E520" s="140"/>
      <c r="F520" s="140"/>
      <c r="G520" s="140"/>
      <c r="H520" s="140"/>
      <c r="I520" s="140"/>
      <c r="J520" s="140"/>
      <c r="K520" s="455"/>
      <c r="L520" s="455"/>
      <c r="M520" s="140"/>
      <c r="N520" s="140"/>
      <c r="O520" s="140"/>
      <c r="P520" s="140"/>
      <c r="Q520" s="140"/>
      <c r="R520" s="140"/>
      <c r="S520" s="140"/>
      <c r="T520" s="140"/>
      <c r="U520" s="140"/>
      <c r="V520" s="140"/>
      <c r="W520" s="140"/>
    </row>
    <row r="521">
      <c r="A521" s="140"/>
      <c r="B521" s="140"/>
      <c r="C521" s="140"/>
      <c r="D521" s="140"/>
      <c r="E521" s="140"/>
      <c r="F521" s="140"/>
      <c r="G521" s="140"/>
      <c r="H521" s="140"/>
      <c r="I521" s="140"/>
      <c r="J521" s="140"/>
      <c r="K521" s="455"/>
      <c r="L521" s="455"/>
      <c r="M521" s="140"/>
      <c r="N521" s="140"/>
      <c r="O521" s="140"/>
      <c r="P521" s="140"/>
      <c r="Q521" s="140"/>
      <c r="R521" s="140"/>
      <c r="S521" s="140"/>
      <c r="T521" s="140"/>
      <c r="U521" s="140"/>
      <c r="V521" s="140"/>
      <c r="W521" s="140"/>
    </row>
    <row r="522">
      <c r="A522" s="140"/>
      <c r="B522" s="140"/>
      <c r="C522" s="140"/>
      <c r="D522" s="140"/>
      <c r="E522" s="140"/>
      <c r="F522" s="140"/>
      <c r="G522" s="140"/>
      <c r="H522" s="140"/>
      <c r="I522" s="140"/>
      <c r="J522" s="140"/>
      <c r="K522" s="455"/>
      <c r="L522" s="455"/>
      <c r="M522" s="140"/>
      <c r="N522" s="140"/>
      <c r="O522" s="140"/>
      <c r="P522" s="140"/>
      <c r="Q522" s="140"/>
      <c r="R522" s="140"/>
      <c r="S522" s="140"/>
      <c r="T522" s="140"/>
      <c r="U522" s="140"/>
      <c r="V522" s="140"/>
      <c r="W522" s="140"/>
    </row>
    <row r="523">
      <c r="A523" s="140"/>
      <c r="B523" s="140"/>
      <c r="C523" s="140"/>
      <c r="D523" s="140"/>
      <c r="E523" s="140"/>
      <c r="F523" s="140"/>
      <c r="G523" s="140"/>
      <c r="H523" s="140"/>
      <c r="I523" s="140"/>
      <c r="J523" s="140"/>
      <c r="K523" s="455"/>
      <c r="L523" s="455"/>
      <c r="M523" s="140"/>
      <c r="N523" s="140"/>
      <c r="O523" s="140"/>
      <c r="P523" s="140"/>
      <c r="Q523" s="140"/>
      <c r="R523" s="140"/>
      <c r="S523" s="140"/>
      <c r="T523" s="140"/>
      <c r="U523" s="140"/>
      <c r="V523" s="140"/>
      <c r="W523" s="140"/>
    </row>
    <row r="524">
      <c r="A524" s="140"/>
      <c r="B524" s="140"/>
      <c r="C524" s="140"/>
      <c r="D524" s="140"/>
      <c r="E524" s="140"/>
      <c r="F524" s="140"/>
      <c r="G524" s="140"/>
      <c r="H524" s="140"/>
      <c r="I524" s="140"/>
      <c r="J524" s="140"/>
      <c r="K524" s="455"/>
      <c r="L524" s="455"/>
      <c r="M524" s="140"/>
      <c r="N524" s="140"/>
      <c r="O524" s="140"/>
      <c r="P524" s="140"/>
      <c r="Q524" s="140"/>
      <c r="R524" s="140"/>
      <c r="S524" s="140"/>
      <c r="T524" s="140"/>
      <c r="U524" s="140"/>
      <c r="V524" s="140"/>
      <c r="W524" s="140"/>
    </row>
    <row r="525">
      <c r="A525" s="140"/>
      <c r="B525" s="140"/>
      <c r="C525" s="140"/>
      <c r="D525" s="140"/>
      <c r="E525" s="140"/>
      <c r="F525" s="140"/>
      <c r="G525" s="140"/>
      <c r="H525" s="140"/>
      <c r="I525" s="140"/>
      <c r="J525" s="140"/>
      <c r="K525" s="455"/>
      <c r="L525" s="455"/>
      <c r="M525" s="140"/>
      <c r="N525" s="140"/>
      <c r="O525" s="140"/>
      <c r="P525" s="140"/>
      <c r="Q525" s="140"/>
      <c r="R525" s="140"/>
      <c r="S525" s="140"/>
      <c r="T525" s="140"/>
      <c r="U525" s="140"/>
      <c r="V525" s="140"/>
      <c r="W525" s="140"/>
    </row>
    <row r="526">
      <c r="A526" s="140"/>
      <c r="B526" s="140"/>
      <c r="C526" s="140"/>
      <c r="D526" s="140"/>
      <c r="E526" s="140"/>
      <c r="F526" s="140"/>
      <c r="G526" s="140"/>
      <c r="H526" s="140"/>
      <c r="I526" s="140"/>
      <c r="J526" s="140"/>
      <c r="K526" s="455"/>
      <c r="L526" s="455"/>
      <c r="M526" s="140"/>
      <c r="N526" s="140"/>
      <c r="O526" s="140"/>
      <c r="P526" s="140"/>
      <c r="Q526" s="140"/>
      <c r="R526" s="140"/>
      <c r="S526" s="140"/>
      <c r="T526" s="140"/>
      <c r="U526" s="140"/>
      <c r="V526" s="140"/>
      <c r="W526" s="140"/>
    </row>
    <row r="527">
      <c r="A527" s="140"/>
      <c r="B527" s="140"/>
      <c r="C527" s="140"/>
      <c r="D527" s="140"/>
      <c r="E527" s="140"/>
      <c r="F527" s="140"/>
      <c r="G527" s="140"/>
      <c r="H527" s="140"/>
      <c r="I527" s="140"/>
      <c r="J527" s="140"/>
      <c r="K527" s="455"/>
      <c r="L527" s="455"/>
      <c r="M527" s="140"/>
      <c r="N527" s="140"/>
      <c r="O527" s="140"/>
      <c r="P527" s="140"/>
      <c r="Q527" s="140"/>
      <c r="R527" s="140"/>
      <c r="S527" s="140"/>
      <c r="T527" s="140"/>
      <c r="U527" s="140"/>
      <c r="V527" s="140"/>
      <c r="W527" s="140"/>
    </row>
    <row r="528">
      <c r="A528" s="140"/>
      <c r="B528" s="140"/>
      <c r="C528" s="140"/>
      <c r="D528" s="140"/>
      <c r="E528" s="140"/>
      <c r="F528" s="140"/>
      <c r="G528" s="140"/>
      <c r="H528" s="140"/>
      <c r="I528" s="140"/>
      <c r="J528" s="140"/>
      <c r="K528" s="455"/>
      <c r="L528" s="455"/>
      <c r="M528" s="140"/>
      <c r="N528" s="140"/>
      <c r="O528" s="140"/>
      <c r="P528" s="140"/>
      <c r="Q528" s="140"/>
      <c r="R528" s="140"/>
      <c r="S528" s="140"/>
      <c r="T528" s="140"/>
      <c r="U528" s="140"/>
      <c r="V528" s="140"/>
      <c r="W528" s="140"/>
    </row>
    <row r="529">
      <c r="A529" s="140"/>
      <c r="B529" s="140"/>
      <c r="C529" s="140"/>
      <c r="D529" s="140"/>
      <c r="E529" s="140"/>
      <c r="F529" s="140"/>
      <c r="G529" s="140"/>
      <c r="H529" s="140"/>
      <c r="I529" s="140"/>
      <c r="J529" s="140"/>
      <c r="K529" s="455"/>
      <c r="L529" s="455"/>
      <c r="M529" s="140"/>
      <c r="N529" s="140"/>
      <c r="O529" s="140"/>
      <c r="P529" s="140"/>
      <c r="Q529" s="140"/>
      <c r="R529" s="140"/>
      <c r="S529" s="140"/>
      <c r="T529" s="140"/>
      <c r="U529" s="140"/>
      <c r="V529" s="140"/>
      <c r="W529" s="140"/>
    </row>
    <row r="530">
      <c r="A530" s="140"/>
      <c r="B530" s="140"/>
      <c r="C530" s="140"/>
      <c r="D530" s="140"/>
      <c r="E530" s="140"/>
      <c r="F530" s="140"/>
      <c r="G530" s="140"/>
      <c r="H530" s="140"/>
      <c r="I530" s="140"/>
      <c r="J530" s="140"/>
      <c r="K530" s="455"/>
      <c r="L530" s="455"/>
      <c r="M530" s="140"/>
      <c r="N530" s="140"/>
      <c r="O530" s="140"/>
      <c r="P530" s="140"/>
      <c r="Q530" s="140"/>
      <c r="R530" s="140"/>
      <c r="S530" s="140"/>
      <c r="T530" s="140"/>
      <c r="U530" s="140"/>
      <c r="V530" s="140"/>
      <c r="W530" s="140"/>
    </row>
    <row r="531">
      <c r="A531" s="140"/>
      <c r="B531" s="140"/>
      <c r="C531" s="140"/>
      <c r="D531" s="140"/>
      <c r="E531" s="140"/>
      <c r="F531" s="140"/>
      <c r="G531" s="140"/>
      <c r="H531" s="140"/>
      <c r="I531" s="140"/>
      <c r="J531" s="140"/>
      <c r="K531" s="455"/>
      <c r="L531" s="455"/>
      <c r="M531" s="140"/>
      <c r="N531" s="140"/>
      <c r="O531" s="140"/>
      <c r="P531" s="140"/>
      <c r="Q531" s="140"/>
      <c r="R531" s="140"/>
      <c r="S531" s="140"/>
      <c r="T531" s="140"/>
      <c r="U531" s="140"/>
      <c r="V531" s="140"/>
      <c r="W531" s="140"/>
    </row>
    <row r="532">
      <c r="A532" s="140"/>
      <c r="B532" s="140"/>
      <c r="C532" s="140"/>
      <c r="D532" s="140"/>
      <c r="E532" s="140"/>
      <c r="F532" s="140"/>
      <c r="G532" s="140"/>
      <c r="H532" s="140"/>
      <c r="I532" s="140"/>
      <c r="J532" s="140"/>
      <c r="K532" s="455"/>
      <c r="L532" s="455"/>
      <c r="M532" s="140"/>
      <c r="N532" s="140"/>
      <c r="O532" s="140"/>
      <c r="P532" s="140"/>
      <c r="Q532" s="140"/>
      <c r="R532" s="140"/>
      <c r="S532" s="140"/>
      <c r="T532" s="140"/>
      <c r="U532" s="140"/>
      <c r="V532" s="140"/>
      <c r="W532" s="140"/>
    </row>
    <row r="533">
      <c r="A533" s="140"/>
      <c r="B533" s="140"/>
      <c r="C533" s="140"/>
      <c r="D533" s="140"/>
      <c r="E533" s="140"/>
      <c r="F533" s="140"/>
      <c r="G533" s="140"/>
      <c r="H533" s="140"/>
      <c r="I533" s="140"/>
      <c r="J533" s="140"/>
      <c r="K533" s="455"/>
      <c r="L533" s="455"/>
      <c r="M533" s="140"/>
      <c r="N533" s="140"/>
      <c r="O533" s="140"/>
      <c r="P533" s="140"/>
      <c r="Q533" s="140"/>
      <c r="R533" s="140"/>
      <c r="S533" s="140"/>
      <c r="T533" s="140"/>
      <c r="U533" s="140"/>
      <c r="V533" s="140"/>
      <c r="W533" s="140"/>
    </row>
    <row r="534">
      <c r="A534" s="140"/>
      <c r="B534" s="140"/>
      <c r="C534" s="140"/>
      <c r="D534" s="140"/>
      <c r="E534" s="140"/>
      <c r="F534" s="140"/>
      <c r="G534" s="140"/>
      <c r="H534" s="140"/>
      <c r="I534" s="140"/>
      <c r="J534" s="140"/>
      <c r="K534" s="455"/>
      <c r="L534" s="455"/>
      <c r="M534" s="140"/>
      <c r="N534" s="140"/>
      <c r="O534" s="140"/>
      <c r="P534" s="140"/>
      <c r="Q534" s="140"/>
      <c r="R534" s="140"/>
      <c r="S534" s="140"/>
      <c r="T534" s="140"/>
      <c r="U534" s="140"/>
      <c r="V534" s="140"/>
      <c r="W534" s="140"/>
    </row>
    <row r="535">
      <c r="A535" s="140"/>
      <c r="B535" s="140"/>
      <c r="C535" s="140"/>
      <c r="D535" s="140"/>
      <c r="E535" s="140"/>
      <c r="F535" s="140"/>
      <c r="G535" s="140"/>
      <c r="H535" s="140"/>
      <c r="I535" s="140"/>
      <c r="J535" s="140"/>
      <c r="K535" s="455"/>
      <c r="L535" s="455"/>
      <c r="M535" s="140"/>
      <c r="N535" s="140"/>
      <c r="O535" s="140"/>
      <c r="P535" s="140"/>
      <c r="Q535" s="140"/>
      <c r="R535" s="140"/>
      <c r="S535" s="140"/>
      <c r="T535" s="140"/>
      <c r="U535" s="140"/>
      <c r="V535" s="140"/>
      <c r="W535" s="140"/>
    </row>
    <row r="536">
      <c r="A536" s="140"/>
      <c r="B536" s="140"/>
      <c r="C536" s="140"/>
      <c r="D536" s="140"/>
      <c r="E536" s="140"/>
      <c r="F536" s="140"/>
      <c r="G536" s="140"/>
      <c r="H536" s="140"/>
      <c r="I536" s="140"/>
      <c r="J536" s="140"/>
      <c r="K536" s="455"/>
      <c r="L536" s="455"/>
      <c r="M536" s="140"/>
      <c r="N536" s="140"/>
      <c r="O536" s="140"/>
      <c r="P536" s="140"/>
      <c r="Q536" s="140"/>
      <c r="R536" s="140"/>
      <c r="S536" s="140"/>
      <c r="T536" s="140"/>
      <c r="U536" s="140"/>
      <c r="V536" s="140"/>
      <c r="W536" s="140"/>
    </row>
    <row r="537">
      <c r="A537" s="140"/>
      <c r="B537" s="140"/>
      <c r="C537" s="140"/>
      <c r="D537" s="140"/>
      <c r="E537" s="140"/>
      <c r="F537" s="140"/>
      <c r="G537" s="140"/>
      <c r="H537" s="140"/>
      <c r="I537" s="140"/>
      <c r="J537" s="140"/>
      <c r="K537" s="455"/>
      <c r="L537" s="455"/>
      <c r="M537" s="140"/>
      <c r="N537" s="140"/>
      <c r="O537" s="140"/>
      <c r="P537" s="140"/>
      <c r="Q537" s="140"/>
      <c r="R537" s="140"/>
      <c r="S537" s="140"/>
      <c r="T537" s="140"/>
      <c r="U537" s="140"/>
      <c r="V537" s="140"/>
      <c r="W537" s="140"/>
    </row>
    <row r="538">
      <c r="A538" s="140"/>
      <c r="B538" s="140"/>
      <c r="C538" s="140"/>
      <c r="D538" s="140"/>
      <c r="E538" s="140"/>
      <c r="F538" s="140"/>
      <c r="G538" s="140"/>
      <c r="H538" s="140"/>
      <c r="I538" s="140"/>
      <c r="J538" s="140"/>
      <c r="K538" s="455"/>
      <c r="L538" s="455"/>
      <c r="M538" s="140"/>
      <c r="N538" s="140"/>
      <c r="O538" s="140"/>
      <c r="P538" s="140"/>
      <c r="Q538" s="140"/>
      <c r="R538" s="140"/>
      <c r="S538" s="140"/>
      <c r="T538" s="140"/>
      <c r="U538" s="140"/>
      <c r="V538" s="140"/>
      <c r="W538" s="140"/>
    </row>
    <row r="539">
      <c r="A539" s="140"/>
      <c r="B539" s="140"/>
      <c r="C539" s="140"/>
      <c r="D539" s="140"/>
      <c r="E539" s="140"/>
      <c r="F539" s="140"/>
      <c r="G539" s="140"/>
      <c r="H539" s="140"/>
      <c r="I539" s="140"/>
      <c r="J539" s="140"/>
      <c r="K539" s="455"/>
      <c r="L539" s="455"/>
      <c r="M539" s="140"/>
      <c r="N539" s="140"/>
      <c r="O539" s="140"/>
      <c r="P539" s="140"/>
      <c r="Q539" s="140"/>
      <c r="R539" s="140"/>
      <c r="S539" s="140"/>
      <c r="T539" s="140"/>
      <c r="U539" s="140"/>
      <c r="V539" s="140"/>
      <c r="W539" s="140"/>
    </row>
    <row r="540">
      <c r="A540" s="140"/>
      <c r="B540" s="140"/>
      <c r="C540" s="140"/>
      <c r="D540" s="140"/>
      <c r="E540" s="140"/>
      <c r="F540" s="140"/>
      <c r="G540" s="140"/>
      <c r="H540" s="140"/>
      <c r="I540" s="140"/>
      <c r="J540" s="140"/>
      <c r="K540" s="455"/>
      <c r="L540" s="455"/>
      <c r="M540" s="140"/>
      <c r="N540" s="140"/>
      <c r="O540" s="140"/>
      <c r="P540" s="140"/>
      <c r="Q540" s="140"/>
      <c r="R540" s="140"/>
      <c r="S540" s="140"/>
      <c r="T540" s="140"/>
      <c r="U540" s="140"/>
      <c r="V540" s="140"/>
      <c r="W540" s="140"/>
    </row>
    <row r="541">
      <c r="A541" s="140"/>
      <c r="B541" s="140"/>
      <c r="C541" s="140"/>
      <c r="D541" s="140"/>
      <c r="E541" s="140"/>
      <c r="F541" s="140"/>
      <c r="G541" s="140"/>
      <c r="H541" s="140"/>
      <c r="I541" s="140"/>
      <c r="J541" s="140"/>
      <c r="K541" s="455"/>
      <c r="L541" s="455"/>
      <c r="M541" s="140"/>
      <c r="N541" s="140"/>
      <c r="O541" s="140"/>
      <c r="P541" s="140"/>
      <c r="Q541" s="140"/>
      <c r="R541" s="140"/>
      <c r="S541" s="140"/>
      <c r="T541" s="140"/>
      <c r="U541" s="140"/>
      <c r="V541" s="140"/>
      <c r="W541" s="140"/>
    </row>
    <row r="542">
      <c r="A542" s="140"/>
      <c r="B542" s="140"/>
      <c r="C542" s="140"/>
      <c r="D542" s="140"/>
      <c r="E542" s="140"/>
      <c r="F542" s="140"/>
      <c r="G542" s="140"/>
      <c r="H542" s="140"/>
      <c r="I542" s="140"/>
      <c r="J542" s="140"/>
      <c r="K542" s="455"/>
      <c r="L542" s="455"/>
      <c r="M542" s="140"/>
      <c r="N542" s="140"/>
      <c r="O542" s="140"/>
      <c r="P542" s="140"/>
      <c r="Q542" s="140"/>
      <c r="R542" s="140"/>
      <c r="S542" s="140"/>
      <c r="T542" s="140"/>
      <c r="U542" s="140"/>
      <c r="V542" s="140"/>
      <c r="W542" s="140"/>
    </row>
    <row r="543">
      <c r="A543" s="140"/>
      <c r="B543" s="140"/>
      <c r="C543" s="140"/>
      <c r="D543" s="140"/>
      <c r="E543" s="140"/>
      <c r="F543" s="140"/>
      <c r="G543" s="140"/>
      <c r="H543" s="140"/>
      <c r="I543" s="140"/>
      <c r="J543" s="140"/>
      <c r="K543" s="455"/>
      <c r="L543" s="455"/>
      <c r="M543" s="140"/>
      <c r="N543" s="140"/>
      <c r="O543" s="140"/>
      <c r="P543" s="140"/>
      <c r="Q543" s="140"/>
      <c r="R543" s="140"/>
      <c r="S543" s="140"/>
      <c r="T543" s="140"/>
      <c r="U543" s="140"/>
      <c r="V543" s="140"/>
      <c r="W543" s="140"/>
    </row>
    <row r="544">
      <c r="A544" s="140"/>
      <c r="B544" s="140"/>
      <c r="C544" s="140"/>
      <c r="D544" s="140"/>
      <c r="E544" s="140"/>
      <c r="F544" s="140"/>
      <c r="G544" s="140"/>
      <c r="H544" s="140"/>
      <c r="I544" s="140"/>
      <c r="J544" s="140"/>
      <c r="K544" s="455"/>
      <c r="L544" s="455"/>
      <c r="M544" s="140"/>
      <c r="N544" s="140"/>
      <c r="O544" s="140"/>
      <c r="P544" s="140"/>
      <c r="Q544" s="140"/>
      <c r="R544" s="140"/>
      <c r="S544" s="140"/>
      <c r="T544" s="140"/>
      <c r="U544" s="140"/>
      <c r="V544" s="140"/>
      <c r="W544" s="140"/>
    </row>
    <row r="545">
      <c r="A545" s="140"/>
      <c r="B545" s="140"/>
      <c r="C545" s="140"/>
      <c r="D545" s="140"/>
      <c r="E545" s="140"/>
      <c r="F545" s="140"/>
      <c r="G545" s="140"/>
      <c r="H545" s="140"/>
      <c r="I545" s="140"/>
      <c r="J545" s="140"/>
      <c r="K545" s="455"/>
      <c r="L545" s="455"/>
      <c r="M545" s="140"/>
      <c r="N545" s="140"/>
      <c r="O545" s="140"/>
      <c r="P545" s="140"/>
      <c r="Q545" s="140"/>
      <c r="R545" s="140"/>
      <c r="S545" s="140"/>
      <c r="T545" s="140"/>
      <c r="U545" s="140"/>
      <c r="V545" s="140"/>
      <c r="W545" s="140"/>
    </row>
    <row r="546">
      <c r="A546" s="140"/>
      <c r="B546" s="140"/>
      <c r="C546" s="140"/>
      <c r="D546" s="140"/>
      <c r="E546" s="140"/>
      <c r="F546" s="140"/>
      <c r="G546" s="140"/>
      <c r="H546" s="140"/>
      <c r="I546" s="140"/>
      <c r="J546" s="140"/>
      <c r="K546" s="455"/>
      <c r="L546" s="455"/>
      <c r="M546" s="140"/>
      <c r="N546" s="140"/>
      <c r="O546" s="140"/>
      <c r="P546" s="140"/>
      <c r="Q546" s="140"/>
      <c r="R546" s="140"/>
      <c r="S546" s="140"/>
      <c r="T546" s="140"/>
      <c r="U546" s="140"/>
      <c r="V546" s="140"/>
      <c r="W546" s="140"/>
    </row>
    <row r="547">
      <c r="A547" s="140"/>
      <c r="B547" s="140"/>
      <c r="C547" s="140"/>
      <c r="D547" s="140"/>
      <c r="E547" s="140"/>
      <c r="F547" s="140"/>
      <c r="G547" s="140"/>
      <c r="H547" s="140"/>
      <c r="I547" s="140"/>
      <c r="J547" s="140"/>
      <c r="K547" s="455"/>
      <c r="L547" s="455"/>
      <c r="M547" s="140"/>
      <c r="N547" s="140"/>
      <c r="O547" s="140"/>
      <c r="P547" s="140"/>
      <c r="Q547" s="140"/>
      <c r="R547" s="140"/>
      <c r="S547" s="140"/>
      <c r="T547" s="140"/>
      <c r="U547" s="140"/>
      <c r="V547" s="140"/>
      <c r="W547" s="140"/>
    </row>
    <row r="548">
      <c r="A548" s="140"/>
      <c r="B548" s="140"/>
      <c r="C548" s="140"/>
      <c r="D548" s="140"/>
      <c r="E548" s="140"/>
      <c r="F548" s="140"/>
      <c r="G548" s="140"/>
      <c r="H548" s="140"/>
      <c r="I548" s="140"/>
      <c r="J548" s="140"/>
      <c r="K548" s="455"/>
      <c r="L548" s="455"/>
      <c r="M548" s="140"/>
      <c r="N548" s="140"/>
      <c r="O548" s="140"/>
      <c r="P548" s="140"/>
      <c r="Q548" s="140"/>
      <c r="R548" s="140"/>
      <c r="S548" s="140"/>
      <c r="T548" s="140"/>
      <c r="U548" s="140"/>
      <c r="V548" s="140"/>
      <c r="W548" s="140"/>
    </row>
    <row r="549">
      <c r="A549" s="140"/>
      <c r="B549" s="140"/>
      <c r="C549" s="140"/>
      <c r="D549" s="140"/>
      <c r="E549" s="140"/>
      <c r="F549" s="140"/>
      <c r="G549" s="140"/>
      <c r="H549" s="140"/>
      <c r="I549" s="140"/>
      <c r="J549" s="140"/>
      <c r="K549" s="455"/>
      <c r="L549" s="455"/>
      <c r="M549" s="140"/>
      <c r="N549" s="140"/>
      <c r="O549" s="140"/>
      <c r="P549" s="140"/>
      <c r="Q549" s="140"/>
      <c r="R549" s="140"/>
      <c r="S549" s="140"/>
      <c r="T549" s="140"/>
      <c r="U549" s="140"/>
      <c r="V549" s="140"/>
      <c r="W549" s="140"/>
    </row>
    <row r="550">
      <c r="A550" s="140"/>
      <c r="B550" s="140"/>
      <c r="C550" s="140"/>
      <c r="D550" s="140"/>
      <c r="E550" s="140"/>
      <c r="F550" s="140"/>
      <c r="G550" s="140"/>
      <c r="H550" s="140"/>
      <c r="I550" s="140"/>
      <c r="J550" s="140"/>
      <c r="K550" s="455"/>
      <c r="L550" s="455"/>
      <c r="M550" s="140"/>
      <c r="N550" s="140"/>
      <c r="O550" s="140"/>
      <c r="P550" s="140"/>
      <c r="Q550" s="140"/>
      <c r="R550" s="140"/>
      <c r="S550" s="140"/>
      <c r="T550" s="140"/>
      <c r="U550" s="140"/>
      <c r="V550" s="140"/>
      <c r="W550" s="140"/>
    </row>
    <row r="551">
      <c r="A551" s="140"/>
      <c r="B551" s="140"/>
      <c r="C551" s="140"/>
      <c r="D551" s="140"/>
      <c r="E551" s="140"/>
      <c r="F551" s="140"/>
      <c r="G551" s="140"/>
      <c r="H551" s="140"/>
      <c r="I551" s="140"/>
      <c r="J551" s="140"/>
      <c r="K551" s="455"/>
      <c r="L551" s="455"/>
      <c r="M551" s="140"/>
      <c r="N551" s="140"/>
      <c r="O551" s="140"/>
      <c r="P551" s="140"/>
      <c r="Q551" s="140"/>
      <c r="R551" s="140"/>
      <c r="S551" s="140"/>
      <c r="T551" s="140"/>
      <c r="U551" s="140"/>
      <c r="V551" s="140"/>
      <c r="W551" s="140"/>
    </row>
    <row r="552">
      <c r="A552" s="140"/>
      <c r="B552" s="140"/>
      <c r="C552" s="140"/>
      <c r="D552" s="140"/>
      <c r="E552" s="140"/>
      <c r="F552" s="140"/>
      <c r="G552" s="140"/>
      <c r="H552" s="140"/>
      <c r="I552" s="140"/>
      <c r="J552" s="140"/>
      <c r="K552" s="455"/>
      <c r="L552" s="455"/>
      <c r="M552" s="140"/>
      <c r="N552" s="140"/>
      <c r="O552" s="140"/>
      <c r="P552" s="140"/>
      <c r="Q552" s="140"/>
      <c r="R552" s="140"/>
      <c r="S552" s="140"/>
      <c r="T552" s="140"/>
      <c r="U552" s="140"/>
      <c r="V552" s="140"/>
      <c r="W552" s="140"/>
    </row>
    <row r="553">
      <c r="A553" s="140"/>
      <c r="B553" s="140"/>
      <c r="C553" s="140"/>
      <c r="D553" s="140"/>
      <c r="E553" s="140"/>
      <c r="F553" s="140"/>
      <c r="G553" s="140"/>
      <c r="H553" s="140"/>
      <c r="I553" s="140"/>
      <c r="J553" s="140"/>
      <c r="K553" s="455"/>
      <c r="L553" s="455"/>
      <c r="M553" s="140"/>
      <c r="N553" s="140"/>
      <c r="O553" s="140"/>
      <c r="P553" s="140"/>
      <c r="Q553" s="140"/>
      <c r="R553" s="140"/>
      <c r="S553" s="140"/>
      <c r="T553" s="140"/>
      <c r="U553" s="140"/>
      <c r="V553" s="140"/>
      <c r="W553" s="140"/>
    </row>
    <row r="554">
      <c r="A554" s="140"/>
      <c r="B554" s="140"/>
      <c r="C554" s="140"/>
      <c r="D554" s="140"/>
      <c r="E554" s="140"/>
      <c r="F554" s="140"/>
      <c r="G554" s="140"/>
      <c r="H554" s="140"/>
      <c r="I554" s="140"/>
      <c r="J554" s="140"/>
      <c r="K554" s="455"/>
      <c r="L554" s="455"/>
      <c r="M554" s="140"/>
      <c r="N554" s="140"/>
      <c r="O554" s="140"/>
      <c r="P554" s="140"/>
      <c r="Q554" s="140"/>
      <c r="R554" s="140"/>
      <c r="S554" s="140"/>
      <c r="T554" s="140"/>
      <c r="U554" s="140"/>
      <c r="V554" s="140"/>
      <c r="W554" s="140"/>
    </row>
    <row r="555">
      <c r="A555" s="140"/>
      <c r="B555" s="140"/>
      <c r="C555" s="140"/>
      <c r="D555" s="140"/>
      <c r="E555" s="140"/>
      <c r="F555" s="140"/>
      <c r="G555" s="140"/>
      <c r="H555" s="140"/>
      <c r="I555" s="140"/>
      <c r="J555" s="140"/>
      <c r="K555" s="455"/>
      <c r="L555" s="455"/>
      <c r="M555" s="140"/>
      <c r="N555" s="140"/>
      <c r="O555" s="140"/>
      <c r="P555" s="140"/>
      <c r="Q555" s="140"/>
      <c r="R555" s="140"/>
      <c r="S555" s="140"/>
      <c r="T555" s="140"/>
      <c r="U555" s="140"/>
      <c r="V555" s="140"/>
      <c r="W555" s="140"/>
    </row>
    <row r="556">
      <c r="A556" s="140"/>
      <c r="B556" s="140"/>
      <c r="C556" s="140"/>
      <c r="D556" s="140"/>
      <c r="E556" s="140"/>
      <c r="F556" s="140"/>
      <c r="G556" s="140"/>
      <c r="H556" s="140"/>
      <c r="I556" s="140"/>
      <c r="J556" s="140"/>
      <c r="K556" s="455"/>
      <c r="L556" s="455"/>
      <c r="M556" s="140"/>
      <c r="N556" s="140"/>
      <c r="O556" s="140"/>
      <c r="P556" s="140"/>
      <c r="Q556" s="140"/>
      <c r="R556" s="140"/>
      <c r="S556" s="140"/>
      <c r="T556" s="140"/>
      <c r="U556" s="140"/>
      <c r="V556" s="140"/>
      <c r="W556" s="140"/>
    </row>
    <row r="557">
      <c r="A557" s="140"/>
      <c r="B557" s="140"/>
      <c r="C557" s="140"/>
      <c r="D557" s="140"/>
      <c r="E557" s="140"/>
      <c r="F557" s="140"/>
      <c r="G557" s="140"/>
      <c r="H557" s="140"/>
      <c r="I557" s="140"/>
      <c r="J557" s="140"/>
      <c r="K557" s="455"/>
      <c r="L557" s="455"/>
      <c r="M557" s="140"/>
      <c r="N557" s="140"/>
      <c r="O557" s="140"/>
      <c r="P557" s="140"/>
      <c r="Q557" s="140"/>
      <c r="R557" s="140"/>
      <c r="S557" s="140"/>
      <c r="T557" s="140"/>
      <c r="U557" s="140"/>
      <c r="V557" s="140"/>
      <c r="W557" s="140"/>
    </row>
    <row r="558">
      <c r="A558" s="140"/>
      <c r="B558" s="140"/>
      <c r="C558" s="140"/>
      <c r="D558" s="140"/>
      <c r="E558" s="140"/>
      <c r="F558" s="140"/>
      <c r="G558" s="140"/>
      <c r="H558" s="140"/>
      <c r="I558" s="140"/>
      <c r="J558" s="140"/>
      <c r="K558" s="455"/>
      <c r="L558" s="455"/>
      <c r="M558" s="140"/>
      <c r="N558" s="140"/>
      <c r="O558" s="140"/>
      <c r="P558" s="140"/>
      <c r="Q558" s="140"/>
      <c r="R558" s="140"/>
      <c r="S558" s="140"/>
      <c r="T558" s="140"/>
      <c r="U558" s="140"/>
      <c r="V558" s="140"/>
      <c r="W558" s="140"/>
    </row>
    <row r="559">
      <c r="A559" s="140"/>
      <c r="B559" s="140"/>
      <c r="C559" s="140"/>
      <c r="D559" s="140"/>
      <c r="E559" s="140"/>
      <c r="F559" s="140"/>
      <c r="G559" s="140"/>
      <c r="H559" s="140"/>
      <c r="I559" s="140"/>
      <c r="J559" s="140"/>
      <c r="K559" s="455"/>
      <c r="L559" s="455"/>
      <c r="M559" s="140"/>
      <c r="N559" s="140"/>
      <c r="O559" s="140"/>
      <c r="P559" s="140"/>
      <c r="Q559" s="140"/>
      <c r="R559" s="140"/>
      <c r="S559" s="140"/>
      <c r="T559" s="140"/>
      <c r="U559" s="140"/>
      <c r="V559" s="140"/>
      <c r="W559" s="140"/>
    </row>
    <row r="560">
      <c r="A560" s="140"/>
      <c r="B560" s="140"/>
      <c r="C560" s="140"/>
      <c r="D560" s="140"/>
      <c r="E560" s="140"/>
      <c r="F560" s="140"/>
      <c r="G560" s="140"/>
      <c r="H560" s="140"/>
      <c r="I560" s="140"/>
      <c r="J560" s="140"/>
      <c r="K560" s="455"/>
      <c r="L560" s="455"/>
      <c r="M560" s="140"/>
      <c r="N560" s="140"/>
      <c r="O560" s="140"/>
      <c r="P560" s="140"/>
      <c r="Q560" s="140"/>
      <c r="R560" s="140"/>
      <c r="S560" s="140"/>
      <c r="T560" s="140"/>
      <c r="U560" s="140"/>
      <c r="V560" s="140"/>
      <c r="W560" s="140"/>
    </row>
    <row r="561">
      <c r="A561" s="140"/>
      <c r="B561" s="140"/>
      <c r="C561" s="140"/>
      <c r="D561" s="140"/>
      <c r="E561" s="140"/>
      <c r="F561" s="140"/>
      <c r="G561" s="140"/>
      <c r="H561" s="140"/>
      <c r="I561" s="140"/>
      <c r="J561" s="140"/>
      <c r="K561" s="455"/>
      <c r="L561" s="455"/>
      <c r="M561" s="140"/>
      <c r="N561" s="140"/>
      <c r="O561" s="140"/>
      <c r="P561" s="140"/>
      <c r="Q561" s="140"/>
      <c r="R561" s="140"/>
      <c r="S561" s="140"/>
      <c r="T561" s="140"/>
      <c r="U561" s="140"/>
      <c r="V561" s="140"/>
      <c r="W561" s="140"/>
    </row>
    <row r="562">
      <c r="A562" s="140"/>
      <c r="B562" s="140"/>
      <c r="C562" s="140"/>
      <c r="D562" s="140"/>
      <c r="E562" s="140"/>
      <c r="F562" s="140"/>
      <c r="G562" s="140"/>
      <c r="H562" s="140"/>
      <c r="I562" s="140"/>
      <c r="J562" s="140"/>
      <c r="K562" s="455"/>
      <c r="L562" s="455"/>
      <c r="M562" s="140"/>
      <c r="N562" s="140"/>
      <c r="O562" s="140"/>
      <c r="P562" s="140"/>
      <c r="Q562" s="140"/>
      <c r="R562" s="140"/>
      <c r="S562" s="140"/>
      <c r="T562" s="140"/>
      <c r="U562" s="140"/>
      <c r="V562" s="140"/>
      <c r="W562" s="140"/>
    </row>
    <row r="563">
      <c r="A563" s="140"/>
      <c r="B563" s="140"/>
      <c r="C563" s="140"/>
      <c r="D563" s="140"/>
      <c r="E563" s="140"/>
      <c r="F563" s="140"/>
      <c r="G563" s="140"/>
      <c r="H563" s="140"/>
      <c r="I563" s="140"/>
      <c r="J563" s="140"/>
      <c r="K563" s="455"/>
      <c r="L563" s="455"/>
      <c r="M563" s="140"/>
      <c r="N563" s="140"/>
      <c r="O563" s="140"/>
      <c r="P563" s="140"/>
      <c r="Q563" s="140"/>
      <c r="R563" s="140"/>
      <c r="S563" s="140"/>
      <c r="T563" s="140"/>
      <c r="U563" s="140"/>
      <c r="V563" s="140"/>
      <c r="W563" s="140"/>
    </row>
    <row r="564">
      <c r="A564" s="140"/>
      <c r="B564" s="140"/>
      <c r="C564" s="140"/>
      <c r="D564" s="140"/>
      <c r="E564" s="140"/>
      <c r="F564" s="140"/>
      <c r="G564" s="140"/>
      <c r="H564" s="140"/>
      <c r="I564" s="140"/>
      <c r="J564" s="140"/>
      <c r="K564" s="455"/>
      <c r="L564" s="455"/>
      <c r="M564" s="140"/>
      <c r="N564" s="140"/>
      <c r="O564" s="140"/>
      <c r="P564" s="140"/>
      <c r="Q564" s="140"/>
      <c r="R564" s="140"/>
      <c r="S564" s="140"/>
      <c r="T564" s="140"/>
      <c r="U564" s="140"/>
      <c r="V564" s="140"/>
      <c r="W564" s="140"/>
    </row>
    <row r="565">
      <c r="A565" s="140"/>
      <c r="B565" s="140"/>
      <c r="C565" s="140"/>
      <c r="D565" s="140"/>
      <c r="E565" s="140"/>
      <c r="F565" s="140"/>
      <c r="G565" s="140"/>
      <c r="H565" s="140"/>
      <c r="I565" s="140"/>
      <c r="J565" s="140"/>
      <c r="K565" s="455"/>
      <c r="L565" s="455"/>
      <c r="M565" s="140"/>
      <c r="N565" s="140"/>
      <c r="O565" s="140"/>
      <c r="P565" s="140"/>
      <c r="Q565" s="140"/>
      <c r="R565" s="140"/>
      <c r="S565" s="140"/>
      <c r="T565" s="140"/>
      <c r="U565" s="140"/>
      <c r="V565" s="140"/>
      <c r="W565" s="140"/>
    </row>
    <row r="566">
      <c r="A566" s="140"/>
      <c r="B566" s="140"/>
      <c r="C566" s="140"/>
      <c r="D566" s="140"/>
      <c r="E566" s="140"/>
      <c r="F566" s="140"/>
      <c r="G566" s="140"/>
      <c r="H566" s="140"/>
      <c r="I566" s="140"/>
      <c r="J566" s="140"/>
      <c r="K566" s="455"/>
      <c r="L566" s="455"/>
      <c r="M566" s="140"/>
      <c r="N566" s="140"/>
      <c r="O566" s="140"/>
      <c r="P566" s="140"/>
      <c r="Q566" s="140"/>
      <c r="R566" s="140"/>
      <c r="S566" s="140"/>
      <c r="T566" s="140"/>
      <c r="U566" s="140"/>
      <c r="V566" s="140"/>
      <c r="W566" s="140"/>
    </row>
    <row r="567">
      <c r="A567" s="140"/>
      <c r="B567" s="140"/>
      <c r="C567" s="140"/>
      <c r="D567" s="140"/>
      <c r="E567" s="140"/>
      <c r="F567" s="140"/>
      <c r="G567" s="140"/>
      <c r="H567" s="140"/>
      <c r="I567" s="140"/>
      <c r="J567" s="140"/>
      <c r="K567" s="455"/>
      <c r="L567" s="455"/>
      <c r="M567" s="140"/>
      <c r="N567" s="140"/>
      <c r="O567" s="140"/>
      <c r="P567" s="140"/>
      <c r="Q567" s="140"/>
      <c r="R567" s="140"/>
      <c r="S567" s="140"/>
      <c r="T567" s="140"/>
      <c r="U567" s="140"/>
      <c r="V567" s="140"/>
      <c r="W567" s="140"/>
    </row>
    <row r="568">
      <c r="A568" s="140"/>
      <c r="B568" s="140"/>
      <c r="C568" s="140"/>
      <c r="D568" s="140"/>
      <c r="E568" s="140"/>
      <c r="F568" s="140"/>
      <c r="G568" s="140"/>
      <c r="H568" s="140"/>
      <c r="I568" s="140"/>
      <c r="J568" s="140"/>
      <c r="K568" s="455"/>
      <c r="L568" s="455"/>
      <c r="M568" s="140"/>
      <c r="N568" s="140"/>
      <c r="O568" s="140"/>
      <c r="P568" s="140"/>
      <c r="Q568" s="140"/>
      <c r="R568" s="140"/>
      <c r="S568" s="140"/>
      <c r="T568" s="140"/>
      <c r="U568" s="140"/>
      <c r="V568" s="140"/>
      <c r="W568" s="140"/>
    </row>
    <row r="569">
      <c r="A569" s="140"/>
      <c r="B569" s="140"/>
      <c r="C569" s="140"/>
      <c r="D569" s="140"/>
      <c r="E569" s="140"/>
      <c r="F569" s="140"/>
      <c r="G569" s="140"/>
      <c r="H569" s="140"/>
      <c r="I569" s="140"/>
      <c r="J569" s="140"/>
      <c r="K569" s="455"/>
      <c r="L569" s="455"/>
      <c r="M569" s="140"/>
      <c r="N569" s="140"/>
      <c r="O569" s="140"/>
      <c r="P569" s="140"/>
      <c r="Q569" s="140"/>
      <c r="R569" s="140"/>
      <c r="S569" s="140"/>
      <c r="T569" s="140"/>
      <c r="U569" s="140"/>
      <c r="V569" s="140"/>
      <c r="W569" s="140"/>
    </row>
    <row r="570">
      <c r="A570" s="140"/>
      <c r="B570" s="140"/>
      <c r="C570" s="140"/>
      <c r="D570" s="140"/>
      <c r="E570" s="140"/>
      <c r="F570" s="140"/>
      <c r="G570" s="140"/>
      <c r="H570" s="140"/>
      <c r="I570" s="140"/>
      <c r="J570" s="140"/>
      <c r="K570" s="455"/>
      <c r="L570" s="455"/>
      <c r="M570" s="140"/>
      <c r="N570" s="140"/>
      <c r="O570" s="140"/>
      <c r="P570" s="140"/>
      <c r="Q570" s="140"/>
      <c r="R570" s="140"/>
      <c r="S570" s="140"/>
      <c r="T570" s="140"/>
      <c r="U570" s="140"/>
      <c r="V570" s="140"/>
      <c r="W570" s="140"/>
    </row>
    <row r="571">
      <c r="A571" s="140"/>
      <c r="B571" s="140"/>
      <c r="C571" s="140"/>
      <c r="D571" s="140"/>
      <c r="E571" s="140"/>
      <c r="F571" s="140"/>
      <c r="G571" s="140"/>
      <c r="H571" s="140"/>
      <c r="I571" s="140"/>
      <c r="J571" s="140"/>
      <c r="K571" s="455"/>
      <c r="L571" s="455"/>
      <c r="M571" s="140"/>
      <c r="N571" s="140"/>
      <c r="O571" s="140"/>
      <c r="P571" s="140"/>
      <c r="Q571" s="140"/>
      <c r="R571" s="140"/>
      <c r="S571" s="140"/>
      <c r="T571" s="140"/>
      <c r="U571" s="140"/>
      <c r="V571" s="140"/>
      <c r="W571" s="140"/>
    </row>
    <row r="572">
      <c r="A572" s="140"/>
      <c r="B572" s="140"/>
      <c r="C572" s="140"/>
      <c r="D572" s="140"/>
      <c r="E572" s="140"/>
      <c r="F572" s="140"/>
      <c r="G572" s="140"/>
      <c r="H572" s="140"/>
      <c r="I572" s="140"/>
      <c r="J572" s="140"/>
      <c r="K572" s="455"/>
      <c r="L572" s="455"/>
      <c r="M572" s="140"/>
      <c r="N572" s="140"/>
      <c r="O572" s="140"/>
      <c r="P572" s="140"/>
      <c r="Q572" s="140"/>
      <c r="R572" s="140"/>
      <c r="S572" s="140"/>
      <c r="T572" s="140"/>
      <c r="U572" s="140"/>
      <c r="V572" s="140"/>
      <c r="W572" s="140"/>
    </row>
    <row r="573">
      <c r="A573" s="140"/>
      <c r="B573" s="140"/>
      <c r="C573" s="140"/>
      <c r="D573" s="140"/>
      <c r="E573" s="140"/>
      <c r="F573" s="140"/>
      <c r="G573" s="140"/>
      <c r="H573" s="140"/>
      <c r="I573" s="140"/>
      <c r="J573" s="140"/>
      <c r="K573" s="455"/>
      <c r="L573" s="455"/>
      <c r="M573" s="140"/>
      <c r="N573" s="140"/>
      <c r="O573" s="140"/>
      <c r="P573" s="140"/>
      <c r="Q573" s="140"/>
      <c r="R573" s="140"/>
      <c r="S573" s="140"/>
      <c r="T573" s="140"/>
      <c r="U573" s="140"/>
      <c r="V573" s="140"/>
      <c r="W573" s="140"/>
    </row>
    <row r="574">
      <c r="A574" s="140"/>
      <c r="B574" s="140"/>
      <c r="C574" s="140"/>
      <c r="D574" s="140"/>
      <c r="E574" s="140"/>
      <c r="F574" s="140"/>
      <c r="G574" s="140"/>
      <c r="H574" s="140"/>
      <c r="I574" s="140"/>
      <c r="J574" s="140"/>
      <c r="K574" s="455"/>
      <c r="L574" s="455"/>
      <c r="M574" s="140"/>
      <c r="N574" s="140"/>
      <c r="O574" s="140"/>
      <c r="P574" s="140"/>
      <c r="Q574" s="140"/>
      <c r="R574" s="140"/>
      <c r="S574" s="140"/>
      <c r="T574" s="140"/>
      <c r="U574" s="140"/>
      <c r="V574" s="140"/>
      <c r="W574" s="140"/>
    </row>
    <row r="575">
      <c r="A575" s="140"/>
      <c r="B575" s="140"/>
      <c r="C575" s="140"/>
      <c r="D575" s="140"/>
      <c r="E575" s="140"/>
      <c r="F575" s="140"/>
      <c r="G575" s="140"/>
      <c r="H575" s="140"/>
      <c r="I575" s="140"/>
      <c r="J575" s="140"/>
      <c r="K575" s="455"/>
      <c r="L575" s="455"/>
      <c r="M575" s="140"/>
      <c r="N575" s="140"/>
      <c r="O575" s="140"/>
      <c r="P575" s="140"/>
      <c r="Q575" s="140"/>
      <c r="R575" s="140"/>
      <c r="S575" s="140"/>
      <c r="T575" s="140"/>
      <c r="U575" s="140"/>
      <c r="V575" s="140"/>
      <c r="W575" s="140"/>
    </row>
    <row r="576">
      <c r="A576" s="140"/>
      <c r="B576" s="140"/>
      <c r="C576" s="140"/>
      <c r="D576" s="140"/>
      <c r="E576" s="140"/>
      <c r="F576" s="140"/>
      <c r="G576" s="140"/>
      <c r="H576" s="140"/>
      <c r="I576" s="140"/>
      <c r="J576" s="140"/>
      <c r="K576" s="455"/>
      <c r="L576" s="455"/>
      <c r="M576" s="140"/>
      <c r="N576" s="140"/>
      <c r="O576" s="140"/>
      <c r="P576" s="140"/>
      <c r="Q576" s="140"/>
      <c r="R576" s="140"/>
      <c r="S576" s="140"/>
      <c r="T576" s="140"/>
      <c r="U576" s="140"/>
      <c r="V576" s="140"/>
      <c r="W576" s="140"/>
    </row>
    <row r="577">
      <c r="A577" s="140"/>
      <c r="B577" s="140"/>
      <c r="C577" s="140"/>
      <c r="D577" s="140"/>
      <c r="E577" s="140"/>
      <c r="F577" s="140"/>
      <c r="G577" s="140"/>
      <c r="H577" s="140"/>
      <c r="I577" s="140"/>
      <c r="J577" s="140"/>
      <c r="K577" s="455"/>
      <c r="L577" s="455"/>
      <c r="M577" s="140"/>
      <c r="N577" s="140"/>
      <c r="O577" s="140"/>
      <c r="P577" s="140"/>
      <c r="Q577" s="140"/>
      <c r="R577" s="140"/>
      <c r="S577" s="140"/>
      <c r="T577" s="140"/>
      <c r="U577" s="140"/>
      <c r="V577" s="140"/>
      <c r="W577" s="140"/>
    </row>
    <row r="578">
      <c r="A578" s="140"/>
      <c r="B578" s="140"/>
      <c r="C578" s="140"/>
      <c r="D578" s="140"/>
      <c r="E578" s="140"/>
      <c r="F578" s="140"/>
      <c r="G578" s="140"/>
      <c r="H578" s="140"/>
      <c r="I578" s="140"/>
      <c r="J578" s="140"/>
      <c r="K578" s="455"/>
      <c r="L578" s="455"/>
      <c r="M578" s="140"/>
      <c r="N578" s="140"/>
      <c r="O578" s="140"/>
      <c r="P578" s="140"/>
      <c r="Q578" s="140"/>
      <c r="R578" s="140"/>
      <c r="S578" s="140"/>
      <c r="T578" s="140"/>
      <c r="U578" s="140"/>
      <c r="V578" s="140"/>
      <c r="W578" s="140"/>
    </row>
    <row r="579">
      <c r="A579" s="140"/>
      <c r="B579" s="140"/>
      <c r="C579" s="140"/>
      <c r="D579" s="140"/>
      <c r="E579" s="140"/>
      <c r="F579" s="140"/>
      <c r="G579" s="140"/>
      <c r="H579" s="140"/>
      <c r="I579" s="140"/>
      <c r="J579" s="140"/>
      <c r="K579" s="455"/>
      <c r="L579" s="455"/>
      <c r="M579" s="140"/>
      <c r="N579" s="140"/>
      <c r="O579" s="140"/>
      <c r="P579" s="140"/>
      <c r="Q579" s="140"/>
      <c r="R579" s="140"/>
      <c r="S579" s="140"/>
      <c r="T579" s="140"/>
      <c r="U579" s="140"/>
      <c r="V579" s="140"/>
      <c r="W579" s="140"/>
    </row>
    <row r="580">
      <c r="A580" s="140"/>
      <c r="B580" s="140"/>
      <c r="C580" s="140"/>
      <c r="D580" s="140"/>
      <c r="E580" s="140"/>
      <c r="F580" s="140"/>
      <c r="G580" s="140"/>
      <c r="H580" s="140"/>
      <c r="I580" s="140"/>
      <c r="J580" s="140"/>
      <c r="K580" s="455"/>
      <c r="L580" s="455"/>
      <c r="M580" s="140"/>
      <c r="N580" s="140"/>
      <c r="O580" s="140"/>
      <c r="P580" s="140"/>
      <c r="Q580" s="140"/>
      <c r="R580" s="140"/>
      <c r="S580" s="140"/>
      <c r="T580" s="140"/>
      <c r="U580" s="140"/>
      <c r="V580" s="140"/>
      <c r="W580" s="140"/>
    </row>
    <row r="581">
      <c r="A581" s="140"/>
      <c r="B581" s="140"/>
      <c r="C581" s="140"/>
      <c r="D581" s="140"/>
      <c r="E581" s="140"/>
      <c r="F581" s="140"/>
      <c r="G581" s="140"/>
      <c r="H581" s="140"/>
      <c r="I581" s="140"/>
      <c r="J581" s="140"/>
      <c r="K581" s="455"/>
      <c r="L581" s="455"/>
      <c r="M581" s="140"/>
      <c r="N581" s="140"/>
      <c r="O581" s="140"/>
      <c r="P581" s="140"/>
      <c r="Q581" s="140"/>
      <c r="R581" s="140"/>
      <c r="S581" s="140"/>
      <c r="T581" s="140"/>
      <c r="U581" s="140"/>
      <c r="V581" s="140"/>
      <c r="W581" s="140"/>
    </row>
    <row r="582">
      <c r="A582" s="140"/>
      <c r="B582" s="140"/>
      <c r="C582" s="140"/>
      <c r="D582" s="140"/>
      <c r="E582" s="140"/>
      <c r="F582" s="140"/>
      <c r="G582" s="140"/>
      <c r="H582" s="140"/>
      <c r="I582" s="140"/>
      <c r="J582" s="140"/>
      <c r="K582" s="455"/>
      <c r="L582" s="455"/>
      <c r="M582" s="140"/>
      <c r="N582" s="140"/>
      <c r="O582" s="140"/>
      <c r="P582" s="140"/>
      <c r="Q582" s="140"/>
      <c r="R582" s="140"/>
      <c r="S582" s="140"/>
      <c r="T582" s="140"/>
      <c r="U582" s="140"/>
      <c r="V582" s="140"/>
      <c r="W582" s="140"/>
    </row>
    <row r="583">
      <c r="A583" s="140"/>
      <c r="B583" s="140"/>
      <c r="C583" s="140"/>
      <c r="D583" s="140"/>
      <c r="E583" s="140"/>
      <c r="F583" s="140"/>
      <c r="G583" s="140"/>
      <c r="H583" s="140"/>
      <c r="I583" s="140"/>
      <c r="J583" s="140"/>
      <c r="K583" s="455"/>
      <c r="L583" s="455"/>
      <c r="M583" s="140"/>
      <c r="N583" s="140"/>
      <c r="O583" s="140"/>
      <c r="P583" s="140"/>
      <c r="Q583" s="140"/>
      <c r="R583" s="140"/>
      <c r="S583" s="140"/>
      <c r="T583" s="140"/>
      <c r="U583" s="140"/>
      <c r="V583" s="140"/>
      <c r="W583" s="140"/>
    </row>
    <row r="584">
      <c r="A584" s="140"/>
      <c r="B584" s="140"/>
      <c r="C584" s="140"/>
      <c r="D584" s="140"/>
      <c r="E584" s="140"/>
      <c r="F584" s="140"/>
      <c r="G584" s="140"/>
      <c r="H584" s="140"/>
      <c r="I584" s="140"/>
      <c r="J584" s="140"/>
      <c r="K584" s="455"/>
      <c r="L584" s="455"/>
      <c r="M584" s="140"/>
      <c r="N584" s="140"/>
      <c r="O584" s="140"/>
      <c r="P584" s="140"/>
      <c r="Q584" s="140"/>
      <c r="R584" s="140"/>
      <c r="S584" s="140"/>
      <c r="T584" s="140"/>
      <c r="U584" s="140"/>
      <c r="V584" s="140"/>
      <c r="W584" s="140"/>
    </row>
    <row r="585">
      <c r="A585" s="140"/>
      <c r="B585" s="140"/>
      <c r="C585" s="140"/>
      <c r="D585" s="140"/>
      <c r="E585" s="140"/>
      <c r="F585" s="140"/>
      <c r="G585" s="140"/>
      <c r="H585" s="140"/>
      <c r="I585" s="140"/>
      <c r="J585" s="140"/>
      <c r="K585" s="455"/>
      <c r="L585" s="455"/>
      <c r="M585" s="140"/>
      <c r="N585" s="140"/>
      <c r="O585" s="140"/>
      <c r="P585" s="140"/>
      <c r="Q585" s="140"/>
      <c r="R585" s="140"/>
      <c r="S585" s="140"/>
      <c r="T585" s="140"/>
      <c r="U585" s="140"/>
      <c r="V585" s="140"/>
      <c r="W585" s="140"/>
    </row>
    <row r="586">
      <c r="A586" s="140"/>
      <c r="B586" s="140"/>
      <c r="C586" s="140"/>
      <c r="D586" s="140"/>
      <c r="E586" s="140"/>
      <c r="F586" s="140"/>
      <c r="G586" s="140"/>
      <c r="H586" s="140"/>
      <c r="I586" s="140"/>
      <c r="J586" s="140"/>
      <c r="K586" s="455"/>
      <c r="L586" s="455"/>
      <c r="M586" s="140"/>
      <c r="N586" s="140"/>
      <c r="O586" s="140"/>
      <c r="P586" s="140"/>
      <c r="Q586" s="140"/>
      <c r="R586" s="140"/>
      <c r="S586" s="140"/>
      <c r="T586" s="140"/>
      <c r="U586" s="140"/>
      <c r="V586" s="140"/>
      <c r="W586" s="140"/>
    </row>
    <row r="587">
      <c r="A587" s="140"/>
      <c r="B587" s="140"/>
      <c r="C587" s="140"/>
      <c r="D587" s="140"/>
      <c r="E587" s="140"/>
      <c r="F587" s="140"/>
      <c r="G587" s="140"/>
      <c r="H587" s="140"/>
      <c r="I587" s="140"/>
      <c r="J587" s="140"/>
      <c r="K587" s="455"/>
      <c r="L587" s="455"/>
      <c r="M587" s="140"/>
      <c r="N587" s="140"/>
      <c r="O587" s="140"/>
      <c r="P587" s="140"/>
      <c r="Q587" s="140"/>
      <c r="R587" s="140"/>
      <c r="S587" s="140"/>
      <c r="T587" s="140"/>
      <c r="U587" s="140"/>
      <c r="V587" s="140"/>
      <c r="W587" s="140"/>
    </row>
    <row r="588">
      <c r="A588" s="140"/>
      <c r="B588" s="140"/>
      <c r="C588" s="140"/>
      <c r="D588" s="140"/>
      <c r="E588" s="140"/>
      <c r="F588" s="140"/>
      <c r="G588" s="140"/>
      <c r="H588" s="140"/>
      <c r="I588" s="140"/>
      <c r="J588" s="140"/>
      <c r="K588" s="455"/>
      <c r="L588" s="455"/>
      <c r="M588" s="140"/>
      <c r="N588" s="140"/>
      <c r="O588" s="140"/>
      <c r="P588" s="140"/>
      <c r="Q588" s="140"/>
      <c r="R588" s="140"/>
      <c r="S588" s="140"/>
      <c r="T588" s="140"/>
      <c r="U588" s="140"/>
      <c r="V588" s="140"/>
      <c r="W588" s="140"/>
    </row>
    <row r="589">
      <c r="A589" s="140"/>
      <c r="B589" s="140"/>
      <c r="C589" s="140"/>
      <c r="D589" s="140"/>
      <c r="E589" s="140"/>
      <c r="F589" s="140"/>
      <c r="G589" s="140"/>
      <c r="H589" s="140"/>
      <c r="I589" s="140"/>
      <c r="J589" s="140"/>
      <c r="K589" s="455"/>
      <c r="L589" s="455"/>
      <c r="M589" s="140"/>
      <c r="N589" s="140"/>
      <c r="O589" s="140"/>
      <c r="P589" s="140"/>
      <c r="Q589" s="140"/>
      <c r="R589" s="140"/>
      <c r="S589" s="140"/>
      <c r="T589" s="140"/>
      <c r="U589" s="140"/>
      <c r="V589" s="140"/>
      <c r="W589" s="140"/>
    </row>
    <row r="590">
      <c r="A590" s="140"/>
      <c r="B590" s="140"/>
      <c r="C590" s="140"/>
      <c r="D590" s="140"/>
      <c r="E590" s="140"/>
      <c r="F590" s="140"/>
      <c r="G590" s="140"/>
      <c r="H590" s="140"/>
      <c r="I590" s="140"/>
      <c r="J590" s="140"/>
      <c r="K590" s="455"/>
      <c r="L590" s="455"/>
      <c r="M590" s="140"/>
      <c r="N590" s="140"/>
      <c r="O590" s="140"/>
      <c r="P590" s="140"/>
      <c r="Q590" s="140"/>
      <c r="R590" s="140"/>
      <c r="S590" s="140"/>
      <c r="T590" s="140"/>
      <c r="U590" s="140"/>
      <c r="V590" s="140"/>
      <c r="W590" s="140"/>
    </row>
    <row r="591">
      <c r="A591" s="140"/>
      <c r="B591" s="140"/>
      <c r="C591" s="140"/>
      <c r="D591" s="140"/>
      <c r="E591" s="140"/>
      <c r="F591" s="140"/>
      <c r="G591" s="140"/>
      <c r="H591" s="140"/>
      <c r="I591" s="140"/>
      <c r="J591" s="140"/>
      <c r="K591" s="455"/>
      <c r="L591" s="455"/>
      <c r="M591" s="140"/>
      <c r="N591" s="140"/>
      <c r="O591" s="140"/>
      <c r="P591" s="140"/>
      <c r="Q591" s="140"/>
      <c r="R591" s="140"/>
      <c r="S591" s="140"/>
      <c r="T591" s="140"/>
      <c r="U591" s="140"/>
      <c r="V591" s="140"/>
      <c r="W591" s="140"/>
    </row>
    <row r="592">
      <c r="A592" s="140"/>
      <c r="B592" s="140"/>
      <c r="C592" s="140"/>
      <c r="D592" s="140"/>
      <c r="E592" s="140"/>
      <c r="F592" s="140"/>
      <c r="G592" s="140"/>
      <c r="H592" s="140"/>
      <c r="I592" s="140"/>
      <c r="J592" s="140"/>
      <c r="K592" s="455"/>
      <c r="L592" s="455"/>
      <c r="M592" s="140"/>
      <c r="N592" s="140"/>
      <c r="O592" s="140"/>
      <c r="P592" s="140"/>
      <c r="Q592" s="140"/>
      <c r="R592" s="140"/>
      <c r="S592" s="140"/>
      <c r="T592" s="140"/>
      <c r="U592" s="140"/>
      <c r="V592" s="140"/>
      <c r="W592" s="140"/>
    </row>
    <row r="593">
      <c r="A593" s="140"/>
      <c r="B593" s="140"/>
      <c r="C593" s="140"/>
      <c r="D593" s="140"/>
      <c r="E593" s="140"/>
      <c r="F593" s="140"/>
      <c r="G593" s="140"/>
      <c r="H593" s="140"/>
      <c r="I593" s="140"/>
      <c r="J593" s="140"/>
      <c r="K593" s="455"/>
      <c r="L593" s="455"/>
      <c r="M593" s="140"/>
      <c r="N593" s="140"/>
      <c r="O593" s="140"/>
      <c r="P593" s="140"/>
      <c r="Q593" s="140"/>
      <c r="R593" s="140"/>
      <c r="S593" s="140"/>
      <c r="T593" s="140"/>
      <c r="U593" s="140"/>
      <c r="V593" s="140"/>
      <c r="W593" s="140"/>
    </row>
    <row r="594">
      <c r="A594" s="140"/>
      <c r="B594" s="140"/>
      <c r="C594" s="140"/>
      <c r="D594" s="140"/>
      <c r="E594" s="140"/>
      <c r="F594" s="140"/>
      <c r="G594" s="140"/>
      <c r="H594" s="140"/>
      <c r="I594" s="140"/>
      <c r="J594" s="140"/>
      <c r="K594" s="455"/>
      <c r="L594" s="455"/>
      <c r="M594" s="140"/>
      <c r="N594" s="140"/>
      <c r="O594" s="140"/>
      <c r="P594" s="140"/>
      <c r="Q594" s="140"/>
      <c r="R594" s="140"/>
      <c r="S594" s="140"/>
      <c r="T594" s="140"/>
      <c r="U594" s="140"/>
      <c r="V594" s="140"/>
      <c r="W594" s="140"/>
    </row>
    <row r="595">
      <c r="A595" s="140"/>
      <c r="B595" s="140"/>
      <c r="C595" s="140"/>
      <c r="D595" s="140"/>
      <c r="E595" s="140"/>
      <c r="F595" s="140"/>
      <c r="G595" s="140"/>
      <c r="H595" s="140"/>
      <c r="I595" s="140"/>
      <c r="J595" s="140"/>
      <c r="K595" s="455"/>
      <c r="L595" s="455"/>
      <c r="M595" s="140"/>
      <c r="N595" s="140"/>
      <c r="O595" s="140"/>
      <c r="P595" s="140"/>
      <c r="Q595" s="140"/>
      <c r="R595" s="140"/>
      <c r="S595" s="140"/>
      <c r="T595" s="140"/>
      <c r="U595" s="140"/>
      <c r="V595" s="140"/>
      <c r="W595" s="140"/>
    </row>
    <row r="596">
      <c r="A596" s="140"/>
      <c r="B596" s="140"/>
      <c r="C596" s="140"/>
      <c r="D596" s="140"/>
      <c r="E596" s="140"/>
      <c r="F596" s="140"/>
      <c r="G596" s="140"/>
      <c r="H596" s="140"/>
      <c r="I596" s="140"/>
      <c r="J596" s="140"/>
      <c r="K596" s="455"/>
      <c r="L596" s="455"/>
      <c r="M596" s="140"/>
      <c r="N596" s="140"/>
      <c r="O596" s="140"/>
      <c r="P596" s="140"/>
      <c r="Q596" s="140"/>
      <c r="R596" s="140"/>
      <c r="S596" s="140"/>
      <c r="T596" s="140"/>
      <c r="U596" s="140"/>
      <c r="V596" s="140"/>
      <c r="W596" s="140"/>
    </row>
    <row r="597">
      <c r="A597" s="140"/>
      <c r="B597" s="140"/>
      <c r="C597" s="140"/>
      <c r="D597" s="140"/>
      <c r="E597" s="140"/>
      <c r="F597" s="140"/>
      <c r="G597" s="140"/>
      <c r="H597" s="140"/>
      <c r="I597" s="140"/>
      <c r="J597" s="140"/>
      <c r="K597" s="455"/>
      <c r="L597" s="455"/>
      <c r="M597" s="140"/>
      <c r="N597" s="140"/>
      <c r="O597" s="140"/>
      <c r="P597" s="140"/>
      <c r="Q597" s="140"/>
      <c r="R597" s="140"/>
      <c r="S597" s="140"/>
      <c r="T597" s="140"/>
      <c r="U597" s="140"/>
      <c r="V597" s="140"/>
      <c r="W597" s="140"/>
    </row>
    <row r="598">
      <c r="A598" s="140"/>
      <c r="B598" s="140"/>
      <c r="C598" s="140"/>
      <c r="D598" s="140"/>
      <c r="E598" s="140"/>
      <c r="F598" s="140"/>
      <c r="G598" s="140"/>
      <c r="H598" s="140"/>
      <c r="I598" s="140"/>
      <c r="J598" s="140"/>
      <c r="K598" s="455"/>
      <c r="L598" s="455"/>
      <c r="M598" s="140"/>
      <c r="N598" s="140"/>
      <c r="O598" s="140"/>
      <c r="P598" s="140"/>
      <c r="Q598" s="140"/>
      <c r="R598" s="140"/>
      <c r="S598" s="140"/>
      <c r="T598" s="140"/>
      <c r="U598" s="140"/>
      <c r="V598" s="140"/>
      <c r="W598" s="140"/>
    </row>
    <row r="599">
      <c r="A599" s="140"/>
      <c r="B599" s="140"/>
      <c r="C599" s="140"/>
      <c r="D599" s="140"/>
      <c r="E599" s="140"/>
      <c r="F599" s="140"/>
      <c r="G599" s="140"/>
      <c r="H599" s="140"/>
      <c r="I599" s="140"/>
      <c r="J599" s="140"/>
      <c r="K599" s="455"/>
      <c r="L599" s="455"/>
      <c r="M599" s="140"/>
      <c r="N599" s="140"/>
      <c r="O599" s="140"/>
      <c r="P599" s="140"/>
      <c r="Q599" s="140"/>
      <c r="R599" s="140"/>
      <c r="S599" s="140"/>
      <c r="T599" s="140"/>
      <c r="U599" s="140"/>
      <c r="V599" s="140"/>
      <c r="W599" s="140"/>
    </row>
    <row r="600">
      <c r="A600" s="140"/>
      <c r="B600" s="140"/>
      <c r="C600" s="140"/>
      <c r="D600" s="140"/>
      <c r="E600" s="140"/>
      <c r="F600" s="140"/>
      <c r="G600" s="140"/>
      <c r="H600" s="140"/>
      <c r="I600" s="140"/>
      <c r="J600" s="140"/>
      <c r="K600" s="455"/>
      <c r="L600" s="455"/>
      <c r="M600" s="140"/>
      <c r="N600" s="140"/>
      <c r="O600" s="140"/>
      <c r="P600" s="140"/>
      <c r="Q600" s="140"/>
      <c r="R600" s="140"/>
      <c r="S600" s="140"/>
      <c r="T600" s="140"/>
      <c r="U600" s="140"/>
      <c r="V600" s="140"/>
      <c r="W600" s="140"/>
    </row>
    <row r="601">
      <c r="A601" s="140"/>
      <c r="B601" s="140"/>
      <c r="C601" s="140"/>
      <c r="D601" s="140"/>
      <c r="E601" s="140"/>
      <c r="F601" s="140"/>
      <c r="G601" s="140"/>
      <c r="H601" s="140"/>
      <c r="I601" s="140"/>
      <c r="J601" s="140"/>
      <c r="K601" s="455"/>
      <c r="L601" s="455"/>
      <c r="M601" s="140"/>
      <c r="N601" s="140"/>
      <c r="O601" s="140"/>
      <c r="P601" s="140"/>
      <c r="Q601" s="140"/>
      <c r="R601" s="140"/>
      <c r="S601" s="140"/>
      <c r="T601" s="140"/>
      <c r="U601" s="140"/>
      <c r="V601" s="140"/>
      <c r="W601" s="140"/>
    </row>
    <row r="602">
      <c r="A602" s="140"/>
      <c r="B602" s="140"/>
      <c r="C602" s="140"/>
      <c r="D602" s="140"/>
      <c r="E602" s="140"/>
      <c r="F602" s="140"/>
      <c r="G602" s="140"/>
      <c r="H602" s="140"/>
      <c r="I602" s="140"/>
      <c r="J602" s="140"/>
      <c r="K602" s="455"/>
      <c r="L602" s="455"/>
      <c r="M602" s="140"/>
      <c r="N602" s="140"/>
      <c r="O602" s="140"/>
      <c r="P602" s="140"/>
      <c r="Q602" s="140"/>
      <c r="R602" s="140"/>
      <c r="S602" s="140"/>
      <c r="T602" s="140"/>
      <c r="U602" s="140"/>
      <c r="V602" s="140"/>
      <c r="W602" s="140"/>
    </row>
    <row r="603">
      <c r="A603" s="140"/>
      <c r="B603" s="140"/>
      <c r="C603" s="140"/>
      <c r="D603" s="140"/>
      <c r="E603" s="140"/>
      <c r="F603" s="140"/>
      <c r="G603" s="140"/>
      <c r="H603" s="140"/>
      <c r="I603" s="140"/>
      <c r="J603" s="140"/>
      <c r="K603" s="455"/>
      <c r="L603" s="455"/>
      <c r="M603" s="140"/>
      <c r="N603" s="140"/>
      <c r="O603" s="140"/>
      <c r="P603" s="140"/>
      <c r="Q603" s="140"/>
      <c r="R603" s="140"/>
      <c r="S603" s="140"/>
      <c r="T603" s="140"/>
      <c r="U603" s="140"/>
      <c r="V603" s="140"/>
      <c r="W603" s="140"/>
    </row>
    <row r="604">
      <c r="A604" s="140"/>
      <c r="B604" s="140"/>
      <c r="C604" s="140"/>
      <c r="D604" s="140"/>
      <c r="E604" s="140"/>
      <c r="F604" s="140"/>
      <c r="G604" s="140"/>
      <c r="H604" s="140"/>
      <c r="I604" s="140"/>
      <c r="J604" s="140"/>
      <c r="K604" s="455"/>
      <c r="L604" s="455"/>
      <c r="M604" s="140"/>
      <c r="N604" s="140"/>
      <c r="O604" s="140"/>
      <c r="P604" s="140"/>
      <c r="Q604" s="140"/>
      <c r="R604" s="140"/>
      <c r="S604" s="140"/>
      <c r="T604" s="140"/>
      <c r="U604" s="140"/>
      <c r="V604" s="140"/>
      <c r="W604" s="140"/>
    </row>
    <row r="605">
      <c r="A605" s="140"/>
      <c r="B605" s="140"/>
      <c r="C605" s="140"/>
      <c r="D605" s="140"/>
      <c r="E605" s="140"/>
      <c r="F605" s="140"/>
      <c r="G605" s="140"/>
      <c r="H605" s="140"/>
      <c r="I605" s="140"/>
      <c r="J605" s="140"/>
      <c r="K605" s="455"/>
      <c r="L605" s="455"/>
      <c r="M605" s="140"/>
      <c r="N605" s="140"/>
      <c r="O605" s="140"/>
      <c r="P605" s="140"/>
      <c r="Q605" s="140"/>
      <c r="R605" s="140"/>
      <c r="S605" s="140"/>
      <c r="T605" s="140"/>
      <c r="U605" s="140"/>
      <c r="V605" s="140"/>
      <c r="W605" s="140"/>
    </row>
    <row r="606">
      <c r="A606" s="140"/>
      <c r="B606" s="140"/>
      <c r="C606" s="140"/>
      <c r="D606" s="140"/>
      <c r="E606" s="140"/>
      <c r="F606" s="140"/>
      <c r="G606" s="140"/>
      <c r="H606" s="140"/>
      <c r="I606" s="140"/>
      <c r="J606" s="140"/>
      <c r="K606" s="455"/>
      <c r="L606" s="455"/>
      <c r="M606" s="140"/>
      <c r="N606" s="140"/>
      <c r="O606" s="140"/>
      <c r="P606" s="140"/>
      <c r="Q606" s="140"/>
      <c r="R606" s="140"/>
      <c r="S606" s="140"/>
      <c r="T606" s="140"/>
      <c r="U606" s="140"/>
      <c r="V606" s="140"/>
      <c r="W606" s="140"/>
    </row>
    <row r="607">
      <c r="A607" s="140"/>
      <c r="B607" s="140"/>
      <c r="C607" s="140"/>
      <c r="D607" s="140"/>
      <c r="E607" s="140"/>
      <c r="F607" s="140"/>
      <c r="G607" s="140"/>
      <c r="H607" s="140"/>
      <c r="I607" s="140"/>
      <c r="J607" s="140"/>
      <c r="K607" s="455"/>
      <c r="L607" s="455"/>
      <c r="M607" s="140"/>
      <c r="N607" s="140"/>
      <c r="O607" s="140"/>
      <c r="P607" s="140"/>
      <c r="Q607" s="140"/>
      <c r="R607" s="140"/>
      <c r="S607" s="140"/>
      <c r="T607" s="140"/>
      <c r="U607" s="140"/>
      <c r="V607" s="140"/>
      <c r="W607" s="140"/>
    </row>
    <row r="608">
      <c r="A608" s="140"/>
      <c r="B608" s="140"/>
      <c r="C608" s="140"/>
      <c r="D608" s="140"/>
      <c r="E608" s="140"/>
      <c r="F608" s="140"/>
      <c r="G608" s="140"/>
      <c r="H608" s="140"/>
      <c r="I608" s="140"/>
      <c r="J608" s="140"/>
      <c r="K608" s="455"/>
      <c r="L608" s="455"/>
      <c r="M608" s="140"/>
      <c r="N608" s="140"/>
      <c r="O608" s="140"/>
      <c r="P608" s="140"/>
      <c r="Q608" s="140"/>
      <c r="R608" s="140"/>
      <c r="S608" s="140"/>
      <c r="T608" s="140"/>
      <c r="U608" s="140"/>
      <c r="V608" s="140"/>
      <c r="W608" s="140"/>
    </row>
    <row r="609">
      <c r="A609" s="140"/>
      <c r="B609" s="140"/>
      <c r="C609" s="140"/>
      <c r="D609" s="140"/>
      <c r="E609" s="140"/>
      <c r="F609" s="140"/>
      <c r="G609" s="140"/>
      <c r="H609" s="140"/>
      <c r="I609" s="140"/>
      <c r="J609" s="140"/>
      <c r="K609" s="455"/>
      <c r="L609" s="455"/>
      <c r="M609" s="140"/>
      <c r="N609" s="140"/>
      <c r="O609" s="140"/>
      <c r="P609" s="140"/>
      <c r="Q609" s="140"/>
      <c r="R609" s="140"/>
      <c r="S609" s="140"/>
      <c r="T609" s="140"/>
      <c r="U609" s="140"/>
      <c r="V609" s="140"/>
      <c r="W609" s="140"/>
    </row>
    <row r="610">
      <c r="A610" s="140"/>
      <c r="B610" s="140"/>
      <c r="C610" s="140"/>
      <c r="D610" s="140"/>
      <c r="E610" s="140"/>
      <c r="F610" s="140"/>
      <c r="G610" s="140"/>
      <c r="H610" s="140"/>
      <c r="I610" s="140"/>
      <c r="J610" s="140"/>
      <c r="K610" s="455"/>
      <c r="L610" s="455"/>
      <c r="M610" s="140"/>
      <c r="N610" s="140"/>
      <c r="O610" s="140"/>
      <c r="P610" s="140"/>
      <c r="Q610" s="140"/>
      <c r="R610" s="140"/>
      <c r="S610" s="140"/>
      <c r="T610" s="140"/>
      <c r="U610" s="140"/>
      <c r="V610" s="140"/>
      <c r="W610" s="140"/>
    </row>
    <row r="611">
      <c r="A611" s="140"/>
      <c r="B611" s="140"/>
      <c r="C611" s="140"/>
      <c r="D611" s="140"/>
      <c r="E611" s="140"/>
      <c r="F611" s="140"/>
      <c r="G611" s="140"/>
      <c r="H611" s="140"/>
      <c r="I611" s="140"/>
      <c r="J611" s="140"/>
      <c r="K611" s="455"/>
      <c r="L611" s="455"/>
      <c r="M611" s="140"/>
      <c r="N611" s="140"/>
      <c r="O611" s="140"/>
      <c r="P611" s="140"/>
      <c r="Q611" s="140"/>
      <c r="R611" s="140"/>
      <c r="S611" s="140"/>
      <c r="T611" s="140"/>
      <c r="U611" s="140"/>
      <c r="V611" s="140"/>
      <c r="W611" s="140"/>
    </row>
    <row r="612">
      <c r="A612" s="140"/>
      <c r="B612" s="140"/>
      <c r="C612" s="140"/>
      <c r="D612" s="140"/>
      <c r="E612" s="140"/>
      <c r="F612" s="140"/>
      <c r="G612" s="140"/>
      <c r="H612" s="140"/>
      <c r="I612" s="140"/>
      <c r="J612" s="140"/>
      <c r="K612" s="455"/>
      <c r="L612" s="455"/>
      <c r="M612" s="140"/>
      <c r="N612" s="140"/>
      <c r="O612" s="140"/>
      <c r="P612" s="140"/>
      <c r="Q612" s="140"/>
      <c r="R612" s="140"/>
      <c r="S612" s="140"/>
      <c r="T612" s="140"/>
      <c r="U612" s="140"/>
      <c r="V612" s="140"/>
      <c r="W612" s="140"/>
    </row>
    <row r="613">
      <c r="A613" s="140"/>
      <c r="B613" s="140"/>
      <c r="C613" s="140"/>
      <c r="D613" s="140"/>
      <c r="E613" s="140"/>
      <c r="F613" s="140"/>
      <c r="G613" s="140"/>
      <c r="H613" s="140"/>
      <c r="I613" s="140"/>
      <c r="J613" s="140"/>
      <c r="K613" s="455"/>
      <c r="L613" s="455"/>
      <c r="M613" s="140"/>
      <c r="N613" s="140"/>
      <c r="O613" s="140"/>
      <c r="P613" s="140"/>
      <c r="Q613" s="140"/>
      <c r="R613" s="140"/>
      <c r="S613" s="140"/>
      <c r="T613" s="140"/>
      <c r="U613" s="140"/>
      <c r="V613" s="140"/>
      <c r="W613" s="140"/>
    </row>
    <row r="614">
      <c r="A614" s="140"/>
      <c r="B614" s="140"/>
      <c r="C614" s="140"/>
      <c r="D614" s="140"/>
      <c r="E614" s="140"/>
      <c r="F614" s="140"/>
      <c r="G614" s="140"/>
      <c r="H614" s="140"/>
      <c r="I614" s="140"/>
      <c r="J614" s="140"/>
      <c r="K614" s="455"/>
      <c r="L614" s="455"/>
      <c r="M614" s="140"/>
      <c r="N614" s="140"/>
      <c r="O614" s="140"/>
      <c r="P614" s="140"/>
      <c r="Q614" s="140"/>
      <c r="R614" s="140"/>
      <c r="S614" s="140"/>
      <c r="T614" s="140"/>
      <c r="U614" s="140"/>
      <c r="V614" s="140"/>
      <c r="W614" s="140"/>
    </row>
    <row r="615">
      <c r="A615" s="140"/>
      <c r="B615" s="140"/>
      <c r="C615" s="140"/>
      <c r="D615" s="140"/>
      <c r="E615" s="140"/>
      <c r="F615" s="140"/>
      <c r="G615" s="140"/>
      <c r="H615" s="140"/>
      <c r="I615" s="140"/>
      <c r="J615" s="140"/>
      <c r="K615" s="455"/>
      <c r="L615" s="455"/>
      <c r="M615" s="140"/>
      <c r="N615" s="140"/>
      <c r="O615" s="140"/>
      <c r="P615" s="140"/>
      <c r="Q615" s="140"/>
      <c r="R615" s="140"/>
      <c r="S615" s="140"/>
      <c r="T615" s="140"/>
      <c r="U615" s="140"/>
      <c r="V615" s="140"/>
      <c r="W615" s="140"/>
    </row>
    <row r="616">
      <c r="A616" s="140"/>
      <c r="B616" s="140"/>
      <c r="C616" s="140"/>
      <c r="D616" s="140"/>
      <c r="E616" s="140"/>
      <c r="F616" s="140"/>
      <c r="G616" s="140"/>
      <c r="H616" s="140"/>
      <c r="I616" s="140"/>
      <c r="J616" s="140"/>
      <c r="K616" s="455"/>
      <c r="L616" s="455"/>
      <c r="M616" s="140"/>
      <c r="N616" s="140"/>
      <c r="O616" s="140"/>
      <c r="P616" s="140"/>
      <c r="Q616" s="140"/>
      <c r="R616" s="140"/>
      <c r="S616" s="140"/>
      <c r="T616" s="140"/>
      <c r="U616" s="140"/>
      <c r="V616" s="140"/>
      <c r="W616" s="140"/>
    </row>
    <row r="617">
      <c r="A617" s="140"/>
      <c r="B617" s="140"/>
      <c r="C617" s="140"/>
      <c r="D617" s="140"/>
      <c r="E617" s="140"/>
      <c r="F617" s="140"/>
      <c r="G617" s="140"/>
      <c r="H617" s="140"/>
      <c r="I617" s="140"/>
      <c r="J617" s="140"/>
      <c r="K617" s="455"/>
      <c r="L617" s="455"/>
      <c r="M617" s="140"/>
      <c r="N617" s="140"/>
      <c r="O617" s="140"/>
      <c r="P617" s="140"/>
      <c r="Q617" s="140"/>
      <c r="R617" s="140"/>
      <c r="S617" s="140"/>
      <c r="T617" s="140"/>
      <c r="U617" s="140"/>
      <c r="V617" s="140"/>
      <c r="W617" s="140"/>
    </row>
    <row r="618">
      <c r="A618" s="140"/>
      <c r="B618" s="140"/>
      <c r="C618" s="140"/>
      <c r="D618" s="140"/>
      <c r="E618" s="140"/>
      <c r="F618" s="140"/>
      <c r="G618" s="140"/>
      <c r="H618" s="140"/>
      <c r="I618" s="140"/>
      <c r="J618" s="140"/>
      <c r="K618" s="455"/>
      <c r="L618" s="455"/>
      <c r="M618" s="140"/>
      <c r="N618" s="140"/>
      <c r="O618" s="140"/>
      <c r="P618" s="140"/>
      <c r="Q618" s="140"/>
      <c r="R618" s="140"/>
      <c r="S618" s="140"/>
      <c r="T618" s="140"/>
      <c r="U618" s="140"/>
      <c r="V618" s="140"/>
      <c r="W618" s="140"/>
    </row>
    <row r="619">
      <c r="A619" s="140"/>
      <c r="B619" s="140"/>
      <c r="C619" s="140"/>
      <c r="D619" s="140"/>
      <c r="E619" s="140"/>
      <c r="F619" s="140"/>
      <c r="G619" s="140"/>
      <c r="H619" s="140"/>
      <c r="I619" s="140"/>
      <c r="J619" s="140"/>
      <c r="K619" s="455"/>
      <c r="L619" s="455"/>
      <c r="M619" s="140"/>
      <c r="N619" s="140"/>
      <c r="O619" s="140"/>
      <c r="P619" s="140"/>
      <c r="Q619" s="140"/>
      <c r="R619" s="140"/>
      <c r="S619" s="140"/>
      <c r="T619" s="140"/>
      <c r="U619" s="140"/>
      <c r="V619" s="140"/>
      <c r="W619" s="140"/>
    </row>
    <row r="620">
      <c r="A620" s="140"/>
      <c r="B620" s="140"/>
      <c r="C620" s="140"/>
      <c r="D620" s="140"/>
      <c r="E620" s="140"/>
      <c r="F620" s="140"/>
      <c r="G620" s="140"/>
      <c r="H620" s="140"/>
      <c r="I620" s="140"/>
      <c r="J620" s="140"/>
      <c r="K620" s="455"/>
      <c r="L620" s="455"/>
      <c r="M620" s="140"/>
      <c r="N620" s="140"/>
      <c r="O620" s="140"/>
      <c r="P620" s="140"/>
      <c r="Q620" s="140"/>
      <c r="R620" s="140"/>
      <c r="S620" s="140"/>
      <c r="T620" s="140"/>
      <c r="U620" s="140"/>
      <c r="V620" s="140"/>
      <c r="W620" s="140"/>
    </row>
    <row r="621">
      <c r="A621" s="140"/>
      <c r="B621" s="140"/>
      <c r="C621" s="140"/>
      <c r="D621" s="140"/>
      <c r="E621" s="140"/>
      <c r="F621" s="140"/>
      <c r="G621" s="140"/>
      <c r="H621" s="140"/>
      <c r="I621" s="140"/>
      <c r="J621" s="140"/>
      <c r="K621" s="455"/>
      <c r="L621" s="455"/>
      <c r="M621" s="140"/>
      <c r="N621" s="140"/>
      <c r="O621" s="140"/>
      <c r="P621" s="140"/>
      <c r="Q621" s="140"/>
      <c r="R621" s="140"/>
      <c r="S621" s="140"/>
      <c r="T621" s="140"/>
      <c r="U621" s="140"/>
      <c r="V621" s="140"/>
      <c r="W621" s="140"/>
    </row>
    <row r="622">
      <c r="A622" s="140"/>
      <c r="B622" s="140"/>
      <c r="C622" s="140"/>
      <c r="D622" s="140"/>
      <c r="E622" s="140"/>
      <c r="F622" s="140"/>
      <c r="G622" s="140"/>
      <c r="H622" s="140"/>
      <c r="I622" s="140"/>
      <c r="J622" s="140"/>
      <c r="K622" s="455"/>
      <c r="L622" s="455"/>
      <c r="M622" s="140"/>
      <c r="N622" s="140"/>
      <c r="O622" s="140"/>
      <c r="P622" s="140"/>
      <c r="Q622" s="140"/>
      <c r="R622" s="140"/>
      <c r="S622" s="140"/>
      <c r="T622" s="140"/>
      <c r="U622" s="140"/>
      <c r="V622" s="140"/>
      <c r="W622" s="140"/>
    </row>
    <row r="623">
      <c r="A623" s="140"/>
      <c r="B623" s="140"/>
      <c r="C623" s="140"/>
      <c r="D623" s="140"/>
      <c r="E623" s="140"/>
      <c r="F623" s="140"/>
      <c r="G623" s="140"/>
      <c r="H623" s="140"/>
      <c r="I623" s="140"/>
      <c r="J623" s="140"/>
      <c r="K623" s="455"/>
      <c r="L623" s="455"/>
      <c r="M623" s="140"/>
      <c r="N623" s="140"/>
      <c r="O623" s="140"/>
      <c r="P623" s="140"/>
      <c r="Q623" s="140"/>
      <c r="R623" s="140"/>
      <c r="S623" s="140"/>
      <c r="T623" s="140"/>
      <c r="U623" s="140"/>
      <c r="V623" s="140"/>
      <c r="W623" s="140"/>
    </row>
    <row r="624">
      <c r="A624" s="140"/>
      <c r="B624" s="140"/>
      <c r="C624" s="140"/>
      <c r="D624" s="140"/>
      <c r="E624" s="140"/>
      <c r="F624" s="140"/>
      <c r="G624" s="140"/>
      <c r="H624" s="140"/>
      <c r="I624" s="140"/>
      <c r="J624" s="140"/>
      <c r="K624" s="455"/>
      <c r="L624" s="455"/>
      <c r="M624" s="140"/>
      <c r="N624" s="140"/>
      <c r="O624" s="140"/>
      <c r="P624" s="140"/>
      <c r="Q624" s="140"/>
      <c r="R624" s="140"/>
      <c r="S624" s="140"/>
      <c r="T624" s="140"/>
      <c r="U624" s="140"/>
      <c r="V624" s="140"/>
      <c r="W624" s="140"/>
    </row>
    <row r="625">
      <c r="A625" s="140"/>
      <c r="B625" s="140"/>
      <c r="C625" s="140"/>
      <c r="D625" s="140"/>
      <c r="E625" s="140"/>
      <c r="F625" s="140"/>
      <c r="G625" s="140"/>
      <c r="H625" s="140"/>
      <c r="I625" s="140"/>
      <c r="J625" s="140"/>
      <c r="K625" s="455"/>
      <c r="L625" s="455"/>
      <c r="M625" s="140"/>
      <c r="N625" s="140"/>
      <c r="O625" s="140"/>
      <c r="P625" s="140"/>
      <c r="Q625" s="140"/>
      <c r="R625" s="140"/>
      <c r="S625" s="140"/>
      <c r="T625" s="140"/>
      <c r="U625" s="140"/>
      <c r="V625" s="140"/>
      <c r="W625" s="140"/>
    </row>
    <row r="626">
      <c r="A626" s="140"/>
      <c r="B626" s="140"/>
      <c r="C626" s="140"/>
      <c r="D626" s="140"/>
      <c r="E626" s="140"/>
      <c r="F626" s="140"/>
      <c r="G626" s="140"/>
      <c r="H626" s="140"/>
      <c r="I626" s="140"/>
      <c r="J626" s="140"/>
      <c r="K626" s="455"/>
      <c r="L626" s="455"/>
      <c r="M626" s="140"/>
      <c r="N626" s="140"/>
      <c r="O626" s="140"/>
      <c r="P626" s="140"/>
      <c r="Q626" s="140"/>
      <c r="R626" s="140"/>
      <c r="S626" s="140"/>
      <c r="T626" s="140"/>
      <c r="U626" s="140"/>
      <c r="V626" s="140"/>
      <c r="W626" s="140"/>
    </row>
    <row r="627">
      <c r="A627" s="140"/>
      <c r="B627" s="140"/>
      <c r="C627" s="140"/>
      <c r="D627" s="140"/>
      <c r="E627" s="140"/>
      <c r="F627" s="140"/>
      <c r="G627" s="140"/>
      <c r="H627" s="140"/>
      <c r="I627" s="140"/>
      <c r="J627" s="140"/>
      <c r="K627" s="455"/>
      <c r="L627" s="455"/>
      <c r="M627" s="140"/>
      <c r="N627" s="140"/>
      <c r="O627" s="140"/>
      <c r="P627" s="140"/>
      <c r="Q627" s="140"/>
      <c r="R627" s="140"/>
      <c r="S627" s="140"/>
      <c r="T627" s="140"/>
      <c r="U627" s="140"/>
      <c r="V627" s="140"/>
      <c r="W627" s="140"/>
    </row>
    <row r="628">
      <c r="A628" s="140"/>
      <c r="B628" s="140"/>
      <c r="C628" s="140"/>
      <c r="D628" s="140"/>
      <c r="E628" s="140"/>
      <c r="F628" s="140"/>
      <c r="G628" s="140"/>
      <c r="H628" s="140"/>
      <c r="I628" s="140"/>
      <c r="J628" s="140"/>
      <c r="K628" s="455"/>
      <c r="L628" s="455"/>
      <c r="M628" s="140"/>
      <c r="N628" s="140"/>
      <c r="O628" s="140"/>
      <c r="P628" s="140"/>
      <c r="Q628" s="140"/>
      <c r="R628" s="140"/>
      <c r="S628" s="140"/>
      <c r="T628" s="140"/>
      <c r="U628" s="140"/>
      <c r="V628" s="140"/>
      <c r="W628" s="140"/>
    </row>
    <row r="629">
      <c r="A629" s="140"/>
      <c r="B629" s="140"/>
      <c r="C629" s="140"/>
      <c r="D629" s="140"/>
      <c r="E629" s="140"/>
      <c r="F629" s="140"/>
      <c r="G629" s="140"/>
      <c r="H629" s="140"/>
      <c r="I629" s="140"/>
      <c r="J629" s="140"/>
      <c r="K629" s="455"/>
      <c r="L629" s="455"/>
      <c r="M629" s="140"/>
      <c r="N629" s="140"/>
      <c r="O629" s="140"/>
      <c r="P629" s="140"/>
      <c r="Q629" s="140"/>
      <c r="R629" s="140"/>
      <c r="S629" s="140"/>
      <c r="T629" s="140"/>
      <c r="U629" s="140"/>
      <c r="V629" s="140"/>
      <c r="W629" s="140"/>
    </row>
    <row r="630">
      <c r="A630" s="140"/>
      <c r="B630" s="140"/>
      <c r="C630" s="140"/>
      <c r="D630" s="140"/>
      <c r="E630" s="140"/>
      <c r="F630" s="140"/>
      <c r="G630" s="140"/>
      <c r="H630" s="140"/>
      <c r="I630" s="140"/>
      <c r="J630" s="140"/>
      <c r="K630" s="455"/>
      <c r="L630" s="455"/>
      <c r="M630" s="140"/>
      <c r="N630" s="140"/>
      <c r="O630" s="140"/>
      <c r="P630" s="140"/>
      <c r="Q630" s="140"/>
      <c r="R630" s="140"/>
      <c r="S630" s="140"/>
      <c r="T630" s="140"/>
      <c r="U630" s="140"/>
      <c r="V630" s="140"/>
      <c r="W630" s="140"/>
    </row>
    <row r="631">
      <c r="A631" s="140"/>
      <c r="B631" s="140"/>
      <c r="C631" s="140"/>
      <c r="D631" s="140"/>
      <c r="E631" s="140"/>
      <c r="F631" s="140"/>
      <c r="G631" s="140"/>
      <c r="H631" s="140"/>
      <c r="I631" s="140"/>
      <c r="J631" s="140"/>
      <c r="K631" s="455"/>
      <c r="L631" s="455"/>
      <c r="M631" s="140"/>
      <c r="N631" s="140"/>
      <c r="O631" s="140"/>
      <c r="P631" s="140"/>
      <c r="Q631" s="140"/>
      <c r="R631" s="140"/>
      <c r="S631" s="140"/>
      <c r="T631" s="140"/>
      <c r="U631" s="140"/>
      <c r="V631" s="140"/>
      <c r="W631" s="140"/>
    </row>
    <row r="632">
      <c r="A632" s="140"/>
      <c r="B632" s="140"/>
      <c r="C632" s="140"/>
      <c r="D632" s="140"/>
      <c r="E632" s="140"/>
      <c r="F632" s="140"/>
      <c r="G632" s="140"/>
      <c r="H632" s="140"/>
      <c r="I632" s="140"/>
      <c r="J632" s="140"/>
      <c r="K632" s="455"/>
      <c r="L632" s="455"/>
      <c r="M632" s="140"/>
      <c r="N632" s="140"/>
      <c r="O632" s="140"/>
      <c r="P632" s="140"/>
      <c r="Q632" s="140"/>
      <c r="R632" s="140"/>
      <c r="S632" s="140"/>
      <c r="T632" s="140"/>
      <c r="U632" s="140"/>
      <c r="V632" s="140"/>
      <c r="W632" s="140"/>
    </row>
    <row r="633">
      <c r="A633" s="140"/>
      <c r="B633" s="140"/>
      <c r="C633" s="140"/>
      <c r="D633" s="140"/>
      <c r="E633" s="140"/>
      <c r="F633" s="140"/>
      <c r="G633" s="140"/>
      <c r="H633" s="140"/>
      <c r="I633" s="140"/>
      <c r="J633" s="140"/>
      <c r="K633" s="455"/>
      <c r="L633" s="455"/>
      <c r="M633" s="140"/>
      <c r="N633" s="140"/>
      <c r="O633" s="140"/>
      <c r="P633" s="140"/>
      <c r="Q633" s="140"/>
      <c r="R633" s="140"/>
      <c r="S633" s="140"/>
      <c r="T633" s="140"/>
      <c r="U633" s="140"/>
      <c r="V633" s="140"/>
      <c r="W633" s="140"/>
    </row>
    <row r="634">
      <c r="A634" s="140"/>
      <c r="B634" s="140"/>
      <c r="C634" s="140"/>
      <c r="D634" s="140"/>
      <c r="E634" s="140"/>
      <c r="F634" s="140"/>
      <c r="G634" s="140"/>
      <c r="H634" s="140"/>
      <c r="I634" s="140"/>
      <c r="J634" s="140"/>
      <c r="K634" s="455"/>
      <c r="L634" s="455"/>
      <c r="M634" s="140"/>
      <c r="N634" s="140"/>
      <c r="O634" s="140"/>
      <c r="P634" s="140"/>
      <c r="Q634" s="140"/>
      <c r="R634" s="140"/>
      <c r="S634" s="140"/>
      <c r="T634" s="140"/>
      <c r="U634" s="140"/>
      <c r="V634" s="140"/>
      <c r="W634" s="140"/>
    </row>
    <row r="635">
      <c r="A635" s="140"/>
      <c r="B635" s="140"/>
      <c r="C635" s="140"/>
      <c r="D635" s="140"/>
      <c r="E635" s="140"/>
      <c r="F635" s="140"/>
      <c r="G635" s="140"/>
      <c r="H635" s="140"/>
      <c r="I635" s="140"/>
      <c r="J635" s="140"/>
      <c r="K635" s="455"/>
      <c r="L635" s="455"/>
      <c r="M635" s="140"/>
      <c r="N635" s="140"/>
      <c r="O635" s="140"/>
      <c r="P635" s="140"/>
      <c r="Q635" s="140"/>
      <c r="R635" s="140"/>
      <c r="S635" s="140"/>
      <c r="T635" s="140"/>
      <c r="U635" s="140"/>
      <c r="V635" s="140"/>
      <c r="W635" s="140"/>
    </row>
    <row r="636">
      <c r="A636" s="140"/>
      <c r="B636" s="140"/>
      <c r="C636" s="140"/>
      <c r="D636" s="140"/>
      <c r="E636" s="140"/>
      <c r="F636" s="140"/>
      <c r="G636" s="140"/>
      <c r="H636" s="140"/>
      <c r="I636" s="140"/>
      <c r="J636" s="140"/>
      <c r="K636" s="455"/>
      <c r="L636" s="455"/>
      <c r="M636" s="140"/>
      <c r="N636" s="140"/>
      <c r="O636" s="140"/>
      <c r="P636" s="140"/>
      <c r="Q636" s="140"/>
      <c r="R636" s="140"/>
      <c r="S636" s="140"/>
      <c r="T636" s="140"/>
      <c r="U636" s="140"/>
      <c r="V636" s="140"/>
      <c r="W636" s="140"/>
    </row>
    <row r="637">
      <c r="A637" s="140"/>
      <c r="B637" s="140"/>
      <c r="C637" s="140"/>
      <c r="D637" s="140"/>
      <c r="E637" s="140"/>
      <c r="F637" s="140"/>
      <c r="G637" s="140"/>
      <c r="H637" s="140"/>
      <c r="I637" s="140"/>
      <c r="J637" s="140"/>
      <c r="K637" s="455"/>
      <c r="L637" s="455"/>
      <c r="M637" s="140"/>
      <c r="N637" s="140"/>
      <c r="O637" s="140"/>
      <c r="P637" s="140"/>
      <c r="Q637" s="140"/>
      <c r="R637" s="140"/>
      <c r="S637" s="140"/>
      <c r="T637" s="140"/>
      <c r="U637" s="140"/>
      <c r="V637" s="140"/>
      <c r="W637" s="140"/>
    </row>
    <row r="638">
      <c r="A638" s="140"/>
      <c r="B638" s="140"/>
      <c r="C638" s="140"/>
      <c r="D638" s="140"/>
      <c r="E638" s="140"/>
      <c r="F638" s="140"/>
      <c r="G638" s="140"/>
      <c r="H638" s="140"/>
      <c r="I638" s="140"/>
      <c r="J638" s="140"/>
      <c r="K638" s="455"/>
      <c r="L638" s="455"/>
      <c r="M638" s="140"/>
      <c r="N638" s="140"/>
      <c r="O638" s="140"/>
      <c r="P638" s="140"/>
      <c r="Q638" s="140"/>
      <c r="R638" s="140"/>
      <c r="S638" s="140"/>
      <c r="T638" s="140"/>
      <c r="U638" s="140"/>
      <c r="V638" s="140"/>
      <c r="W638" s="140"/>
    </row>
    <row r="639">
      <c r="A639" s="140"/>
      <c r="B639" s="140"/>
      <c r="C639" s="140"/>
      <c r="D639" s="140"/>
      <c r="E639" s="140"/>
      <c r="F639" s="140"/>
      <c r="G639" s="140"/>
      <c r="H639" s="140"/>
      <c r="I639" s="140"/>
      <c r="J639" s="140"/>
      <c r="K639" s="455"/>
      <c r="L639" s="455"/>
      <c r="M639" s="140"/>
      <c r="N639" s="140"/>
      <c r="O639" s="140"/>
      <c r="P639" s="140"/>
      <c r="Q639" s="140"/>
      <c r="R639" s="140"/>
      <c r="S639" s="140"/>
      <c r="T639" s="140"/>
      <c r="U639" s="140"/>
      <c r="V639" s="140"/>
      <c r="W639" s="140"/>
    </row>
    <row r="640">
      <c r="A640" s="140"/>
      <c r="B640" s="140"/>
      <c r="C640" s="140"/>
      <c r="D640" s="140"/>
      <c r="E640" s="140"/>
      <c r="F640" s="140"/>
      <c r="G640" s="140"/>
      <c r="H640" s="140"/>
      <c r="I640" s="140"/>
      <c r="J640" s="140"/>
      <c r="K640" s="455"/>
      <c r="L640" s="455"/>
      <c r="M640" s="140"/>
      <c r="N640" s="140"/>
      <c r="O640" s="140"/>
      <c r="P640" s="140"/>
      <c r="Q640" s="140"/>
      <c r="R640" s="140"/>
      <c r="S640" s="140"/>
      <c r="T640" s="140"/>
      <c r="U640" s="140"/>
      <c r="V640" s="140"/>
      <c r="W640" s="140"/>
    </row>
    <row r="641">
      <c r="A641" s="140"/>
      <c r="B641" s="140"/>
      <c r="C641" s="140"/>
      <c r="D641" s="140"/>
      <c r="E641" s="140"/>
      <c r="F641" s="140"/>
      <c r="G641" s="140"/>
      <c r="H641" s="140"/>
      <c r="I641" s="140"/>
      <c r="J641" s="140"/>
      <c r="K641" s="455"/>
      <c r="L641" s="455"/>
      <c r="M641" s="140"/>
      <c r="N641" s="140"/>
      <c r="O641" s="140"/>
      <c r="P641" s="140"/>
      <c r="Q641" s="140"/>
      <c r="R641" s="140"/>
      <c r="S641" s="140"/>
      <c r="T641" s="140"/>
      <c r="U641" s="140"/>
      <c r="V641" s="140"/>
      <c r="W641" s="140"/>
    </row>
    <row r="642">
      <c r="A642" s="140"/>
      <c r="B642" s="140"/>
      <c r="C642" s="140"/>
      <c r="D642" s="140"/>
      <c r="E642" s="140"/>
      <c r="F642" s="140"/>
      <c r="G642" s="140"/>
      <c r="H642" s="140"/>
      <c r="I642" s="140"/>
      <c r="J642" s="140"/>
      <c r="K642" s="455"/>
      <c r="L642" s="455"/>
      <c r="M642" s="140"/>
      <c r="N642" s="140"/>
      <c r="O642" s="140"/>
      <c r="P642" s="140"/>
      <c r="Q642" s="140"/>
      <c r="R642" s="140"/>
      <c r="S642" s="140"/>
      <c r="T642" s="140"/>
      <c r="U642" s="140"/>
      <c r="V642" s="140"/>
      <c r="W642" s="140"/>
    </row>
    <row r="643">
      <c r="A643" s="140"/>
      <c r="B643" s="140"/>
      <c r="C643" s="140"/>
      <c r="D643" s="140"/>
      <c r="E643" s="140"/>
      <c r="F643" s="140"/>
      <c r="G643" s="140"/>
      <c r="H643" s="140"/>
      <c r="I643" s="140"/>
      <c r="J643" s="140"/>
      <c r="K643" s="455"/>
      <c r="L643" s="455"/>
      <c r="M643" s="140"/>
      <c r="N643" s="140"/>
      <c r="O643" s="140"/>
      <c r="P643" s="140"/>
      <c r="Q643" s="140"/>
      <c r="R643" s="140"/>
      <c r="S643" s="140"/>
      <c r="T643" s="140"/>
      <c r="U643" s="140"/>
      <c r="V643" s="140"/>
      <c r="W643" s="140"/>
    </row>
    <row r="644">
      <c r="A644" s="140"/>
      <c r="B644" s="140"/>
      <c r="C644" s="140"/>
      <c r="D644" s="140"/>
      <c r="E644" s="140"/>
      <c r="F644" s="140"/>
      <c r="G644" s="140"/>
      <c r="H644" s="140"/>
      <c r="I644" s="140"/>
      <c r="J644" s="140"/>
      <c r="K644" s="455"/>
      <c r="L644" s="455"/>
      <c r="M644" s="140"/>
      <c r="N644" s="140"/>
      <c r="O644" s="140"/>
      <c r="P644" s="140"/>
      <c r="Q644" s="140"/>
      <c r="R644" s="140"/>
      <c r="S644" s="140"/>
      <c r="T644" s="140"/>
      <c r="U644" s="140"/>
      <c r="V644" s="140"/>
      <c r="W644" s="140"/>
    </row>
    <row r="645">
      <c r="A645" s="140"/>
      <c r="B645" s="140"/>
      <c r="C645" s="140"/>
      <c r="D645" s="140"/>
      <c r="E645" s="140"/>
      <c r="F645" s="140"/>
      <c r="G645" s="140"/>
      <c r="H645" s="140"/>
      <c r="I645" s="140"/>
      <c r="J645" s="140"/>
      <c r="K645" s="455"/>
      <c r="L645" s="455"/>
      <c r="M645" s="140"/>
      <c r="N645" s="140"/>
      <c r="O645" s="140"/>
      <c r="P645" s="140"/>
      <c r="Q645" s="140"/>
      <c r="R645" s="140"/>
      <c r="S645" s="140"/>
      <c r="T645" s="140"/>
      <c r="U645" s="140"/>
      <c r="V645" s="140"/>
      <c r="W645" s="140"/>
    </row>
    <row r="646">
      <c r="A646" s="140"/>
      <c r="B646" s="140"/>
      <c r="C646" s="140"/>
      <c r="D646" s="140"/>
      <c r="E646" s="140"/>
      <c r="F646" s="140"/>
      <c r="G646" s="140"/>
      <c r="H646" s="140"/>
      <c r="I646" s="140"/>
      <c r="J646" s="140"/>
      <c r="K646" s="455"/>
      <c r="L646" s="455"/>
      <c r="M646" s="140"/>
      <c r="N646" s="140"/>
      <c r="O646" s="140"/>
      <c r="P646" s="140"/>
      <c r="Q646" s="140"/>
      <c r="R646" s="140"/>
      <c r="S646" s="140"/>
      <c r="T646" s="140"/>
      <c r="U646" s="140"/>
      <c r="V646" s="140"/>
      <c r="W646" s="140"/>
    </row>
    <row r="647">
      <c r="A647" s="140"/>
      <c r="B647" s="140"/>
      <c r="C647" s="140"/>
      <c r="D647" s="140"/>
      <c r="E647" s="140"/>
      <c r="F647" s="140"/>
      <c r="G647" s="140"/>
      <c r="H647" s="140"/>
      <c r="I647" s="140"/>
      <c r="J647" s="140"/>
      <c r="K647" s="455"/>
      <c r="L647" s="455"/>
      <c r="M647" s="140"/>
      <c r="N647" s="140"/>
      <c r="O647" s="140"/>
      <c r="P647" s="140"/>
      <c r="Q647" s="140"/>
      <c r="R647" s="140"/>
      <c r="S647" s="140"/>
      <c r="T647" s="140"/>
      <c r="U647" s="140"/>
      <c r="V647" s="140"/>
      <c r="W647" s="140"/>
    </row>
    <row r="648">
      <c r="A648" s="140"/>
      <c r="B648" s="140"/>
      <c r="C648" s="140"/>
      <c r="D648" s="140"/>
      <c r="E648" s="140"/>
      <c r="F648" s="140"/>
      <c r="G648" s="140"/>
      <c r="H648" s="140"/>
      <c r="I648" s="140"/>
      <c r="J648" s="140"/>
      <c r="K648" s="455"/>
      <c r="L648" s="455"/>
      <c r="M648" s="140"/>
      <c r="N648" s="140"/>
      <c r="O648" s="140"/>
      <c r="P648" s="140"/>
      <c r="Q648" s="140"/>
      <c r="R648" s="140"/>
      <c r="S648" s="140"/>
      <c r="T648" s="140"/>
      <c r="U648" s="140"/>
      <c r="V648" s="140"/>
      <c r="W648" s="140"/>
    </row>
    <row r="649">
      <c r="A649" s="140"/>
      <c r="B649" s="140"/>
      <c r="C649" s="140"/>
      <c r="D649" s="140"/>
      <c r="E649" s="140"/>
      <c r="F649" s="140"/>
      <c r="G649" s="140"/>
      <c r="H649" s="140"/>
      <c r="I649" s="140"/>
      <c r="J649" s="140"/>
      <c r="K649" s="455"/>
      <c r="L649" s="455"/>
      <c r="M649" s="140"/>
      <c r="N649" s="140"/>
      <c r="O649" s="140"/>
      <c r="P649" s="140"/>
      <c r="Q649" s="140"/>
      <c r="R649" s="140"/>
      <c r="S649" s="140"/>
      <c r="T649" s="140"/>
      <c r="U649" s="140"/>
      <c r="V649" s="140"/>
      <c r="W649" s="140"/>
    </row>
    <row r="650">
      <c r="A650" s="140"/>
      <c r="B650" s="140"/>
      <c r="C650" s="140"/>
      <c r="D650" s="140"/>
      <c r="E650" s="140"/>
      <c r="F650" s="140"/>
      <c r="G650" s="140"/>
      <c r="H650" s="140"/>
      <c r="I650" s="140"/>
      <c r="J650" s="140"/>
      <c r="K650" s="455"/>
      <c r="L650" s="455"/>
      <c r="M650" s="140"/>
      <c r="N650" s="140"/>
      <c r="O650" s="140"/>
      <c r="P650" s="140"/>
      <c r="Q650" s="140"/>
      <c r="R650" s="140"/>
      <c r="S650" s="140"/>
      <c r="T650" s="140"/>
      <c r="U650" s="140"/>
      <c r="V650" s="140"/>
      <c r="W650" s="140"/>
    </row>
    <row r="651">
      <c r="A651" s="140"/>
      <c r="B651" s="140"/>
      <c r="C651" s="140"/>
      <c r="D651" s="140"/>
      <c r="E651" s="140"/>
      <c r="F651" s="140"/>
      <c r="G651" s="140"/>
      <c r="H651" s="140"/>
      <c r="I651" s="140"/>
      <c r="J651" s="140"/>
      <c r="K651" s="455"/>
      <c r="L651" s="455"/>
      <c r="M651" s="140"/>
      <c r="N651" s="140"/>
      <c r="O651" s="140"/>
      <c r="P651" s="140"/>
      <c r="Q651" s="140"/>
      <c r="R651" s="140"/>
      <c r="S651" s="140"/>
      <c r="T651" s="140"/>
      <c r="U651" s="140"/>
      <c r="V651" s="140"/>
      <c r="W651" s="140"/>
    </row>
    <row r="652">
      <c r="A652" s="140"/>
      <c r="B652" s="140"/>
      <c r="C652" s="140"/>
      <c r="D652" s="140"/>
      <c r="E652" s="140"/>
      <c r="F652" s="140"/>
      <c r="G652" s="140"/>
      <c r="H652" s="140"/>
      <c r="I652" s="140"/>
      <c r="J652" s="140"/>
      <c r="K652" s="455"/>
      <c r="L652" s="455"/>
      <c r="M652" s="140"/>
      <c r="N652" s="140"/>
      <c r="O652" s="140"/>
      <c r="P652" s="140"/>
      <c r="Q652" s="140"/>
      <c r="R652" s="140"/>
      <c r="S652" s="140"/>
      <c r="T652" s="140"/>
      <c r="U652" s="140"/>
      <c r="V652" s="140"/>
      <c r="W652" s="140"/>
    </row>
    <row r="653">
      <c r="A653" s="140"/>
      <c r="B653" s="140"/>
      <c r="C653" s="140"/>
      <c r="D653" s="140"/>
      <c r="E653" s="140"/>
      <c r="F653" s="140"/>
      <c r="G653" s="140"/>
      <c r="H653" s="140"/>
      <c r="I653" s="140"/>
      <c r="J653" s="140"/>
      <c r="K653" s="455"/>
      <c r="L653" s="455"/>
      <c r="M653" s="140"/>
      <c r="N653" s="140"/>
      <c r="O653" s="140"/>
      <c r="P653" s="140"/>
      <c r="Q653" s="140"/>
      <c r="R653" s="140"/>
      <c r="S653" s="140"/>
      <c r="T653" s="140"/>
      <c r="U653" s="140"/>
      <c r="V653" s="140"/>
      <c r="W653" s="140"/>
    </row>
    <row r="654">
      <c r="A654" s="140"/>
      <c r="B654" s="140"/>
      <c r="C654" s="140"/>
      <c r="D654" s="140"/>
      <c r="E654" s="140"/>
      <c r="F654" s="140"/>
      <c r="G654" s="140"/>
      <c r="H654" s="140"/>
      <c r="I654" s="140"/>
      <c r="J654" s="140"/>
      <c r="K654" s="455"/>
      <c r="L654" s="455"/>
      <c r="M654" s="140"/>
      <c r="N654" s="140"/>
      <c r="O654" s="140"/>
      <c r="P654" s="140"/>
      <c r="Q654" s="140"/>
      <c r="R654" s="140"/>
      <c r="S654" s="140"/>
      <c r="T654" s="140"/>
      <c r="U654" s="140"/>
      <c r="V654" s="140"/>
      <c r="W654" s="140"/>
    </row>
    <row r="655">
      <c r="A655" s="140"/>
      <c r="B655" s="140"/>
      <c r="C655" s="140"/>
      <c r="D655" s="140"/>
      <c r="E655" s="140"/>
      <c r="F655" s="140"/>
      <c r="G655" s="140"/>
      <c r="H655" s="140"/>
      <c r="I655" s="140"/>
      <c r="J655" s="140"/>
      <c r="K655" s="455"/>
      <c r="L655" s="455"/>
      <c r="M655" s="140"/>
      <c r="N655" s="140"/>
      <c r="O655" s="140"/>
      <c r="P655" s="140"/>
      <c r="Q655" s="140"/>
      <c r="R655" s="140"/>
      <c r="S655" s="140"/>
      <c r="T655" s="140"/>
      <c r="U655" s="140"/>
      <c r="V655" s="140"/>
      <c r="W655" s="140"/>
    </row>
    <row r="656">
      <c r="A656" s="140"/>
      <c r="B656" s="140"/>
      <c r="C656" s="140"/>
      <c r="D656" s="140"/>
      <c r="E656" s="140"/>
      <c r="F656" s="140"/>
      <c r="G656" s="140"/>
      <c r="H656" s="140"/>
      <c r="I656" s="140"/>
      <c r="J656" s="140"/>
      <c r="K656" s="455"/>
      <c r="L656" s="455"/>
      <c r="M656" s="140"/>
      <c r="N656" s="140"/>
      <c r="O656" s="140"/>
      <c r="P656" s="140"/>
      <c r="Q656" s="140"/>
      <c r="R656" s="140"/>
      <c r="S656" s="140"/>
      <c r="T656" s="140"/>
      <c r="U656" s="140"/>
      <c r="V656" s="140"/>
      <c r="W656" s="140"/>
    </row>
    <row r="657">
      <c r="A657" s="140"/>
      <c r="B657" s="140"/>
      <c r="C657" s="140"/>
      <c r="D657" s="140"/>
      <c r="E657" s="140"/>
      <c r="F657" s="140"/>
      <c r="G657" s="140"/>
      <c r="H657" s="140"/>
      <c r="I657" s="140"/>
      <c r="J657" s="140"/>
      <c r="K657" s="455"/>
      <c r="L657" s="455"/>
      <c r="M657" s="140"/>
      <c r="N657" s="140"/>
      <c r="O657" s="140"/>
      <c r="P657" s="140"/>
      <c r="Q657" s="140"/>
      <c r="R657" s="140"/>
      <c r="S657" s="140"/>
      <c r="T657" s="140"/>
      <c r="U657" s="140"/>
      <c r="V657" s="140"/>
      <c r="W657" s="140"/>
    </row>
    <row r="658">
      <c r="A658" s="140"/>
      <c r="B658" s="140"/>
      <c r="C658" s="140"/>
      <c r="D658" s="140"/>
      <c r="E658" s="140"/>
      <c r="F658" s="140"/>
      <c r="G658" s="140"/>
      <c r="H658" s="140"/>
      <c r="I658" s="140"/>
      <c r="J658" s="140"/>
      <c r="K658" s="455"/>
      <c r="L658" s="455"/>
      <c r="M658" s="140"/>
      <c r="N658" s="140"/>
      <c r="O658" s="140"/>
      <c r="P658" s="140"/>
      <c r="Q658" s="140"/>
      <c r="R658" s="140"/>
      <c r="S658" s="140"/>
      <c r="T658" s="140"/>
      <c r="U658" s="140"/>
      <c r="V658" s="140"/>
      <c r="W658" s="140"/>
    </row>
    <row r="659">
      <c r="A659" s="140"/>
      <c r="B659" s="140"/>
      <c r="C659" s="140"/>
      <c r="D659" s="140"/>
      <c r="E659" s="140"/>
      <c r="F659" s="140"/>
      <c r="G659" s="140"/>
      <c r="H659" s="140"/>
      <c r="I659" s="140"/>
      <c r="J659" s="140"/>
      <c r="K659" s="455"/>
      <c r="L659" s="455"/>
      <c r="M659" s="140"/>
      <c r="N659" s="140"/>
      <c r="O659" s="140"/>
      <c r="P659" s="140"/>
      <c r="Q659" s="140"/>
      <c r="R659" s="140"/>
      <c r="S659" s="140"/>
      <c r="T659" s="140"/>
      <c r="U659" s="140"/>
      <c r="V659" s="140"/>
      <c r="W659" s="140"/>
    </row>
    <row r="660">
      <c r="A660" s="140"/>
      <c r="B660" s="140"/>
      <c r="C660" s="140"/>
      <c r="D660" s="140"/>
      <c r="E660" s="140"/>
      <c r="F660" s="140"/>
      <c r="G660" s="140"/>
      <c r="H660" s="140"/>
      <c r="I660" s="140"/>
      <c r="J660" s="140"/>
      <c r="K660" s="455"/>
      <c r="L660" s="455"/>
      <c r="M660" s="140"/>
      <c r="N660" s="140"/>
      <c r="O660" s="140"/>
      <c r="P660" s="140"/>
      <c r="Q660" s="140"/>
      <c r="R660" s="140"/>
      <c r="S660" s="140"/>
      <c r="T660" s="140"/>
      <c r="U660" s="140"/>
      <c r="V660" s="140"/>
      <c r="W660" s="140"/>
    </row>
    <row r="661">
      <c r="A661" s="140"/>
      <c r="B661" s="140"/>
      <c r="C661" s="140"/>
      <c r="D661" s="140"/>
      <c r="E661" s="140"/>
      <c r="F661" s="140"/>
      <c r="G661" s="140"/>
      <c r="H661" s="140"/>
      <c r="I661" s="140"/>
      <c r="J661" s="140"/>
      <c r="K661" s="455"/>
      <c r="L661" s="455"/>
      <c r="M661" s="140"/>
      <c r="N661" s="140"/>
      <c r="O661" s="140"/>
      <c r="P661" s="140"/>
      <c r="Q661" s="140"/>
      <c r="R661" s="140"/>
      <c r="S661" s="140"/>
      <c r="T661" s="140"/>
      <c r="U661" s="140"/>
      <c r="V661" s="140"/>
      <c r="W661" s="140"/>
    </row>
    <row r="662">
      <c r="A662" s="140"/>
      <c r="B662" s="140"/>
      <c r="C662" s="140"/>
      <c r="D662" s="140"/>
      <c r="E662" s="140"/>
      <c r="F662" s="140"/>
      <c r="G662" s="140"/>
      <c r="H662" s="140"/>
      <c r="I662" s="140"/>
      <c r="J662" s="140"/>
      <c r="K662" s="455"/>
      <c r="L662" s="455"/>
      <c r="M662" s="140"/>
      <c r="N662" s="140"/>
      <c r="O662" s="140"/>
      <c r="P662" s="140"/>
      <c r="Q662" s="140"/>
      <c r="R662" s="140"/>
      <c r="S662" s="140"/>
      <c r="T662" s="140"/>
      <c r="U662" s="140"/>
      <c r="V662" s="140"/>
      <c r="W662" s="140"/>
    </row>
    <row r="663">
      <c r="A663" s="140"/>
      <c r="B663" s="140"/>
      <c r="C663" s="140"/>
      <c r="D663" s="140"/>
      <c r="E663" s="140"/>
      <c r="F663" s="140"/>
      <c r="G663" s="140"/>
      <c r="H663" s="140"/>
      <c r="I663" s="140"/>
      <c r="J663" s="140"/>
      <c r="K663" s="455"/>
      <c r="L663" s="455"/>
      <c r="M663" s="140"/>
      <c r="N663" s="140"/>
      <c r="O663" s="140"/>
      <c r="P663" s="140"/>
      <c r="Q663" s="140"/>
      <c r="R663" s="140"/>
      <c r="S663" s="140"/>
      <c r="T663" s="140"/>
      <c r="U663" s="140"/>
      <c r="V663" s="140"/>
      <c r="W663" s="140"/>
    </row>
    <row r="664">
      <c r="A664" s="140"/>
      <c r="B664" s="140"/>
      <c r="C664" s="140"/>
      <c r="D664" s="140"/>
      <c r="E664" s="140"/>
      <c r="F664" s="140"/>
      <c r="G664" s="140"/>
      <c r="H664" s="140"/>
      <c r="I664" s="140"/>
      <c r="J664" s="140"/>
      <c r="K664" s="455"/>
      <c r="L664" s="455"/>
      <c r="M664" s="140"/>
      <c r="N664" s="140"/>
      <c r="O664" s="140"/>
      <c r="P664" s="140"/>
      <c r="Q664" s="140"/>
      <c r="R664" s="140"/>
      <c r="S664" s="140"/>
      <c r="T664" s="140"/>
      <c r="U664" s="140"/>
      <c r="V664" s="140"/>
      <c r="W664" s="140"/>
    </row>
    <row r="665">
      <c r="A665" s="140"/>
      <c r="B665" s="140"/>
      <c r="C665" s="140"/>
      <c r="D665" s="140"/>
      <c r="E665" s="140"/>
      <c r="F665" s="140"/>
      <c r="G665" s="140"/>
      <c r="H665" s="140"/>
      <c r="I665" s="140"/>
      <c r="J665" s="140"/>
      <c r="K665" s="455"/>
      <c r="L665" s="455"/>
      <c r="M665" s="140"/>
      <c r="N665" s="140"/>
      <c r="O665" s="140"/>
      <c r="P665" s="140"/>
      <c r="Q665" s="140"/>
      <c r="R665" s="140"/>
      <c r="S665" s="140"/>
      <c r="T665" s="140"/>
      <c r="U665" s="140"/>
      <c r="V665" s="140"/>
      <c r="W665" s="140"/>
    </row>
    <row r="666">
      <c r="A666" s="140"/>
      <c r="B666" s="140"/>
      <c r="C666" s="140"/>
      <c r="D666" s="140"/>
      <c r="E666" s="140"/>
      <c r="F666" s="140"/>
      <c r="G666" s="140"/>
      <c r="H666" s="140"/>
      <c r="I666" s="140"/>
      <c r="J666" s="140"/>
      <c r="K666" s="455"/>
      <c r="L666" s="455"/>
      <c r="M666" s="140"/>
      <c r="N666" s="140"/>
      <c r="O666" s="140"/>
      <c r="P666" s="140"/>
      <c r="Q666" s="140"/>
      <c r="R666" s="140"/>
      <c r="S666" s="140"/>
      <c r="T666" s="140"/>
      <c r="U666" s="140"/>
      <c r="V666" s="140"/>
      <c r="W666" s="140"/>
    </row>
    <row r="667">
      <c r="A667" s="140"/>
      <c r="B667" s="140"/>
      <c r="C667" s="140"/>
      <c r="D667" s="140"/>
      <c r="E667" s="140"/>
      <c r="F667" s="140"/>
      <c r="G667" s="140"/>
      <c r="H667" s="140"/>
      <c r="I667" s="140"/>
      <c r="J667" s="140"/>
      <c r="K667" s="455"/>
      <c r="L667" s="455"/>
      <c r="M667" s="140"/>
      <c r="N667" s="140"/>
      <c r="O667" s="140"/>
      <c r="P667" s="140"/>
      <c r="Q667" s="140"/>
      <c r="R667" s="140"/>
      <c r="S667" s="140"/>
      <c r="T667" s="140"/>
      <c r="U667" s="140"/>
      <c r="V667" s="140"/>
      <c r="W667" s="140"/>
    </row>
    <row r="668">
      <c r="A668" s="140"/>
      <c r="B668" s="140"/>
      <c r="C668" s="140"/>
      <c r="D668" s="140"/>
      <c r="E668" s="140"/>
      <c r="F668" s="140"/>
      <c r="G668" s="140"/>
      <c r="H668" s="140"/>
      <c r="I668" s="140"/>
      <c r="J668" s="140"/>
      <c r="K668" s="455"/>
      <c r="L668" s="455"/>
      <c r="M668" s="140"/>
      <c r="N668" s="140"/>
      <c r="O668" s="140"/>
      <c r="P668" s="140"/>
      <c r="Q668" s="140"/>
      <c r="R668" s="140"/>
      <c r="S668" s="140"/>
      <c r="T668" s="140"/>
      <c r="U668" s="140"/>
      <c r="V668" s="140"/>
      <c r="W668" s="140"/>
    </row>
    <row r="669">
      <c r="A669" s="140"/>
      <c r="B669" s="140"/>
      <c r="C669" s="140"/>
      <c r="D669" s="140"/>
      <c r="E669" s="140"/>
      <c r="F669" s="140"/>
      <c r="G669" s="140"/>
      <c r="H669" s="140"/>
      <c r="I669" s="140"/>
      <c r="J669" s="140"/>
      <c r="K669" s="455"/>
      <c r="L669" s="455"/>
      <c r="M669" s="140"/>
      <c r="N669" s="140"/>
      <c r="O669" s="140"/>
      <c r="P669" s="140"/>
      <c r="Q669" s="140"/>
      <c r="R669" s="140"/>
      <c r="S669" s="140"/>
      <c r="T669" s="140"/>
      <c r="U669" s="140"/>
      <c r="V669" s="140"/>
      <c r="W669" s="140"/>
    </row>
    <row r="670">
      <c r="A670" s="140"/>
      <c r="B670" s="140"/>
      <c r="C670" s="140"/>
      <c r="D670" s="140"/>
      <c r="E670" s="140"/>
      <c r="F670" s="140"/>
      <c r="G670" s="140"/>
      <c r="H670" s="140"/>
      <c r="I670" s="140"/>
      <c r="J670" s="140"/>
      <c r="K670" s="455"/>
      <c r="L670" s="455"/>
      <c r="M670" s="140"/>
      <c r="N670" s="140"/>
      <c r="O670" s="140"/>
      <c r="P670" s="140"/>
      <c r="Q670" s="140"/>
      <c r="R670" s="140"/>
      <c r="S670" s="140"/>
      <c r="T670" s="140"/>
      <c r="U670" s="140"/>
      <c r="V670" s="140"/>
      <c r="W670" s="140"/>
    </row>
    <row r="671">
      <c r="A671" s="140"/>
      <c r="B671" s="140"/>
      <c r="C671" s="140"/>
      <c r="D671" s="140"/>
      <c r="E671" s="140"/>
      <c r="F671" s="140"/>
      <c r="G671" s="140"/>
      <c r="H671" s="140"/>
      <c r="I671" s="140"/>
      <c r="J671" s="140"/>
      <c r="K671" s="455"/>
      <c r="L671" s="455"/>
      <c r="M671" s="140"/>
      <c r="N671" s="140"/>
      <c r="O671" s="140"/>
      <c r="P671" s="140"/>
      <c r="Q671" s="140"/>
      <c r="R671" s="140"/>
      <c r="S671" s="140"/>
      <c r="T671" s="140"/>
      <c r="U671" s="140"/>
      <c r="V671" s="140"/>
      <c r="W671" s="140"/>
    </row>
    <row r="672">
      <c r="A672" s="140"/>
      <c r="B672" s="140"/>
      <c r="C672" s="140"/>
      <c r="D672" s="140"/>
      <c r="E672" s="140"/>
      <c r="F672" s="140"/>
      <c r="G672" s="140"/>
      <c r="H672" s="140"/>
      <c r="I672" s="140"/>
      <c r="J672" s="140"/>
      <c r="K672" s="455"/>
      <c r="L672" s="455"/>
      <c r="M672" s="140"/>
      <c r="N672" s="140"/>
      <c r="O672" s="140"/>
      <c r="P672" s="140"/>
      <c r="Q672" s="140"/>
      <c r="R672" s="140"/>
      <c r="S672" s="140"/>
      <c r="T672" s="140"/>
      <c r="U672" s="140"/>
      <c r="V672" s="140"/>
      <c r="W672" s="140"/>
    </row>
    <row r="673">
      <c r="A673" s="140"/>
      <c r="B673" s="140"/>
      <c r="C673" s="140"/>
      <c r="D673" s="140"/>
      <c r="E673" s="140"/>
      <c r="F673" s="140"/>
      <c r="G673" s="140"/>
      <c r="H673" s="140"/>
      <c r="I673" s="140"/>
      <c r="J673" s="140"/>
      <c r="K673" s="455"/>
      <c r="L673" s="455"/>
      <c r="M673" s="140"/>
      <c r="N673" s="140"/>
      <c r="O673" s="140"/>
      <c r="P673" s="140"/>
      <c r="Q673" s="140"/>
      <c r="R673" s="140"/>
      <c r="S673" s="140"/>
      <c r="T673" s="140"/>
      <c r="U673" s="140"/>
      <c r="V673" s="140"/>
      <c r="W673" s="140"/>
    </row>
    <row r="674">
      <c r="A674" s="140"/>
      <c r="B674" s="140"/>
      <c r="C674" s="140"/>
      <c r="D674" s="140"/>
      <c r="E674" s="140"/>
      <c r="F674" s="140"/>
      <c r="G674" s="140"/>
      <c r="H674" s="140"/>
      <c r="I674" s="140"/>
      <c r="J674" s="140"/>
      <c r="K674" s="455"/>
      <c r="L674" s="455"/>
      <c r="M674" s="140"/>
      <c r="N674" s="140"/>
      <c r="O674" s="140"/>
      <c r="P674" s="140"/>
      <c r="Q674" s="140"/>
      <c r="R674" s="140"/>
      <c r="S674" s="140"/>
      <c r="T674" s="140"/>
      <c r="U674" s="140"/>
      <c r="V674" s="140"/>
      <c r="W674" s="140"/>
    </row>
    <row r="675">
      <c r="A675" s="140"/>
      <c r="B675" s="140"/>
      <c r="C675" s="140"/>
      <c r="D675" s="140"/>
      <c r="E675" s="140"/>
      <c r="F675" s="140"/>
      <c r="G675" s="140"/>
      <c r="H675" s="140"/>
      <c r="I675" s="140"/>
      <c r="J675" s="140"/>
      <c r="K675" s="455"/>
      <c r="L675" s="455"/>
      <c r="M675" s="140"/>
      <c r="N675" s="140"/>
      <c r="O675" s="140"/>
      <c r="P675" s="140"/>
      <c r="Q675" s="140"/>
      <c r="R675" s="140"/>
      <c r="S675" s="140"/>
      <c r="T675" s="140"/>
      <c r="U675" s="140"/>
      <c r="V675" s="140"/>
      <c r="W675" s="140"/>
    </row>
    <row r="676">
      <c r="A676" s="140"/>
      <c r="B676" s="140"/>
      <c r="C676" s="140"/>
      <c r="D676" s="140"/>
      <c r="E676" s="140"/>
      <c r="F676" s="140"/>
      <c r="G676" s="140"/>
      <c r="H676" s="140"/>
      <c r="I676" s="140"/>
      <c r="J676" s="140"/>
      <c r="K676" s="455"/>
      <c r="L676" s="455"/>
      <c r="M676" s="140"/>
      <c r="N676" s="140"/>
      <c r="O676" s="140"/>
      <c r="P676" s="140"/>
      <c r="Q676" s="140"/>
      <c r="R676" s="140"/>
      <c r="S676" s="140"/>
      <c r="T676" s="140"/>
      <c r="U676" s="140"/>
      <c r="V676" s="140"/>
      <c r="W676" s="140"/>
    </row>
    <row r="677">
      <c r="A677" s="140"/>
      <c r="B677" s="140"/>
      <c r="C677" s="140"/>
      <c r="D677" s="140"/>
      <c r="E677" s="140"/>
      <c r="F677" s="140"/>
      <c r="G677" s="140"/>
      <c r="H677" s="140"/>
      <c r="I677" s="140"/>
      <c r="J677" s="140"/>
      <c r="K677" s="455"/>
      <c r="L677" s="455"/>
      <c r="M677" s="140"/>
      <c r="N677" s="140"/>
      <c r="O677" s="140"/>
      <c r="P677" s="140"/>
      <c r="Q677" s="140"/>
      <c r="R677" s="140"/>
      <c r="S677" s="140"/>
      <c r="T677" s="140"/>
      <c r="U677" s="140"/>
      <c r="V677" s="140"/>
      <c r="W677" s="140"/>
    </row>
    <row r="678">
      <c r="A678" s="140"/>
      <c r="B678" s="140"/>
      <c r="C678" s="140"/>
      <c r="D678" s="140"/>
      <c r="E678" s="140"/>
      <c r="F678" s="140"/>
      <c r="G678" s="140"/>
      <c r="H678" s="140"/>
      <c r="I678" s="140"/>
      <c r="J678" s="140"/>
      <c r="K678" s="455"/>
      <c r="L678" s="455"/>
      <c r="M678" s="140"/>
      <c r="N678" s="140"/>
      <c r="O678" s="140"/>
      <c r="P678" s="140"/>
      <c r="Q678" s="140"/>
      <c r="R678" s="140"/>
      <c r="S678" s="140"/>
      <c r="T678" s="140"/>
      <c r="U678" s="140"/>
      <c r="V678" s="140"/>
      <c r="W678" s="140"/>
    </row>
    <row r="679">
      <c r="A679" s="140"/>
      <c r="B679" s="140"/>
      <c r="C679" s="140"/>
      <c r="D679" s="140"/>
      <c r="E679" s="140"/>
      <c r="F679" s="140"/>
      <c r="G679" s="140"/>
      <c r="H679" s="140"/>
      <c r="I679" s="140"/>
      <c r="J679" s="140"/>
      <c r="K679" s="455"/>
      <c r="L679" s="455"/>
      <c r="M679" s="140"/>
      <c r="N679" s="140"/>
      <c r="O679" s="140"/>
      <c r="P679" s="140"/>
      <c r="Q679" s="140"/>
      <c r="R679" s="140"/>
      <c r="S679" s="140"/>
      <c r="T679" s="140"/>
      <c r="U679" s="140"/>
      <c r="V679" s="140"/>
      <c r="W679" s="140"/>
    </row>
    <row r="680">
      <c r="A680" s="140"/>
      <c r="B680" s="140"/>
      <c r="C680" s="140"/>
      <c r="D680" s="140"/>
      <c r="E680" s="140"/>
      <c r="F680" s="140"/>
      <c r="G680" s="140"/>
      <c r="H680" s="140"/>
      <c r="I680" s="140"/>
      <c r="J680" s="140"/>
      <c r="K680" s="455"/>
      <c r="L680" s="455"/>
      <c r="M680" s="140"/>
      <c r="N680" s="140"/>
      <c r="O680" s="140"/>
      <c r="P680" s="140"/>
      <c r="Q680" s="140"/>
      <c r="R680" s="140"/>
      <c r="S680" s="140"/>
      <c r="T680" s="140"/>
      <c r="U680" s="140"/>
      <c r="V680" s="140"/>
      <c r="W680" s="140"/>
    </row>
    <row r="681">
      <c r="A681" s="140"/>
      <c r="B681" s="140"/>
      <c r="C681" s="140"/>
      <c r="D681" s="140"/>
      <c r="E681" s="140"/>
      <c r="F681" s="140"/>
      <c r="G681" s="140"/>
      <c r="H681" s="140"/>
      <c r="I681" s="140"/>
      <c r="J681" s="140"/>
      <c r="K681" s="455"/>
      <c r="L681" s="455"/>
      <c r="M681" s="140"/>
      <c r="N681" s="140"/>
      <c r="O681" s="140"/>
      <c r="P681" s="140"/>
      <c r="Q681" s="140"/>
      <c r="R681" s="140"/>
      <c r="S681" s="140"/>
      <c r="T681" s="140"/>
      <c r="U681" s="140"/>
      <c r="V681" s="140"/>
      <c r="W681" s="140"/>
    </row>
    <row r="682">
      <c r="A682" s="140"/>
      <c r="B682" s="140"/>
      <c r="C682" s="140"/>
      <c r="D682" s="140"/>
      <c r="E682" s="140"/>
      <c r="F682" s="140"/>
      <c r="G682" s="140"/>
      <c r="H682" s="140"/>
      <c r="I682" s="140"/>
      <c r="J682" s="140"/>
      <c r="K682" s="455"/>
      <c r="L682" s="455"/>
      <c r="M682" s="140"/>
      <c r="N682" s="140"/>
      <c r="O682" s="140"/>
      <c r="P682" s="140"/>
      <c r="Q682" s="140"/>
      <c r="R682" s="140"/>
      <c r="S682" s="140"/>
      <c r="T682" s="140"/>
      <c r="U682" s="140"/>
      <c r="V682" s="140"/>
      <c r="W682" s="140"/>
    </row>
    <row r="683">
      <c r="A683" s="140"/>
      <c r="B683" s="140"/>
      <c r="C683" s="140"/>
      <c r="D683" s="140"/>
      <c r="E683" s="140"/>
      <c r="F683" s="140"/>
      <c r="G683" s="140"/>
      <c r="H683" s="140"/>
      <c r="I683" s="140"/>
      <c r="J683" s="140"/>
      <c r="K683" s="455"/>
      <c r="L683" s="455"/>
      <c r="M683" s="140"/>
      <c r="N683" s="140"/>
      <c r="O683" s="140"/>
      <c r="P683" s="140"/>
      <c r="Q683" s="140"/>
      <c r="R683" s="140"/>
      <c r="S683" s="140"/>
      <c r="T683" s="140"/>
      <c r="U683" s="140"/>
      <c r="V683" s="140"/>
      <c r="W683" s="140"/>
    </row>
    <row r="684">
      <c r="A684" s="140"/>
      <c r="B684" s="140"/>
      <c r="C684" s="140"/>
      <c r="D684" s="140"/>
      <c r="E684" s="140"/>
      <c r="F684" s="140"/>
      <c r="G684" s="140"/>
      <c r="H684" s="140"/>
      <c r="I684" s="140"/>
      <c r="J684" s="140"/>
      <c r="K684" s="455"/>
      <c r="L684" s="455"/>
      <c r="M684" s="140"/>
      <c r="N684" s="140"/>
      <c r="O684" s="140"/>
      <c r="P684" s="140"/>
      <c r="Q684" s="140"/>
      <c r="R684" s="140"/>
      <c r="S684" s="140"/>
      <c r="T684" s="140"/>
      <c r="U684" s="140"/>
      <c r="V684" s="140"/>
      <c r="W684" s="140"/>
    </row>
    <row r="685">
      <c r="A685" s="140"/>
      <c r="B685" s="140"/>
      <c r="C685" s="140"/>
      <c r="D685" s="140"/>
      <c r="E685" s="140"/>
      <c r="F685" s="140"/>
      <c r="G685" s="140"/>
      <c r="H685" s="140"/>
      <c r="I685" s="140"/>
      <c r="J685" s="140"/>
      <c r="K685" s="455"/>
      <c r="L685" s="455"/>
      <c r="M685" s="140"/>
      <c r="N685" s="140"/>
      <c r="O685" s="140"/>
      <c r="P685" s="140"/>
      <c r="Q685" s="140"/>
      <c r="R685" s="140"/>
      <c r="S685" s="140"/>
      <c r="T685" s="140"/>
      <c r="U685" s="140"/>
      <c r="V685" s="140"/>
      <c r="W685" s="140"/>
    </row>
    <row r="686">
      <c r="A686" s="140"/>
      <c r="B686" s="140"/>
      <c r="C686" s="140"/>
      <c r="D686" s="140"/>
      <c r="E686" s="140"/>
      <c r="F686" s="140"/>
      <c r="G686" s="140"/>
      <c r="H686" s="140"/>
      <c r="I686" s="140"/>
      <c r="J686" s="140"/>
      <c r="K686" s="455"/>
      <c r="L686" s="455"/>
      <c r="M686" s="140"/>
      <c r="N686" s="140"/>
      <c r="O686" s="140"/>
      <c r="P686" s="140"/>
      <c r="Q686" s="140"/>
      <c r="R686" s="140"/>
      <c r="S686" s="140"/>
      <c r="T686" s="140"/>
      <c r="U686" s="140"/>
      <c r="V686" s="140"/>
      <c r="W686" s="140"/>
    </row>
    <row r="687">
      <c r="A687" s="140"/>
      <c r="B687" s="140"/>
      <c r="C687" s="140"/>
      <c r="D687" s="140"/>
      <c r="E687" s="140"/>
      <c r="F687" s="140"/>
      <c r="G687" s="140"/>
      <c r="H687" s="140"/>
      <c r="I687" s="140"/>
      <c r="J687" s="140"/>
      <c r="K687" s="455"/>
      <c r="L687" s="455"/>
      <c r="M687" s="140"/>
      <c r="N687" s="140"/>
      <c r="O687" s="140"/>
      <c r="P687" s="140"/>
      <c r="Q687" s="140"/>
      <c r="R687" s="140"/>
      <c r="S687" s="140"/>
      <c r="T687" s="140"/>
      <c r="U687" s="140"/>
      <c r="V687" s="140"/>
      <c r="W687" s="140"/>
    </row>
    <row r="688">
      <c r="A688" s="140"/>
      <c r="B688" s="140"/>
      <c r="C688" s="140"/>
      <c r="D688" s="140"/>
      <c r="E688" s="140"/>
      <c r="F688" s="140"/>
      <c r="G688" s="140"/>
      <c r="H688" s="140"/>
      <c r="I688" s="140"/>
      <c r="J688" s="140"/>
      <c r="K688" s="455"/>
      <c r="L688" s="455"/>
      <c r="M688" s="140"/>
      <c r="N688" s="140"/>
      <c r="O688" s="140"/>
      <c r="P688" s="140"/>
      <c r="Q688" s="140"/>
      <c r="R688" s="140"/>
      <c r="S688" s="140"/>
      <c r="T688" s="140"/>
      <c r="U688" s="140"/>
      <c r="V688" s="140"/>
      <c r="W688" s="140"/>
    </row>
    <row r="689">
      <c r="A689" s="140"/>
      <c r="B689" s="140"/>
      <c r="C689" s="140"/>
      <c r="D689" s="140"/>
      <c r="E689" s="140"/>
      <c r="F689" s="140"/>
      <c r="G689" s="140"/>
      <c r="H689" s="140"/>
      <c r="I689" s="140"/>
      <c r="J689" s="140"/>
      <c r="K689" s="455"/>
      <c r="L689" s="455"/>
      <c r="M689" s="140"/>
      <c r="N689" s="140"/>
      <c r="O689" s="140"/>
      <c r="P689" s="140"/>
      <c r="Q689" s="140"/>
      <c r="R689" s="140"/>
      <c r="S689" s="140"/>
      <c r="T689" s="140"/>
      <c r="U689" s="140"/>
      <c r="V689" s="140"/>
      <c r="W689" s="140"/>
    </row>
    <row r="690">
      <c r="A690" s="140"/>
      <c r="B690" s="140"/>
      <c r="C690" s="140"/>
      <c r="D690" s="140"/>
      <c r="E690" s="140"/>
      <c r="F690" s="140"/>
      <c r="G690" s="140"/>
      <c r="H690" s="140"/>
      <c r="I690" s="140"/>
      <c r="J690" s="140"/>
      <c r="K690" s="455"/>
      <c r="L690" s="455"/>
      <c r="M690" s="140"/>
      <c r="N690" s="140"/>
      <c r="O690" s="140"/>
      <c r="P690" s="140"/>
      <c r="Q690" s="140"/>
      <c r="R690" s="140"/>
      <c r="S690" s="140"/>
      <c r="T690" s="140"/>
      <c r="U690" s="140"/>
      <c r="V690" s="140"/>
      <c r="W690" s="140"/>
    </row>
    <row r="691">
      <c r="A691" s="140"/>
      <c r="B691" s="140"/>
      <c r="C691" s="140"/>
      <c r="D691" s="140"/>
      <c r="E691" s="140"/>
      <c r="F691" s="140"/>
      <c r="G691" s="140"/>
      <c r="H691" s="140"/>
      <c r="I691" s="140"/>
      <c r="J691" s="140"/>
      <c r="K691" s="455"/>
      <c r="L691" s="455"/>
      <c r="M691" s="140"/>
      <c r="N691" s="140"/>
      <c r="O691" s="140"/>
      <c r="P691" s="140"/>
      <c r="Q691" s="140"/>
      <c r="R691" s="140"/>
      <c r="S691" s="140"/>
      <c r="T691" s="140"/>
      <c r="U691" s="140"/>
      <c r="V691" s="140"/>
      <c r="W691" s="140"/>
    </row>
    <row r="692">
      <c r="A692" s="140"/>
      <c r="B692" s="140"/>
      <c r="C692" s="140"/>
      <c r="D692" s="140"/>
      <c r="E692" s="140"/>
      <c r="F692" s="140"/>
      <c r="G692" s="140"/>
      <c r="H692" s="140"/>
      <c r="I692" s="140"/>
      <c r="J692" s="140"/>
      <c r="K692" s="455"/>
      <c r="L692" s="455"/>
      <c r="M692" s="140"/>
      <c r="N692" s="140"/>
      <c r="O692" s="140"/>
      <c r="P692" s="140"/>
      <c r="Q692" s="140"/>
      <c r="R692" s="140"/>
      <c r="S692" s="140"/>
      <c r="T692" s="140"/>
      <c r="U692" s="140"/>
      <c r="V692" s="140"/>
      <c r="W692" s="140"/>
    </row>
    <row r="693">
      <c r="A693" s="140"/>
      <c r="B693" s="140"/>
      <c r="C693" s="140"/>
      <c r="D693" s="140"/>
      <c r="E693" s="140"/>
      <c r="F693" s="140"/>
      <c r="G693" s="140"/>
      <c r="H693" s="140"/>
      <c r="I693" s="140"/>
      <c r="J693" s="140"/>
      <c r="K693" s="455"/>
      <c r="L693" s="455"/>
      <c r="M693" s="140"/>
      <c r="N693" s="140"/>
      <c r="O693" s="140"/>
      <c r="P693" s="140"/>
      <c r="Q693" s="140"/>
      <c r="R693" s="140"/>
      <c r="S693" s="140"/>
      <c r="T693" s="140"/>
      <c r="U693" s="140"/>
      <c r="V693" s="140"/>
      <c r="W693" s="140"/>
    </row>
    <row r="694">
      <c r="A694" s="140"/>
      <c r="B694" s="140"/>
      <c r="C694" s="140"/>
      <c r="D694" s="140"/>
      <c r="E694" s="140"/>
      <c r="F694" s="140"/>
      <c r="G694" s="140"/>
      <c r="H694" s="140"/>
      <c r="I694" s="140"/>
      <c r="J694" s="140"/>
      <c r="K694" s="455"/>
      <c r="L694" s="455"/>
      <c r="M694" s="140"/>
      <c r="N694" s="140"/>
      <c r="O694" s="140"/>
      <c r="P694" s="140"/>
      <c r="Q694" s="140"/>
      <c r="R694" s="140"/>
      <c r="S694" s="140"/>
      <c r="T694" s="140"/>
      <c r="U694" s="140"/>
      <c r="V694" s="140"/>
      <c r="W694" s="140"/>
    </row>
    <row r="695">
      <c r="A695" s="140"/>
      <c r="B695" s="140"/>
      <c r="C695" s="140"/>
      <c r="D695" s="140"/>
      <c r="E695" s="140"/>
      <c r="F695" s="140"/>
      <c r="G695" s="140"/>
      <c r="H695" s="140"/>
      <c r="I695" s="140"/>
      <c r="J695" s="140"/>
      <c r="K695" s="455"/>
      <c r="L695" s="455"/>
      <c r="M695" s="140"/>
      <c r="N695" s="140"/>
      <c r="O695" s="140"/>
      <c r="P695" s="140"/>
      <c r="Q695" s="140"/>
      <c r="R695" s="140"/>
      <c r="S695" s="140"/>
      <c r="T695" s="140"/>
      <c r="U695" s="140"/>
      <c r="V695" s="140"/>
      <c r="W695" s="140"/>
    </row>
    <row r="696">
      <c r="A696" s="140"/>
      <c r="B696" s="140"/>
      <c r="C696" s="140"/>
      <c r="D696" s="140"/>
      <c r="E696" s="140"/>
      <c r="F696" s="140"/>
      <c r="G696" s="140"/>
      <c r="H696" s="140"/>
      <c r="I696" s="140"/>
      <c r="J696" s="140"/>
      <c r="K696" s="455"/>
      <c r="L696" s="455"/>
      <c r="M696" s="140"/>
      <c r="N696" s="140"/>
      <c r="O696" s="140"/>
      <c r="P696" s="140"/>
      <c r="Q696" s="140"/>
      <c r="R696" s="140"/>
      <c r="S696" s="140"/>
      <c r="T696" s="140"/>
      <c r="U696" s="140"/>
      <c r="V696" s="140"/>
      <c r="W696" s="140"/>
    </row>
    <row r="697">
      <c r="A697" s="140"/>
      <c r="B697" s="140"/>
      <c r="C697" s="140"/>
      <c r="D697" s="140"/>
      <c r="E697" s="140"/>
      <c r="F697" s="140"/>
      <c r="G697" s="140"/>
      <c r="H697" s="140"/>
      <c r="I697" s="140"/>
      <c r="J697" s="140"/>
      <c r="K697" s="455"/>
      <c r="L697" s="455"/>
      <c r="M697" s="140"/>
      <c r="N697" s="140"/>
      <c r="O697" s="140"/>
      <c r="P697" s="140"/>
      <c r="Q697" s="140"/>
      <c r="R697" s="140"/>
      <c r="S697" s="140"/>
      <c r="T697" s="140"/>
      <c r="U697" s="140"/>
      <c r="V697" s="140"/>
      <c r="W697" s="140"/>
    </row>
    <row r="698">
      <c r="A698" s="140"/>
      <c r="B698" s="140"/>
      <c r="C698" s="140"/>
      <c r="D698" s="140"/>
      <c r="E698" s="140"/>
      <c r="F698" s="140"/>
      <c r="G698" s="140"/>
      <c r="H698" s="140"/>
      <c r="I698" s="140"/>
      <c r="J698" s="140"/>
      <c r="K698" s="455"/>
      <c r="L698" s="455"/>
      <c r="M698" s="140"/>
      <c r="N698" s="140"/>
      <c r="O698" s="140"/>
      <c r="P698" s="140"/>
      <c r="Q698" s="140"/>
      <c r="R698" s="140"/>
      <c r="S698" s="140"/>
      <c r="T698" s="140"/>
      <c r="U698" s="140"/>
      <c r="V698" s="140"/>
      <c r="W698" s="140"/>
    </row>
    <row r="699">
      <c r="A699" s="140"/>
      <c r="B699" s="140"/>
      <c r="C699" s="140"/>
      <c r="D699" s="140"/>
      <c r="E699" s="140"/>
      <c r="F699" s="140"/>
      <c r="G699" s="140"/>
      <c r="H699" s="140"/>
      <c r="I699" s="140"/>
      <c r="J699" s="140"/>
      <c r="K699" s="455"/>
      <c r="L699" s="455"/>
      <c r="M699" s="140"/>
      <c r="N699" s="140"/>
      <c r="O699" s="140"/>
      <c r="P699" s="140"/>
      <c r="Q699" s="140"/>
      <c r="R699" s="140"/>
      <c r="S699" s="140"/>
      <c r="T699" s="140"/>
      <c r="U699" s="140"/>
      <c r="V699" s="140"/>
      <c r="W699" s="140"/>
    </row>
    <row r="700">
      <c r="A700" s="140"/>
      <c r="B700" s="140"/>
      <c r="C700" s="140"/>
      <c r="D700" s="140"/>
      <c r="E700" s="140"/>
      <c r="F700" s="140"/>
      <c r="G700" s="140"/>
      <c r="H700" s="140"/>
      <c r="I700" s="140"/>
      <c r="J700" s="140"/>
      <c r="K700" s="455"/>
      <c r="L700" s="455"/>
      <c r="M700" s="140"/>
      <c r="N700" s="140"/>
      <c r="O700" s="140"/>
      <c r="P700" s="140"/>
      <c r="Q700" s="140"/>
      <c r="R700" s="140"/>
      <c r="S700" s="140"/>
      <c r="T700" s="140"/>
      <c r="U700" s="140"/>
      <c r="V700" s="140"/>
      <c r="W700" s="140"/>
    </row>
    <row r="701">
      <c r="A701" s="140"/>
      <c r="B701" s="140"/>
      <c r="C701" s="140"/>
      <c r="D701" s="140"/>
      <c r="E701" s="140"/>
      <c r="F701" s="140"/>
      <c r="G701" s="140"/>
      <c r="H701" s="140"/>
      <c r="I701" s="140"/>
      <c r="J701" s="140"/>
      <c r="K701" s="455"/>
      <c r="L701" s="455"/>
      <c r="M701" s="140"/>
      <c r="N701" s="140"/>
      <c r="O701" s="140"/>
      <c r="P701" s="140"/>
      <c r="Q701" s="140"/>
      <c r="R701" s="140"/>
      <c r="S701" s="140"/>
      <c r="T701" s="140"/>
      <c r="U701" s="140"/>
      <c r="V701" s="140"/>
      <c r="W701" s="140"/>
    </row>
    <row r="702">
      <c r="A702" s="140"/>
      <c r="B702" s="140"/>
      <c r="C702" s="140"/>
      <c r="D702" s="140"/>
      <c r="E702" s="140"/>
      <c r="F702" s="140"/>
      <c r="G702" s="140"/>
      <c r="H702" s="140"/>
      <c r="I702" s="140"/>
      <c r="J702" s="140"/>
      <c r="K702" s="455"/>
      <c r="L702" s="455"/>
      <c r="M702" s="140"/>
      <c r="N702" s="140"/>
      <c r="O702" s="140"/>
      <c r="P702" s="140"/>
      <c r="Q702" s="140"/>
      <c r="R702" s="140"/>
      <c r="S702" s="140"/>
      <c r="T702" s="140"/>
      <c r="U702" s="140"/>
      <c r="V702" s="140"/>
      <c r="W702" s="140"/>
    </row>
    <row r="703">
      <c r="A703" s="140"/>
      <c r="B703" s="140"/>
      <c r="C703" s="140"/>
      <c r="D703" s="140"/>
      <c r="E703" s="140"/>
      <c r="F703" s="140"/>
      <c r="G703" s="140"/>
      <c r="H703" s="140"/>
      <c r="I703" s="140"/>
      <c r="J703" s="140"/>
      <c r="K703" s="455"/>
      <c r="L703" s="455"/>
      <c r="M703" s="140"/>
      <c r="N703" s="140"/>
      <c r="O703" s="140"/>
      <c r="P703" s="140"/>
      <c r="Q703" s="140"/>
      <c r="R703" s="140"/>
      <c r="S703" s="140"/>
      <c r="T703" s="140"/>
      <c r="U703" s="140"/>
      <c r="V703" s="140"/>
      <c r="W703" s="140"/>
    </row>
    <row r="704">
      <c r="A704" s="140"/>
      <c r="B704" s="140"/>
      <c r="C704" s="140"/>
      <c r="D704" s="140"/>
      <c r="E704" s="140"/>
      <c r="F704" s="140"/>
      <c r="G704" s="140"/>
      <c r="H704" s="140"/>
      <c r="I704" s="140"/>
      <c r="J704" s="140"/>
      <c r="K704" s="455"/>
      <c r="L704" s="455"/>
      <c r="M704" s="140"/>
      <c r="N704" s="140"/>
      <c r="O704" s="140"/>
      <c r="P704" s="140"/>
      <c r="Q704" s="140"/>
      <c r="R704" s="140"/>
      <c r="S704" s="140"/>
      <c r="T704" s="140"/>
      <c r="U704" s="140"/>
      <c r="V704" s="140"/>
      <c r="W704" s="140"/>
    </row>
    <row r="705">
      <c r="A705" s="140"/>
      <c r="B705" s="140"/>
      <c r="C705" s="140"/>
      <c r="D705" s="140"/>
      <c r="E705" s="140"/>
      <c r="F705" s="140"/>
      <c r="G705" s="140"/>
      <c r="H705" s="140"/>
      <c r="I705" s="140"/>
      <c r="J705" s="140"/>
      <c r="K705" s="455"/>
      <c r="L705" s="455"/>
      <c r="M705" s="140"/>
      <c r="N705" s="140"/>
      <c r="O705" s="140"/>
      <c r="P705" s="140"/>
      <c r="Q705" s="140"/>
      <c r="R705" s="140"/>
      <c r="S705" s="140"/>
      <c r="T705" s="140"/>
      <c r="U705" s="140"/>
      <c r="V705" s="140"/>
      <c r="W705" s="140"/>
    </row>
    <row r="706">
      <c r="A706" s="140"/>
      <c r="B706" s="140"/>
      <c r="C706" s="140"/>
      <c r="D706" s="140"/>
      <c r="E706" s="140"/>
      <c r="F706" s="140"/>
      <c r="G706" s="140"/>
      <c r="H706" s="140"/>
      <c r="I706" s="140"/>
      <c r="J706" s="140"/>
      <c r="K706" s="455"/>
      <c r="L706" s="455"/>
      <c r="M706" s="140"/>
      <c r="N706" s="140"/>
      <c r="O706" s="140"/>
      <c r="P706" s="140"/>
      <c r="Q706" s="140"/>
      <c r="R706" s="140"/>
      <c r="S706" s="140"/>
      <c r="T706" s="140"/>
      <c r="U706" s="140"/>
      <c r="V706" s="140"/>
      <c r="W706" s="140"/>
    </row>
    <row r="707">
      <c r="A707" s="140"/>
      <c r="B707" s="140"/>
      <c r="C707" s="140"/>
      <c r="D707" s="140"/>
      <c r="E707" s="140"/>
      <c r="F707" s="140"/>
      <c r="G707" s="140"/>
      <c r="H707" s="140"/>
      <c r="I707" s="140"/>
      <c r="J707" s="140"/>
      <c r="K707" s="455"/>
      <c r="L707" s="455"/>
      <c r="M707" s="140"/>
      <c r="N707" s="140"/>
      <c r="O707" s="140"/>
      <c r="P707" s="140"/>
      <c r="Q707" s="140"/>
      <c r="R707" s="140"/>
      <c r="S707" s="140"/>
      <c r="T707" s="140"/>
      <c r="U707" s="140"/>
      <c r="V707" s="140"/>
      <c r="W707" s="140"/>
    </row>
    <row r="708">
      <c r="A708" s="140"/>
      <c r="B708" s="140"/>
      <c r="C708" s="140"/>
      <c r="D708" s="140"/>
      <c r="E708" s="140"/>
      <c r="F708" s="140"/>
      <c r="G708" s="140"/>
      <c r="H708" s="140"/>
      <c r="I708" s="140"/>
      <c r="J708" s="140"/>
      <c r="K708" s="455"/>
      <c r="L708" s="455"/>
      <c r="M708" s="140"/>
      <c r="N708" s="140"/>
      <c r="O708" s="140"/>
      <c r="P708" s="140"/>
      <c r="Q708" s="140"/>
      <c r="R708" s="140"/>
      <c r="S708" s="140"/>
      <c r="T708" s="140"/>
      <c r="U708" s="140"/>
      <c r="V708" s="140"/>
      <c r="W708" s="140"/>
    </row>
    <row r="709">
      <c r="A709" s="140"/>
      <c r="B709" s="140"/>
      <c r="C709" s="140"/>
      <c r="D709" s="140"/>
      <c r="E709" s="140"/>
      <c r="F709" s="140"/>
      <c r="G709" s="140"/>
      <c r="H709" s="140"/>
      <c r="I709" s="140"/>
      <c r="J709" s="140"/>
      <c r="K709" s="455"/>
      <c r="L709" s="455"/>
      <c r="M709" s="140"/>
      <c r="N709" s="140"/>
      <c r="O709" s="140"/>
      <c r="P709" s="140"/>
      <c r="Q709" s="140"/>
      <c r="R709" s="140"/>
      <c r="S709" s="140"/>
      <c r="T709" s="140"/>
      <c r="U709" s="140"/>
      <c r="V709" s="140"/>
      <c r="W709" s="140"/>
    </row>
    <row r="710">
      <c r="A710" s="140"/>
      <c r="B710" s="140"/>
      <c r="C710" s="140"/>
      <c r="D710" s="140"/>
      <c r="E710" s="140"/>
      <c r="F710" s="140"/>
      <c r="G710" s="140"/>
      <c r="H710" s="140"/>
      <c r="I710" s="140"/>
      <c r="J710" s="140"/>
      <c r="K710" s="455"/>
      <c r="L710" s="455"/>
      <c r="M710" s="140"/>
      <c r="N710" s="140"/>
      <c r="O710" s="140"/>
      <c r="P710" s="140"/>
      <c r="Q710" s="140"/>
      <c r="R710" s="140"/>
      <c r="S710" s="140"/>
      <c r="T710" s="140"/>
      <c r="U710" s="140"/>
      <c r="V710" s="140"/>
      <c r="W710" s="140"/>
    </row>
    <row r="711">
      <c r="A711" s="140"/>
      <c r="B711" s="140"/>
      <c r="C711" s="140"/>
      <c r="D711" s="140"/>
      <c r="E711" s="140"/>
      <c r="F711" s="140"/>
      <c r="G711" s="140"/>
      <c r="H711" s="140"/>
      <c r="I711" s="140"/>
      <c r="J711" s="140"/>
      <c r="K711" s="455"/>
      <c r="L711" s="455"/>
      <c r="M711" s="140"/>
      <c r="N711" s="140"/>
      <c r="O711" s="140"/>
      <c r="P711" s="140"/>
      <c r="Q711" s="140"/>
      <c r="R711" s="140"/>
      <c r="S711" s="140"/>
      <c r="T711" s="140"/>
      <c r="U711" s="140"/>
      <c r="V711" s="140"/>
      <c r="W711" s="140"/>
    </row>
    <row r="712">
      <c r="A712" s="140"/>
      <c r="B712" s="140"/>
      <c r="C712" s="140"/>
      <c r="D712" s="140"/>
      <c r="E712" s="140"/>
      <c r="F712" s="140"/>
      <c r="G712" s="140"/>
      <c r="H712" s="140"/>
      <c r="I712" s="140"/>
      <c r="J712" s="140"/>
      <c r="K712" s="455"/>
      <c r="L712" s="455"/>
      <c r="M712" s="140"/>
      <c r="N712" s="140"/>
      <c r="O712" s="140"/>
      <c r="P712" s="140"/>
      <c r="Q712" s="140"/>
      <c r="R712" s="140"/>
      <c r="S712" s="140"/>
      <c r="T712" s="140"/>
      <c r="U712" s="140"/>
      <c r="V712" s="140"/>
      <c r="W712" s="140"/>
    </row>
    <row r="713">
      <c r="A713" s="140"/>
      <c r="B713" s="140"/>
      <c r="C713" s="140"/>
      <c r="D713" s="140"/>
      <c r="E713" s="140"/>
      <c r="F713" s="140"/>
      <c r="G713" s="140"/>
      <c r="H713" s="140"/>
      <c r="I713" s="140"/>
      <c r="J713" s="140"/>
      <c r="K713" s="455"/>
      <c r="L713" s="455"/>
      <c r="M713" s="140"/>
      <c r="N713" s="140"/>
      <c r="O713" s="140"/>
      <c r="P713" s="140"/>
      <c r="Q713" s="140"/>
      <c r="R713" s="140"/>
      <c r="S713" s="140"/>
      <c r="T713" s="140"/>
      <c r="U713" s="140"/>
      <c r="V713" s="140"/>
      <c r="W713" s="140"/>
    </row>
    <row r="714">
      <c r="A714" s="140"/>
      <c r="B714" s="140"/>
      <c r="C714" s="140"/>
      <c r="D714" s="140"/>
      <c r="E714" s="140"/>
      <c r="F714" s="140"/>
      <c r="G714" s="140"/>
      <c r="H714" s="140"/>
      <c r="I714" s="140"/>
      <c r="J714" s="140"/>
      <c r="K714" s="455"/>
      <c r="L714" s="455"/>
      <c r="M714" s="140"/>
      <c r="N714" s="140"/>
      <c r="O714" s="140"/>
      <c r="P714" s="140"/>
      <c r="Q714" s="140"/>
      <c r="R714" s="140"/>
      <c r="S714" s="140"/>
      <c r="T714" s="140"/>
      <c r="U714" s="140"/>
      <c r="V714" s="140"/>
      <c r="W714" s="140"/>
    </row>
    <row r="715">
      <c r="A715" s="140"/>
      <c r="B715" s="140"/>
      <c r="C715" s="140"/>
      <c r="D715" s="140"/>
      <c r="E715" s="140"/>
      <c r="F715" s="140"/>
      <c r="G715" s="140"/>
      <c r="H715" s="140"/>
      <c r="I715" s="140"/>
      <c r="J715" s="140"/>
      <c r="K715" s="455"/>
      <c r="L715" s="455"/>
      <c r="M715" s="140"/>
      <c r="N715" s="140"/>
      <c r="O715" s="140"/>
      <c r="P715" s="140"/>
      <c r="Q715" s="140"/>
      <c r="R715" s="140"/>
      <c r="S715" s="140"/>
      <c r="T715" s="140"/>
      <c r="U715" s="140"/>
      <c r="V715" s="140"/>
      <c r="W715" s="140"/>
    </row>
    <row r="716">
      <c r="A716" s="140"/>
      <c r="B716" s="140"/>
      <c r="C716" s="140"/>
      <c r="D716" s="140"/>
      <c r="E716" s="140"/>
      <c r="F716" s="140"/>
      <c r="G716" s="140"/>
      <c r="H716" s="140"/>
      <c r="I716" s="140"/>
      <c r="J716" s="140"/>
      <c r="K716" s="455"/>
      <c r="L716" s="455"/>
      <c r="M716" s="140"/>
      <c r="N716" s="140"/>
      <c r="O716" s="140"/>
      <c r="P716" s="140"/>
      <c r="Q716" s="140"/>
      <c r="R716" s="140"/>
      <c r="S716" s="140"/>
      <c r="T716" s="140"/>
      <c r="U716" s="140"/>
      <c r="V716" s="140"/>
      <c r="W716" s="140"/>
    </row>
    <row r="717">
      <c r="A717" s="140"/>
      <c r="B717" s="140"/>
      <c r="C717" s="140"/>
      <c r="D717" s="140"/>
      <c r="E717" s="140"/>
      <c r="F717" s="140"/>
      <c r="G717" s="140"/>
      <c r="H717" s="140"/>
      <c r="I717" s="140"/>
      <c r="J717" s="140"/>
      <c r="K717" s="455"/>
      <c r="L717" s="455"/>
      <c r="M717" s="140"/>
      <c r="N717" s="140"/>
      <c r="O717" s="140"/>
      <c r="P717" s="140"/>
      <c r="Q717" s="140"/>
      <c r="R717" s="140"/>
      <c r="S717" s="140"/>
      <c r="T717" s="140"/>
      <c r="U717" s="140"/>
      <c r="V717" s="140"/>
      <c r="W717" s="140"/>
    </row>
    <row r="718">
      <c r="A718" s="140"/>
      <c r="B718" s="140"/>
      <c r="C718" s="140"/>
      <c r="D718" s="140"/>
      <c r="E718" s="140"/>
      <c r="F718" s="140"/>
      <c r="G718" s="140"/>
      <c r="H718" s="140"/>
      <c r="I718" s="140"/>
      <c r="J718" s="140"/>
      <c r="K718" s="455"/>
      <c r="L718" s="455"/>
      <c r="M718" s="140"/>
      <c r="N718" s="140"/>
      <c r="O718" s="140"/>
      <c r="P718" s="140"/>
      <c r="Q718" s="140"/>
      <c r="R718" s="140"/>
      <c r="S718" s="140"/>
      <c r="T718" s="140"/>
      <c r="U718" s="140"/>
      <c r="V718" s="140"/>
      <c r="W718" s="140"/>
    </row>
    <row r="719">
      <c r="A719" s="140"/>
      <c r="B719" s="140"/>
      <c r="C719" s="140"/>
      <c r="D719" s="140"/>
      <c r="E719" s="140"/>
      <c r="F719" s="140"/>
      <c r="G719" s="140"/>
      <c r="H719" s="140"/>
      <c r="I719" s="140"/>
      <c r="J719" s="140"/>
      <c r="K719" s="455"/>
      <c r="L719" s="455"/>
      <c r="M719" s="140"/>
      <c r="N719" s="140"/>
      <c r="O719" s="140"/>
      <c r="P719" s="140"/>
      <c r="Q719" s="140"/>
      <c r="R719" s="140"/>
      <c r="S719" s="140"/>
      <c r="T719" s="140"/>
      <c r="U719" s="140"/>
      <c r="V719" s="140"/>
      <c r="W719" s="140"/>
    </row>
    <row r="720">
      <c r="A720" s="140"/>
      <c r="B720" s="140"/>
      <c r="C720" s="140"/>
      <c r="D720" s="140"/>
      <c r="E720" s="140"/>
      <c r="F720" s="140"/>
      <c r="G720" s="140"/>
      <c r="H720" s="140"/>
      <c r="I720" s="140"/>
      <c r="J720" s="140"/>
      <c r="K720" s="455"/>
      <c r="L720" s="455"/>
      <c r="M720" s="140"/>
      <c r="N720" s="140"/>
      <c r="O720" s="140"/>
      <c r="P720" s="140"/>
      <c r="Q720" s="140"/>
      <c r="R720" s="140"/>
      <c r="S720" s="140"/>
      <c r="T720" s="140"/>
      <c r="U720" s="140"/>
      <c r="V720" s="140"/>
      <c r="W720" s="140"/>
    </row>
    <row r="721">
      <c r="A721" s="140"/>
      <c r="B721" s="140"/>
      <c r="C721" s="140"/>
      <c r="D721" s="140"/>
      <c r="E721" s="140"/>
      <c r="F721" s="140"/>
      <c r="G721" s="140"/>
      <c r="H721" s="140"/>
      <c r="I721" s="140"/>
      <c r="J721" s="140"/>
      <c r="K721" s="455"/>
      <c r="L721" s="455"/>
      <c r="M721" s="140"/>
      <c r="N721" s="140"/>
      <c r="O721" s="140"/>
      <c r="P721" s="140"/>
      <c r="Q721" s="140"/>
      <c r="R721" s="140"/>
      <c r="S721" s="140"/>
      <c r="T721" s="140"/>
      <c r="U721" s="140"/>
      <c r="V721" s="140"/>
      <c r="W721" s="140"/>
    </row>
    <row r="722">
      <c r="A722" s="140"/>
      <c r="B722" s="140"/>
      <c r="C722" s="140"/>
      <c r="D722" s="140"/>
      <c r="E722" s="140"/>
      <c r="F722" s="140"/>
      <c r="G722" s="140"/>
      <c r="H722" s="140"/>
      <c r="I722" s="140"/>
      <c r="J722" s="140"/>
      <c r="K722" s="455"/>
      <c r="L722" s="455"/>
      <c r="M722" s="140"/>
      <c r="N722" s="140"/>
      <c r="O722" s="140"/>
      <c r="P722" s="140"/>
      <c r="Q722" s="140"/>
      <c r="R722" s="140"/>
      <c r="S722" s="140"/>
      <c r="T722" s="140"/>
      <c r="U722" s="140"/>
      <c r="V722" s="140"/>
      <c r="W722" s="140"/>
    </row>
    <row r="723">
      <c r="A723" s="140"/>
      <c r="B723" s="140"/>
      <c r="C723" s="140"/>
      <c r="D723" s="140"/>
      <c r="E723" s="140"/>
      <c r="F723" s="140"/>
      <c r="G723" s="140"/>
      <c r="H723" s="140"/>
      <c r="I723" s="140"/>
      <c r="J723" s="140"/>
      <c r="K723" s="455"/>
      <c r="L723" s="455"/>
      <c r="M723" s="140"/>
      <c r="N723" s="140"/>
      <c r="O723" s="140"/>
      <c r="P723" s="140"/>
      <c r="Q723" s="140"/>
      <c r="R723" s="140"/>
      <c r="S723" s="140"/>
      <c r="T723" s="140"/>
      <c r="U723" s="140"/>
      <c r="V723" s="140"/>
      <c r="W723" s="140"/>
    </row>
    <row r="724">
      <c r="A724" s="140"/>
      <c r="B724" s="140"/>
      <c r="C724" s="140"/>
      <c r="D724" s="140"/>
      <c r="E724" s="140"/>
      <c r="F724" s="140"/>
      <c r="G724" s="140"/>
      <c r="H724" s="140"/>
      <c r="I724" s="140"/>
      <c r="J724" s="140"/>
      <c r="K724" s="455"/>
      <c r="L724" s="455"/>
      <c r="M724" s="140"/>
      <c r="N724" s="140"/>
      <c r="O724" s="140"/>
      <c r="P724" s="140"/>
      <c r="Q724" s="140"/>
      <c r="R724" s="140"/>
      <c r="S724" s="140"/>
      <c r="T724" s="140"/>
      <c r="U724" s="140"/>
      <c r="V724" s="140"/>
      <c r="W724" s="140"/>
    </row>
    <row r="725">
      <c r="A725" s="140"/>
      <c r="B725" s="140"/>
      <c r="C725" s="140"/>
      <c r="D725" s="140"/>
      <c r="E725" s="140"/>
      <c r="F725" s="140"/>
      <c r="G725" s="140"/>
      <c r="H725" s="140"/>
      <c r="I725" s="140"/>
      <c r="J725" s="140"/>
      <c r="K725" s="455"/>
      <c r="L725" s="455"/>
      <c r="M725" s="140"/>
      <c r="N725" s="140"/>
      <c r="O725" s="140"/>
      <c r="P725" s="140"/>
      <c r="Q725" s="140"/>
      <c r="R725" s="140"/>
      <c r="S725" s="140"/>
      <c r="T725" s="140"/>
      <c r="U725" s="140"/>
      <c r="V725" s="140"/>
      <c r="W725" s="140"/>
    </row>
    <row r="726">
      <c r="A726" s="140"/>
      <c r="B726" s="140"/>
      <c r="C726" s="140"/>
      <c r="D726" s="140"/>
      <c r="E726" s="140"/>
      <c r="F726" s="140"/>
      <c r="G726" s="140"/>
      <c r="H726" s="140"/>
      <c r="I726" s="140"/>
      <c r="J726" s="140"/>
      <c r="K726" s="455"/>
      <c r="L726" s="455"/>
      <c r="M726" s="140"/>
      <c r="N726" s="140"/>
      <c r="O726" s="140"/>
      <c r="P726" s="140"/>
      <c r="Q726" s="140"/>
      <c r="R726" s="140"/>
      <c r="S726" s="140"/>
      <c r="T726" s="140"/>
      <c r="U726" s="140"/>
      <c r="V726" s="140"/>
      <c r="W726" s="140"/>
    </row>
    <row r="727">
      <c r="A727" s="140"/>
      <c r="B727" s="140"/>
      <c r="C727" s="140"/>
      <c r="D727" s="140"/>
      <c r="E727" s="140"/>
      <c r="F727" s="140"/>
      <c r="G727" s="140"/>
      <c r="H727" s="140"/>
      <c r="I727" s="140"/>
      <c r="J727" s="140"/>
      <c r="K727" s="455"/>
      <c r="L727" s="455"/>
      <c r="M727" s="140"/>
      <c r="N727" s="140"/>
      <c r="O727" s="140"/>
      <c r="P727" s="140"/>
      <c r="Q727" s="140"/>
      <c r="R727" s="140"/>
      <c r="S727" s="140"/>
      <c r="T727" s="140"/>
      <c r="U727" s="140"/>
      <c r="V727" s="140"/>
      <c r="W727" s="140"/>
    </row>
    <row r="728">
      <c r="A728" s="140"/>
      <c r="B728" s="140"/>
      <c r="C728" s="140"/>
      <c r="D728" s="140"/>
      <c r="E728" s="140"/>
      <c r="F728" s="140"/>
      <c r="G728" s="140"/>
      <c r="H728" s="140"/>
      <c r="I728" s="140"/>
      <c r="J728" s="140"/>
      <c r="K728" s="455"/>
      <c r="L728" s="455"/>
      <c r="M728" s="140"/>
      <c r="N728" s="140"/>
      <c r="O728" s="140"/>
      <c r="P728" s="140"/>
      <c r="Q728" s="140"/>
      <c r="R728" s="140"/>
      <c r="S728" s="140"/>
      <c r="T728" s="140"/>
      <c r="U728" s="140"/>
      <c r="V728" s="140"/>
      <c r="W728" s="140"/>
    </row>
    <row r="729">
      <c r="A729" s="140"/>
      <c r="B729" s="140"/>
      <c r="C729" s="140"/>
      <c r="D729" s="140"/>
      <c r="E729" s="140"/>
      <c r="F729" s="140"/>
      <c r="G729" s="140"/>
      <c r="H729" s="140"/>
      <c r="I729" s="140"/>
      <c r="J729" s="140"/>
      <c r="K729" s="455"/>
      <c r="L729" s="455"/>
      <c r="M729" s="140"/>
      <c r="N729" s="140"/>
      <c r="O729" s="140"/>
      <c r="P729" s="140"/>
      <c r="Q729" s="140"/>
      <c r="R729" s="140"/>
      <c r="S729" s="140"/>
      <c r="T729" s="140"/>
      <c r="U729" s="140"/>
      <c r="V729" s="140"/>
      <c r="W729" s="140"/>
    </row>
    <row r="730">
      <c r="A730" s="140"/>
      <c r="B730" s="140"/>
      <c r="C730" s="140"/>
      <c r="D730" s="140"/>
      <c r="E730" s="140"/>
      <c r="F730" s="140"/>
      <c r="G730" s="140"/>
      <c r="H730" s="140"/>
      <c r="I730" s="140"/>
      <c r="J730" s="140"/>
      <c r="K730" s="455"/>
      <c r="L730" s="455"/>
      <c r="M730" s="140"/>
      <c r="N730" s="140"/>
      <c r="O730" s="140"/>
      <c r="P730" s="140"/>
      <c r="Q730" s="140"/>
      <c r="R730" s="140"/>
      <c r="S730" s="140"/>
      <c r="T730" s="140"/>
      <c r="U730" s="140"/>
      <c r="V730" s="140"/>
      <c r="W730" s="140"/>
    </row>
    <row r="731">
      <c r="A731" s="140"/>
      <c r="B731" s="140"/>
      <c r="C731" s="140"/>
      <c r="D731" s="140"/>
      <c r="E731" s="140"/>
      <c r="F731" s="140"/>
      <c r="G731" s="140"/>
      <c r="H731" s="140"/>
      <c r="I731" s="140"/>
      <c r="J731" s="140"/>
      <c r="K731" s="455"/>
      <c r="L731" s="455"/>
      <c r="M731" s="140"/>
      <c r="N731" s="140"/>
      <c r="O731" s="140"/>
      <c r="P731" s="140"/>
      <c r="Q731" s="140"/>
      <c r="R731" s="140"/>
      <c r="S731" s="140"/>
      <c r="T731" s="140"/>
      <c r="U731" s="140"/>
      <c r="V731" s="140"/>
      <c r="W731" s="140"/>
    </row>
    <row r="732">
      <c r="A732" s="140"/>
      <c r="B732" s="140"/>
      <c r="C732" s="140"/>
      <c r="D732" s="140"/>
      <c r="E732" s="140"/>
      <c r="F732" s="140"/>
      <c r="G732" s="140"/>
      <c r="H732" s="140"/>
      <c r="I732" s="140"/>
      <c r="J732" s="140"/>
      <c r="K732" s="455"/>
      <c r="L732" s="455"/>
      <c r="M732" s="140"/>
      <c r="N732" s="140"/>
      <c r="O732" s="140"/>
      <c r="P732" s="140"/>
      <c r="Q732" s="140"/>
      <c r="R732" s="140"/>
      <c r="S732" s="140"/>
      <c r="T732" s="140"/>
      <c r="U732" s="140"/>
      <c r="V732" s="140"/>
      <c r="W732" s="140"/>
    </row>
    <row r="733">
      <c r="A733" s="140"/>
      <c r="B733" s="140"/>
      <c r="C733" s="140"/>
      <c r="D733" s="140"/>
      <c r="E733" s="140"/>
      <c r="F733" s="140"/>
      <c r="G733" s="140"/>
      <c r="H733" s="140"/>
      <c r="I733" s="140"/>
      <c r="J733" s="140"/>
      <c r="K733" s="455"/>
      <c r="L733" s="455"/>
      <c r="M733" s="140"/>
      <c r="N733" s="140"/>
      <c r="O733" s="140"/>
      <c r="P733" s="140"/>
      <c r="Q733" s="140"/>
      <c r="R733" s="140"/>
      <c r="S733" s="140"/>
      <c r="T733" s="140"/>
      <c r="U733" s="140"/>
      <c r="V733" s="140"/>
      <c r="W733" s="140"/>
    </row>
    <row r="734">
      <c r="A734" s="140"/>
      <c r="B734" s="140"/>
      <c r="C734" s="140"/>
      <c r="D734" s="140"/>
      <c r="E734" s="140"/>
      <c r="F734" s="140"/>
      <c r="G734" s="140"/>
      <c r="H734" s="140"/>
      <c r="I734" s="140"/>
      <c r="J734" s="140"/>
      <c r="K734" s="455"/>
      <c r="L734" s="455"/>
      <c r="M734" s="140"/>
      <c r="N734" s="140"/>
      <c r="O734" s="140"/>
      <c r="P734" s="140"/>
      <c r="Q734" s="140"/>
      <c r="R734" s="140"/>
      <c r="S734" s="140"/>
      <c r="T734" s="140"/>
      <c r="U734" s="140"/>
      <c r="V734" s="140"/>
      <c r="W734" s="140"/>
    </row>
    <row r="735">
      <c r="A735" s="140"/>
      <c r="B735" s="140"/>
      <c r="C735" s="140"/>
      <c r="D735" s="140"/>
      <c r="E735" s="140"/>
      <c r="F735" s="140"/>
      <c r="G735" s="140"/>
      <c r="H735" s="140"/>
      <c r="I735" s="140"/>
      <c r="J735" s="140"/>
      <c r="K735" s="455"/>
      <c r="L735" s="455"/>
      <c r="M735" s="140"/>
      <c r="N735" s="140"/>
      <c r="O735" s="140"/>
      <c r="P735" s="140"/>
      <c r="Q735" s="140"/>
      <c r="R735" s="140"/>
      <c r="S735" s="140"/>
      <c r="T735" s="140"/>
      <c r="U735" s="140"/>
      <c r="V735" s="140"/>
      <c r="W735" s="140"/>
    </row>
    <row r="736">
      <c r="A736" s="140"/>
      <c r="B736" s="140"/>
      <c r="C736" s="140"/>
      <c r="D736" s="140"/>
      <c r="E736" s="140"/>
      <c r="F736" s="140"/>
      <c r="G736" s="140"/>
      <c r="H736" s="140"/>
      <c r="I736" s="140"/>
      <c r="J736" s="140"/>
      <c r="K736" s="455"/>
      <c r="L736" s="455"/>
      <c r="M736" s="140"/>
      <c r="N736" s="140"/>
      <c r="O736" s="140"/>
      <c r="P736" s="140"/>
      <c r="Q736" s="140"/>
      <c r="R736" s="140"/>
      <c r="S736" s="140"/>
      <c r="T736" s="140"/>
      <c r="U736" s="140"/>
      <c r="V736" s="140"/>
      <c r="W736" s="140"/>
    </row>
    <row r="737">
      <c r="A737" s="140"/>
      <c r="B737" s="140"/>
      <c r="C737" s="140"/>
      <c r="D737" s="140"/>
      <c r="E737" s="140"/>
      <c r="F737" s="140"/>
      <c r="G737" s="140"/>
      <c r="H737" s="140"/>
      <c r="I737" s="140"/>
      <c r="J737" s="140"/>
      <c r="K737" s="455"/>
      <c r="L737" s="455"/>
      <c r="M737" s="140"/>
      <c r="N737" s="140"/>
      <c r="O737" s="140"/>
      <c r="P737" s="140"/>
      <c r="Q737" s="140"/>
      <c r="R737" s="140"/>
      <c r="S737" s="140"/>
      <c r="T737" s="140"/>
      <c r="U737" s="140"/>
      <c r="V737" s="140"/>
      <c r="W737" s="140"/>
    </row>
    <row r="738">
      <c r="A738" s="140"/>
      <c r="B738" s="140"/>
      <c r="C738" s="140"/>
      <c r="D738" s="140"/>
      <c r="E738" s="140"/>
      <c r="F738" s="140"/>
      <c r="G738" s="140"/>
      <c r="H738" s="140"/>
      <c r="I738" s="140"/>
      <c r="J738" s="140"/>
      <c r="K738" s="455"/>
      <c r="L738" s="455"/>
      <c r="M738" s="140"/>
      <c r="N738" s="140"/>
      <c r="O738" s="140"/>
      <c r="P738" s="140"/>
      <c r="Q738" s="140"/>
      <c r="R738" s="140"/>
      <c r="S738" s="140"/>
      <c r="T738" s="140"/>
      <c r="U738" s="140"/>
      <c r="V738" s="140"/>
      <c r="W738" s="140"/>
    </row>
    <row r="739">
      <c r="A739" s="140"/>
      <c r="B739" s="140"/>
      <c r="C739" s="140"/>
      <c r="D739" s="140"/>
      <c r="E739" s="140"/>
      <c r="F739" s="140"/>
      <c r="G739" s="140"/>
      <c r="H739" s="140"/>
      <c r="I739" s="140"/>
      <c r="J739" s="140"/>
      <c r="K739" s="455"/>
      <c r="L739" s="455"/>
      <c r="M739" s="140"/>
      <c r="N739" s="140"/>
      <c r="O739" s="140"/>
      <c r="P739" s="140"/>
      <c r="Q739" s="140"/>
      <c r="R739" s="140"/>
      <c r="S739" s="140"/>
      <c r="T739" s="140"/>
      <c r="U739" s="140"/>
      <c r="V739" s="140"/>
      <c r="W739" s="140"/>
    </row>
    <row r="740">
      <c r="A740" s="140"/>
      <c r="B740" s="140"/>
      <c r="C740" s="140"/>
      <c r="D740" s="140"/>
      <c r="E740" s="140"/>
      <c r="F740" s="140"/>
      <c r="G740" s="140"/>
      <c r="H740" s="140"/>
      <c r="I740" s="140"/>
      <c r="J740" s="140"/>
      <c r="K740" s="455"/>
      <c r="L740" s="455"/>
      <c r="M740" s="140"/>
      <c r="N740" s="140"/>
      <c r="O740" s="140"/>
      <c r="P740" s="140"/>
      <c r="Q740" s="140"/>
      <c r="R740" s="140"/>
      <c r="S740" s="140"/>
      <c r="T740" s="140"/>
      <c r="U740" s="140"/>
      <c r="V740" s="140"/>
      <c r="W740" s="140"/>
    </row>
    <row r="741">
      <c r="A741" s="140"/>
      <c r="B741" s="140"/>
      <c r="C741" s="140"/>
      <c r="D741" s="140"/>
      <c r="E741" s="140"/>
      <c r="F741" s="140"/>
      <c r="G741" s="140"/>
      <c r="H741" s="140"/>
      <c r="I741" s="140"/>
      <c r="J741" s="140"/>
      <c r="K741" s="455"/>
      <c r="L741" s="455"/>
      <c r="M741" s="140"/>
      <c r="N741" s="140"/>
      <c r="O741" s="140"/>
      <c r="P741" s="140"/>
      <c r="Q741" s="140"/>
      <c r="R741" s="140"/>
      <c r="S741" s="140"/>
      <c r="T741" s="140"/>
      <c r="U741" s="140"/>
      <c r="V741" s="140"/>
      <c r="W741" s="140"/>
    </row>
    <row r="742">
      <c r="A742" s="140"/>
      <c r="B742" s="140"/>
      <c r="C742" s="140"/>
      <c r="D742" s="140"/>
      <c r="E742" s="140"/>
      <c r="F742" s="140"/>
      <c r="G742" s="140"/>
      <c r="H742" s="140"/>
      <c r="I742" s="140"/>
      <c r="J742" s="140"/>
      <c r="K742" s="455"/>
      <c r="L742" s="455"/>
      <c r="M742" s="140"/>
      <c r="N742" s="140"/>
      <c r="O742" s="140"/>
      <c r="P742" s="140"/>
      <c r="Q742" s="140"/>
      <c r="R742" s="140"/>
      <c r="S742" s="140"/>
      <c r="T742" s="140"/>
      <c r="U742" s="140"/>
      <c r="V742" s="140"/>
      <c r="W742" s="140"/>
    </row>
    <row r="743">
      <c r="A743" s="140"/>
      <c r="B743" s="140"/>
      <c r="C743" s="140"/>
      <c r="D743" s="140"/>
      <c r="E743" s="140"/>
      <c r="F743" s="140"/>
      <c r="G743" s="140"/>
      <c r="H743" s="140"/>
      <c r="I743" s="140"/>
      <c r="J743" s="140"/>
      <c r="K743" s="455"/>
      <c r="L743" s="455"/>
      <c r="M743" s="140"/>
      <c r="N743" s="140"/>
      <c r="O743" s="140"/>
      <c r="P743" s="140"/>
      <c r="Q743" s="140"/>
      <c r="R743" s="140"/>
      <c r="S743" s="140"/>
      <c r="T743" s="140"/>
      <c r="U743" s="140"/>
      <c r="V743" s="140"/>
      <c r="W743" s="140"/>
    </row>
    <row r="744">
      <c r="A744" s="140"/>
      <c r="B744" s="140"/>
      <c r="C744" s="140"/>
      <c r="D744" s="140"/>
      <c r="E744" s="140"/>
      <c r="F744" s="140"/>
      <c r="G744" s="140"/>
      <c r="H744" s="140"/>
      <c r="I744" s="140"/>
      <c r="J744" s="140"/>
      <c r="K744" s="455"/>
      <c r="L744" s="455"/>
      <c r="M744" s="140"/>
      <c r="N744" s="140"/>
      <c r="O744" s="140"/>
      <c r="P744" s="140"/>
      <c r="Q744" s="140"/>
      <c r="R744" s="140"/>
      <c r="S744" s="140"/>
      <c r="T744" s="140"/>
      <c r="U744" s="140"/>
      <c r="V744" s="140"/>
      <c r="W744" s="140"/>
    </row>
    <row r="745">
      <c r="A745" s="140"/>
      <c r="B745" s="140"/>
      <c r="C745" s="140"/>
      <c r="D745" s="140"/>
      <c r="E745" s="140"/>
      <c r="F745" s="140"/>
      <c r="G745" s="140"/>
      <c r="H745" s="140"/>
      <c r="I745" s="140"/>
      <c r="J745" s="140"/>
      <c r="K745" s="455"/>
      <c r="L745" s="455"/>
      <c r="M745" s="140"/>
      <c r="N745" s="140"/>
      <c r="O745" s="140"/>
      <c r="P745" s="140"/>
      <c r="Q745" s="140"/>
      <c r="R745" s="140"/>
      <c r="S745" s="140"/>
      <c r="T745" s="140"/>
      <c r="U745" s="140"/>
      <c r="V745" s="140"/>
      <c r="W745" s="140"/>
    </row>
    <row r="746">
      <c r="A746" s="140"/>
      <c r="B746" s="140"/>
      <c r="C746" s="140"/>
      <c r="D746" s="140"/>
      <c r="E746" s="140"/>
      <c r="F746" s="140"/>
      <c r="G746" s="140"/>
      <c r="H746" s="140"/>
      <c r="I746" s="140"/>
      <c r="J746" s="140"/>
      <c r="K746" s="455"/>
      <c r="L746" s="455"/>
      <c r="M746" s="140"/>
      <c r="N746" s="140"/>
      <c r="O746" s="140"/>
      <c r="P746" s="140"/>
      <c r="Q746" s="140"/>
      <c r="R746" s="140"/>
      <c r="S746" s="140"/>
      <c r="T746" s="140"/>
      <c r="U746" s="140"/>
      <c r="V746" s="140"/>
      <c r="W746" s="140"/>
    </row>
    <row r="747">
      <c r="A747" s="140"/>
      <c r="B747" s="140"/>
      <c r="C747" s="140"/>
      <c r="D747" s="140"/>
      <c r="E747" s="140"/>
      <c r="F747" s="140"/>
      <c r="G747" s="140"/>
      <c r="H747" s="140"/>
      <c r="I747" s="140"/>
      <c r="J747" s="140"/>
      <c r="K747" s="455"/>
      <c r="L747" s="455"/>
      <c r="M747" s="140"/>
      <c r="N747" s="140"/>
      <c r="O747" s="140"/>
      <c r="P747" s="140"/>
      <c r="Q747" s="140"/>
      <c r="R747" s="140"/>
      <c r="S747" s="140"/>
      <c r="T747" s="140"/>
      <c r="U747" s="140"/>
      <c r="V747" s="140"/>
      <c r="W747" s="140"/>
    </row>
    <row r="748">
      <c r="A748" s="140"/>
      <c r="B748" s="140"/>
      <c r="C748" s="140"/>
      <c r="D748" s="140"/>
      <c r="E748" s="140"/>
      <c r="F748" s="140"/>
      <c r="G748" s="140"/>
      <c r="H748" s="140"/>
      <c r="I748" s="140"/>
      <c r="J748" s="140"/>
      <c r="K748" s="455"/>
      <c r="L748" s="455"/>
      <c r="M748" s="140"/>
      <c r="N748" s="140"/>
      <c r="O748" s="140"/>
      <c r="P748" s="140"/>
      <c r="Q748" s="140"/>
      <c r="R748" s="140"/>
      <c r="S748" s="140"/>
      <c r="T748" s="140"/>
      <c r="U748" s="140"/>
      <c r="V748" s="140"/>
      <c r="W748" s="140"/>
    </row>
    <row r="749">
      <c r="A749" s="140"/>
      <c r="B749" s="140"/>
      <c r="C749" s="140"/>
      <c r="D749" s="140"/>
      <c r="E749" s="140"/>
      <c r="F749" s="140"/>
      <c r="G749" s="140"/>
      <c r="H749" s="140"/>
      <c r="I749" s="140"/>
      <c r="J749" s="140"/>
      <c r="K749" s="455"/>
      <c r="L749" s="455"/>
      <c r="M749" s="140"/>
      <c r="N749" s="140"/>
      <c r="O749" s="140"/>
      <c r="P749" s="140"/>
      <c r="Q749" s="140"/>
      <c r="R749" s="140"/>
      <c r="S749" s="140"/>
      <c r="T749" s="140"/>
      <c r="U749" s="140"/>
      <c r="V749" s="140"/>
      <c r="W749" s="140"/>
    </row>
    <row r="750">
      <c r="A750" s="140"/>
      <c r="B750" s="140"/>
      <c r="C750" s="140"/>
      <c r="D750" s="140"/>
      <c r="E750" s="140"/>
      <c r="F750" s="140"/>
      <c r="G750" s="140"/>
      <c r="H750" s="140"/>
      <c r="I750" s="140"/>
      <c r="J750" s="140"/>
      <c r="K750" s="455"/>
      <c r="L750" s="455"/>
      <c r="M750" s="140"/>
      <c r="N750" s="140"/>
      <c r="O750" s="140"/>
      <c r="P750" s="140"/>
      <c r="Q750" s="140"/>
      <c r="R750" s="140"/>
      <c r="S750" s="140"/>
      <c r="T750" s="140"/>
      <c r="U750" s="140"/>
      <c r="V750" s="140"/>
      <c r="W750" s="140"/>
    </row>
    <row r="751">
      <c r="A751" s="140"/>
      <c r="B751" s="140"/>
      <c r="C751" s="140"/>
      <c r="D751" s="140"/>
      <c r="E751" s="140"/>
      <c r="F751" s="140"/>
      <c r="G751" s="140"/>
      <c r="H751" s="140"/>
      <c r="I751" s="140"/>
      <c r="J751" s="140"/>
      <c r="K751" s="455"/>
      <c r="L751" s="455"/>
      <c r="M751" s="140"/>
      <c r="N751" s="140"/>
      <c r="O751" s="140"/>
      <c r="P751" s="140"/>
      <c r="Q751" s="140"/>
      <c r="R751" s="140"/>
      <c r="S751" s="140"/>
      <c r="T751" s="140"/>
      <c r="U751" s="140"/>
      <c r="V751" s="140"/>
      <c r="W751" s="140"/>
    </row>
    <row r="752">
      <c r="A752" s="140"/>
      <c r="B752" s="140"/>
      <c r="C752" s="140"/>
      <c r="D752" s="140"/>
      <c r="E752" s="140"/>
      <c r="F752" s="140"/>
      <c r="G752" s="140"/>
      <c r="H752" s="140"/>
      <c r="I752" s="140"/>
      <c r="J752" s="140"/>
      <c r="K752" s="455"/>
      <c r="L752" s="455"/>
      <c r="M752" s="140"/>
      <c r="N752" s="140"/>
      <c r="O752" s="140"/>
      <c r="P752" s="140"/>
      <c r="Q752" s="140"/>
      <c r="R752" s="140"/>
      <c r="S752" s="140"/>
      <c r="T752" s="140"/>
      <c r="U752" s="140"/>
      <c r="V752" s="140"/>
      <c r="W752" s="140"/>
    </row>
    <row r="753">
      <c r="A753" s="140"/>
      <c r="B753" s="140"/>
      <c r="C753" s="140"/>
      <c r="D753" s="140"/>
      <c r="E753" s="140"/>
      <c r="F753" s="140"/>
      <c r="G753" s="140"/>
      <c r="H753" s="140"/>
      <c r="I753" s="140"/>
      <c r="J753" s="140"/>
      <c r="K753" s="455"/>
      <c r="L753" s="455"/>
      <c r="M753" s="140"/>
      <c r="N753" s="140"/>
      <c r="O753" s="140"/>
      <c r="P753" s="140"/>
      <c r="Q753" s="140"/>
      <c r="R753" s="140"/>
      <c r="S753" s="140"/>
      <c r="T753" s="140"/>
      <c r="U753" s="140"/>
      <c r="V753" s="140"/>
      <c r="W753" s="140"/>
    </row>
    <row r="754">
      <c r="A754" s="140"/>
      <c r="B754" s="140"/>
      <c r="C754" s="140"/>
      <c r="D754" s="140"/>
      <c r="E754" s="140"/>
      <c r="F754" s="140"/>
      <c r="G754" s="140"/>
      <c r="H754" s="140"/>
      <c r="I754" s="140"/>
      <c r="J754" s="140"/>
      <c r="K754" s="455"/>
      <c r="L754" s="455"/>
      <c r="M754" s="140"/>
      <c r="N754" s="140"/>
      <c r="O754" s="140"/>
      <c r="P754" s="140"/>
      <c r="Q754" s="140"/>
      <c r="R754" s="140"/>
      <c r="S754" s="140"/>
      <c r="T754" s="140"/>
      <c r="U754" s="140"/>
      <c r="V754" s="140"/>
      <c r="W754" s="140"/>
    </row>
    <row r="755">
      <c r="A755" s="140"/>
      <c r="B755" s="140"/>
      <c r="C755" s="140"/>
      <c r="D755" s="140"/>
      <c r="E755" s="140"/>
      <c r="F755" s="140"/>
      <c r="G755" s="140"/>
      <c r="H755" s="140"/>
      <c r="I755" s="140"/>
      <c r="J755" s="140"/>
      <c r="K755" s="455"/>
      <c r="L755" s="455"/>
      <c r="M755" s="140"/>
      <c r="N755" s="140"/>
      <c r="O755" s="140"/>
      <c r="P755" s="140"/>
      <c r="Q755" s="140"/>
      <c r="R755" s="140"/>
      <c r="S755" s="140"/>
      <c r="T755" s="140"/>
      <c r="U755" s="140"/>
      <c r="V755" s="140"/>
      <c r="W755" s="140"/>
    </row>
    <row r="756">
      <c r="A756" s="140"/>
      <c r="B756" s="140"/>
      <c r="C756" s="140"/>
      <c r="D756" s="140"/>
      <c r="E756" s="140"/>
      <c r="F756" s="140"/>
      <c r="G756" s="140"/>
      <c r="H756" s="140"/>
      <c r="I756" s="140"/>
      <c r="J756" s="140"/>
      <c r="K756" s="455"/>
      <c r="L756" s="455"/>
      <c r="M756" s="140"/>
      <c r="N756" s="140"/>
      <c r="O756" s="140"/>
      <c r="P756" s="140"/>
      <c r="Q756" s="140"/>
      <c r="R756" s="140"/>
      <c r="S756" s="140"/>
      <c r="T756" s="140"/>
      <c r="U756" s="140"/>
      <c r="V756" s="140"/>
      <c r="W756" s="140"/>
    </row>
    <row r="757">
      <c r="A757" s="140"/>
      <c r="B757" s="140"/>
      <c r="C757" s="140"/>
      <c r="D757" s="140"/>
      <c r="E757" s="140"/>
      <c r="F757" s="140"/>
      <c r="G757" s="140"/>
      <c r="H757" s="140"/>
      <c r="I757" s="140"/>
      <c r="J757" s="140"/>
      <c r="K757" s="455"/>
      <c r="L757" s="455"/>
      <c r="M757" s="140"/>
      <c r="N757" s="140"/>
      <c r="O757" s="140"/>
      <c r="P757" s="140"/>
      <c r="Q757" s="140"/>
      <c r="R757" s="140"/>
      <c r="S757" s="140"/>
      <c r="T757" s="140"/>
      <c r="U757" s="140"/>
      <c r="V757" s="140"/>
      <c r="W757" s="140"/>
    </row>
    <row r="758">
      <c r="A758" s="140"/>
      <c r="B758" s="140"/>
      <c r="C758" s="140"/>
      <c r="D758" s="140"/>
      <c r="E758" s="140"/>
      <c r="F758" s="140"/>
      <c r="G758" s="140"/>
      <c r="H758" s="140"/>
      <c r="I758" s="140"/>
      <c r="J758" s="140"/>
      <c r="K758" s="455"/>
      <c r="L758" s="455"/>
      <c r="M758" s="140"/>
      <c r="N758" s="140"/>
      <c r="O758" s="140"/>
      <c r="P758" s="140"/>
      <c r="Q758" s="140"/>
      <c r="R758" s="140"/>
      <c r="S758" s="140"/>
      <c r="T758" s="140"/>
      <c r="U758" s="140"/>
      <c r="V758" s="140"/>
      <c r="W758" s="140"/>
    </row>
    <row r="759">
      <c r="A759" s="140"/>
      <c r="B759" s="140"/>
      <c r="C759" s="140"/>
      <c r="D759" s="140"/>
      <c r="E759" s="140"/>
      <c r="F759" s="140"/>
      <c r="G759" s="140"/>
      <c r="H759" s="140"/>
      <c r="I759" s="140"/>
      <c r="J759" s="140"/>
      <c r="K759" s="455"/>
      <c r="L759" s="455"/>
      <c r="M759" s="140"/>
      <c r="N759" s="140"/>
      <c r="O759" s="140"/>
      <c r="P759" s="140"/>
      <c r="Q759" s="140"/>
      <c r="R759" s="140"/>
      <c r="S759" s="140"/>
      <c r="T759" s="140"/>
      <c r="U759" s="140"/>
      <c r="V759" s="140"/>
      <c r="W759" s="140"/>
    </row>
    <row r="760">
      <c r="A760" s="140"/>
      <c r="B760" s="140"/>
      <c r="C760" s="140"/>
      <c r="D760" s="140"/>
      <c r="E760" s="140"/>
      <c r="F760" s="140"/>
      <c r="G760" s="140"/>
      <c r="H760" s="140"/>
      <c r="I760" s="140"/>
      <c r="J760" s="140"/>
      <c r="K760" s="455"/>
      <c r="L760" s="455"/>
      <c r="M760" s="140"/>
      <c r="N760" s="140"/>
      <c r="O760" s="140"/>
      <c r="P760" s="140"/>
      <c r="Q760" s="140"/>
      <c r="R760" s="140"/>
      <c r="S760" s="140"/>
      <c r="T760" s="140"/>
      <c r="U760" s="140"/>
      <c r="V760" s="140"/>
      <c r="W760" s="140"/>
    </row>
    <row r="761">
      <c r="A761" s="140"/>
      <c r="B761" s="140"/>
      <c r="C761" s="140"/>
      <c r="D761" s="140"/>
      <c r="E761" s="140"/>
      <c r="F761" s="140"/>
      <c r="G761" s="140"/>
      <c r="H761" s="140"/>
      <c r="I761" s="140"/>
      <c r="J761" s="140"/>
      <c r="K761" s="455"/>
      <c r="L761" s="455"/>
      <c r="M761" s="140"/>
      <c r="N761" s="140"/>
      <c r="O761" s="140"/>
      <c r="P761" s="140"/>
      <c r="Q761" s="140"/>
      <c r="R761" s="140"/>
      <c r="S761" s="140"/>
      <c r="T761" s="140"/>
      <c r="U761" s="140"/>
      <c r="V761" s="140"/>
      <c r="W761" s="140"/>
    </row>
    <row r="762">
      <c r="A762" s="140"/>
      <c r="B762" s="140"/>
      <c r="C762" s="140"/>
      <c r="D762" s="140"/>
      <c r="E762" s="140"/>
      <c r="F762" s="140"/>
      <c r="G762" s="140"/>
      <c r="H762" s="140"/>
      <c r="I762" s="140"/>
      <c r="J762" s="140"/>
      <c r="K762" s="455"/>
      <c r="L762" s="455"/>
      <c r="M762" s="140"/>
      <c r="N762" s="140"/>
      <c r="O762" s="140"/>
      <c r="P762" s="140"/>
      <c r="Q762" s="140"/>
      <c r="R762" s="140"/>
      <c r="S762" s="140"/>
      <c r="T762" s="140"/>
      <c r="U762" s="140"/>
      <c r="V762" s="140"/>
      <c r="W762" s="140"/>
    </row>
    <row r="763">
      <c r="A763" s="140"/>
      <c r="B763" s="140"/>
      <c r="C763" s="140"/>
      <c r="D763" s="140"/>
      <c r="E763" s="140"/>
      <c r="F763" s="140"/>
      <c r="G763" s="140"/>
      <c r="H763" s="140"/>
      <c r="I763" s="140"/>
      <c r="J763" s="140"/>
      <c r="K763" s="455"/>
      <c r="L763" s="455"/>
      <c r="M763" s="140"/>
      <c r="N763" s="140"/>
      <c r="O763" s="140"/>
      <c r="P763" s="140"/>
      <c r="Q763" s="140"/>
      <c r="R763" s="140"/>
      <c r="S763" s="140"/>
      <c r="T763" s="140"/>
      <c r="U763" s="140"/>
      <c r="V763" s="140"/>
      <c r="W763" s="140"/>
    </row>
    <row r="764">
      <c r="A764" s="140"/>
      <c r="B764" s="140"/>
      <c r="C764" s="140"/>
      <c r="D764" s="140"/>
      <c r="E764" s="140"/>
      <c r="F764" s="140"/>
      <c r="G764" s="140"/>
      <c r="H764" s="140"/>
      <c r="I764" s="140"/>
      <c r="J764" s="140"/>
      <c r="K764" s="455"/>
      <c r="L764" s="455"/>
      <c r="M764" s="140"/>
      <c r="N764" s="140"/>
      <c r="O764" s="140"/>
      <c r="P764" s="140"/>
      <c r="Q764" s="140"/>
      <c r="R764" s="140"/>
      <c r="S764" s="140"/>
      <c r="T764" s="140"/>
      <c r="U764" s="140"/>
      <c r="V764" s="140"/>
      <c r="W764" s="140"/>
    </row>
    <row r="765">
      <c r="A765" s="140"/>
      <c r="B765" s="140"/>
      <c r="C765" s="140"/>
      <c r="D765" s="140"/>
      <c r="E765" s="140"/>
      <c r="F765" s="140"/>
      <c r="G765" s="140"/>
      <c r="H765" s="140"/>
      <c r="I765" s="140"/>
      <c r="J765" s="140"/>
      <c r="K765" s="455"/>
      <c r="L765" s="455"/>
      <c r="M765" s="140"/>
      <c r="N765" s="140"/>
      <c r="O765" s="140"/>
      <c r="P765" s="140"/>
      <c r="Q765" s="140"/>
      <c r="R765" s="140"/>
      <c r="S765" s="140"/>
      <c r="T765" s="140"/>
      <c r="U765" s="140"/>
      <c r="V765" s="140"/>
      <c r="W765" s="140"/>
    </row>
    <row r="766">
      <c r="A766" s="140"/>
      <c r="B766" s="140"/>
      <c r="C766" s="140"/>
      <c r="D766" s="140"/>
      <c r="E766" s="140"/>
      <c r="F766" s="140"/>
      <c r="G766" s="140"/>
      <c r="H766" s="140"/>
      <c r="I766" s="140"/>
      <c r="J766" s="140"/>
      <c r="K766" s="455"/>
      <c r="L766" s="455"/>
      <c r="M766" s="140"/>
      <c r="N766" s="140"/>
      <c r="O766" s="140"/>
      <c r="P766" s="140"/>
      <c r="Q766" s="140"/>
      <c r="R766" s="140"/>
      <c r="S766" s="140"/>
      <c r="T766" s="140"/>
      <c r="U766" s="140"/>
      <c r="V766" s="140"/>
      <c r="W766" s="140"/>
    </row>
    <row r="767">
      <c r="A767" s="140"/>
      <c r="B767" s="140"/>
      <c r="C767" s="140"/>
      <c r="D767" s="140"/>
      <c r="E767" s="140"/>
      <c r="F767" s="140"/>
      <c r="G767" s="140"/>
      <c r="H767" s="140"/>
      <c r="I767" s="140"/>
      <c r="J767" s="140"/>
      <c r="K767" s="455"/>
      <c r="L767" s="455"/>
      <c r="M767" s="140"/>
      <c r="N767" s="140"/>
      <c r="O767" s="140"/>
      <c r="P767" s="140"/>
      <c r="Q767" s="140"/>
      <c r="R767" s="140"/>
      <c r="S767" s="140"/>
      <c r="T767" s="140"/>
      <c r="U767" s="140"/>
      <c r="V767" s="140"/>
      <c r="W767" s="140"/>
    </row>
    <row r="768">
      <c r="A768" s="140"/>
      <c r="B768" s="140"/>
      <c r="C768" s="140"/>
      <c r="D768" s="140"/>
      <c r="E768" s="140"/>
      <c r="F768" s="140"/>
      <c r="G768" s="140"/>
      <c r="H768" s="140"/>
      <c r="I768" s="140"/>
      <c r="J768" s="140"/>
      <c r="K768" s="455"/>
      <c r="L768" s="455"/>
      <c r="M768" s="140"/>
      <c r="N768" s="140"/>
      <c r="O768" s="140"/>
      <c r="P768" s="140"/>
      <c r="Q768" s="140"/>
      <c r="R768" s="140"/>
      <c r="S768" s="140"/>
      <c r="T768" s="140"/>
      <c r="U768" s="140"/>
      <c r="V768" s="140"/>
      <c r="W768" s="140"/>
    </row>
    <row r="769">
      <c r="A769" s="140"/>
      <c r="B769" s="140"/>
      <c r="C769" s="140"/>
      <c r="D769" s="140"/>
      <c r="E769" s="140"/>
      <c r="F769" s="140"/>
      <c r="G769" s="140"/>
      <c r="H769" s="140"/>
      <c r="I769" s="140"/>
      <c r="J769" s="140"/>
      <c r="K769" s="455"/>
      <c r="L769" s="455"/>
      <c r="M769" s="140"/>
      <c r="N769" s="140"/>
      <c r="O769" s="140"/>
      <c r="P769" s="140"/>
      <c r="Q769" s="140"/>
      <c r="R769" s="140"/>
      <c r="S769" s="140"/>
      <c r="T769" s="140"/>
      <c r="U769" s="140"/>
      <c r="V769" s="140"/>
      <c r="W769" s="140"/>
    </row>
    <row r="770">
      <c r="A770" s="140"/>
      <c r="B770" s="140"/>
      <c r="C770" s="140"/>
      <c r="D770" s="140"/>
      <c r="E770" s="140"/>
      <c r="F770" s="140"/>
      <c r="G770" s="140"/>
      <c r="H770" s="140"/>
      <c r="I770" s="140"/>
      <c r="J770" s="140"/>
      <c r="K770" s="455"/>
      <c r="L770" s="455"/>
      <c r="M770" s="140"/>
      <c r="N770" s="140"/>
      <c r="O770" s="140"/>
      <c r="P770" s="140"/>
      <c r="Q770" s="140"/>
      <c r="R770" s="140"/>
      <c r="S770" s="140"/>
      <c r="T770" s="140"/>
      <c r="U770" s="140"/>
      <c r="V770" s="140"/>
      <c r="W770" s="140"/>
    </row>
    <row r="771">
      <c r="A771" s="140"/>
      <c r="B771" s="140"/>
      <c r="C771" s="140"/>
      <c r="D771" s="140"/>
      <c r="E771" s="140"/>
      <c r="F771" s="140"/>
      <c r="G771" s="140"/>
      <c r="H771" s="140"/>
      <c r="I771" s="140"/>
      <c r="J771" s="140"/>
      <c r="K771" s="455"/>
      <c r="L771" s="455"/>
      <c r="M771" s="140"/>
      <c r="N771" s="140"/>
      <c r="O771" s="140"/>
      <c r="P771" s="140"/>
      <c r="Q771" s="140"/>
      <c r="R771" s="140"/>
      <c r="S771" s="140"/>
      <c r="T771" s="140"/>
      <c r="U771" s="140"/>
      <c r="V771" s="140"/>
      <c r="W771" s="140"/>
    </row>
    <row r="772">
      <c r="A772" s="140"/>
      <c r="B772" s="140"/>
      <c r="C772" s="140"/>
      <c r="D772" s="140"/>
      <c r="E772" s="140"/>
      <c r="F772" s="140"/>
      <c r="G772" s="140"/>
      <c r="H772" s="140"/>
      <c r="I772" s="140"/>
      <c r="J772" s="140"/>
      <c r="K772" s="455"/>
      <c r="L772" s="455"/>
      <c r="M772" s="140"/>
      <c r="N772" s="140"/>
      <c r="O772" s="140"/>
      <c r="P772" s="140"/>
      <c r="Q772" s="140"/>
      <c r="R772" s="140"/>
      <c r="S772" s="140"/>
      <c r="T772" s="140"/>
      <c r="U772" s="140"/>
      <c r="V772" s="140"/>
      <c r="W772" s="140"/>
    </row>
    <row r="773">
      <c r="A773" s="140"/>
      <c r="B773" s="140"/>
      <c r="C773" s="140"/>
      <c r="D773" s="140"/>
      <c r="E773" s="140"/>
      <c r="F773" s="140"/>
      <c r="G773" s="140"/>
      <c r="H773" s="140"/>
      <c r="I773" s="140"/>
      <c r="J773" s="140"/>
      <c r="K773" s="455"/>
      <c r="L773" s="455"/>
      <c r="M773" s="140"/>
      <c r="N773" s="140"/>
      <c r="O773" s="140"/>
      <c r="P773" s="140"/>
      <c r="Q773" s="140"/>
      <c r="R773" s="140"/>
      <c r="S773" s="140"/>
      <c r="T773" s="140"/>
      <c r="U773" s="140"/>
      <c r="V773" s="140"/>
      <c r="W773" s="140"/>
    </row>
    <row r="774">
      <c r="A774" s="140"/>
      <c r="B774" s="140"/>
      <c r="C774" s="140"/>
      <c r="D774" s="140"/>
      <c r="E774" s="140"/>
      <c r="F774" s="140"/>
      <c r="G774" s="140"/>
      <c r="H774" s="140"/>
      <c r="I774" s="140"/>
      <c r="J774" s="140"/>
      <c r="K774" s="455"/>
      <c r="L774" s="455"/>
      <c r="M774" s="140"/>
      <c r="N774" s="140"/>
      <c r="O774" s="140"/>
      <c r="P774" s="140"/>
      <c r="Q774" s="140"/>
      <c r="R774" s="140"/>
      <c r="S774" s="140"/>
      <c r="T774" s="140"/>
      <c r="U774" s="140"/>
      <c r="V774" s="140"/>
      <c r="W774" s="140"/>
    </row>
    <row r="775">
      <c r="A775" s="140"/>
      <c r="B775" s="140"/>
      <c r="C775" s="140"/>
      <c r="D775" s="140"/>
      <c r="E775" s="140"/>
      <c r="F775" s="140"/>
      <c r="G775" s="140"/>
      <c r="H775" s="140"/>
      <c r="I775" s="140"/>
      <c r="J775" s="140"/>
      <c r="K775" s="455"/>
      <c r="L775" s="455"/>
      <c r="M775" s="140"/>
      <c r="N775" s="140"/>
      <c r="O775" s="140"/>
      <c r="P775" s="140"/>
      <c r="Q775" s="140"/>
      <c r="R775" s="140"/>
      <c r="S775" s="140"/>
      <c r="T775" s="140"/>
      <c r="U775" s="140"/>
      <c r="V775" s="140"/>
      <c r="W775" s="140"/>
    </row>
    <row r="776">
      <c r="A776" s="140"/>
      <c r="B776" s="140"/>
      <c r="C776" s="140"/>
      <c r="D776" s="140"/>
      <c r="E776" s="140"/>
      <c r="F776" s="140"/>
      <c r="G776" s="140"/>
      <c r="H776" s="140"/>
      <c r="I776" s="140"/>
      <c r="J776" s="140"/>
      <c r="K776" s="455"/>
      <c r="L776" s="455"/>
      <c r="M776" s="140"/>
      <c r="N776" s="140"/>
      <c r="O776" s="140"/>
      <c r="P776" s="140"/>
      <c r="Q776" s="140"/>
      <c r="R776" s="140"/>
      <c r="S776" s="140"/>
      <c r="T776" s="140"/>
      <c r="U776" s="140"/>
      <c r="V776" s="140"/>
      <c r="W776" s="140"/>
    </row>
    <row r="777">
      <c r="A777" s="140"/>
      <c r="B777" s="140"/>
      <c r="C777" s="140"/>
      <c r="D777" s="140"/>
      <c r="E777" s="140"/>
      <c r="F777" s="140"/>
      <c r="G777" s="140"/>
      <c r="H777" s="140"/>
      <c r="I777" s="140"/>
      <c r="J777" s="140"/>
      <c r="K777" s="455"/>
      <c r="L777" s="455"/>
      <c r="M777" s="140"/>
      <c r="N777" s="140"/>
      <c r="O777" s="140"/>
      <c r="P777" s="140"/>
      <c r="Q777" s="140"/>
      <c r="R777" s="140"/>
      <c r="S777" s="140"/>
      <c r="T777" s="140"/>
      <c r="U777" s="140"/>
      <c r="V777" s="140"/>
      <c r="W777" s="140"/>
    </row>
    <row r="778">
      <c r="A778" s="140"/>
      <c r="B778" s="140"/>
      <c r="C778" s="140"/>
      <c r="D778" s="140"/>
      <c r="E778" s="140"/>
      <c r="F778" s="140"/>
      <c r="G778" s="140"/>
      <c r="H778" s="140"/>
      <c r="I778" s="140"/>
      <c r="J778" s="140"/>
      <c r="K778" s="455"/>
      <c r="L778" s="455"/>
      <c r="M778" s="140"/>
      <c r="N778" s="140"/>
      <c r="O778" s="140"/>
      <c r="P778" s="140"/>
      <c r="Q778" s="140"/>
      <c r="R778" s="140"/>
      <c r="S778" s="140"/>
      <c r="T778" s="140"/>
      <c r="U778" s="140"/>
      <c r="V778" s="140"/>
      <c r="W778" s="140"/>
    </row>
    <row r="779">
      <c r="A779" s="140"/>
      <c r="B779" s="140"/>
      <c r="C779" s="140"/>
      <c r="D779" s="140"/>
      <c r="E779" s="140"/>
      <c r="F779" s="140"/>
      <c r="G779" s="140"/>
      <c r="H779" s="140"/>
      <c r="I779" s="140"/>
      <c r="J779" s="140"/>
      <c r="K779" s="455"/>
      <c r="L779" s="455"/>
      <c r="M779" s="140"/>
      <c r="N779" s="140"/>
      <c r="O779" s="140"/>
      <c r="P779" s="140"/>
      <c r="Q779" s="140"/>
      <c r="R779" s="140"/>
      <c r="S779" s="140"/>
      <c r="T779" s="140"/>
      <c r="U779" s="140"/>
      <c r="V779" s="140"/>
      <c r="W779" s="140"/>
    </row>
    <row r="780">
      <c r="A780" s="140"/>
      <c r="B780" s="140"/>
      <c r="C780" s="140"/>
      <c r="D780" s="140"/>
      <c r="E780" s="140"/>
      <c r="F780" s="140"/>
      <c r="G780" s="140"/>
      <c r="H780" s="140"/>
      <c r="I780" s="140"/>
      <c r="J780" s="140"/>
      <c r="K780" s="455"/>
      <c r="L780" s="455"/>
      <c r="M780" s="140"/>
      <c r="N780" s="140"/>
      <c r="O780" s="140"/>
      <c r="P780" s="140"/>
      <c r="Q780" s="140"/>
      <c r="R780" s="140"/>
      <c r="S780" s="140"/>
      <c r="T780" s="140"/>
      <c r="U780" s="140"/>
      <c r="V780" s="140"/>
      <c r="W780" s="140"/>
    </row>
    <row r="781">
      <c r="A781" s="140"/>
      <c r="B781" s="140"/>
      <c r="C781" s="140"/>
      <c r="D781" s="140"/>
      <c r="E781" s="140"/>
      <c r="F781" s="140"/>
      <c r="G781" s="140"/>
      <c r="H781" s="140"/>
      <c r="I781" s="140"/>
      <c r="J781" s="140"/>
      <c r="K781" s="455"/>
      <c r="L781" s="455"/>
      <c r="M781" s="140"/>
      <c r="N781" s="140"/>
      <c r="O781" s="140"/>
      <c r="P781" s="140"/>
      <c r="Q781" s="140"/>
      <c r="R781" s="140"/>
      <c r="S781" s="140"/>
      <c r="T781" s="140"/>
      <c r="U781" s="140"/>
      <c r="V781" s="140"/>
      <c r="W781" s="140"/>
    </row>
    <row r="782">
      <c r="A782" s="140"/>
      <c r="B782" s="140"/>
      <c r="C782" s="140"/>
      <c r="D782" s="140"/>
      <c r="E782" s="140"/>
      <c r="F782" s="140"/>
      <c r="G782" s="140"/>
      <c r="H782" s="140"/>
      <c r="I782" s="140"/>
      <c r="J782" s="140"/>
      <c r="K782" s="455"/>
      <c r="L782" s="455"/>
      <c r="M782" s="140"/>
      <c r="N782" s="140"/>
      <c r="O782" s="140"/>
      <c r="P782" s="140"/>
      <c r="Q782" s="140"/>
      <c r="R782" s="140"/>
      <c r="S782" s="140"/>
      <c r="T782" s="140"/>
      <c r="U782" s="140"/>
      <c r="V782" s="140"/>
      <c r="W782" s="140"/>
    </row>
    <row r="783">
      <c r="A783" s="140"/>
      <c r="B783" s="140"/>
      <c r="C783" s="140"/>
      <c r="D783" s="140"/>
      <c r="E783" s="140"/>
      <c r="F783" s="140"/>
      <c r="G783" s="140"/>
      <c r="H783" s="140"/>
      <c r="I783" s="140"/>
      <c r="J783" s="140"/>
      <c r="K783" s="455"/>
      <c r="L783" s="455"/>
      <c r="M783" s="140"/>
      <c r="N783" s="140"/>
      <c r="O783" s="140"/>
      <c r="P783" s="140"/>
      <c r="Q783" s="140"/>
      <c r="R783" s="140"/>
      <c r="S783" s="140"/>
      <c r="T783" s="140"/>
      <c r="U783" s="140"/>
      <c r="V783" s="140"/>
      <c r="W783" s="140"/>
    </row>
    <row r="784">
      <c r="A784" s="140"/>
      <c r="B784" s="140"/>
      <c r="C784" s="140"/>
      <c r="D784" s="140"/>
      <c r="E784" s="140"/>
      <c r="F784" s="140"/>
      <c r="G784" s="140"/>
      <c r="H784" s="140"/>
      <c r="I784" s="140"/>
      <c r="J784" s="140"/>
      <c r="K784" s="455"/>
      <c r="L784" s="455"/>
      <c r="M784" s="140"/>
      <c r="N784" s="140"/>
      <c r="O784" s="140"/>
      <c r="P784" s="140"/>
      <c r="Q784" s="140"/>
      <c r="R784" s="140"/>
      <c r="S784" s="140"/>
      <c r="T784" s="140"/>
      <c r="U784" s="140"/>
      <c r="V784" s="140"/>
      <c r="W784" s="140"/>
    </row>
    <row r="785">
      <c r="A785" s="140"/>
      <c r="B785" s="140"/>
      <c r="C785" s="140"/>
      <c r="D785" s="140"/>
      <c r="E785" s="140"/>
      <c r="F785" s="140"/>
      <c r="G785" s="140"/>
      <c r="H785" s="140"/>
      <c r="I785" s="140"/>
      <c r="J785" s="140"/>
      <c r="K785" s="455"/>
      <c r="L785" s="455"/>
      <c r="M785" s="140"/>
      <c r="N785" s="140"/>
      <c r="O785" s="140"/>
      <c r="P785" s="140"/>
      <c r="Q785" s="140"/>
      <c r="R785" s="140"/>
      <c r="S785" s="140"/>
      <c r="T785" s="140"/>
      <c r="U785" s="140"/>
      <c r="V785" s="140"/>
      <c r="W785" s="140"/>
    </row>
    <row r="786">
      <c r="A786" s="140"/>
      <c r="B786" s="140"/>
      <c r="C786" s="140"/>
      <c r="D786" s="140"/>
      <c r="E786" s="140"/>
      <c r="F786" s="140"/>
      <c r="G786" s="140"/>
      <c r="H786" s="140"/>
      <c r="I786" s="140"/>
      <c r="J786" s="140"/>
      <c r="K786" s="455"/>
      <c r="L786" s="455"/>
      <c r="M786" s="140"/>
      <c r="N786" s="140"/>
      <c r="O786" s="140"/>
      <c r="P786" s="140"/>
      <c r="Q786" s="140"/>
      <c r="R786" s="140"/>
      <c r="S786" s="140"/>
      <c r="T786" s="140"/>
      <c r="U786" s="140"/>
      <c r="V786" s="140"/>
      <c r="W786" s="140"/>
    </row>
    <row r="787">
      <c r="A787" s="140"/>
      <c r="B787" s="140"/>
      <c r="C787" s="140"/>
      <c r="D787" s="140"/>
      <c r="E787" s="140"/>
      <c r="F787" s="140"/>
      <c r="G787" s="140"/>
      <c r="H787" s="140"/>
      <c r="I787" s="140"/>
      <c r="J787" s="140"/>
      <c r="K787" s="455"/>
      <c r="L787" s="455"/>
      <c r="M787" s="140"/>
      <c r="N787" s="140"/>
      <c r="O787" s="140"/>
      <c r="P787" s="140"/>
      <c r="Q787" s="140"/>
      <c r="R787" s="140"/>
      <c r="S787" s="140"/>
      <c r="T787" s="140"/>
      <c r="U787" s="140"/>
      <c r="V787" s="140"/>
      <c r="W787" s="140"/>
    </row>
    <row r="788">
      <c r="A788" s="140"/>
      <c r="B788" s="140"/>
      <c r="C788" s="140"/>
      <c r="D788" s="140"/>
      <c r="E788" s="140"/>
      <c r="F788" s="140"/>
      <c r="G788" s="140"/>
      <c r="H788" s="140"/>
      <c r="I788" s="140"/>
      <c r="J788" s="140"/>
      <c r="K788" s="455"/>
      <c r="L788" s="455"/>
      <c r="M788" s="140"/>
      <c r="N788" s="140"/>
      <c r="O788" s="140"/>
      <c r="P788" s="140"/>
      <c r="Q788" s="140"/>
      <c r="R788" s="140"/>
      <c r="S788" s="140"/>
      <c r="T788" s="140"/>
      <c r="U788" s="140"/>
      <c r="V788" s="140"/>
      <c r="W788" s="140"/>
    </row>
    <row r="789">
      <c r="A789" s="140"/>
      <c r="B789" s="140"/>
      <c r="C789" s="140"/>
      <c r="D789" s="140"/>
      <c r="E789" s="140"/>
      <c r="F789" s="140"/>
      <c r="G789" s="140"/>
      <c r="H789" s="140"/>
      <c r="I789" s="140"/>
      <c r="J789" s="140"/>
      <c r="K789" s="455"/>
      <c r="L789" s="455"/>
      <c r="M789" s="140"/>
      <c r="N789" s="140"/>
      <c r="O789" s="140"/>
      <c r="P789" s="140"/>
      <c r="Q789" s="140"/>
      <c r="R789" s="140"/>
      <c r="S789" s="140"/>
      <c r="T789" s="140"/>
      <c r="U789" s="140"/>
      <c r="V789" s="140"/>
      <c r="W789" s="140"/>
    </row>
    <row r="790">
      <c r="A790" s="140"/>
      <c r="B790" s="140"/>
      <c r="C790" s="140"/>
      <c r="D790" s="140"/>
      <c r="E790" s="140"/>
      <c r="F790" s="140"/>
      <c r="G790" s="140"/>
      <c r="H790" s="140"/>
      <c r="I790" s="140"/>
      <c r="J790" s="140"/>
      <c r="K790" s="455"/>
      <c r="L790" s="455"/>
      <c r="M790" s="140"/>
      <c r="N790" s="140"/>
      <c r="O790" s="140"/>
      <c r="P790" s="140"/>
      <c r="Q790" s="140"/>
      <c r="R790" s="140"/>
      <c r="S790" s="140"/>
      <c r="T790" s="140"/>
      <c r="U790" s="140"/>
      <c r="V790" s="140"/>
      <c r="W790" s="140"/>
    </row>
    <row r="791">
      <c r="A791" s="140"/>
      <c r="B791" s="140"/>
      <c r="C791" s="140"/>
      <c r="D791" s="140"/>
      <c r="E791" s="140"/>
      <c r="F791" s="140"/>
      <c r="G791" s="140"/>
      <c r="H791" s="140"/>
      <c r="I791" s="140"/>
      <c r="J791" s="140"/>
      <c r="K791" s="455"/>
      <c r="L791" s="455"/>
      <c r="M791" s="140"/>
      <c r="N791" s="140"/>
      <c r="O791" s="140"/>
      <c r="P791" s="140"/>
      <c r="Q791" s="140"/>
      <c r="R791" s="140"/>
      <c r="S791" s="140"/>
      <c r="T791" s="140"/>
      <c r="U791" s="140"/>
      <c r="V791" s="140"/>
      <c r="W791" s="140"/>
    </row>
    <row r="792">
      <c r="A792" s="140"/>
      <c r="B792" s="140"/>
      <c r="C792" s="140"/>
      <c r="D792" s="140"/>
      <c r="E792" s="140"/>
      <c r="F792" s="140"/>
      <c r="G792" s="140"/>
      <c r="H792" s="140"/>
      <c r="I792" s="140"/>
      <c r="J792" s="140"/>
      <c r="K792" s="455"/>
      <c r="L792" s="455"/>
      <c r="M792" s="140"/>
      <c r="N792" s="140"/>
      <c r="O792" s="140"/>
      <c r="P792" s="140"/>
      <c r="Q792" s="140"/>
      <c r="R792" s="140"/>
      <c r="S792" s="140"/>
      <c r="T792" s="140"/>
      <c r="U792" s="140"/>
      <c r="V792" s="140"/>
      <c r="W792" s="140"/>
    </row>
    <row r="793">
      <c r="A793" s="140"/>
      <c r="B793" s="140"/>
      <c r="C793" s="140"/>
      <c r="D793" s="140"/>
      <c r="E793" s="140"/>
      <c r="F793" s="140"/>
      <c r="G793" s="140"/>
      <c r="H793" s="140"/>
      <c r="I793" s="140"/>
      <c r="J793" s="140"/>
      <c r="K793" s="455"/>
      <c r="L793" s="455"/>
      <c r="M793" s="140"/>
      <c r="N793" s="140"/>
      <c r="O793" s="140"/>
      <c r="P793" s="140"/>
      <c r="Q793" s="140"/>
      <c r="R793" s="140"/>
      <c r="S793" s="140"/>
      <c r="T793" s="140"/>
      <c r="U793" s="140"/>
      <c r="V793" s="140"/>
      <c r="W793" s="140"/>
    </row>
    <row r="794">
      <c r="A794" s="140"/>
      <c r="B794" s="140"/>
      <c r="C794" s="140"/>
      <c r="D794" s="140"/>
      <c r="E794" s="140"/>
      <c r="F794" s="140"/>
      <c r="G794" s="140"/>
      <c r="H794" s="140"/>
      <c r="I794" s="140"/>
      <c r="J794" s="140"/>
      <c r="K794" s="455"/>
      <c r="L794" s="455"/>
      <c r="M794" s="140"/>
      <c r="N794" s="140"/>
      <c r="O794" s="140"/>
      <c r="P794" s="140"/>
      <c r="Q794" s="140"/>
      <c r="R794" s="140"/>
      <c r="S794" s="140"/>
      <c r="T794" s="140"/>
      <c r="U794" s="140"/>
      <c r="V794" s="140"/>
      <c r="W794" s="140"/>
    </row>
    <row r="795">
      <c r="A795" s="140"/>
      <c r="B795" s="140"/>
      <c r="C795" s="140"/>
      <c r="D795" s="140"/>
      <c r="E795" s="140"/>
      <c r="F795" s="140"/>
      <c r="G795" s="140"/>
      <c r="H795" s="140"/>
      <c r="I795" s="140"/>
      <c r="J795" s="140"/>
      <c r="K795" s="455"/>
      <c r="L795" s="455"/>
      <c r="M795" s="140"/>
      <c r="N795" s="140"/>
      <c r="O795" s="140"/>
      <c r="P795" s="140"/>
      <c r="Q795" s="140"/>
      <c r="R795" s="140"/>
      <c r="S795" s="140"/>
      <c r="T795" s="140"/>
      <c r="U795" s="140"/>
      <c r="V795" s="140"/>
      <c r="W795" s="140"/>
    </row>
    <row r="796">
      <c r="A796" s="140"/>
      <c r="B796" s="140"/>
      <c r="C796" s="140"/>
      <c r="D796" s="140"/>
      <c r="E796" s="140"/>
      <c r="F796" s="140"/>
      <c r="G796" s="140"/>
      <c r="H796" s="140"/>
      <c r="I796" s="140"/>
      <c r="J796" s="140"/>
      <c r="K796" s="455"/>
      <c r="L796" s="455"/>
      <c r="M796" s="140"/>
      <c r="N796" s="140"/>
      <c r="O796" s="140"/>
      <c r="P796" s="140"/>
      <c r="Q796" s="140"/>
      <c r="R796" s="140"/>
      <c r="S796" s="140"/>
      <c r="T796" s="140"/>
      <c r="U796" s="140"/>
      <c r="V796" s="140"/>
      <c r="W796" s="140"/>
    </row>
    <row r="797">
      <c r="A797" s="140"/>
      <c r="B797" s="140"/>
      <c r="C797" s="140"/>
      <c r="D797" s="140"/>
      <c r="E797" s="140"/>
      <c r="F797" s="140"/>
      <c r="G797" s="140"/>
      <c r="H797" s="140"/>
      <c r="I797" s="140"/>
      <c r="J797" s="140"/>
      <c r="K797" s="455"/>
      <c r="L797" s="455"/>
      <c r="M797" s="140"/>
      <c r="N797" s="140"/>
      <c r="O797" s="140"/>
      <c r="P797" s="140"/>
      <c r="Q797" s="140"/>
      <c r="R797" s="140"/>
      <c r="S797" s="140"/>
      <c r="T797" s="140"/>
      <c r="U797" s="140"/>
      <c r="V797" s="140"/>
      <c r="W797" s="140"/>
    </row>
    <row r="798">
      <c r="A798" s="140"/>
      <c r="B798" s="140"/>
      <c r="C798" s="140"/>
      <c r="D798" s="140"/>
      <c r="E798" s="140"/>
      <c r="F798" s="140"/>
      <c r="G798" s="140"/>
      <c r="H798" s="140"/>
      <c r="I798" s="140"/>
      <c r="J798" s="140"/>
      <c r="K798" s="455"/>
      <c r="L798" s="455"/>
      <c r="M798" s="140"/>
      <c r="N798" s="140"/>
      <c r="O798" s="140"/>
      <c r="P798" s="140"/>
      <c r="Q798" s="140"/>
      <c r="R798" s="140"/>
      <c r="S798" s="140"/>
      <c r="T798" s="140"/>
      <c r="U798" s="140"/>
      <c r="V798" s="140"/>
      <c r="W798" s="140"/>
    </row>
    <row r="799">
      <c r="A799" s="140"/>
      <c r="B799" s="140"/>
      <c r="C799" s="140"/>
      <c r="D799" s="140"/>
      <c r="E799" s="140"/>
      <c r="F799" s="140"/>
      <c r="G799" s="140"/>
      <c r="H799" s="140"/>
      <c r="I799" s="140"/>
      <c r="J799" s="140"/>
      <c r="K799" s="455"/>
      <c r="L799" s="455"/>
      <c r="M799" s="140"/>
      <c r="N799" s="140"/>
      <c r="O799" s="140"/>
      <c r="P799" s="140"/>
      <c r="Q799" s="140"/>
      <c r="R799" s="140"/>
      <c r="S799" s="140"/>
      <c r="T799" s="140"/>
      <c r="U799" s="140"/>
      <c r="V799" s="140"/>
      <c r="W799" s="140"/>
    </row>
    <row r="800">
      <c r="A800" s="140"/>
      <c r="B800" s="140"/>
      <c r="C800" s="140"/>
      <c r="D800" s="140"/>
      <c r="E800" s="140"/>
      <c r="F800" s="140"/>
      <c r="G800" s="140"/>
      <c r="H800" s="140"/>
      <c r="I800" s="140"/>
      <c r="J800" s="140"/>
      <c r="K800" s="455"/>
      <c r="L800" s="455"/>
      <c r="M800" s="140"/>
      <c r="N800" s="140"/>
      <c r="O800" s="140"/>
      <c r="P800" s="140"/>
      <c r="Q800" s="140"/>
      <c r="R800" s="140"/>
      <c r="S800" s="140"/>
      <c r="T800" s="140"/>
      <c r="U800" s="140"/>
      <c r="V800" s="140"/>
      <c r="W800" s="140"/>
    </row>
    <row r="801">
      <c r="A801" s="140"/>
      <c r="B801" s="140"/>
      <c r="C801" s="140"/>
      <c r="D801" s="140"/>
      <c r="E801" s="140"/>
      <c r="F801" s="140"/>
      <c r="G801" s="140"/>
      <c r="H801" s="140"/>
      <c r="I801" s="140"/>
      <c r="J801" s="140"/>
      <c r="K801" s="455"/>
      <c r="L801" s="455"/>
      <c r="M801" s="140"/>
      <c r="N801" s="140"/>
      <c r="O801" s="140"/>
      <c r="P801" s="140"/>
      <c r="Q801" s="140"/>
      <c r="R801" s="140"/>
      <c r="S801" s="140"/>
      <c r="T801" s="140"/>
      <c r="U801" s="140"/>
      <c r="V801" s="140"/>
      <c r="W801" s="140"/>
    </row>
    <row r="802">
      <c r="A802" s="140"/>
      <c r="B802" s="140"/>
      <c r="C802" s="140"/>
      <c r="D802" s="140"/>
      <c r="E802" s="140"/>
      <c r="F802" s="140"/>
      <c r="G802" s="140"/>
      <c r="H802" s="140"/>
      <c r="I802" s="140"/>
      <c r="J802" s="140"/>
      <c r="K802" s="455"/>
      <c r="L802" s="455"/>
      <c r="M802" s="140"/>
      <c r="N802" s="140"/>
      <c r="O802" s="140"/>
      <c r="P802" s="140"/>
      <c r="Q802" s="140"/>
      <c r="R802" s="140"/>
      <c r="S802" s="140"/>
      <c r="T802" s="140"/>
      <c r="U802" s="140"/>
      <c r="V802" s="140"/>
      <c r="W802" s="140"/>
    </row>
    <row r="803">
      <c r="A803" s="140"/>
      <c r="B803" s="140"/>
      <c r="C803" s="140"/>
      <c r="D803" s="140"/>
      <c r="E803" s="140"/>
      <c r="F803" s="140"/>
      <c r="G803" s="140"/>
      <c r="H803" s="140"/>
      <c r="I803" s="140"/>
      <c r="J803" s="140"/>
      <c r="K803" s="455"/>
      <c r="L803" s="455"/>
      <c r="M803" s="140"/>
      <c r="N803" s="140"/>
      <c r="O803" s="140"/>
      <c r="P803" s="140"/>
      <c r="Q803" s="140"/>
      <c r="R803" s="140"/>
      <c r="S803" s="140"/>
      <c r="T803" s="140"/>
      <c r="U803" s="140"/>
      <c r="V803" s="140"/>
      <c r="W803" s="140"/>
    </row>
    <row r="804">
      <c r="A804" s="140"/>
      <c r="B804" s="140"/>
      <c r="C804" s="140"/>
      <c r="D804" s="140"/>
      <c r="E804" s="140"/>
      <c r="F804" s="140"/>
      <c r="G804" s="140"/>
      <c r="H804" s="140"/>
      <c r="I804" s="140"/>
      <c r="J804" s="140"/>
      <c r="K804" s="455"/>
      <c r="L804" s="455"/>
      <c r="M804" s="140"/>
      <c r="N804" s="140"/>
      <c r="O804" s="140"/>
      <c r="P804" s="140"/>
      <c r="Q804" s="140"/>
      <c r="R804" s="140"/>
      <c r="S804" s="140"/>
      <c r="T804" s="140"/>
      <c r="U804" s="140"/>
      <c r="V804" s="140"/>
      <c r="W804" s="140"/>
    </row>
    <row r="805">
      <c r="A805" s="140"/>
      <c r="B805" s="140"/>
      <c r="C805" s="140"/>
      <c r="D805" s="140"/>
      <c r="E805" s="140"/>
      <c r="F805" s="140"/>
      <c r="G805" s="140"/>
      <c r="H805" s="140"/>
      <c r="I805" s="140"/>
      <c r="J805" s="140"/>
      <c r="K805" s="455"/>
      <c r="L805" s="455"/>
      <c r="M805" s="140"/>
      <c r="N805" s="140"/>
      <c r="O805" s="140"/>
      <c r="P805" s="140"/>
      <c r="Q805" s="140"/>
      <c r="R805" s="140"/>
      <c r="S805" s="140"/>
      <c r="T805" s="140"/>
      <c r="U805" s="140"/>
      <c r="V805" s="140"/>
      <c r="W805" s="140"/>
    </row>
    <row r="806">
      <c r="A806" s="140"/>
      <c r="B806" s="140"/>
      <c r="C806" s="140"/>
      <c r="D806" s="140"/>
      <c r="E806" s="140"/>
      <c r="F806" s="140"/>
      <c r="G806" s="140"/>
      <c r="H806" s="140"/>
      <c r="I806" s="140"/>
      <c r="J806" s="140"/>
      <c r="K806" s="455"/>
      <c r="L806" s="455"/>
      <c r="M806" s="140"/>
      <c r="N806" s="140"/>
      <c r="O806" s="140"/>
      <c r="P806" s="140"/>
      <c r="Q806" s="140"/>
      <c r="R806" s="140"/>
      <c r="S806" s="140"/>
      <c r="T806" s="140"/>
      <c r="U806" s="140"/>
      <c r="V806" s="140"/>
      <c r="W806" s="140"/>
    </row>
    <row r="807">
      <c r="A807" s="140"/>
      <c r="B807" s="140"/>
      <c r="C807" s="140"/>
      <c r="D807" s="140"/>
      <c r="E807" s="140"/>
      <c r="F807" s="140"/>
      <c r="G807" s="140"/>
      <c r="H807" s="140"/>
      <c r="I807" s="140"/>
      <c r="J807" s="140"/>
      <c r="K807" s="455"/>
      <c r="L807" s="455"/>
      <c r="M807" s="140"/>
      <c r="N807" s="140"/>
      <c r="O807" s="140"/>
      <c r="P807" s="140"/>
      <c r="Q807" s="140"/>
      <c r="R807" s="140"/>
      <c r="S807" s="140"/>
      <c r="T807" s="140"/>
      <c r="U807" s="140"/>
      <c r="V807" s="140"/>
      <c r="W807" s="140"/>
    </row>
    <row r="808">
      <c r="A808" s="140"/>
      <c r="B808" s="140"/>
      <c r="C808" s="140"/>
      <c r="D808" s="140"/>
      <c r="E808" s="140"/>
      <c r="F808" s="140"/>
      <c r="G808" s="140"/>
      <c r="H808" s="140"/>
      <c r="I808" s="140"/>
      <c r="J808" s="140"/>
      <c r="K808" s="455"/>
      <c r="L808" s="455"/>
      <c r="M808" s="140"/>
      <c r="N808" s="140"/>
      <c r="O808" s="140"/>
      <c r="P808" s="140"/>
      <c r="Q808" s="140"/>
      <c r="R808" s="140"/>
      <c r="S808" s="140"/>
      <c r="T808" s="140"/>
      <c r="U808" s="140"/>
      <c r="V808" s="140"/>
      <c r="W808" s="140"/>
    </row>
    <row r="809">
      <c r="A809" s="140"/>
      <c r="B809" s="140"/>
      <c r="C809" s="140"/>
      <c r="D809" s="140"/>
      <c r="E809" s="140"/>
      <c r="F809" s="140"/>
      <c r="G809" s="140"/>
      <c r="H809" s="140"/>
      <c r="I809" s="140"/>
      <c r="J809" s="140"/>
      <c r="K809" s="455"/>
      <c r="L809" s="455"/>
      <c r="M809" s="140"/>
      <c r="N809" s="140"/>
      <c r="O809" s="140"/>
      <c r="P809" s="140"/>
      <c r="Q809" s="140"/>
      <c r="R809" s="140"/>
      <c r="S809" s="140"/>
      <c r="T809" s="140"/>
      <c r="U809" s="140"/>
      <c r="V809" s="140"/>
      <c r="W809" s="140"/>
    </row>
    <row r="810">
      <c r="A810" s="140"/>
      <c r="B810" s="140"/>
      <c r="C810" s="140"/>
      <c r="D810" s="140"/>
      <c r="E810" s="140"/>
      <c r="F810" s="140"/>
      <c r="G810" s="140"/>
      <c r="H810" s="140"/>
      <c r="I810" s="140"/>
      <c r="J810" s="140"/>
      <c r="K810" s="455"/>
      <c r="L810" s="455"/>
      <c r="M810" s="140"/>
      <c r="N810" s="140"/>
      <c r="O810" s="140"/>
      <c r="P810" s="140"/>
      <c r="Q810" s="140"/>
      <c r="R810" s="140"/>
      <c r="S810" s="140"/>
      <c r="T810" s="140"/>
      <c r="U810" s="140"/>
      <c r="V810" s="140"/>
      <c r="W810" s="140"/>
    </row>
    <row r="811">
      <c r="A811" s="140"/>
      <c r="B811" s="140"/>
      <c r="C811" s="140"/>
      <c r="D811" s="140"/>
      <c r="E811" s="140"/>
      <c r="F811" s="140"/>
      <c r="G811" s="140"/>
      <c r="H811" s="140"/>
      <c r="I811" s="140"/>
      <c r="J811" s="140"/>
      <c r="K811" s="455"/>
      <c r="L811" s="455"/>
      <c r="M811" s="140"/>
      <c r="N811" s="140"/>
      <c r="O811" s="140"/>
      <c r="P811" s="140"/>
      <c r="Q811" s="140"/>
      <c r="R811" s="140"/>
      <c r="S811" s="140"/>
      <c r="T811" s="140"/>
      <c r="U811" s="140"/>
      <c r="V811" s="140"/>
      <c r="W811" s="140"/>
    </row>
    <row r="812">
      <c r="A812" s="140"/>
      <c r="B812" s="140"/>
      <c r="C812" s="140"/>
      <c r="D812" s="140"/>
      <c r="E812" s="140"/>
      <c r="F812" s="140"/>
      <c r="G812" s="140"/>
      <c r="H812" s="140"/>
      <c r="I812" s="140"/>
      <c r="J812" s="140"/>
      <c r="K812" s="455"/>
      <c r="L812" s="455"/>
      <c r="M812" s="140"/>
      <c r="N812" s="140"/>
      <c r="O812" s="140"/>
      <c r="P812" s="140"/>
      <c r="Q812" s="140"/>
      <c r="R812" s="140"/>
      <c r="S812" s="140"/>
      <c r="T812" s="140"/>
      <c r="U812" s="140"/>
      <c r="V812" s="140"/>
      <c r="W812" s="140"/>
    </row>
    <row r="813">
      <c r="A813" s="140"/>
      <c r="B813" s="140"/>
      <c r="C813" s="140"/>
      <c r="D813" s="140"/>
      <c r="E813" s="140"/>
      <c r="F813" s="140"/>
      <c r="G813" s="140"/>
      <c r="H813" s="140"/>
      <c r="I813" s="140"/>
      <c r="J813" s="140"/>
      <c r="K813" s="455"/>
      <c r="L813" s="455"/>
      <c r="M813" s="140"/>
      <c r="N813" s="140"/>
      <c r="O813" s="140"/>
      <c r="P813" s="140"/>
      <c r="Q813" s="140"/>
      <c r="R813" s="140"/>
      <c r="S813" s="140"/>
      <c r="T813" s="140"/>
      <c r="U813" s="140"/>
      <c r="V813" s="140"/>
      <c r="W813" s="140"/>
    </row>
    <row r="814">
      <c r="A814" s="140"/>
      <c r="B814" s="140"/>
      <c r="C814" s="140"/>
      <c r="D814" s="140"/>
      <c r="E814" s="140"/>
      <c r="F814" s="140"/>
      <c r="G814" s="140"/>
      <c r="H814" s="140"/>
      <c r="I814" s="140"/>
      <c r="J814" s="140"/>
      <c r="K814" s="455"/>
      <c r="L814" s="455"/>
      <c r="M814" s="140"/>
      <c r="N814" s="140"/>
      <c r="O814" s="140"/>
      <c r="P814" s="140"/>
      <c r="Q814" s="140"/>
      <c r="R814" s="140"/>
      <c r="S814" s="140"/>
      <c r="T814" s="140"/>
      <c r="U814" s="140"/>
      <c r="V814" s="140"/>
      <c r="W814" s="140"/>
    </row>
    <row r="815">
      <c r="A815" s="140"/>
      <c r="B815" s="140"/>
      <c r="C815" s="140"/>
      <c r="D815" s="140"/>
      <c r="E815" s="140"/>
      <c r="F815" s="140"/>
      <c r="G815" s="140"/>
      <c r="H815" s="140"/>
      <c r="I815" s="140"/>
      <c r="J815" s="140"/>
      <c r="K815" s="455"/>
      <c r="L815" s="455"/>
      <c r="M815" s="140"/>
      <c r="N815" s="140"/>
      <c r="O815" s="140"/>
      <c r="P815" s="140"/>
      <c r="Q815" s="140"/>
      <c r="R815" s="140"/>
      <c r="S815" s="140"/>
      <c r="T815" s="140"/>
      <c r="U815" s="140"/>
      <c r="V815" s="140"/>
      <c r="W815" s="140"/>
    </row>
    <row r="816">
      <c r="A816" s="140"/>
      <c r="B816" s="140"/>
      <c r="C816" s="140"/>
      <c r="D816" s="140"/>
      <c r="E816" s="140"/>
      <c r="F816" s="140"/>
      <c r="G816" s="140"/>
      <c r="H816" s="140"/>
      <c r="I816" s="140"/>
      <c r="J816" s="140"/>
      <c r="K816" s="455"/>
      <c r="L816" s="455"/>
      <c r="M816" s="140"/>
      <c r="N816" s="140"/>
      <c r="O816" s="140"/>
      <c r="P816" s="140"/>
      <c r="Q816" s="140"/>
      <c r="R816" s="140"/>
      <c r="S816" s="140"/>
      <c r="T816" s="140"/>
      <c r="U816" s="140"/>
      <c r="V816" s="140"/>
      <c r="W816" s="140"/>
    </row>
    <row r="817">
      <c r="A817" s="140"/>
      <c r="B817" s="140"/>
      <c r="C817" s="140"/>
      <c r="D817" s="140"/>
      <c r="E817" s="140"/>
      <c r="F817" s="140"/>
      <c r="G817" s="140"/>
      <c r="H817" s="140"/>
      <c r="I817" s="140"/>
      <c r="J817" s="140"/>
      <c r="K817" s="455"/>
      <c r="L817" s="455"/>
      <c r="M817" s="140"/>
      <c r="N817" s="140"/>
      <c r="O817" s="140"/>
      <c r="P817" s="140"/>
      <c r="Q817" s="140"/>
      <c r="R817" s="140"/>
      <c r="S817" s="140"/>
      <c r="T817" s="140"/>
      <c r="U817" s="140"/>
      <c r="V817" s="140"/>
      <c r="W817" s="140"/>
    </row>
    <row r="818">
      <c r="A818" s="140"/>
      <c r="B818" s="140"/>
      <c r="C818" s="140"/>
      <c r="D818" s="140"/>
      <c r="E818" s="140"/>
      <c r="F818" s="140"/>
      <c r="G818" s="140"/>
      <c r="H818" s="140"/>
      <c r="I818" s="140"/>
      <c r="J818" s="140"/>
      <c r="K818" s="455"/>
      <c r="L818" s="455"/>
      <c r="M818" s="140"/>
      <c r="N818" s="140"/>
      <c r="O818" s="140"/>
      <c r="P818" s="140"/>
      <c r="Q818" s="140"/>
      <c r="R818" s="140"/>
      <c r="S818" s="140"/>
      <c r="T818" s="140"/>
      <c r="U818" s="140"/>
      <c r="V818" s="140"/>
      <c r="W818" s="140"/>
    </row>
    <row r="819">
      <c r="A819" s="140"/>
      <c r="B819" s="140"/>
      <c r="C819" s="140"/>
      <c r="D819" s="140"/>
      <c r="E819" s="140"/>
      <c r="F819" s="140"/>
      <c r="G819" s="140"/>
      <c r="H819" s="140"/>
      <c r="I819" s="140"/>
      <c r="J819" s="140"/>
      <c r="K819" s="455"/>
      <c r="L819" s="455"/>
      <c r="M819" s="140"/>
      <c r="N819" s="140"/>
      <c r="O819" s="140"/>
      <c r="P819" s="140"/>
      <c r="Q819" s="140"/>
      <c r="R819" s="140"/>
      <c r="S819" s="140"/>
      <c r="T819" s="140"/>
      <c r="U819" s="140"/>
      <c r="V819" s="140"/>
      <c r="W819" s="140"/>
    </row>
    <row r="820">
      <c r="A820" s="140"/>
      <c r="B820" s="140"/>
      <c r="C820" s="140"/>
      <c r="D820" s="140"/>
      <c r="E820" s="140"/>
      <c r="F820" s="140"/>
      <c r="G820" s="140"/>
      <c r="H820" s="140"/>
      <c r="I820" s="140"/>
      <c r="J820" s="140"/>
      <c r="K820" s="455"/>
      <c r="L820" s="455"/>
      <c r="M820" s="140"/>
      <c r="N820" s="140"/>
      <c r="O820" s="140"/>
      <c r="P820" s="140"/>
      <c r="Q820" s="140"/>
      <c r="R820" s="140"/>
      <c r="S820" s="140"/>
      <c r="T820" s="140"/>
      <c r="U820" s="140"/>
      <c r="V820" s="140"/>
      <c r="W820" s="140"/>
    </row>
    <row r="821">
      <c r="A821" s="140"/>
      <c r="B821" s="140"/>
      <c r="C821" s="140"/>
      <c r="D821" s="140"/>
      <c r="E821" s="140"/>
      <c r="F821" s="140"/>
      <c r="G821" s="140"/>
      <c r="H821" s="140"/>
      <c r="I821" s="140"/>
      <c r="J821" s="140"/>
      <c r="K821" s="455"/>
      <c r="L821" s="455"/>
      <c r="M821" s="140"/>
      <c r="N821" s="140"/>
      <c r="O821" s="140"/>
      <c r="P821" s="140"/>
      <c r="Q821" s="140"/>
      <c r="R821" s="140"/>
      <c r="S821" s="140"/>
      <c r="T821" s="140"/>
      <c r="U821" s="140"/>
      <c r="V821" s="140"/>
      <c r="W821" s="140"/>
    </row>
    <row r="822">
      <c r="A822" s="140"/>
      <c r="B822" s="140"/>
      <c r="C822" s="140"/>
      <c r="D822" s="140"/>
      <c r="E822" s="140"/>
      <c r="F822" s="140"/>
      <c r="G822" s="140"/>
      <c r="H822" s="140"/>
      <c r="I822" s="140"/>
      <c r="J822" s="140"/>
      <c r="K822" s="455"/>
      <c r="L822" s="455"/>
      <c r="M822" s="140"/>
      <c r="N822" s="140"/>
      <c r="O822" s="140"/>
      <c r="P822" s="140"/>
      <c r="Q822" s="140"/>
      <c r="R822" s="140"/>
      <c r="S822" s="140"/>
      <c r="T822" s="140"/>
      <c r="U822" s="140"/>
      <c r="V822" s="140"/>
      <c r="W822" s="140"/>
    </row>
    <row r="823">
      <c r="A823" s="140"/>
      <c r="B823" s="140"/>
      <c r="C823" s="140"/>
      <c r="D823" s="140"/>
      <c r="E823" s="140"/>
      <c r="F823" s="140"/>
      <c r="G823" s="140"/>
      <c r="H823" s="140"/>
      <c r="I823" s="140"/>
      <c r="J823" s="140"/>
      <c r="K823" s="455"/>
      <c r="L823" s="455"/>
      <c r="M823" s="140"/>
      <c r="N823" s="140"/>
      <c r="O823" s="140"/>
      <c r="P823" s="140"/>
      <c r="Q823" s="140"/>
      <c r="R823" s="140"/>
      <c r="S823" s="140"/>
      <c r="T823" s="140"/>
      <c r="U823" s="140"/>
      <c r="V823" s="140"/>
      <c r="W823" s="140"/>
    </row>
    <row r="824">
      <c r="A824" s="140"/>
      <c r="B824" s="140"/>
      <c r="C824" s="140"/>
      <c r="D824" s="140"/>
      <c r="E824" s="140"/>
      <c r="F824" s="140"/>
      <c r="G824" s="140"/>
      <c r="H824" s="140"/>
      <c r="I824" s="140"/>
      <c r="J824" s="140"/>
      <c r="K824" s="455"/>
      <c r="L824" s="455"/>
      <c r="M824" s="140"/>
      <c r="N824" s="140"/>
      <c r="O824" s="140"/>
      <c r="P824" s="140"/>
      <c r="Q824" s="140"/>
      <c r="R824" s="140"/>
      <c r="S824" s="140"/>
      <c r="T824" s="140"/>
      <c r="U824" s="140"/>
      <c r="V824" s="140"/>
      <c r="W824" s="140"/>
    </row>
    <row r="825">
      <c r="A825" s="140"/>
      <c r="B825" s="140"/>
      <c r="C825" s="140"/>
      <c r="D825" s="140"/>
      <c r="E825" s="140"/>
      <c r="F825" s="140"/>
      <c r="G825" s="140"/>
      <c r="H825" s="140"/>
      <c r="I825" s="140"/>
      <c r="J825" s="140"/>
      <c r="K825" s="455"/>
      <c r="L825" s="455"/>
      <c r="M825" s="140"/>
      <c r="N825" s="140"/>
      <c r="O825" s="140"/>
      <c r="P825" s="140"/>
      <c r="Q825" s="140"/>
      <c r="R825" s="140"/>
      <c r="S825" s="140"/>
      <c r="T825" s="140"/>
      <c r="U825" s="140"/>
      <c r="V825" s="140"/>
      <c r="W825" s="140"/>
    </row>
    <row r="826">
      <c r="A826" s="140"/>
      <c r="B826" s="140"/>
      <c r="C826" s="140"/>
      <c r="D826" s="140"/>
      <c r="E826" s="140"/>
      <c r="F826" s="140"/>
      <c r="G826" s="140"/>
      <c r="H826" s="140"/>
      <c r="I826" s="140"/>
      <c r="J826" s="140"/>
      <c r="K826" s="455"/>
      <c r="L826" s="455"/>
      <c r="M826" s="140"/>
      <c r="N826" s="140"/>
      <c r="O826" s="140"/>
      <c r="P826" s="140"/>
      <c r="Q826" s="140"/>
      <c r="R826" s="140"/>
      <c r="S826" s="140"/>
      <c r="T826" s="140"/>
      <c r="U826" s="140"/>
      <c r="V826" s="140"/>
      <c r="W826" s="140"/>
    </row>
    <row r="827">
      <c r="A827" s="140"/>
      <c r="B827" s="140"/>
      <c r="C827" s="140"/>
      <c r="D827" s="140"/>
      <c r="E827" s="140"/>
      <c r="F827" s="140"/>
      <c r="G827" s="140"/>
      <c r="H827" s="140"/>
      <c r="I827" s="140"/>
      <c r="J827" s="140"/>
      <c r="K827" s="455"/>
      <c r="L827" s="455"/>
      <c r="M827" s="140"/>
      <c r="N827" s="140"/>
      <c r="O827" s="140"/>
      <c r="P827" s="140"/>
      <c r="Q827" s="140"/>
      <c r="R827" s="140"/>
      <c r="S827" s="140"/>
      <c r="T827" s="140"/>
      <c r="U827" s="140"/>
      <c r="V827" s="140"/>
      <c r="W827" s="140"/>
    </row>
    <row r="828">
      <c r="A828" s="140"/>
      <c r="B828" s="140"/>
      <c r="C828" s="140"/>
      <c r="D828" s="140"/>
      <c r="E828" s="140"/>
      <c r="F828" s="140"/>
      <c r="G828" s="140"/>
      <c r="H828" s="140"/>
      <c r="I828" s="140"/>
      <c r="J828" s="140"/>
      <c r="K828" s="455"/>
      <c r="L828" s="455"/>
      <c r="M828" s="140"/>
      <c r="N828" s="140"/>
      <c r="O828" s="140"/>
      <c r="P828" s="140"/>
      <c r="Q828" s="140"/>
      <c r="R828" s="140"/>
      <c r="S828" s="140"/>
      <c r="T828" s="140"/>
      <c r="U828" s="140"/>
      <c r="V828" s="140"/>
      <c r="W828" s="140"/>
    </row>
    <row r="829">
      <c r="A829" s="140"/>
      <c r="B829" s="140"/>
      <c r="C829" s="140"/>
      <c r="D829" s="140"/>
      <c r="E829" s="140"/>
      <c r="F829" s="140"/>
      <c r="G829" s="140"/>
      <c r="H829" s="140"/>
      <c r="I829" s="140"/>
      <c r="J829" s="140"/>
      <c r="K829" s="455"/>
      <c r="L829" s="455"/>
      <c r="M829" s="140"/>
      <c r="N829" s="140"/>
      <c r="O829" s="140"/>
      <c r="P829" s="140"/>
      <c r="Q829" s="140"/>
      <c r="R829" s="140"/>
      <c r="S829" s="140"/>
      <c r="T829" s="140"/>
      <c r="U829" s="140"/>
      <c r="V829" s="140"/>
      <c r="W829" s="140"/>
    </row>
    <row r="830">
      <c r="A830" s="140"/>
      <c r="B830" s="140"/>
      <c r="C830" s="140"/>
      <c r="D830" s="140"/>
      <c r="E830" s="140"/>
      <c r="F830" s="140"/>
      <c r="G830" s="140"/>
      <c r="H830" s="140"/>
      <c r="I830" s="140"/>
      <c r="J830" s="140"/>
      <c r="K830" s="455"/>
      <c r="L830" s="455"/>
      <c r="M830" s="140"/>
      <c r="N830" s="140"/>
      <c r="O830" s="140"/>
      <c r="P830" s="140"/>
      <c r="Q830" s="140"/>
      <c r="R830" s="140"/>
      <c r="S830" s="140"/>
      <c r="T830" s="140"/>
      <c r="U830" s="140"/>
      <c r="V830" s="140"/>
      <c r="W830" s="140"/>
    </row>
    <row r="831">
      <c r="A831" s="140"/>
      <c r="B831" s="140"/>
      <c r="C831" s="140"/>
      <c r="D831" s="140"/>
      <c r="E831" s="140"/>
      <c r="F831" s="140"/>
      <c r="G831" s="140"/>
      <c r="H831" s="140"/>
      <c r="I831" s="140"/>
      <c r="J831" s="140"/>
      <c r="K831" s="455"/>
      <c r="L831" s="455"/>
      <c r="M831" s="140"/>
      <c r="N831" s="140"/>
      <c r="O831" s="140"/>
      <c r="P831" s="140"/>
      <c r="Q831" s="140"/>
      <c r="R831" s="140"/>
      <c r="S831" s="140"/>
      <c r="T831" s="140"/>
      <c r="U831" s="140"/>
      <c r="V831" s="140"/>
      <c r="W831" s="140"/>
    </row>
    <row r="832">
      <c r="A832" s="140"/>
      <c r="B832" s="140"/>
      <c r="C832" s="140"/>
      <c r="D832" s="140"/>
      <c r="E832" s="140"/>
      <c r="F832" s="140"/>
      <c r="G832" s="140"/>
      <c r="H832" s="140"/>
      <c r="I832" s="140"/>
      <c r="J832" s="140"/>
      <c r="K832" s="455"/>
      <c r="L832" s="455"/>
      <c r="M832" s="140"/>
      <c r="N832" s="140"/>
      <c r="O832" s="140"/>
      <c r="P832" s="140"/>
      <c r="Q832" s="140"/>
      <c r="R832" s="140"/>
      <c r="S832" s="140"/>
      <c r="T832" s="140"/>
      <c r="U832" s="140"/>
      <c r="V832" s="140"/>
      <c r="W832" s="140"/>
    </row>
    <row r="833">
      <c r="A833" s="140"/>
      <c r="B833" s="140"/>
      <c r="C833" s="140"/>
      <c r="D833" s="140"/>
      <c r="E833" s="140"/>
      <c r="F833" s="140"/>
      <c r="G833" s="140"/>
      <c r="H833" s="140"/>
      <c r="I833" s="140"/>
      <c r="J833" s="140"/>
      <c r="K833" s="455"/>
      <c r="L833" s="455"/>
      <c r="M833" s="140"/>
      <c r="N833" s="140"/>
      <c r="O833" s="140"/>
      <c r="P833" s="140"/>
      <c r="Q833" s="140"/>
      <c r="R833" s="140"/>
      <c r="S833" s="140"/>
      <c r="T833" s="140"/>
      <c r="U833" s="140"/>
      <c r="V833" s="140"/>
      <c r="W833" s="140"/>
    </row>
    <row r="834">
      <c r="A834" s="140"/>
      <c r="B834" s="140"/>
      <c r="C834" s="140"/>
      <c r="D834" s="140"/>
      <c r="E834" s="140"/>
      <c r="F834" s="140"/>
      <c r="G834" s="140"/>
      <c r="H834" s="140"/>
      <c r="I834" s="140"/>
      <c r="J834" s="140"/>
      <c r="K834" s="455"/>
      <c r="L834" s="455"/>
      <c r="M834" s="140"/>
      <c r="N834" s="140"/>
      <c r="O834" s="140"/>
      <c r="P834" s="140"/>
      <c r="Q834" s="140"/>
      <c r="R834" s="140"/>
      <c r="S834" s="140"/>
      <c r="T834" s="140"/>
      <c r="U834" s="140"/>
      <c r="V834" s="140"/>
      <c r="W834" s="140"/>
    </row>
    <row r="835">
      <c r="A835" s="140"/>
      <c r="B835" s="140"/>
      <c r="C835" s="140"/>
      <c r="D835" s="140"/>
      <c r="E835" s="140"/>
      <c r="F835" s="140"/>
      <c r="G835" s="140"/>
      <c r="H835" s="140"/>
      <c r="I835" s="140"/>
      <c r="J835" s="140"/>
      <c r="K835" s="455"/>
      <c r="L835" s="455"/>
      <c r="M835" s="140"/>
      <c r="N835" s="140"/>
      <c r="O835" s="140"/>
      <c r="P835" s="140"/>
      <c r="Q835" s="140"/>
      <c r="R835" s="140"/>
      <c r="S835" s="140"/>
      <c r="T835" s="140"/>
      <c r="U835" s="140"/>
      <c r="V835" s="140"/>
      <c r="W835" s="140"/>
    </row>
    <row r="836">
      <c r="A836" s="140"/>
      <c r="B836" s="140"/>
      <c r="C836" s="140"/>
      <c r="D836" s="140"/>
      <c r="E836" s="140"/>
      <c r="F836" s="140"/>
      <c r="G836" s="140"/>
      <c r="H836" s="140"/>
      <c r="I836" s="140"/>
      <c r="J836" s="140"/>
      <c r="K836" s="455"/>
      <c r="L836" s="455"/>
      <c r="M836" s="140"/>
      <c r="N836" s="140"/>
      <c r="O836" s="140"/>
      <c r="P836" s="140"/>
      <c r="Q836" s="140"/>
      <c r="R836" s="140"/>
      <c r="S836" s="140"/>
      <c r="T836" s="140"/>
      <c r="U836" s="140"/>
      <c r="V836" s="140"/>
      <c r="W836" s="140"/>
    </row>
    <row r="837">
      <c r="A837" s="140"/>
      <c r="B837" s="140"/>
      <c r="C837" s="140"/>
      <c r="D837" s="140"/>
      <c r="E837" s="140"/>
      <c r="F837" s="140"/>
      <c r="G837" s="140"/>
      <c r="H837" s="140"/>
      <c r="I837" s="140"/>
      <c r="J837" s="140"/>
      <c r="K837" s="455"/>
      <c r="L837" s="455"/>
      <c r="M837" s="140"/>
      <c r="N837" s="140"/>
      <c r="O837" s="140"/>
      <c r="P837" s="140"/>
      <c r="Q837" s="140"/>
      <c r="R837" s="140"/>
      <c r="S837" s="140"/>
      <c r="T837" s="140"/>
      <c r="U837" s="140"/>
      <c r="V837" s="140"/>
      <c r="W837" s="140"/>
    </row>
    <row r="838">
      <c r="A838" s="140"/>
      <c r="B838" s="140"/>
      <c r="C838" s="140"/>
      <c r="D838" s="140"/>
      <c r="E838" s="140"/>
      <c r="F838" s="140"/>
      <c r="G838" s="140"/>
      <c r="H838" s="140"/>
      <c r="I838" s="140"/>
      <c r="J838" s="140"/>
      <c r="K838" s="455"/>
      <c r="L838" s="455"/>
      <c r="M838" s="140"/>
      <c r="N838" s="140"/>
      <c r="O838" s="140"/>
      <c r="P838" s="140"/>
      <c r="Q838" s="140"/>
      <c r="R838" s="140"/>
      <c r="S838" s="140"/>
      <c r="T838" s="140"/>
      <c r="U838" s="140"/>
      <c r="V838" s="140"/>
      <c r="W838" s="140"/>
    </row>
    <row r="839">
      <c r="A839" s="140"/>
      <c r="B839" s="140"/>
      <c r="C839" s="140"/>
      <c r="D839" s="140"/>
      <c r="E839" s="140"/>
      <c r="F839" s="140"/>
      <c r="G839" s="140"/>
      <c r="H839" s="140"/>
      <c r="I839" s="140"/>
      <c r="J839" s="140"/>
      <c r="K839" s="455"/>
      <c r="L839" s="455"/>
      <c r="M839" s="140"/>
      <c r="N839" s="140"/>
      <c r="O839" s="140"/>
      <c r="P839" s="140"/>
      <c r="Q839" s="140"/>
      <c r="R839" s="140"/>
      <c r="S839" s="140"/>
      <c r="T839" s="140"/>
      <c r="U839" s="140"/>
      <c r="V839" s="140"/>
      <c r="W839" s="140"/>
    </row>
    <row r="840">
      <c r="A840" s="140"/>
      <c r="B840" s="140"/>
      <c r="C840" s="140"/>
      <c r="D840" s="140"/>
      <c r="E840" s="140"/>
      <c r="F840" s="140"/>
      <c r="G840" s="140"/>
      <c r="H840" s="140"/>
      <c r="I840" s="140"/>
      <c r="J840" s="140"/>
      <c r="K840" s="455"/>
      <c r="L840" s="455"/>
      <c r="M840" s="140"/>
      <c r="N840" s="140"/>
      <c r="O840" s="140"/>
      <c r="P840" s="140"/>
      <c r="Q840" s="140"/>
      <c r="R840" s="140"/>
      <c r="S840" s="140"/>
      <c r="T840" s="140"/>
      <c r="U840" s="140"/>
      <c r="V840" s="140"/>
      <c r="W840" s="140"/>
    </row>
    <row r="841">
      <c r="A841" s="140"/>
      <c r="B841" s="140"/>
      <c r="C841" s="140"/>
      <c r="D841" s="140"/>
      <c r="E841" s="140"/>
      <c r="F841" s="140"/>
      <c r="G841" s="140"/>
      <c r="H841" s="140"/>
      <c r="I841" s="140"/>
      <c r="J841" s="140"/>
      <c r="K841" s="455"/>
      <c r="L841" s="455"/>
      <c r="M841" s="140"/>
      <c r="N841" s="140"/>
      <c r="O841" s="140"/>
      <c r="P841" s="140"/>
      <c r="Q841" s="140"/>
      <c r="R841" s="140"/>
      <c r="S841" s="140"/>
      <c r="T841" s="140"/>
      <c r="U841" s="140"/>
      <c r="V841" s="140"/>
      <c r="W841" s="140"/>
    </row>
    <row r="842">
      <c r="A842" s="140"/>
      <c r="B842" s="140"/>
      <c r="C842" s="140"/>
      <c r="D842" s="140"/>
      <c r="E842" s="140"/>
      <c r="F842" s="140"/>
      <c r="G842" s="140"/>
      <c r="H842" s="140"/>
      <c r="I842" s="140"/>
      <c r="J842" s="140"/>
      <c r="K842" s="455"/>
      <c r="L842" s="455"/>
      <c r="M842" s="140"/>
      <c r="N842" s="140"/>
      <c r="O842" s="140"/>
      <c r="P842" s="140"/>
      <c r="Q842" s="140"/>
      <c r="R842" s="140"/>
      <c r="S842" s="140"/>
      <c r="T842" s="140"/>
      <c r="U842" s="140"/>
      <c r="V842" s="140"/>
      <c r="W842" s="140"/>
    </row>
    <row r="843">
      <c r="A843" s="140"/>
      <c r="B843" s="140"/>
      <c r="C843" s="140"/>
      <c r="D843" s="140"/>
      <c r="E843" s="140"/>
      <c r="F843" s="140"/>
      <c r="G843" s="140"/>
      <c r="H843" s="140"/>
      <c r="I843" s="140"/>
      <c r="J843" s="140"/>
      <c r="K843" s="455"/>
      <c r="L843" s="455"/>
      <c r="M843" s="140"/>
      <c r="N843" s="140"/>
      <c r="O843" s="140"/>
      <c r="P843" s="140"/>
      <c r="Q843" s="140"/>
      <c r="R843" s="140"/>
      <c r="S843" s="140"/>
      <c r="T843" s="140"/>
      <c r="U843" s="140"/>
      <c r="V843" s="140"/>
      <c r="W843" s="140"/>
    </row>
    <row r="844">
      <c r="A844" s="140"/>
      <c r="B844" s="140"/>
      <c r="C844" s="140"/>
      <c r="D844" s="140"/>
      <c r="E844" s="140"/>
      <c r="F844" s="140"/>
      <c r="G844" s="140"/>
      <c r="H844" s="140"/>
      <c r="I844" s="140"/>
      <c r="J844" s="140"/>
      <c r="K844" s="455"/>
      <c r="L844" s="455"/>
      <c r="M844" s="140"/>
      <c r="N844" s="140"/>
      <c r="O844" s="140"/>
      <c r="P844" s="140"/>
      <c r="Q844" s="140"/>
      <c r="R844" s="140"/>
      <c r="S844" s="140"/>
      <c r="T844" s="140"/>
      <c r="U844" s="140"/>
      <c r="V844" s="140"/>
      <c r="W844" s="140"/>
    </row>
    <row r="845">
      <c r="A845" s="140"/>
      <c r="B845" s="140"/>
      <c r="C845" s="140"/>
      <c r="D845" s="140"/>
      <c r="E845" s="140"/>
      <c r="F845" s="140"/>
      <c r="G845" s="140"/>
      <c r="H845" s="140"/>
      <c r="I845" s="140"/>
      <c r="J845" s="140"/>
      <c r="K845" s="455"/>
      <c r="L845" s="455"/>
      <c r="M845" s="140"/>
      <c r="N845" s="140"/>
      <c r="O845" s="140"/>
      <c r="P845" s="140"/>
      <c r="Q845" s="140"/>
      <c r="R845" s="140"/>
      <c r="S845" s="140"/>
      <c r="T845" s="140"/>
      <c r="U845" s="140"/>
      <c r="V845" s="140"/>
      <c r="W845" s="140"/>
    </row>
    <row r="846">
      <c r="A846" s="140"/>
      <c r="B846" s="140"/>
      <c r="C846" s="140"/>
      <c r="D846" s="140"/>
      <c r="E846" s="140"/>
      <c r="F846" s="140"/>
      <c r="G846" s="140"/>
      <c r="H846" s="140"/>
      <c r="I846" s="140"/>
      <c r="J846" s="140"/>
      <c r="K846" s="455"/>
      <c r="L846" s="455"/>
      <c r="M846" s="140"/>
      <c r="N846" s="140"/>
      <c r="O846" s="140"/>
      <c r="P846" s="140"/>
      <c r="Q846" s="140"/>
      <c r="R846" s="140"/>
      <c r="S846" s="140"/>
      <c r="T846" s="140"/>
      <c r="U846" s="140"/>
      <c r="V846" s="140"/>
      <c r="W846" s="140"/>
    </row>
    <row r="847">
      <c r="A847" s="140"/>
      <c r="B847" s="140"/>
      <c r="C847" s="140"/>
      <c r="D847" s="140"/>
      <c r="E847" s="140"/>
      <c r="F847" s="140"/>
      <c r="G847" s="140"/>
      <c r="H847" s="140"/>
      <c r="I847" s="140"/>
      <c r="J847" s="140"/>
      <c r="K847" s="455"/>
      <c r="L847" s="455"/>
      <c r="M847" s="140"/>
      <c r="N847" s="140"/>
      <c r="O847" s="140"/>
      <c r="P847" s="140"/>
      <c r="Q847" s="140"/>
      <c r="R847" s="140"/>
      <c r="S847" s="140"/>
      <c r="T847" s="140"/>
      <c r="U847" s="140"/>
      <c r="V847" s="140"/>
      <c r="W847" s="140"/>
    </row>
    <row r="848">
      <c r="A848" s="140"/>
      <c r="B848" s="140"/>
      <c r="C848" s="140"/>
      <c r="D848" s="140"/>
      <c r="E848" s="140"/>
      <c r="F848" s="140"/>
      <c r="G848" s="140"/>
      <c r="H848" s="140"/>
      <c r="I848" s="140"/>
      <c r="J848" s="140"/>
      <c r="K848" s="455"/>
      <c r="L848" s="455"/>
      <c r="M848" s="140"/>
      <c r="N848" s="140"/>
      <c r="O848" s="140"/>
      <c r="P848" s="140"/>
      <c r="Q848" s="140"/>
      <c r="R848" s="140"/>
      <c r="S848" s="140"/>
      <c r="T848" s="140"/>
      <c r="U848" s="140"/>
      <c r="V848" s="140"/>
      <c r="W848" s="140"/>
    </row>
    <row r="849">
      <c r="A849" s="140"/>
      <c r="B849" s="140"/>
      <c r="C849" s="140"/>
      <c r="D849" s="140"/>
      <c r="E849" s="140"/>
      <c r="F849" s="140"/>
      <c r="G849" s="140"/>
      <c r="H849" s="140"/>
      <c r="I849" s="140"/>
      <c r="J849" s="140"/>
      <c r="K849" s="455"/>
      <c r="L849" s="455"/>
      <c r="M849" s="140"/>
      <c r="N849" s="140"/>
      <c r="O849" s="140"/>
      <c r="P849" s="140"/>
      <c r="Q849" s="140"/>
      <c r="R849" s="140"/>
      <c r="S849" s="140"/>
      <c r="T849" s="140"/>
      <c r="U849" s="140"/>
      <c r="V849" s="140"/>
      <c r="W849" s="140"/>
    </row>
    <row r="850">
      <c r="A850" s="140"/>
      <c r="B850" s="140"/>
      <c r="C850" s="140"/>
      <c r="D850" s="140"/>
      <c r="E850" s="140"/>
      <c r="F850" s="140"/>
      <c r="G850" s="140"/>
      <c r="H850" s="140"/>
      <c r="I850" s="140"/>
      <c r="J850" s="140"/>
      <c r="K850" s="455"/>
      <c r="L850" s="455"/>
      <c r="M850" s="140"/>
      <c r="N850" s="140"/>
      <c r="O850" s="140"/>
      <c r="P850" s="140"/>
      <c r="Q850" s="140"/>
      <c r="R850" s="140"/>
      <c r="S850" s="140"/>
      <c r="T850" s="140"/>
      <c r="U850" s="140"/>
      <c r="V850" s="140"/>
      <c r="W850" s="140"/>
    </row>
    <row r="851">
      <c r="A851" s="140"/>
      <c r="B851" s="140"/>
      <c r="C851" s="140"/>
      <c r="D851" s="140"/>
      <c r="E851" s="140"/>
      <c r="F851" s="140"/>
      <c r="G851" s="140"/>
      <c r="H851" s="140"/>
      <c r="I851" s="140"/>
      <c r="J851" s="140"/>
      <c r="K851" s="455"/>
      <c r="L851" s="455"/>
      <c r="M851" s="140"/>
      <c r="N851" s="140"/>
      <c r="O851" s="140"/>
      <c r="P851" s="140"/>
      <c r="Q851" s="140"/>
      <c r="R851" s="140"/>
      <c r="S851" s="140"/>
      <c r="T851" s="140"/>
      <c r="U851" s="140"/>
      <c r="V851" s="140"/>
      <c r="W851" s="140"/>
    </row>
    <row r="852">
      <c r="A852" s="140"/>
      <c r="B852" s="140"/>
      <c r="C852" s="140"/>
      <c r="D852" s="140"/>
      <c r="E852" s="140"/>
      <c r="F852" s="140"/>
      <c r="G852" s="140"/>
      <c r="H852" s="140"/>
      <c r="I852" s="140"/>
      <c r="J852" s="140"/>
      <c r="K852" s="455"/>
      <c r="L852" s="455"/>
      <c r="M852" s="140"/>
      <c r="N852" s="140"/>
      <c r="O852" s="140"/>
      <c r="P852" s="140"/>
      <c r="Q852" s="140"/>
      <c r="R852" s="140"/>
      <c r="S852" s="140"/>
      <c r="T852" s="140"/>
      <c r="U852" s="140"/>
      <c r="V852" s="140"/>
      <c r="W852" s="140"/>
    </row>
    <row r="853">
      <c r="A853" s="140"/>
      <c r="B853" s="140"/>
      <c r="C853" s="140"/>
      <c r="D853" s="140"/>
      <c r="E853" s="140"/>
      <c r="F853" s="140"/>
      <c r="G853" s="140"/>
      <c r="H853" s="140"/>
      <c r="I853" s="140"/>
      <c r="J853" s="140"/>
      <c r="K853" s="455"/>
      <c r="L853" s="455"/>
      <c r="M853" s="140"/>
      <c r="N853" s="140"/>
      <c r="O853" s="140"/>
      <c r="P853" s="140"/>
      <c r="Q853" s="140"/>
      <c r="R853" s="140"/>
      <c r="S853" s="140"/>
      <c r="T853" s="140"/>
      <c r="U853" s="140"/>
      <c r="V853" s="140"/>
      <c r="W853" s="140"/>
    </row>
    <row r="854">
      <c r="A854" s="140"/>
      <c r="B854" s="140"/>
      <c r="C854" s="140"/>
      <c r="D854" s="140"/>
      <c r="E854" s="140"/>
      <c r="F854" s="140"/>
      <c r="G854" s="140"/>
      <c r="H854" s="140"/>
      <c r="I854" s="140"/>
      <c r="J854" s="140"/>
      <c r="K854" s="455"/>
      <c r="L854" s="455"/>
      <c r="M854" s="140"/>
      <c r="N854" s="140"/>
      <c r="O854" s="140"/>
      <c r="P854" s="140"/>
      <c r="Q854" s="140"/>
      <c r="R854" s="140"/>
      <c r="S854" s="140"/>
      <c r="T854" s="140"/>
      <c r="U854" s="140"/>
      <c r="V854" s="140"/>
      <c r="W854" s="140"/>
    </row>
    <row r="855">
      <c r="A855" s="140"/>
      <c r="B855" s="140"/>
      <c r="C855" s="140"/>
      <c r="D855" s="140"/>
      <c r="E855" s="140"/>
      <c r="F855" s="140"/>
      <c r="G855" s="140"/>
      <c r="H855" s="140"/>
      <c r="I855" s="140"/>
      <c r="J855" s="140"/>
      <c r="K855" s="455"/>
      <c r="L855" s="455"/>
      <c r="M855" s="140"/>
      <c r="N855" s="140"/>
      <c r="O855" s="140"/>
      <c r="P855" s="140"/>
      <c r="Q855" s="140"/>
      <c r="R855" s="140"/>
      <c r="S855" s="140"/>
      <c r="T855" s="140"/>
      <c r="U855" s="140"/>
      <c r="V855" s="140"/>
      <c r="W855" s="140"/>
    </row>
    <row r="856">
      <c r="A856" s="140"/>
      <c r="B856" s="140"/>
      <c r="C856" s="140"/>
      <c r="D856" s="140"/>
      <c r="E856" s="140"/>
      <c r="F856" s="140"/>
      <c r="G856" s="140"/>
      <c r="H856" s="140"/>
      <c r="I856" s="140"/>
      <c r="J856" s="140"/>
      <c r="K856" s="455"/>
      <c r="L856" s="455"/>
      <c r="M856" s="140"/>
      <c r="N856" s="140"/>
      <c r="O856" s="140"/>
      <c r="P856" s="140"/>
      <c r="Q856" s="140"/>
      <c r="R856" s="140"/>
      <c r="S856" s="140"/>
      <c r="T856" s="140"/>
      <c r="U856" s="140"/>
      <c r="V856" s="140"/>
      <c r="W856" s="140"/>
    </row>
    <row r="857">
      <c r="A857" s="140"/>
      <c r="B857" s="140"/>
      <c r="C857" s="140"/>
      <c r="D857" s="140"/>
      <c r="E857" s="140"/>
      <c r="F857" s="140"/>
      <c r="G857" s="140"/>
      <c r="H857" s="140"/>
      <c r="I857" s="140"/>
      <c r="J857" s="140"/>
      <c r="K857" s="455"/>
      <c r="L857" s="455"/>
      <c r="M857" s="140"/>
      <c r="N857" s="140"/>
      <c r="O857" s="140"/>
      <c r="P857" s="140"/>
      <c r="Q857" s="140"/>
      <c r="R857" s="140"/>
      <c r="S857" s="140"/>
      <c r="T857" s="140"/>
      <c r="U857" s="140"/>
      <c r="V857" s="140"/>
      <c r="W857" s="140"/>
    </row>
    <row r="858">
      <c r="A858" s="140"/>
      <c r="B858" s="140"/>
      <c r="C858" s="140"/>
      <c r="D858" s="140"/>
      <c r="E858" s="140"/>
      <c r="F858" s="140"/>
      <c r="G858" s="140"/>
      <c r="H858" s="140"/>
      <c r="I858" s="140"/>
      <c r="J858" s="140"/>
      <c r="K858" s="455"/>
      <c r="L858" s="455"/>
      <c r="M858" s="140"/>
      <c r="N858" s="140"/>
      <c r="O858" s="140"/>
      <c r="P858" s="140"/>
      <c r="Q858" s="140"/>
      <c r="R858" s="140"/>
      <c r="S858" s="140"/>
      <c r="T858" s="140"/>
      <c r="U858" s="140"/>
      <c r="V858" s="140"/>
      <c r="W858" s="140"/>
    </row>
    <row r="859">
      <c r="A859" s="140"/>
      <c r="B859" s="140"/>
      <c r="C859" s="140"/>
      <c r="D859" s="140"/>
      <c r="E859" s="140"/>
      <c r="F859" s="140"/>
      <c r="G859" s="140"/>
      <c r="H859" s="140"/>
      <c r="I859" s="140"/>
      <c r="J859" s="140"/>
      <c r="K859" s="455"/>
      <c r="L859" s="455"/>
      <c r="M859" s="140"/>
      <c r="N859" s="140"/>
      <c r="O859" s="140"/>
      <c r="P859" s="140"/>
      <c r="Q859" s="140"/>
      <c r="R859" s="140"/>
      <c r="S859" s="140"/>
      <c r="T859" s="140"/>
      <c r="U859" s="140"/>
      <c r="V859" s="140"/>
      <c r="W859" s="140"/>
    </row>
    <row r="860">
      <c r="A860" s="140"/>
      <c r="B860" s="140"/>
      <c r="C860" s="140"/>
      <c r="D860" s="140"/>
      <c r="E860" s="140"/>
      <c r="F860" s="140"/>
      <c r="G860" s="140"/>
      <c r="H860" s="140"/>
      <c r="I860" s="140"/>
      <c r="J860" s="140"/>
      <c r="K860" s="455"/>
      <c r="L860" s="455"/>
      <c r="M860" s="140"/>
      <c r="N860" s="140"/>
      <c r="O860" s="140"/>
      <c r="P860" s="140"/>
      <c r="Q860" s="140"/>
      <c r="R860" s="140"/>
      <c r="S860" s="140"/>
      <c r="T860" s="140"/>
      <c r="U860" s="140"/>
      <c r="V860" s="140"/>
      <c r="W860" s="140"/>
    </row>
    <row r="861">
      <c r="A861" s="140"/>
      <c r="B861" s="140"/>
      <c r="C861" s="140"/>
      <c r="D861" s="140"/>
      <c r="E861" s="140"/>
      <c r="F861" s="140"/>
      <c r="G861" s="140"/>
      <c r="H861" s="140"/>
      <c r="I861" s="140"/>
      <c r="J861" s="140"/>
      <c r="K861" s="455"/>
      <c r="L861" s="455"/>
      <c r="M861" s="140"/>
      <c r="N861" s="140"/>
      <c r="O861" s="140"/>
      <c r="P861" s="140"/>
      <c r="Q861" s="140"/>
      <c r="R861" s="140"/>
      <c r="S861" s="140"/>
      <c r="T861" s="140"/>
      <c r="U861" s="140"/>
      <c r="V861" s="140"/>
      <c r="W861" s="140"/>
    </row>
    <row r="862">
      <c r="A862" s="140"/>
      <c r="B862" s="140"/>
      <c r="C862" s="140"/>
      <c r="D862" s="140"/>
      <c r="E862" s="140"/>
      <c r="F862" s="140"/>
      <c r="G862" s="140"/>
      <c r="H862" s="140"/>
      <c r="I862" s="140"/>
      <c r="J862" s="140"/>
      <c r="K862" s="455"/>
      <c r="L862" s="455"/>
      <c r="M862" s="140"/>
      <c r="N862" s="140"/>
      <c r="O862" s="140"/>
      <c r="P862" s="140"/>
      <c r="Q862" s="140"/>
      <c r="R862" s="140"/>
      <c r="S862" s="140"/>
      <c r="T862" s="140"/>
      <c r="U862" s="140"/>
      <c r="V862" s="140"/>
      <c r="W862" s="140"/>
    </row>
    <row r="863">
      <c r="A863" s="140"/>
      <c r="B863" s="140"/>
      <c r="C863" s="140"/>
      <c r="D863" s="140"/>
      <c r="E863" s="140"/>
      <c r="F863" s="140"/>
      <c r="G863" s="140"/>
      <c r="H863" s="140"/>
      <c r="I863" s="140"/>
      <c r="J863" s="140"/>
      <c r="K863" s="455"/>
      <c r="L863" s="455"/>
      <c r="M863" s="140"/>
      <c r="N863" s="140"/>
      <c r="O863" s="140"/>
      <c r="P863" s="140"/>
      <c r="Q863" s="140"/>
      <c r="R863" s="140"/>
      <c r="S863" s="140"/>
      <c r="T863" s="140"/>
      <c r="U863" s="140"/>
      <c r="V863" s="140"/>
      <c r="W863" s="140"/>
    </row>
    <row r="864">
      <c r="A864" s="140"/>
      <c r="B864" s="140"/>
      <c r="C864" s="140"/>
      <c r="D864" s="140"/>
      <c r="E864" s="140"/>
      <c r="F864" s="140"/>
      <c r="G864" s="140"/>
      <c r="H864" s="140"/>
      <c r="I864" s="140"/>
      <c r="J864" s="140"/>
      <c r="K864" s="455"/>
      <c r="L864" s="455"/>
      <c r="M864" s="140"/>
      <c r="N864" s="140"/>
      <c r="O864" s="140"/>
      <c r="P864" s="140"/>
      <c r="Q864" s="140"/>
      <c r="R864" s="140"/>
      <c r="S864" s="140"/>
      <c r="T864" s="140"/>
      <c r="U864" s="140"/>
      <c r="V864" s="140"/>
      <c r="W864" s="140"/>
    </row>
    <row r="865">
      <c r="A865" s="140"/>
      <c r="B865" s="140"/>
      <c r="C865" s="140"/>
      <c r="D865" s="140"/>
      <c r="E865" s="140"/>
      <c r="F865" s="140"/>
      <c r="G865" s="140"/>
      <c r="H865" s="140"/>
      <c r="I865" s="140"/>
      <c r="J865" s="140"/>
      <c r="K865" s="455"/>
      <c r="L865" s="455"/>
      <c r="M865" s="140"/>
      <c r="N865" s="140"/>
      <c r="O865" s="140"/>
      <c r="P865" s="140"/>
      <c r="Q865" s="140"/>
      <c r="R865" s="140"/>
      <c r="S865" s="140"/>
      <c r="T865" s="140"/>
      <c r="U865" s="140"/>
      <c r="V865" s="140"/>
      <c r="W865" s="140"/>
    </row>
    <row r="866">
      <c r="A866" s="140"/>
      <c r="B866" s="140"/>
      <c r="C866" s="140"/>
      <c r="D866" s="140"/>
      <c r="E866" s="140"/>
      <c r="F866" s="140"/>
      <c r="G866" s="140"/>
      <c r="H866" s="140"/>
      <c r="I866" s="140"/>
      <c r="J866" s="140"/>
      <c r="K866" s="455"/>
      <c r="L866" s="455"/>
      <c r="M866" s="140"/>
      <c r="N866" s="140"/>
      <c r="O866" s="140"/>
      <c r="P866" s="140"/>
      <c r="Q866" s="140"/>
      <c r="R866" s="140"/>
      <c r="S866" s="140"/>
      <c r="T866" s="140"/>
      <c r="U866" s="140"/>
      <c r="V866" s="140"/>
      <c r="W866" s="140"/>
    </row>
    <row r="867">
      <c r="A867" s="140"/>
      <c r="B867" s="140"/>
      <c r="C867" s="140"/>
      <c r="D867" s="140"/>
      <c r="E867" s="140"/>
      <c r="F867" s="140"/>
      <c r="G867" s="140"/>
      <c r="H867" s="140"/>
      <c r="I867" s="140"/>
      <c r="J867" s="140"/>
      <c r="K867" s="455"/>
      <c r="L867" s="455"/>
      <c r="M867" s="140"/>
      <c r="N867" s="140"/>
      <c r="O867" s="140"/>
      <c r="P867" s="140"/>
      <c r="Q867" s="140"/>
      <c r="R867" s="140"/>
      <c r="S867" s="140"/>
      <c r="T867" s="140"/>
      <c r="U867" s="140"/>
      <c r="V867" s="140"/>
      <c r="W867" s="140"/>
    </row>
    <row r="868">
      <c r="A868" s="140"/>
      <c r="B868" s="140"/>
      <c r="C868" s="140"/>
      <c r="D868" s="140"/>
      <c r="E868" s="140"/>
      <c r="F868" s="140"/>
      <c r="G868" s="140"/>
      <c r="H868" s="140"/>
      <c r="I868" s="140"/>
      <c r="J868" s="140"/>
      <c r="K868" s="455"/>
      <c r="L868" s="455"/>
      <c r="M868" s="140"/>
      <c r="N868" s="140"/>
      <c r="O868" s="140"/>
      <c r="P868" s="140"/>
      <c r="Q868" s="140"/>
      <c r="R868" s="140"/>
      <c r="S868" s="140"/>
      <c r="T868" s="140"/>
      <c r="U868" s="140"/>
      <c r="V868" s="140"/>
      <c r="W868" s="140"/>
    </row>
    <row r="869">
      <c r="A869" s="140"/>
      <c r="B869" s="140"/>
      <c r="C869" s="140"/>
      <c r="D869" s="140"/>
      <c r="E869" s="140"/>
      <c r="F869" s="140"/>
      <c r="G869" s="140"/>
      <c r="H869" s="140"/>
      <c r="I869" s="140"/>
      <c r="J869" s="140"/>
      <c r="K869" s="455"/>
      <c r="L869" s="455"/>
      <c r="M869" s="140"/>
      <c r="N869" s="140"/>
      <c r="O869" s="140"/>
      <c r="P869" s="140"/>
      <c r="Q869" s="140"/>
      <c r="R869" s="140"/>
      <c r="S869" s="140"/>
      <c r="T869" s="140"/>
      <c r="U869" s="140"/>
      <c r="V869" s="140"/>
      <c r="W869" s="140"/>
    </row>
    <row r="870">
      <c r="A870" s="140"/>
      <c r="B870" s="140"/>
      <c r="C870" s="140"/>
      <c r="D870" s="140"/>
      <c r="E870" s="140"/>
      <c r="F870" s="140"/>
      <c r="G870" s="140"/>
      <c r="H870" s="140"/>
      <c r="I870" s="140"/>
      <c r="J870" s="140"/>
      <c r="K870" s="455"/>
      <c r="L870" s="455"/>
      <c r="M870" s="140"/>
      <c r="N870" s="140"/>
      <c r="O870" s="140"/>
      <c r="P870" s="140"/>
      <c r="Q870" s="140"/>
      <c r="R870" s="140"/>
      <c r="S870" s="140"/>
      <c r="T870" s="140"/>
      <c r="U870" s="140"/>
      <c r="V870" s="140"/>
      <c r="W870" s="140"/>
    </row>
    <row r="871">
      <c r="A871" s="140"/>
      <c r="B871" s="140"/>
      <c r="C871" s="140"/>
      <c r="D871" s="140"/>
      <c r="E871" s="140"/>
      <c r="F871" s="140"/>
      <c r="G871" s="140"/>
      <c r="H871" s="140"/>
      <c r="I871" s="140"/>
      <c r="J871" s="140"/>
      <c r="K871" s="455"/>
      <c r="L871" s="455"/>
      <c r="M871" s="140"/>
      <c r="N871" s="140"/>
      <c r="O871" s="140"/>
      <c r="P871" s="140"/>
      <c r="Q871" s="140"/>
      <c r="R871" s="140"/>
      <c r="S871" s="140"/>
      <c r="T871" s="140"/>
      <c r="U871" s="140"/>
      <c r="V871" s="140"/>
      <c r="W871" s="140"/>
    </row>
    <row r="872">
      <c r="A872" s="140"/>
      <c r="B872" s="140"/>
      <c r="C872" s="140"/>
      <c r="D872" s="140"/>
      <c r="E872" s="140"/>
      <c r="F872" s="140"/>
      <c r="G872" s="140"/>
      <c r="H872" s="140"/>
      <c r="I872" s="140"/>
      <c r="J872" s="140"/>
      <c r="K872" s="455"/>
      <c r="L872" s="455"/>
      <c r="M872" s="140"/>
      <c r="N872" s="140"/>
      <c r="O872" s="140"/>
      <c r="P872" s="140"/>
      <c r="Q872" s="140"/>
      <c r="R872" s="140"/>
      <c r="S872" s="140"/>
      <c r="T872" s="140"/>
      <c r="U872" s="140"/>
      <c r="V872" s="140"/>
      <c r="W872" s="140"/>
    </row>
    <row r="873">
      <c r="A873" s="140"/>
      <c r="B873" s="140"/>
      <c r="C873" s="140"/>
      <c r="D873" s="140"/>
      <c r="E873" s="140"/>
      <c r="F873" s="140"/>
      <c r="G873" s="140"/>
      <c r="H873" s="140"/>
      <c r="I873" s="140"/>
      <c r="J873" s="140"/>
      <c r="K873" s="455"/>
      <c r="L873" s="455"/>
      <c r="M873" s="140"/>
      <c r="N873" s="140"/>
      <c r="O873" s="140"/>
      <c r="P873" s="140"/>
      <c r="Q873" s="140"/>
      <c r="R873" s="140"/>
      <c r="S873" s="140"/>
      <c r="T873" s="140"/>
      <c r="U873" s="140"/>
      <c r="V873" s="140"/>
      <c r="W873" s="140"/>
    </row>
    <row r="874">
      <c r="A874" s="140"/>
      <c r="B874" s="140"/>
      <c r="C874" s="140"/>
      <c r="D874" s="140"/>
      <c r="E874" s="140"/>
      <c r="F874" s="140"/>
      <c r="G874" s="140"/>
      <c r="H874" s="140"/>
      <c r="I874" s="140"/>
      <c r="J874" s="140"/>
      <c r="K874" s="455"/>
      <c r="L874" s="455"/>
      <c r="M874" s="140"/>
      <c r="N874" s="140"/>
      <c r="O874" s="140"/>
      <c r="P874" s="140"/>
      <c r="Q874" s="140"/>
      <c r="R874" s="140"/>
      <c r="S874" s="140"/>
      <c r="T874" s="140"/>
      <c r="U874" s="140"/>
      <c r="V874" s="140"/>
      <c r="W874" s="140"/>
    </row>
    <row r="875">
      <c r="A875" s="140"/>
      <c r="B875" s="140"/>
      <c r="C875" s="140"/>
      <c r="D875" s="140"/>
      <c r="E875" s="140"/>
      <c r="F875" s="140"/>
      <c r="G875" s="140"/>
      <c r="H875" s="140"/>
      <c r="I875" s="140"/>
      <c r="J875" s="140"/>
      <c r="K875" s="455"/>
      <c r="L875" s="455"/>
      <c r="M875" s="140"/>
      <c r="N875" s="140"/>
      <c r="O875" s="140"/>
      <c r="P875" s="140"/>
      <c r="Q875" s="140"/>
      <c r="R875" s="140"/>
      <c r="S875" s="140"/>
      <c r="T875" s="140"/>
      <c r="U875" s="140"/>
      <c r="V875" s="140"/>
      <c r="W875" s="140"/>
    </row>
    <row r="876">
      <c r="A876" s="140"/>
      <c r="B876" s="140"/>
      <c r="C876" s="140"/>
      <c r="D876" s="140"/>
      <c r="E876" s="140"/>
      <c r="F876" s="140"/>
      <c r="G876" s="140"/>
      <c r="H876" s="140"/>
      <c r="I876" s="140"/>
      <c r="J876" s="140"/>
      <c r="K876" s="455"/>
      <c r="L876" s="455"/>
      <c r="M876" s="140"/>
      <c r="N876" s="140"/>
      <c r="O876" s="140"/>
      <c r="P876" s="140"/>
      <c r="Q876" s="140"/>
      <c r="R876" s="140"/>
      <c r="S876" s="140"/>
      <c r="T876" s="140"/>
      <c r="U876" s="140"/>
      <c r="V876" s="140"/>
      <c r="W876" s="140"/>
    </row>
    <row r="877">
      <c r="A877" s="140"/>
      <c r="B877" s="140"/>
      <c r="C877" s="140"/>
      <c r="D877" s="140"/>
      <c r="E877" s="140"/>
      <c r="F877" s="140"/>
      <c r="G877" s="140"/>
      <c r="H877" s="140"/>
      <c r="I877" s="140"/>
      <c r="J877" s="140"/>
      <c r="K877" s="455"/>
      <c r="L877" s="455"/>
      <c r="M877" s="140"/>
      <c r="N877" s="140"/>
      <c r="O877" s="140"/>
      <c r="P877" s="140"/>
      <c r="Q877" s="140"/>
      <c r="R877" s="140"/>
      <c r="S877" s="140"/>
      <c r="T877" s="140"/>
      <c r="U877" s="140"/>
      <c r="V877" s="140"/>
      <c r="W877" s="140"/>
    </row>
    <row r="878">
      <c r="A878" s="140"/>
      <c r="B878" s="140"/>
      <c r="C878" s="140"/>
      <c r="D878" s="140"/>
      <c r="E878" s="140"/>
      <c r="F878" s="140"/>
      <c r="G878" s="140"/>
      <c r="H878" s="140"/>
      <c r="I878" s="140"/>
      <c r="J878" s="140"/>
      <c r="K878" s="455"/>
      <c r="L878" s="455"/>
      <c r="M878" s="140"/>
      <c r="N878" s="140"/>
      <c r="O878" s="140"/>
      <c r="P878" s="140"/>
      <c r="Q878" s="140"/>
      <c r="R878" s="140"/>
      <c r="S878" s="140"/>
      <c r="T878" s="140"/>
      <c r="U878" s="140"/>
      <c r="V878" s="140"/>
      <c r="W878" s="140"/>
    </row>
    <row r="879">
      <c r="A879" s="140"/>
      <c r="B879" s="140"/>
      <c r="C879" s="140"/>
      <c r="D879" s="140"/>
      <c r="E879" s="140"/>
      <c r="F879" s="140"/>
      <c r="G879" s="140"/>
      <c r="H879" s="140"/>
      <c r="I879" s="140"/>
      <c r="J879" s="140"/>
      <c r="K879" s="455"/>
      <c r="L879" s="455"/>
      <c r="M879" s="140"/>
      <c r="N879" s="140"/>
      <c r="O879" s="140"/>
      <c r="P879" s="140"/>
      <c r="Q879" s="140"/>
      <c r="R879" s="140"/>
      <c r="S879" s="140"/>
      <c r="T879" s="140"/>
      <c r="U879" s="140"/>
      <c r="V879" s="140"/>
      <c r="W879" s="140"/>
    </row>
    <row r="880">
      <c r="A880" s="140"/>
      <c r="B880" s="140"/>
      <c r="C880" s="140"/>
      <c r="D880" s="140"/>
      <c r="E880" s="140"/>
      <c r="F880" s="140"/>
      <c r="G880" s="140"/>
      <c r="H880" s="140"/>
      <c r="I880" s="140"/>
      <c r="J880" s="140"/>
      <c r="K880" s="455"/>
      <c r="L880" s="455"/>
      <c r="M880" s="140"/>
      <c r="N880" s="140"/>
      <c r="O880" s="140"/>
      <c r="P880" s="140"/>
      <c r="Q880" s="140"/>
      <c r="R880" s="140"/>
      <c r="S880" s="140"/>
      <c r="T880" s="140"/>
      <c r="U880" s="140"/>
      <c r="V880" s="140"/>
      <c r="W880" s="140"/>
    </row>
    <row r="881">
      <c r="A881" s="140"/>
      <c r="B881" s="140"/>
      <c r="C881" s="140"/>
      <c r="D881" s="140"/>
      <c r="E881" s="140"/>
      <c r="F881" s="140"/>
      <c r="G881" s="140"/>
      <c r="H881" s="140"/>
      <c r="I881" s="140"/>
      <c r="J881" s="140"/>
      <c r="K881" s="455"/>
      <c r="L881" s="455"/>
      <c r="M881" s="140"/>
      <c r="N881" s="140"/>
      <c r="O881" s="140"/>
      <c r="P881" s="140"/>
      <c r="Q881" s="140"/>
      <c r="R881" s="140"/>
      <c r="S881" s="140"/>
      <c r="T881" s="140"/>
      <c r="U881" s="140"/>
      <c r="V881" s="140"/>
      <c r="W881" s="140"/>
    </row>
    <row r="882">
      <c r="A882" s="140"/>
      <c r="B882" s="140"/>
      <c r="C882" s="140"/>
      <c r="D882" s="140"/>
      <c r="E882" s="140"/>
      <c r="F882" s="140"/>
      <c r="G882" s="140"/>
      <c r="H882" s="140"/>
      <c r="I882" s="140"/>
      <c r="J882" s="140"/>
      <c r="K882" s="455"/>
      <c r="L882" s="455"/>
      <c r="M882" s="140"/>
      <c r="N882" s="140"/>
      <c r="O882" s="140"/>
      <c r="P882" s="140"/>
      <c r="Q882" s="140"/>
      <c r="R882" s="140"/>
      <c r="S882" s="140"/>
      <c r="T882" s="140"/>
      <c r="U882" s="140"/>
      <c r="V882" s="140"/>
      <c r="W882" s="140"/>
    </row>
    <row r="883">
      <c r="A883" s="140"/>
      <c r="B883" s="140"/>
      <c r="C883" s="140"/>
      <c r="D883" s="140"/>
      <c r="E883" s="140"/>
      <c r="F883" s="140"/>
      <c r="G883" s="140"/>
      <c r="H883" s="140"/>
      <c r="I883" s="140"/>
      <c r="J883" s="140"/>
      <c r="K883" s="455"/>
      <c r="L883" s="455"/>
      <c r="M883" s="140"/>
      <c r="N883" s="140"/>
      <c r="O883" s="140"/>
      <c r="P883" s="140"/>
      <c r="Q883" s="140"/>
      <c r="R883" s="140"/>
      <c r="S883" s="140"/>
      <c r="T883" s="140"/>
      <c r="U883" s="140"/>
      <c r="V883" s="140"/>
      <c r="W883" s="140"/>
    </row>
    <row r="884">
      <c r="A884" s="140"/>
      <c r="B884" s="140"/>
      <c r="C884" s="140"/>
      <c r="D884" s="140"/>
      <c r="E884" s="140"/>
      <c r="F884" s="140"/>
      <c r="G884" s="140"/>
      <c r="H884" s="140"/>
      <c r="I884" s="140"/>
      <c r="J884" s="140"/>
      <c r="K884" s="455"/>
      <c r="L884" s="455"/>
      <c r="M884" s="140"/>
      <c r="N884" s="140"/>
      <c r="O884" s="140"/>
      <c r="P884" s="140"/>
      <c r="Q884" s="140"/>
      <c r="R884" s="140"/>
      <c r="S884" s="140"/>
      <c r="T884" s="140"/>
      <c r="U884" s="140"/>
      <c r="V884" s="140"/>
      <c r="W884" s="140"/>
    </row>
    <row r="885">
      <c r="A885" s="140"/>
      <c r="B885" s="140"/>
      <c r="C885" s="140"/>
      <c r="D885" s="140"/>
      <c r="E885" s="140"/>
      <c r="F885" s="140"/>
      <c r="G885" s="140"/>
      <c r="H885" s="140"/>
      <c r="I885" s="140"/>
      <c r="J885" s="140"/>
      <c r="K885" s="455"/>
      <c r="L885" s="455"/>
      <c r="M885" s="140"/>
      <c r="N885" s="140"/>
      <c r="O885" s="140"/>
      <c r="P885" s="140"/>
      <c r="Q885" s="140"/>
      <c r="R885" s="140"/>
      <c r="S885" s="140"/>
      <c r="T885" s="140"/>
      <c r="U885" s="140"/>
      <c r="V885" s="140"/>
      <c r="W885" s="140"/>
    </row>
    <row r="886">
      <c r="A886" s="140"/>
      <c r="B886" s="140"/>
      <c r="C886" s="140"/>
      <c r="D886" s="140"/>
      <c r="E886" s="140"/>
      <c r="F886" s="140"/>
      <c r="G886" s="140"/>
      <c r="H886" s="140"/>
      <c r="I886" s="140"/>
      <c r="J886" s="140"/>
      <c r="K886" s="455"/>
      <c r="L886" s="455"/>
      <c r="M886" s="140"/>
      <c r="N886" s="140"/>
      <c r="O886" s="140"/>
      <c r="P886" s="140"/>
      <c r="Q886" s="140"/>
      <c r="R886" s="140"/>
      <c r="S886" s="140"/>
      <c r="T886" s="140"/>
      <c r="U886" s="140"/>
      <c r="V886" s="140"/>
      <c r="W886" s="140"/>
    </row>
    <row r="887">
      <c r="A887" s="140"/>
      <c r="B887" s="140"/>
      <c r="C887" s="140"/>
      <c r="D887" s="140"/>
      <c r="E887" s="140"/>
      <c r="F887" s="140"/>
      <c r="G887" s="140"/>
      <c r="H887" s="140"/>
      <c r="I887" s="140"/>
      <c r="J887" s="140"/>
      <c r="K887" s="455"/>
      <c r="L887" s="455"/>
      <c r="M887" s="140"/>
      <c r="N887" s="140"/>
      <c r="O887" s="140"/>
      <c r="P887" s="140"/>
      <c r="Q887" s="140"/>
      <c r="R887" s="140"/>
      <c r="S887" s="140"/>
      <c r="T887" s="140"/>
      <c r="U887" s="140"/>
      <c r="V887" s="140"/>
      <c r="W887" s="140"/>
    </row>
    <row r="888">
      <c r="A888" s="140"/>
      <c r="B888" s="140"/>
      <c r="C888" s="140"/>
      <c r="D888" s="140"/>
      <c r="E888" s="140"/>
      <c r="F888" s="140"/>
      <c r="G888" s="140"/>
      <c r="H888" s="140"/>
      <c r="I888" s="140"/>
      <c r="J888" s="140"/>
      <c r="K888" s="455"/>
      <c r="L888" s="455"/>
      <c r="M888" s="140"/>
      <c r="N888" s="140"/>
      <c r="O888" s="140"/>
      <c r="P888" s="140"/>
      <c r="Q888" s="140"/>
      <c r="R888" s="140"/>
      <c r="S888" s="140"/>
      <c r="T888" s="140"/>
      <c r="U888" s="140"/>
      <c r="V888" s="140"/>
      <c r="W888" s="140"/>
    </row>
    <row r="889">
      <c r="A889" s="140"/>
      <c r="B889" s="140"/>
      <c r="C889" s="140"/>
      <c r="D889" s="140"/>
      <c r="E889" s="140"/>
      <c r="F889" s="140"/>
      <c r="G889" s="140"/>
      <c r="H889" s="140"/>
      <c r="I889" s="140"/>
      <c r="J889" s="140"/>
      <c r="K889" s="455"/>
      <c r="L889" s="455"/>
      <c r="M889" s="140"/>
      <c r="N889" s="140"/>
      <c r="O889" s="140"/>
      <c r="P889" s="140"/>
      <c r="Q889" s="140"/>
      <c r="R889" s="140"/>
      <c r="S889" s="140"/>
      <c r="T889" s="140"/>
      <c r="U889" s="140"/>
      <c r="V889" s="140"/>
      <c r="W889" s="140"/>
    </row>
    <row r="890">
      <c r="A890" s="140"/>
      <c r="B890" s="140"/>
      <c r="C890" s="140"/>
      <c r="D890" s="140"/>
      <c r="E890" s="140"/>
      <c r="F890" s="140"/>
      <c r="G890" s="140"/>
      <c r="H890" s="140"/>
      <c r="I890" s="140"/>
      <c r="J890" s="140"/>
      <c r="K890" s="455"/>
      <c r="L890" s="455"/>
      <c r="M890" s="140"/>
      <c r="N890" s="140"/>
      <c r="O890" s="140"/>
      <c r="P890" s="140"/>
      <c r="Q890" s="140"/>
      <c r="R890" s="140"/>
      <c r="S890" s="140"/>
      <c r="T890" s="140"/>
      <c r="U890" s="140"/>
      <c r="V890" s="140"/>
      <c r="W890" s="140"/>
    </row>
    <row r="891">
      <c r="A891" s="140"/>
      <c r="B891" s="140"/>
      <c r="C891" s="140"/>
      <c r="D891" s="140"/>
      <c r="E891" s="140"/>
      <c r="F891" s="140"/>
      <c r="G891" s="140"/>
      <c r="H891" s="140"/>
      <c r="I891" s="140"/>
      <c r="J891" s="140"/>
      <c r="K891" s="455"/>
      <c r="L891" s="455"/>
      <c r="M891" s="140"/>
      <c r="N891" s="140"/>
      <c r="O891" s="140"/>
      <c r="P891" s="140"/>
      <c r="Q891" s="140"/>
      <c r="R891" s="140"/>
      <c r="S891" s="140"/>
      <c r="T891" s="140"/>
      <c r="U891" s="140"/>
      <c r="V891" s="140"/>
      <c r="W891" s="140"/>
    </row>
    <row r="892">
      <c r="A892" s="140"/>
      <c r="B892" s="140"/>
      <c r="C892" s="140"/>
      <c r="D892" s="140"/>
      <c r="E892" s="140"/>
      <c r="F892" s="140"/>
      <c r="G892" s="140"/>
      <c r="H892" s="140"/>
      <c r="I892" s="140"/>
      <c r="J892" s="140"/>
      <c r="K892" s="455"/>
      <c r="L892" s="455"/>
      <c r="M892" s="140"/>
      <c r="N892" s="140"/>
      <c r="O892" s="140"/>
      <c r="P892" s="140"/>
      <c r="Q892" s="140"/>
      <c r="R892" s="140"/>
      <c r="S892" s="140"/>
      <c r="T892" s="140"/>
      <c r="U892" s="140"/>
      <c r="V892" s="140"/>
      <c r="W892" s="140"/>
    </row>
    <row r="893">
      <c r="A893" s="140"/>
      <c r="B893" s="140"/>
      <c r="C893" s="140"/>
      <c r="D893" s="140"/>
      <c r="E893" s="140"/>
      <c r="F893" s="140"/>
      <c r="G893" s="140"/>
      <c r="H893" s="140"/>
      <c r="I893" s="140"/>
      <c r="J893" s="140"/>
      <c r="K893" s="455"/>
      <c r="L893" s="455"/>
      <c r="M893" s="140"/>
      <c r="N893" s="140"/>
      <c r="O893" s="140"/>
      <c r="P893" s="140"/>
      <c r="Q893" s="140"/>
      <c r="R893" s="140"/>
      <c r="S893" s="140"/>
      <c r="T893" s="140"/>
      <c r="U893" s="140"/>
      <c r="V893" s="140"/>
      <c r="W893" s="140"/>
    </row>
    <row r="894">
      <c r="A894" s="140"/>
      <c r="B894" s="140"/>
      <c r="C894" s="140"/>
      <c r="D894" s="140"/>
      <c r="E894" s="140"/>
      <c r="F894" s="140"/>
      <c r="G894" s="140"/>
      <c r="H894" s="140"/>
      <c r="I894" s="140"/>
      <c r="J894" s="140"/>
      <c r="K894" s="455"/>
      <c r="L894" s="455"/>
      <c r="M894" s="140"/>
      <c r="N894" s="140"/>
      <c r="O894" s="140"/>
      <c r="P894" s="140"/>
      <c r="Q894" s="140"/>
      <c r="R894" s="140"/>
      <c r="S894" s="140"/>
      <c r="T894" s="140"/>
      <c r="U894" s="140"/>
      <c r="V894" s="140"/>
      <c r="W894" s="140"/>
    </row>
    <row r="895">
      <c r="A895" s="140"/>
      <c r="B895" s="140"/>
      <c r="C895" s="140"/>
      <c r="D895" s="140"/>
      <c r="E895" s="140"/>
      <c r="F895" s="140"/>
      <c r="G895" s="140"/>
      <c r="H895" s="140"/>
      <c r="I895" s="140"/>
      <c r="J895" s="140"/>
      <c r="K895" s="455"/>
      <c r="L895" s="455"/>
      <c r="M895" s="140"/>
      <c r="N895" s="140"/>
      <c r="O895" s="140"/>
      <c r="P895" s="140"/>
      <c r="Q895" s="140"/>
      <c r="R895" s="140"/>
      <c r="S895" s="140"/>
      <c r="T895" s="140"/>
      <c r="U895" s="140"/>
      <c r="V895" s="140"/>
      <c r="W895" s="140"/>
    </row>
    <row r="896">
      <c r="A896" s="140"/>
      <c r="B896" s="140"/>
      <c r="C896" s="140"/>
      <c r="D896" s="140"/>
      <c r="E896" s="140"/>
      <c r="F896" s="140"/>
      <c r="G896" s="140"/>
      <c r="H896" s="140"/>
      <c r="I896" s="140"/>
      <c r="J896" s="140"/>
      <c r="K896" s="455"/>
      <c r="L896" s="455"/>
      <c r="M896" s="140"/>
      <c r="N896" s="140"/>
      <c r="O896" s="140"/>
      <c r="P896" s="140"/>
      <c r="Q896" s="140"/>
      <c r="R896" s="140"/>
      <c r="S896" s="140"/>
      <c r="T896" s="140"/>
      <c r="U896" s="140"/>
      <c r="V896" s="140"/>
      <c r="W896" s="140"/>
    </row>
    <row r="897">
      <c r="A897" s="140"/>
      <c r="B897" s="140"/>
      <c r="C897" s="140"/>
      <c r="D897" s="140"/>
      <c r="E897" s="140"/>
      <c r="F897" s="140"/>
      <c r="G897" s="140"/>
      <c r="H897" s="140"/>
      <c r="I897" s="140"/>
      <c r="J897" s="140"/>
      <c r="K897" s="455"/>
      <c r="L897" s="455"/>
      <c r="M897" s="140"/>
      <c r="N897" s="140"/>
      <c r="O897" s="140"/>
      <c r="P897" s="140"/>
      <c r="Q897" s="140"/>
      <c r="R897" s="140"/>
      <c r="S897" s="140"/>
      <c r="T897" s="140"/>
      <c r="U897" s="140"/>
      <c r="V897" s="140"/>
      <c r="W897" s="140"/>
    </row>
    <row r="898">
      <c r="A898" s="140"/>
      <c r="B898" s="140"/>
      <c r="C898" s="140"/>
      <c r="D898" s="140"/>
      <c r="E898" s="140"/>
      <c r="F898" s="140"/>
      <c r="G898" s="140"/>
      <c r="H898" s="140"/>
      <c r="I898" s="140"/>
      <c r="J898" s="140"/>
      <c r="K898" s="455"/>
      <c r="L898" s="455"/>
      <c r="M898" s="140"/>
      <c r="N898" s="140"/>
      <c r="O898" s="140"/>
      <c r="P898" s="140"/>
      <c r="Q898" s="140"/>
      <c r="R898" s="140"/>
      <c r="S898" s="140"/>
      <c r="T898" s="140"/>
      <c r="U898" s="140"/>
      <c r="V898" s="140"/>
      <c r="W898" s="140"/>
    </row>
    <row r="899">
      <c r="A899" s="140"/>
      <c r="B899" s="140"/>
      <c r="C899" s="140"/>
      <c r="D899" s="140"/>
      <c r="E899" s="140"/>
      <c r="F899" s="140"/>
      <c r="G899" s="140"/>
      <c r="H899" s="140"/>
      <c r="I899" s="140"/>
      <c r="J899" s="140"/>
      <c r="K899" s="455"/>
      <c r="L899" s="455"/>
      <c r="M899" s="140"/>
      <c r="N899" s="140"/>
      <c r="O899" s="140"/>
      <c r="P899" s="140"/>
      <c r="Q899" s="140"/>
      <c r="R899" s="140"/>
      <c r="S899" s="140"/>
      <c r="T899" s="140"/>
      <c r="U899" s="140"/>
      <c r="V899" s="140"/>
      <c r="W899" s="140"/>
    </row>
    <row r="900">
      <c r="A900" s="140"/>
      <c r="B900" s="140"/>
      <c r="C900" s="140"/>
      <c r="D900" s="140"/>
      <c r="E900" s="140"/>
      <c r="F900" s="140"/>
      <c r="G900" s="140"/>
      <c r="H900" s="140"/>
      <c r="I900" s="140"/>
      <c r="J900" s="140"/>
      <c r="K900" s="455"/>
      <c r="L900" s="455"/>
      <c r="M900" s="140"/>
      <c r="N900" s="140"/>
      <c r="O900" s="140"/>
      <c r="P900" s="140"/>
      <c r="Q900" s="140"/>
      <c r="R900" s="140"/>
      <c r="S900" s="140"/>
      <c r="T900" s="140"/>
      <c r="U900" s="140"/>
      <c r="V900" s="140"/>
      <c r="W900" s="140"/>
    </row>
    <row r="901">
      <c r="A901" s="140"/>
      <c r="B901" s="140"/>
      <c r="C901" s="140"/>
      <c r="D901" s="140"/>
      <c r="E901" s="140"/>
      <c r="F901" s="140"/>
      <c r="G901" s="140"/>
      <c r="H901" s="140"/>
      <c r="I901" s="140"/>
      <c r="J901" s="140"/>
      <c r="K901" s="455"/>
      <c r="L901" s="455"/>
      <c r="M901" s="140"/>
      <c r="N901" s="140"/>
      <c r="O901" s="140"/>
      <c r="P901" s="140"/>
      <c r="Q901" s="140"/>
      <c r="R901" s="140"/>
      <c r="S901" s="140"/>
      <c r="T901" s="140"/>
      <c r="U901" s="140"/>
      <c r="V901" s="140"/>
      <c r="W901" s="140"/>
    </row>
    <row r="902">
      <c r="A902" s="140"/>
      <c r="B902" s="140"/>
      <c r="C902" s="140"/>
      <c r="D902" s="140"/>
      <c r="E902" s="140"/>
      <c r="F902" s="140"/>
      <c r="G902" s="140"/>
      <c r="H902" s="140"/>
      <c r="I902" s="140"/>
      <c r="J902" s="140"/>
      <c r="K902" s="455"/>
      <c r="L902" s="455"/>
      <c r="M902" s="140"/>
      <c r="N902" s="140"/>
      <c r="O902" s="140"/>
      <c r="P902" s="140"/>
      <c r="Q902" s="140"/>
      <c r="R902" s="140"/>
      <c r="S902" s="140"/>
      <c r="T902" s="140"/>
      <c r="U902" s="140"/>
      <c r="V902" s="140"/>
      <c r="W902" s="140"/>
    </row>
    <row r="903">
      <c r="A903" s="140"/>
      <c r="B903" s="140"/>
      <c r="C903" s="140"/>
      <c r="D903" s="140"/>
      <c r="E903" s="140"/>
      <c r="F903" s="140"/>
      <c r="G903" s="140"/>
      <c r="H903" s="140"/>
      <c r="I903" s="140"/>
      <c r="J903" s="140"/>
      <c r="K903" s="455"/>
      <c r="L903" s="455"/>
      <c r="M903" s="140"/>
      <c r="N903" s="140"/>
      <c r="O903" s="140"/>
      <c r="P903" s="140"/>
      <c r="Q903" s="140"/>
      <c r="R903" s="140"/>
      <c r="S903" s="140"/>
      <c r="T903" s="140"/>
      <c r="U903" s="140"/>
      <c r="V903" s="140"/>
      <c r="W903" s="140"/>
    </row>
    <row r="904">
      <c r="A904" s="140"/>
      <c r="B904" s="140"/>
      <c r="C904" s="140"/>
      <c r="D904" s="140"/>
      <c r="E904" s="140"/>
      <c r="F904" s="140"/>
      <c r="G904" s="140"/>
      <c r="H904" s="140"/>
      <c r="I904" s="140"/>
      <c r="J904" s="140"/>
      <c r="K904" s="455"/>
      <c r="L904" s="455"/>
      <c r="M904" s="140"/>
      <c r="N904" s="140"/>
      <c r="O904" s="140"/>
      <c r="P904" s="140"/>
      <c r="Q904" s="140"/>
      <c r="R904" s="140"/>
      <c r="S904" s="140"/>
      <c r="T904" s="140"/>
      <c r="U904" s="140"/>
      <c r="V904" s="140"/>
      <c r="W904" s="140"/>
    </row>
    <row r="905">
      <c r="A905" s="140"/>
      <c r="B905" s="140"/>
      <c r="C905" s="140"/>
      <c r="D905" s="140"/>
      <c r="E905" s="140"/>
      <c r="F905" s="140"/>
      <c r="G905" s="140"/>
      <c r="H905" s="140"/>
      <c r="I905" s="140"/>
      <c r="J905" s="140"/>
      <c r="K905" s="455"/>
      <c r="L905" s="455"/>
      <c r="M905" s="140"/>
      <c r="N905" s="140"/>
      <c r="O905" s="140"/>
      <c r="P905" s="140"/>
      <c r="Q905" s="140"/>
      <c r="R905" s="140"/>
      <c r="S905" s="140"/>
      <c r="T905" s="140"/>
      <c r="U905" s="140"/>
      <c r="V905" s="140"/>
      <c r="W905" s="140"/>
    </row>
    <row r="906">
      <c r="A906" s="140"/>
      <c r="B906" s="140"/>
      <c r="C906" s="140"/>
      <c r="D906" s="140"/>
      <c r="E906" s="140"/>
      <c r="F906" s="140"/>
      <c r="G906" s="140"/>
      <c r="H906" s="140"/>
      <c r="I906" s="140"/>
      <c r="J906" s="140"/>
      <c r="K906" s="455"/>
      <c r="L906" s="455"/>
      <c r="M906" s="140"/>
      <c r="N906" s="140"/>
      <c r="O906" s="140"/>
      <c r="P906" s="140"/>
      <c r="Q906" s="140"/>
      <c r="R906" s="140"/>
      <c r="S906" s="140"/>
      <c r="T906" s="140"/>
      <c r="U906" s="140"/>
      <c r="V906" s="140"/>
      <c r="W906" s="140"/>
    </row>
    <row r="907">
      <c r="A907" s="140"/>
      <c r="B907" s="140"/>
      <c r="C907" s="140"/>
      <c r="D907" s="140"/>
      <c r="E907" s="140"/>
      <c r="F907" s="140"/>
      <c r="G907" s="140"/>
      <c r="H907" s="140"/>
      <c r="I907" s="140"/>
      <c r="J907" s="140"/>
      <c r="K907" s="455"/>
      <c r="L907" s="455"/>
      <c r="M907" s="140"/>
      <c r="N907" s="140"/>
      <c r="O907" s="140"/>
      <c r="P907" s="140"/>
      <c r="Q907" s="140"/>
      <c r="R907" s="140"/>
      <c r="S907" s="140"/>
      <c r="T907" s="140"/>
      <c r="U907" s="140"/>
      <c r="V907" s="140"/>
      <c r="W907" s="140"/>
    </row>
    <row r="908">
      <c r="A908" s="140"/>
      <c r="B908" s="140"/>
      <c r="C908" s="140"/>
      <c r="D908" s="140"/>
      <c r="E908" s="140"/>
      <c r="F908" s="140"/>
      <c r="G908" s="140"/>
      <c r="H908" s="140"/>
      <c r="I908" s="140"/>
      <c r="J908" s="140"/>
      <c r="K908" s="455"/>
      <c r="L908" s="455"/>
      <c r="M908" s="140"/>
      <c r="N908" s="140"/>
      <c r="O908" s="140"/>
      <c r="P908" s="140"/>
      <c r="Q908" s="140"/>
      <c r="R908" s="140"/>
      <c r="S908" s="140"/>
      <c r="T908" s="140"/>
      <c r="U908" s="140"/>
      <c r="V908" s="140"/>
      <c r="W908" s="140"/>
    </row>
    <row r="909">
      <c r="A909" s="140"/>
      <c r="B909" s="140"/>
      <c r="C909" s="140"/>
      <c r="D909" s="140"/>
      <c r="E909" s="140"/>
      <c r="F909" s="140"/>
      <c r="G909" s="140"/>
      <c r="H909" s="140"/>
      <c r="I909" s="140"/>
      <c r="J909" s="140"/>
      <c r="K909" s="455"/>
      <c r="L909" s="455"/>
      <c r="M909" s="140"/>
      <c r="N909" s="140"/>
      <c r="O909" s="140"/>
      <c r="P909" s="140"/>
      <c r="Q909" s="140"/>
      <c r="R909" s="140"/>
      <c r="S909" s="140"/>
      <c r="T909" s="140"/>
      <c r="U909" s="140"/>
      <c r="V909" s="140"/>
      <c r="W909" s="140"/>
    </row>
    <row r="910">
      <c r="A910" s="140"/>
      <c r="B910" s="140"/>
      <c r="C910" s="140"/>
      <c r="D910" s="140"/>
      <c r="E910" s="140"/>
      <c r="F910" s="140"/>
      <c r="G910" s="140"/>
      <c r="H910" s="140"/>
      <c r="I910" s="140"/>
      <c r="J910" s="140"/>
      <c r="K910" s="455"/>
      <c r="L910" s="455"/>
      <c r="M910" s="140"/>
      <c r="N910" s="140"/>
      <c r="O910" s="140"/>
      <c r="P910" s="140"/>
      <c r="Q910" s="140"/>
      <c r="R910" s="140"/>
      <c r="S910" s="140"/>
      <c r="T910" s="140"/>
      <c r="U910" s="140"/>
      <c r="V910" s="140"/>
      <c r="W910" s="140"/>
    </row>
    <row r="911">
      <c r="A911" s="140"/>
      <c r="B911" s="140"/>
      <c r="C911" s="140"/>
      <c r="D911" s="140"/>
      <c r="E911" s="140"/>
      <c r="F911" s="140"/>
      <c r="G911" s="140"/>
      <c r="H911" s="140"/>
      <c r="I911" s="140"/>
      <c r="J911" s="140"/>
      <c r="K911" s="455"/>
      <c r="L911" s="455"/>
      <c r="M911" s="140"/>
      <c r="N911" s="140"/>
      <c r="O911" s="140"/>
      <c r="P911" s="140"/>
      <c r="Q911" s="140"/>
      <c r="R911" s="140"/>
      <c r="S911" s="140"/>
      <c r="T911" s="140"/>
      <c r="U911" s="140"/>
      <c r="V911" s="140"/>
      <c r="W911" s="140"/>
    </row>
    <row r="912">
      <c r="A912" s="140"/>
      <c r="B912" s="140"/>
      <c r="C912" s="140"/>
      <c r="D912" s="140"/>
      <c r="E912" s="140"/>
      <c r="F912" s="140"/>
      <c r="G912" s="140"/>
      <c r="H912" s="140"/>
      <c r="I912" s="140"/>
      <c r="J912" s="140"/>
      <c r="K912" s="455"/>
      <c r="L912" s="455"/>
      <c r="M912" s="140"/>
      <c r="N912" s="140"/>
      <c r="O912" s="140"/>
      <c r="P912" s="140"/>
      <c r="Q912" s="140"/>
      <c r="R912" s="140"/>
      <c r="S912" s="140"/>
      <c r="T912" s="140"/>
      <c r="U912" s="140"/>
      <c r="V912" s="140"/>
      <c r="W912" s="140"/>
    </row>
    <row r="913">
      <c r="A913" s="140"/>
      <c r="B913" s="140"/>
      <c r="C913" s="140"/>
      <c r="D913" s="140"/>
      <c r="E913" s="140"/>
      <c r="F913" s="140"/>
      <c r="G913" s="140"/>
      <c r="H913" s="140"/>
      <c r="I913" s="140"/>
      <c r="J913" s="140"/>
      <c r="K913" s="455"/>
      <c r="L913" s="455"/>
      <c r="M913" s="140"/>
      <c r="N913" s="140"/>
      <c r="O913" s="140"/>
      <c r="P913" s="140"/>
      <c r="Q913" s="140"/>
      <c r="R913" s="140"/>
      <c r="S913" s="140"/>
      <c r="T913" s="140"/>
      <c r="U913" s="140"/>
      <c r="V913" s="140"/>
      <c r="W913" s="140"/>
    </row>
    <row r="914">
      <c r="A914" s="140"/>
      <c r="B914" s="140"/>
      <c r="C914" s="140"/>
      <c r="D914" s="140"/>
      <c r="E914" s="140"/>
      <c r="F914" s="140"/>
      <c r="G914" s="140"/>
      <c r="H914" s="140"/>
      <c r="I914" s="140"/>
      <c r="J914" s="140"/>
      <c r="K914" s="455"/>
      <c r="L914" s="455"/>
      <c r="M914" s="140"/>
      <c r="N914" s="140"/>
      <c r="O914" s="140"/>
      <c r="P914" s="140"/>
      <c r="Q914" s="140"/>
      <c r="R914" s="140"/>
      <c r="S914" s="140"/>
      <c r="T914" s="140"/>
      <c r="U914" s="140"/>
      <c r="V914" s="140"/>
      <c r="W914" s="140"/>
    </row>
    <row r="915">
      <c r="A915" s="140"/>
      <c r="B915" s="140"/>
      <c r="C915" s="140"/>
      <c r="D915" s="140"/>
      <c r="E915" s="140"/>
      <c r="F915" s="140"/>
      <c r="G915" s="140"/>
      <c r="H915" s="140"/>
      <c r="I915" s="140"/>
      <c r="J915" s="140"/>
      <c r="K915" s="455"/>
      <c r="L915" s="455"/>
      <c r="M915" s="140"/>
      <c r="N915" s="140"/>
      <c r="O915" s="140"/>
      <c r="P915" s="140"/>
      <c r="Q915" s="140"/>
      <c r="R915" s="140"/>
      <c r="S915" s="140"/>
      <c r="T915" s="140"/>
      <c r="U915" s="140"/>
      <c r="V915" s="140"/>
      <c r="W915" s="140"/>
    </row>
    <row r="916">
      <c r="A916" s="140"/>
      <c r="B916" s="140"/>
      <c r="C916" s="140"/>
      <c r="D916" s="140"/>
      <c r="E916" s="140"/>
      <c r="F916" s="140"/>
      <c r="G916" s="140"/>
      <c r="H916" s="140"/>
      <c r="I916" s="140"/>
      <c r="J916" s="140"/>
      <c r="K916" s="455"/>
      <c r="L916" s="455"/>
      <c r="M916" s="140"/>
      <c r="N916" s="140"/>
      <c r="O916" s="140"/>
      <c r="P916" s="140"/>
      <c r="Q916" s="140"/>
      <c r="R916" s="140"/>
      <c r="S916" s="140"/>
      <c r="T916" s="140"/>
      <c r="U916" s="140"/>
      <c r="V916" s="140"/>
      <c r="W916" s="140"/>
    </row>
    <row r="917">
      <c r="A917" s="140"/>
      <c r="B917" s="140"/>
      <c r="C917" s="140"/>
      <c r="D917" s="140"/>
      <c r="E917" s="140"/>
      <c r="F917" s="140"/>
      <c r="G917" s="140"/>
      <c r="H917" s="140"/>
      <c r="I917" s="140"/>
      <c r="J917" s="140"/>
      <c r="K917" s="455"/>
      <c r="L917" s="455"/>
      <c r="M917" s="140"/>
      <c r="N917" s="140"/>
      <c r="O917" s="140"/>
      <c r="P917" s="140"/>
      <c r="Q917" s="140"/>
      <c r="R917" s="140"/>
      <c r="S917" s="140"/>
      <c r="T917" s="140"/>
      <c r="U917" s="140"/>
      <c r="V917" s="140"/>
      <c r="W917" s="140"/>
    </row>
    <row r="918">
      <c r="A918" s="140"/>
      <c r="B918" s="140"/>
      <c r="C918" s="140"/>
      <c r="D918" s="140"/>
      <c r="E918" s="140"/>
      <c r="F918" s="140"/>
      <c r="G918" s="140"/>
      <c r="H918" s="140"/>
      <c r="I918" s="140"/>
      <c r="J918" s="140"/>
      <c r="K918" s="455"/>
      <c r="L918" s="455"/>
      <c r="M918" s="140"/>
      <c r="N918" s="140"/>
      <c r="O918" s="140"/>
      <c r="P918" s="140"/>
      <c r="Q918" s="140"/>
      <c r="R918" s="140"/>
      <c r="S918" s="140"/>
      <c r="T918" s="140"/>
      <c r="U918" s="140"/>
      <c r="V918" s="140"/>
      <c r="W918" s="140"/>
    </row>
    <row r="919">
      <c r="A919" s="140"/>
      <c r="B919" s="140"/>
      <c r="C919" s="140"/>
      <c r="D919" s="140"/>
      <c r="E919" s="140"/>
      <c r="F919" s="140"/>
      <c r="G919" s="140"/>
      <c r="H919" s="140"/>
      <c r="I919" s="140"/>
      <c r="J919" s="140"/>
      <c r="K919" s="455"/>
      <c r="L919" s="455"/>
      <c r="M919" s="140"/>
      <c r="N919" s="140"/>
      <c r="O919" s="140"/>
      <c r="P919" s="140"/>
      <c r="Q919" s="140"/>
      <c r="R919" s="140"/>
      <c r="S919" s="140"/>
      <c r="T919" s="140"/>
      <c r="U919" s="140"/>
      <c r="V919" s="140"/>
      <c r="W919" s="140"/>
    </row>
    <row r="920">
      <c r="A920" s="140"/>
      <c r="B920" s="140"/>
      <c r="C920" s="140"/>
      <c r="D920" s="140"/>
      <c r="E920" s="140"/>
      <c r="F920" s="140"/>
      <c r="G920" s="140"/>
      <c r="H920" s="140"/>
      <c r="I920" s="140"/>
      <c r="J920" s="140"/>
      <c r="K920" s="455"/>
      <c r="L920" s="455"/>
      <c r="M920" s="140"/>
      <c r="N920" s="140"/>
      <c r="O920" s="140"/>
      <c r="P920" s="140"/>
      <c r="Q920" s="140"/>
      <c r="R920" s="140"/>
      <c r="S920" s="140"/>
      <c r="T920" s="140"/>
      <c r="U920" s="140"/>
      <c r="V920" s="140"/>
      <c r="W920" s="140"/>
    </row>
    <row r="921">
      <c r="A921" s="140"/>
      <c r="B921" s="140"/>
      <c r="C921" s="140"/>
      <c r="D921" s="140"/>
      <c r="E921" s="140"/>
      <c r="F921" s="140"/>
      <c r="G921" s="140"/>
      <c r="H921" s="140"/>
      <c r="I921" s="140"/>
      <c r="J921" s="140"/>
      <c r="K921" s="455"/>
      <c r="L921" s="455"/>
      <c r="M921" s="140"/>
      <c r="N921" s="140"/>
      <c r="O921" s="140"/>
      <c r="P921" s="140"/>
      <c r="Q921" s="140"/>
      <c r="R921" s="140"/>
      <c r="S921" s="140"/>
      <c r="T921" s="140"/>
      <c r="U921" s="140"/>
      <c r="V921" s="140"/>
      <c r="W921" s="140"/>
    </row>
    <row r="922">
      <c r="A922" s="140"/>
      <c r="B922" s="140"/>
      <c r="C922" s="140"/>
      <c r="D922" s="140"/>
      <c r="E922" s="140"/>
      <c r="F922" s="140"/>
      <c r="G922" s="140"/>
      <c r="H922" s="140"/>
      <c r="I922" s="140"/>
      <c r="J922" s="140"/>
      <c r="K922" s="455"/>
      <c r="L922" s="455"/>
      <c r="M922" s="140"/>
      <c r="N922" s="140"/>
      <c r="O922" s="140"/>
      <c r="P922" s="140"/>
      <c r="Q922" s="140"/>
      <c r="R922" s="140"/>
      <c r="S922" s="140"/>
      <c r="T922" s="140"/>
      <c r="U922" s="140"/>
      <c r="V922" s="140"/>
      <c r="W922" s="140"/>
    </row>
    <row r="923">
      <c r="A923" s="140"/>
      <c r="B923" s="140"/>
      <c r="C923" s="140"/>
      <c r="D923" s="140"/>
      <c r="E923" s="140"/>
      <c r="F923" s="140"/>
      <c r="G923" s="140"/>
      <c r="H923" s="140"/>
      <c r="I923" s="140"/>
      <c r="J923" s="140"/>
      <c r="K923" s="455"/>
      <c r="L923" s="455"/>
      <c r="M923" s="140"/>
      <c r="N923" s="140"/>
      <c r="O923" s="140"/>
      <c r="P923" s="140"/>
      <c r="Q923" s="140"/>
      <c r="R923" s="140"/>
      <c r="S923" s="140"/>
      <c r="T923" s="140"/>
      <c r="U923" s="140"/>
      <c r="V923" s="140"/>
      <c r="W923" s="140"/>
    </row>
    <row r="924">
      <c r="A924" s="140"/>
      <c r="B924" s="140"/>
      <c r="C924" s="140"/>
      <c r="D924" s="140"/>
      <c r="E924" s="140"/>
      <c r="F924" s="140"/>
      <c r="G924" s="140"/>
      <c r="H924" s="140"/>
      <c r="I924" s="140"/>
      <c r="J924" s="140"/>
      <c r="K924" s="455"/>
      <c r="L924" s="455"/>
      <c r="M924" s="140"/>
      <c r="N924" s="140"/>
      <c r="O924" s="140"/>
      <c r="P924" s="140"/>
      <c r="Q924" s="140"/>
      <c r="R924" s="140"/>
      <c r="S924" s="140"/>
      <c r="T924" s="140"/>
      <c r="U924" s="140"/>
      <c r="V924" s="140"/>
      <c r="W924" s="140"/>
    </row>
    <row r="925">
      <c r="A925" s="140"/>
      <c r="B925" s="140"/>
      <c r="C925" s="140"/>
      <c r="D925" s="140"/>
      <c r="E925" s="140"/>
      <c r="F925" s="140"/>
      <c r="G925" s="140"/>
      <c r="H925" s="140"/>
      <c r="I925" s="140"/>
      <c r="J925" s="140"/>
      <c r="K925" s="455"/>
      <c r="L925" s="455"/>
      <c r="M925" s="140"/>
      <c r="N925" s="140"/>
      <c r="O925" s="140"/>
      <c r="P925" s="140"/>
      <c r="Q925" s="140"/>
      <c r="R925" s="140"/>
      <c r="S925" s="140"/>
      <c r="T925" s="140"/>
      <c r="U925" s="140"/>
      <c r="V925" s="140"/>
      <c r="W925" s="140"/>
    </row>
    <row r="926">
      <c r="A926" s="140"/>
      <c r="B926" s="140"/>
      <c r="C926" s="140"/>
      <c r="D926" s="140"/>
      <c r="E926" s="140"/>
      <c r="F926" s="140"/>
      <c r="G926" s="140"/>
      <c r="H926" s="140"/>
      <c r="I926" s="140"/>
      <c r="J926" s="140"/>
      <c r="K926" s="455"/>
      <c r="L926" s="455"/>
      <c r="M926" s="140"/>
      <c r="N926" s="140"/>
      <c r="O926" s="140"/>
      <c r="P926" s="140"/>
      <c r="Q926" s="140"/>
      <c r="R926" s="140"/>
      <c r="S926" s="140"/>
      <c r="T926" s="140"/>
      <c r="U926" s="140"/>
      <c r="V926" s="140"/>
      <c r="W926" s="140"/>
    </row>
    <row r="927">
      <c r="A927" s="140"/>
      <c r="B927" s="140"/>
      <c r="C927" s="140"/>
      <c r="D927" s="140"/>
      <c r="E927" s="140"/>
      <c r="F927" s="140"/>
      <c r="G927" s="140"/>
      <c r="H927" s="140"/>
      <c r="I927" s="140"/>
      <c r="J927" s="140"/>
      <c r="K927" s="455"/>
      <c r="L927" s="455"/>
      <c r="M927" s="140"/>
      <c r="N927" s="140"/>
      <c r="O927" s="140"/>
      <c r="P927" s="140"/>
      <c r="Q927" s="140"/>
      <c r="R927" s="140"/>
      <c r="S927" s="140"/>
      <c r="T927" s="140"/>
      <c r="U927" s="140"/>
      <c r="V927" s="140"/>
      <c r="W927" s="140"/>
    </row>
    <row r="928">
      <c r="A928" s="140"/>
      <c r="B928" s="140"/>
      <c r="C928" s="140"/>
      <c r="D928" s="140"/>
      <c r="E928" s="140"/>
      <c r="F928" s="140"/>
      <c r="G928" s="140"/>
      <c r="H928" s="140"/>
      <c r="I928" s="140"/>
      <c r="J928" s="140"/>
      <c r="K928" s="455"/>
      <c r="L928" s="455"/>
      <c r="M928" s="140"/>
      <c r="N928" s="140"/>
      <c r="O928" s="140"/>
      <c r="P928" s="140"/>
      <c r="Q928" s="140"/>
      <c r="R928" s="140"/>
      <c r="S928" s="140"/>
      <c r="T928" s="140"/>
      <c r="U928" s="140"/>
      <c r="V928" s="140"/>
      <c r="W928" s="140"/>
    </row>
    <row r="929">
      <c r="A929" s="140"/>
      <c r="B929" s="140"/>
      <c r="C929" s="140"/>
      <c r="D929" s="140"/>
      <c r="E929" s="140"/>
      <c r="F929" s="140"/>
      <c r="G929" s="140"/>
      <c r="H929" s="140"/>
      <c r="I929" s="140"/>
      <c r="J929" s="140"/>
      <c r="K929" s="455"/>
      <c r="L929" s="455"/>
      <c r="M929" s="140"/>
      <c r="N929" s="140"/>
      <c r="O929" s="140"/>
      <c r="P929" s="140"/>
      <c r="Q929" s="140"/>
      <c r="R929" s="140"/>
      <c r="S929" s="140"/>
      <c r="T929" s="140"/>
      <c r="U929" s="140"/>
      <c r="V929" s="140"/>
      <c r="W929" s="140"/>
    </row>
    <row r="930">
      <c r="A930" s="140"/>
      <c r="B930" s="140"/>
      <c r="C930" s="140"/>
      <c r="D930" s="140"/>
      <c r="E930" s="140"/>
      <c r="F930" s="140"/>
      <c r="G930" s="140"/>
      <c r="H930" s="140"/>
      <c r="I930" s="140"/>
      <c r="J930" s="140"/>
      <c r="K930" s="455"/>
      <c r="L930" s="455"/>
      <c r="M930" s="140"/>
      <c r="N930" s="140"/>
      <c r="O930" s="140"/>
      <c r="P930" s="140"/>
      <c r="Q930" s="140"/>
      <c r="R930" s="140"/>
      <c r="S930" s="140"/>
      <c r="T930" s="140"/>
      <c r="U930" s="140"/>
      <c r="V930" s="140"/>
      <c r="W930" s="140"/>
    </row>
    <row r="931">
      <c r="A931" s="140"/>
      <c r="B931" s="140"/>
      <c r="C931" s="140"/>
      <c r="D931" s="140"/>
      <c r="E931" s="140"/>
      <c r="F931" s="140"/>
      <c r="G931" s="140"/>
      <c r="H931" s="140"/>
      <c r="I931" s="140"/>
      <c r="J931" s="140"/>
      <c r="K931" s="455"/>
      <c r="L931" s="455"/>
      <c r="M931" s="140"/>
      <c r="N931" s="140"/>
      <c r="O931" s="140"/>
      <c r="P931" s="140"/>
      <c r="Q931" s="140"/>
      <c r="R931" s="140"/>
      <c r="S931" s="140"/>
      <c r="T931" s="140"/>
      <c r="U931" s="140"/>
      <c r="V931" s="140"/>
      <c r="W931" s="140"/>
    </row>
    <row r="932">
      <c r="A932" s="140"/>
      <c r="B932" s="140"/>
      <c r="C932" s="140"/>
      <c r="D932" s="140"/>
      <c r="E932" s="140"/>
      <c r="F932" s="140"/>
      <c r="G932" s="140"/>
      <c r="H932" s="140"/>
      <c r="I932" s="140"/>
      <c r="J932" s="140"/>
      <c r="K932" s="455"/>
      <c r="L932" s="455"/>
      <c r="M932" s="140"/>
      <c r="N932" s="140"/>
      <c r="O932" s="140"/>
      <c r="P932" s="140"/>
      <c r="Q932" s="140"/>
      <c r="R932" s="140"/>
      <c r="S932" s="140"/>
      <c r="T932" s="140"/>
      <c r="U932" s="140"/>
      <c r="V932" s="140"/>
      <c r="W932" s="140"/>
    </row>
    <row r="933">
      <c r="A933" s="140"/>
      <c r="B933" s="140"/>
      <c r="C933" s="140"/>
      <c r="D933" s="140"/>
      <c r="E933" s="140"/>
      <c r="F933" s="140"/>
      <c r="G933" s="140"/>
      <c r="H933" s="140"/>
      <c r="I933" s="140"/>
      <c r="J933" s="140"/>
      <c r="K933" s="455"/>
      <c r="L933" s="455"/>
      <c r="M933" s="140"/>
      <c r="N933" s="140"/>
      <c r="O933" s="140"/>
      <c r="P933" s="140"/>
      <c r="Q933" s="140"/>
      <c r="R933" s="140"/>
      <c r="S933" s="140"/>
      <c r="T933" s="140"/>
      <c r="U933" s="140"/>
      <c r="V933" s="140"/>
      <c r="W933" s="140"/>
    </row>
    <row r="934">
      <c r="A934" s="140"/>
      <c r="B934" s="140"/>
      <c r="C934" s="140"/>
      <c r="D934" s="140"/>
      <c r="E934" s="140"/>
      <c r="F934" s="140"/>
      <c r="G934" s="140"/>
      <c r="H934" s="140"/>
      <c r="I934" s="140"/>
      <c r="J934" s="140"/>
      <c r="K934" s="455"/>
      <c r="L934" s="455"/>
      <c r="M934" s="140"/>
      <c r="N934" s="140"/>
      <c r="O934" s="140"/>
      <c r="P934" s="140"/>
      <c r="Q934" s="140"/>
      <c r="R934" s="140"/>
      <c r="S934" s="140"/>
      <c r="T934" s="140"/>
      <c r="U934" s="140"/>
      <c r="V934" s="140"/>
      <c r="W934" s="140"/>
    </row>
    <row r="935">
      <c r="A935" s="140"/>
      <c r="B935" s="140"/>
      <c r="C935" s="140"/>
      <c r="D935" s="140"/>
      <c r="E935" s="140"/>
      <c r="F935" s="140"/>
      <c r="G935" s="140"/>
      <c r="H935" s="140"/>
      <c r="I935" s="140"/>
      <c r="J935" s="140"/>
      <c r="K935" s="455"/>
      <c r="L935" s="455"/>
      <c r="M935" s="140"/>
      <c r="N935" s="140"/>
      <c r="O935" s="140"/>
      <c r="P935" s="140"/>
      <c r="Q935" s="140"/>
      <c r="R935" s="140"/>
      <c r="S935" s="140"/>
      <c r="T935" s="140"/>
      <c r="U935" s="140"/>
      <c r="V935" s="140"/>
      <c r="W935" s="140"/>
    </row>
    <row r="936">
      <c r="A936" s="140"/>
      <c r="B936" s="140"/>
      <c r="C936" s="140"/>
      <c r="D936" s="140"/>
      <c r="E936" s="140"/>
      <c r="F936" s="140"/>
      <c r="G936" s="140"/>
      <c r="H936" s="140"/>
      <c r="I936" s="140"/>
      <c r="J936" s="140"/>
      <c r="K936" s="455"/>
      <c r="L936" s="455"/>
      <c r="M936" s="140"/>
      <c r="N936" s="140"/>
      <c r="O936" s="140"/>
      <c r="P936" s="140"/>
      <c r="Q936" s="140"/>
      <c r="R936" s="140"/>
      <c r="S936" s="140"/>
      <c r="T936" s="140"/>
      <c r="U936" s="140"/>
      <c r="V936" s="140"/>
      <c r="W936" s="140"/>
    </row>
    <row r="937">
      <c r="A937" s="140"/>
      <c r="B937" s="140"/>
      <c r="C937" s="140"/>
      <c r="D937" s="140"/>
      <c r="E937" s="140"/>
      <c r="F937" s="140"/>
      <c r="G937" s="140"/>
      <c r="H937" s="140"/>
      <c r="I937" s="140"/>
      <c r="J937" s="140"/>
      <c r="K937" s="455"/>
      <c r="L937" s="455"/>
      <c r="M937" s="140"/>
      <c r="N937" s="140"/>
      <c r="O937" s="140"/>
      <c r="P937" s="140"/>
      <c r="Q937" s="140"/>
      <c r="R937" s="140"/>
      <c r="S937" s="140"/>
      <c r="T937" s="140"/>
      <c r="U937" s="140"/>
      <c r="V937" s="140"/>
      <c r="W937" s="140"/>
    </row>
    <row r="938">
      <c r="A938" s="140"/>
      <c r="B938" s="140"/>
      <c r="C938" s="140"/>
      <c r="D938" s="140"/>
      <c r="E938" s="140"/>
      <c r="F938" s="140"/>
      <c r="G938" s="140"/>
      <c r="H938" s="140"/>
      <c r="I938" s="140"/>
      <c r="J938" s="140"/>
      <c r="K938" s="455"/>
      <c r="L938" s="455"/>
      <c r="M938" s="140"/>
      <c r="N938" s="140"/>
      <c r="O938" s="140"/>
      <c r="P938" s="140"/>
      <c r="Q938" s="140"/>
      <c r="R938" s="140"/>
      <c r="S938" s="140"/>
      <c r="T938" s="140"/>
      <c r="U938" s="140"/>
      <c r="V938" s="140"/>
      <c r="W938" s="140"/>
    </row>
    <row r="939">
      <c r="A939" s="140"/>
      <c r="B939" s="140"/>
      <c r="C939" s="140"/>
      <c r="D939" s="140"/>
      <c r="E939" s="140"/>
      <c r="F939" s="140"/>
      <c r="G939" s="140"/>
      <c r="H939" s="140"/>
      <c r="I939" s="140"/>
      <c r="J939" s="140"/>
      <c r="K939" s="455"/>
      <c r="L939" s="455"/>
      <c r="M939" s="140"/>
      <c r="N939" s="140"/>
      <c r="O939" s="140"/>
      <c r="P939" s="140"/>
      <c r="Q939" s="140"/>
      <c r="R939" s="140"/>
      <c r="S939" s="140"/>
      <c r="T939" s="140"/>
      <c r="U939" s="140"/>
      <c r="V939" s="140"/>
      <c r="W939" s="140"/>
    </row>
    <row r="940">
      <c r="A940" s="140"/>
      <c r="B940" s="140"/>
      <c r="C940" s="140"/>
      <c r="D940" s="140"/>
      <c r="E940" s="140"/>
      <c r="F940" s="140"/>
      <c r="G940" s="140"/>
      <c r="H940" s="140"/>
      <c r="I940" s="140"/>
      <c r="J940" s="140"/>
      <c r="K940" s="455"/>
      <c r="L940" s="455"/>
      <c r="M940" s="140"/>
      <c r="N940" s="140"/>
      <c r="O940" s="140"/>
      <c r="P940" s="140"/>
      <c r="Q940" s="140"/>
      <c r="R940" s="140"/>
      <c r="S940" s="140"/>
      <c r="T940" s="140"/>
      <c r="U940" s="140"/>
      <c r="V940" s="140"/>
      <c r="W940" s="140"/>
    </row>
    <row r="941">
      <c r="A941" s="140"/>
      <c r="B941" s="140"/>
      <c r="C941" s="140"/>
      <c r="D941" s="140"/>
      <c r="E941" s="140"/>
      <c r="F941" s="140"/>
      <c r="G941" s="140"/>
      <c r="H941" s="140"/>
      <c r="I941" s="140"/>
      <c r="J941" s="140"/>
      <c r="K941" s="455"/>
      <c r="L941" s="455"/>
      <c r="M941" s="140"/>
      <c r="N941" s="140"/>
      <c r="O941" s="140"/>
      <c r="P941" s="140"/>
      <c r="Q941" s="140"/>
      <c r="R941" s="140"/>
      <c r="S941" s="140"/>
      <c r="T941" s="140"/>
      <c r="U941" s="140"/>
      <c r="V941" s="140"/>
      <c r="W941" s="140"/>
    </row>
    <row r="942">
      <c r="A942" s="140"/>
      <c r="B942" s="140"/>
      <c r="C942" s="140"/>
      <c r="D942" s="140"/>
      <c r="E942" s="140"/>
      <c r="F942" s="140"/>
      <c r="G942" s="140"/>
      <c r="H942" s="140"/>
      <c r="I942" s="140"/>
      <c r="J942" s="140"/>
      <c r="K942" s="455"/>
      <c r="L942" s="455"/>
      <c r="M942" s="140"/>
      <c r="N942" s="140"/>
      <c r="O942" s="140"/>
      <c r="P942" s="140"/>
      <c r="Q942" s="140"/>
      <c r="R942" s="140"/>
      <c r="S942" s="140"/>
      <c r="T942" s="140"/>
      <c r="U942" s="140"/>
      <c r="V942" s="140"/>
      <c r="W942" s="140"/>
    </row>
    <row r="943">
      <c r="A943" s="140"/>
      <c r="B943" s="140"/>
      <c r="C943" s="140"/>
      <c r="D943" s="140"/>
      <c r="E943" s="140"/>
      <c r="F943" s="140"/>
      <c r="G943" s="140"/>
      <c r="H943" s="140"/>
      <c r="I943" s="140"/>
      <c r="J943" s="140"/>
      <c r="K943" s="455"/>
      <c r="L943" s="455"/>
      <c r="M943" s="140"/>
      <c r="N943" s="140"/>
      <c r="O943" s="140"/>
      <c r="P943" s="140"/>
      <c r="Q943" s="140"/>
      <c r="R943" s="140"/>
      <c r="S943" s="140"/>
      <c r="T943" s="140"/>
      <c r="U943" s="140"/>
      <c r="V943" s="140"/>
      <c r="W943" s="140"/>
    </row>
    <row r="944">
      <c r="A944" s="140"/>
      <c r="B944" s="140"/>
      <c r="C944" s="140"/>
      <c r="D944" s="140"/>
      <c r="E944" s="140"/>
      <c r="F944" s="140"/>
      <c r="G944" s="140"/>
      <c r="H944" s="140"/>
      <c r="I944" s="140"/>
      <c r="J944" s="140"/>
      <c r="K944" s="455"/>
      <c r="L944" s="455"/>
      <c r="M944" s="140"/>
      <c r="N944" s="140"/>
      <c r="O944" s="140"/>
      <c r="P944" s="140"/>
      <c r="Q944" s="140"/>
      <c r="R944" s="140"/>
      <c r="S944" s="140"/>
      <c r="T944" s="140"/>
      <c r="U944" s="140"/>
      <c r="V944" s="140"/>
      <c r="W944" s="140"/>
    </row>
    <row r="945">
      <c r="A945" s="140"/>
      <c r="B945" s="140"/>
      <c r="C945" s="140"/>
      <c r="D945" s="140"/>
      <c r="E945" s="140"/>
      <c r="F945" s="140"/>
      <c r="G945" s="140"/>
      <c r="H945" s="140"/>
      <c r="I945" s="140"/>
      <c r="J945" s="140"/>
      <c r="K945" s="455"/>
      <c r="L945" s="455"/>
      <c r="M945" s="140"/>
      <c r="N945" s="140"/>
      <c r="O945" s="140"/>
      <c r="P945" s="140"/>
      <c r="Q945" s="140"/>
      <c r="R945" s="140"/>
      <c r="S945" s="140"/>
      <c r="T945" s="140"/>
      <c r="U945" s="140"/>
      <c r="V945" s="140"/>
      <c r="W945" s="140"/>
    </row>
    <row r="946">
      <c r="A946" s="140"/>
      <c r="B946" s="140"/>
      <c r="C946" s="140"/>
      <c r="D946" s="140"/>
      <c r="E946" s="140"/>
      <c r="F946" s="140"/>
      <c r="G946" s="140"/>
      <c r="H946" s="140"/>
      <c r="I946" s="140"/>
      <c r="J946" s="140"/>
      <c r="K946" s="455"/>
      <c r="L946" s="455"/>
      <c r="M946" s="140"/>
      <c r="N946" s="140"/>
      <c r="O946" s="140"/>
      <c r="P946" s="140"/>
      <c r="Q946" s="140"/>
      <c r="R946" s="140"/>
      <c r="S946" s="140"/>
      <c r="T946" s="140"/>
      <c r="U946" s="140"/>
      <c r="V946" s="140"/>
      <c r="W946" s="140"/>
    </row>
    <row r="947">
      <c r="A947" s="140"/>
      <c r="B947" s="140"/>
      <c r="C947" s="140"/>
      <c r="D947" s="140"/>
      <c r="E947" s="140"/>
      <c r="F947" s="140"/>
      <c r="G947" s="140"/>
      <c r="H947" s="140"/>
      <c r="I947" s="140"/>
      <c r="J947" s="140"/>
      <c r="K947" s="455"/>
      <c r="L947" s="455"/>
      <c r="M947" s="140"/>
      <c r="N947" s="140"/>
      <c r="O947" s="140"/>
      <c r="P947" s="140"/>
      <c r="Q947" s="140"/>
      <c r="R947" s="140"/>
      <c r="S947" s="140"/>
      <c r="T947" s="140"/>
      <c r="U947" s="140"/>
      <c r="V947" s="140"/>
      <c r="W947" s="140"/>
    </row>
    <row r="948">
      <c r="A948" s="140"/>
      <c r="B948" s="140"/>
      <c r="C948" s="140"/>
      <c r="D948" s="140"/>
      <c r="E948" s="140"/>
      <c r="F948" s="140"/>
      <c r="G948" s="140"/>
      <c r="H948" s="140"/>
      <c r="I948" s="140"/>
      <c r="J948" s="140"/>
      <c r="K948" s="455"/>
      <c r="L948" s="455"/>
      <c r="M948" s="140"/>
      <c r="N948" s="140"/>
      <c r="O948" s="140"/>
      <c r="P948" s="140"/>
      <c r="Q948" s="140"/>
      <c r="R948" s="140"/>
      <c r="S948" s="140"/>
      <c r="T948" s="140"/>
      <c r="U948" s="140"/>
      <c r="V948" s="140"/>
      <c r="W948" s="140"/>
    </row>
    <row r="949">
      <c r="A949" s="140"/>
      <c r="B949" s="140"/>
      <c r="C949" s="140"/>
      <c r="D949" s="140"/>
      <c r="E949" s="140"/>
      <c r="F949" s="140"/>
      <c r="G949" s="140"/>
      <c r="H949" s="140"/>
      <c r="I949" s="140"/>
      <c r="J949" s="140"/>
      <c r="K949" s="455"/>
      <c r="L949" s="455"/>
      <c r="M949" s="140"/>
      <c r="N949" s="140"/>
      <c r="O949" s="140"/>
      <c r="P949" s="140"/>
      <c r="Q949" s="140"/>
      <c r="R949" s="140"/>
      <c r="S949" s="140"/>
      <c r="T949" s="140"/>
      <c r="U949" s="140"/>
      <c r="V949" s="140"/>
      <c r="W949" s="140"/>
    </row>
    <row r="950">
      <c r="A950" s="140"/>
      <c r="B950" s="140"/>
      <c r="C950" s="140"/>
      <c r="D950" s="140"/>
      <c r="E950" s="140"/>
      <c r="F950" s="140"/>
      <c r="G950" s="140"/>
      <c r="H950" s="140"/>
      <c r="I950" s="140"/>
      <c r="J950" s="140"/>
      <c r="K950" s="455"/>
      <c r="L950" s="455"/>
      <c r="M950" s="140"/>
      <c r="N950" s="140"/>
      <c r="O950" s="140"/>
      <c r="P950" s="140"/>
      <c r="Q950" s="140"/>
      <c r="R950" s="140"/>
      <c r="S950" s="140"/>
      <c r="T950" s="140"/>
      <c r="U950" s="140"/>
      <c r="V950" s="140"/>
      <c r="W950" s="140"/>
    </row>
    <row r="951">
      <c r="A951" s="140"/>
      <c r="B951" s="140"/>
      <c r="C951" s="140"/>
      <c r="D951" s="140"/>
      <c r="E951" s="140"/>
      <c r="F951" s="140"/>
      <c r="G951" s="140"/>
      <c r="H951" s="140"/>
      <c r="I951" s="140"/>
      <c r="J951" s="140"/>
      <c r="K951" s="455"/>
      <c r="L951" s="455"/>
      <c r="M951" s="140"/>
      <c r="N951" s="140"/>
      <c r="O951" s="140"/>
      <c r="P951" s="140"/>
      <c r="Q951" s="140"/>
      <c r="R951" s="140"/>
      <c r="S951" s="140"/>
      <c r="T951" s="140"/>
      <c r="U951" s="140"/>
      <c r="V951" s="140"/>
      <c r="W951" s="140"/>
    </row>
    <row r="952">
      <c r="A952" s="140"/>
      <c r="B952" s="140"/>
      <c r="C952" s="140"/>
      <c r="D952" s="140"/>
      <c r="E952" s="140"/>
      <c r="F952" s="140"/>
      <c r="G952" s="140"/>
      <c r="H952" s="140"/>
      <c r="I952" s="140"/>
      <c r="J952" s="140"/>
      <c r="K952" s="455"/>
      <c r="L952" s="455"/>
      <c r="M952" s="140"/>
      <c r="N952" s="140"/>
      <c r="O952" s="140"/>
      <c r="P952" s="140"/>
      <c r="Q952" s="140"/>
      <c r="R952" s="140"/>
      <c r="S952" s="140"/>
      <c r="T952" s="140"/>
      <c r="U952" s="140"/>
      <c r="V952" s="140"/>
      <c r="W952" s="140"/>
    </row>
    <row r="953">
      <c r="A953" s="140"/>
      <c r="B953" s="140"/>
      <c r="C953" s="140"/>
      <c r="D953" s="140"/>
      <c r="E953" s="140"/>
      <c r="F953" s="140"/>
      <c r="G953" s="140"/>
      <c r="H953" s="140"/>
      <c r="I953" s="140"/>
      <c r="J953" s="140"/>
      <c r="K953" s="455"/>
      <c r="L953" s="455"/>
      <c r="M953" s="140"/>
      <c r="N953" s="140"/>
      <c r="O953" s="140"/>
      <c r="P953" s="140"/>
      <c r="Q953" s="140"/>
      <c r="R953" s="140"/>
      <c r="S953" s="140"/>
      <c r="T953" s="140"/>
      <c r="U953" s="140"/>
      <c r="V953" s="140"/>
      <c r="W953" s="140"/>
    </row>
    <row r="954">
      <c r="A954" s="140"/>
      <c r="B954" s="140"/>
      <c r="C954" s="140"/>
      <c r="D954" s="140"/>
      <c r="E954" s="140"/>
      <c r="F954" s="140"/>
      <c r="G954" s="140"/>
      <c r="H954" s="140"/>
      <c r="I954" s="140"/>
      <c r="J954" s="140"/>
      <c r="K954" s="455"/>
      <c r="L954" s="455"/>
      <c r="M954" s="140"/>
      <c r="N954" s="140"/>
      <c r="O954" s="140"/>
      <c r="P954" s="140"/>
      <c r="Q954" s="140"/>
      <c r="R954" s="140"/>
      <c r="S954" s="140"/>
      <c r="T954" s="140"/>
      <c r="U954" s="140"/>
      <c r="V954" s="140"/>
      <c r="W954" s="140"/>
    </row>
    <row r="955">
      <c r="A955" s="140"/>
      <c r="B955" s="140"/>
      <c r="C955" s="140"/>
      <c r="D955" s="140"/>
      <c r="E955" s="140"/>
      <c r="F955" s="140"/>
      <c r="G955" s="140"/>
      <c r="H955" s="140"/>
      <c r="I955" s="140"/>
      <c r="J955" s="140"/>
      <c r="K955" s="455"/>
      <c r="L955" s="455"/>
      <c r="M955" s="140"/>
      <c r="N955" s="140"/>
      <c r="O955" s="140"/>
      <c r="P955" s="140"/>
      <c r="Q955" s="140"/>
      <c r="R955" s="140"/>
      <c r="S955" s="140"/>
      <c r="T955" s="140"/>
      <c r="U955" s="140"/>
      <c r="V955" s="140"/>
      <c r="W955" s="140"/>
    </row>
    <row r="956">
      <c r="A956" s="140"/>
      <c r="B956" s="140"/>
      <c r="C956" s="140"/>
      <c r="D956" s="140"/>
      <c r="E956" s="140"/>
      <c r="F956" s="140"/>
      <c r="G956" s="140"/>
      <c r="H956" s="140"/>
      <c r="I956" s="140"/>
      <c r="J956" s="140"/>
      <c r="K956" s="455"/>
      <c r="L956" s="455"/>
      <c r="M956" s="140"/>
      <c r="N956" s="140"/>
      <c r="O956" s="140"/>
      <c r="P956" s="140"/>
      <c r="Q956" s="140"/>
      <c r="R956" s="140"/>
      <c r="S956" s="140"/>
      <c r="T956" s="140"/>
      <c r="U956" s="140"/>
      <c r="V956" s="140"/>
      <c r="W956" s="140"/>
    </row>
    <row r="957">
      <c r="A957" s="140"/>
      <c r="B957" s="140"/>
      <c r="C957" s="140"/>
      <c r="D957" s="140"/>
      <c r="E957" s="140"/>
      <c r="F957" s="140"/>
      <c r="G957" s="140"/>
      <c r="H957" s="140"/>
      <c r="I957" s="140"/>
      <c r="J957" s="140"/>
      <c r="K957" s="455"/>
      <c r="L957" s="455"/>
      <c r="M957" s="140"/>
      <c r="N957" s="140"/>
      <c r="O957" s="140"/>
      <c r="P957" s="140"/>
      <c r="Q957" s="140"/>
      <c r="R957" s="140"/>
      <c r="S957" s="140"/>
      <c r="T957" s="140"/>
      <c r="U957" s="140"/>
      <c r="V957" s="140"/>
      <c r="W957" s="140"/>
    </row>
    <row r="958">
      <c r="A958" s="140"/>
      <c r="B958" s="140"/>
      <c r="C958" s="140"/>
      <c r="D958" s="140"/>
      <c r="E958" s="140"/>
      <c r="F958" s="140"/>
      <c r="G958" s="140"/>
      <c r="H958" s="140"/>
      <c r="I958" s="140"/>
      <c r="J958" s="140"/>
      <c r="K958" s="455"/>
      <c r="L958" s="455"/>
      <c r="M958" s="140"/>
      <c r="N958" s="140"/>
      <c r="O958" s="140"/>
      <c r="P958" s="140"/>
      <c r="Q958" s="140"/>
      <c r="R958" s="140"/>
      <c r="S958" s="140"/>
      <c r="T958" s="140"/>
      <c r="U958" s="140"/>
      <c r="V958" s="140"/>
      <c r="W958" s="140"/>
    </row>
    <row r="959">
      <c r="A959" s="140"/>
      <c r="B959" s="140"/>
      <c r="C959" s="140"/>
      <c r="D959" s="140"/>
      <c r="E959" s="140"/>
      <c r="F959" s="140"/>
      <c r="G959" s="140"/>
      <c r="H959" s="140"/>
      <c r="I959" s="140"/>
      <c r="J959" s="140"/>
      <c r="K959" s="455"/>
      <c r="L959" s="455"/>
      <c r="M959" s="140"/>
      <c r="N959" s="140"/>
      <c r="O959" s="140"/>
      <c r="P959" s="140"/>
      <c r="Q959" s="140"/>
      <c r="R959" s="140"/>
      <c r="S959" s="140"/>
      <c r="T959" s="140"/>
      <c r="U959" s="140"/>
      <c r="V959" s="140"/>
      <c r="W959" s="140"/>
    </row>
    <row r="960">
      <c r="A960" s="140"/>
      <c r="B960" s="140"/>
      <c r="C960" s="140"/>
      <c r="D960" s="140"/>
      <c r="E960" s="140"/>
      <c r="F960" s="140"/>
      <c r="G960" s="140"/>
      <c r="H960" s="140"/>
      <c r="I960" s="140"/>
      <c r="J960" s="140"/>
      <c r="K960" s="455"/>
      <c r="L960" s="455"/>
      <c r="M960" s="140"/>
      <c r="N960" s="140"/>
      <c r="O960" s="140"/>
      <c r="P960" s="140"/>
      <c r="Q960" s="140"/>
      <c r="R960" s="140"/>
      <c r="S960" s="140"/>
      <c r="T960" s="140"/>
      <c r="U960" s="140"/>
      <c r="V960" s="140"/>
      <c r="W960" s="140"/>
    </row>
    <row r="961">
      <c r="A961" s="140"/>
      <c r="B961" s="140"/>
      <c r="C961" s="140"/>
      <c r="D961" s="140"/>
      <c r="E961" s="140"/>
      <c r="F961" s="140"/>
      <c r="G961" s="140"/>
      <c r="H961" s="140"/>
      <c r="I961" s="140"/>
      <c r="J961" s="140"/>
      <c r="K961" s="455"/>
      <c r="L961" s="455"/>
      <c r="M961" s="140"/>
      <c r="N961" s="140"/>
      <c r="O961" s="140"/>
      <c r="P961" s="140"/>
      <c r="Q961" s="140"/>
      <c r="R961" s="140"/>
      <c r="S961" s="140"/>
      <c r="T961" s="140"/>
      <c r="U961" s="140"/>
      <c r="V961" s="140"/>
      <c r="W961" s="140"/>
    </row>
    <row r="962">
      <c r="A962" s="140"/>
      <c r="B962" s="140"/>
      <c r="C962" s="140"/>
      <c r="D962" s="140"/>
      <c r="E962" s="140"/>
      <c r="F962" s="140"/>
      <c r="G962" s="140"/>
      <c r="H962" s="140"/>
      <c r="I962" s="140"/>
      <c r="J962" s="140"/>
      <c r="K962" s="455"/>
      <c r="L962" s="455"/>
      <c r="M962" s="140"/>
      <c r="N962" s="140"/>
      <c r="O962" s="140"/>
      <c r="P962" s="140"/>
      <c r="Q962" s="140"/>
      <c r="R962" s="140"/>
      <c r="S962" s="140"/>
      <c r="T962" s="140"/>
      <c r="U962" s="140"/>
      <c r="V962" s="140"/>
      <c r="W962" s="140"/>
    </row>
    <row r="963">
      <c r="A963" s="140"/>
      <c r="B963" s="140"/>
      <c r="C963" s="140"/>
      <c r="D963" s="140"/>
      <c r="E963" s="140"/>
      <c r="F963" s="140"/>
      <c r="G963" s="140"/>
      <c r="H963" s="140"/>
      <c r="I963" s="140"/>
      <c r="J963" s="140"/>
      <c r="K963" s="455"/>
      <c r="L963" s="455"/>
      <c r="M963" s="140"/>
      <c r="N963" s="140"/>
      <c r="O963" s="140"/>
      <c r="P963" s="140"/>
      <c r="Q963" s="140"/>
      <c r="R963" s="140"/>
      <c r="S963" s="140"/>
      <c r="T963" s="140"/>
      <c r="U963" s="140"/>
      <c r="V963" s="140"/>
      <c r="W963" s="140"/>
    </row>
    <row r="964">
      <c r="A964" s="140"/>
      <c r="B964" s="140"/>
      <c r="C964" s="140"/>
      <c r="D964" s="140"/>
      <c r="E964" s="140"/>
      <c r="F964" s="140"/>
      <c r="G964" s="140"/>
      <c r="H964" s="140"/>
      <c r="I964" s="140"/>
      <c r="J964" s="140"/>
      <c r="K964" s="455"/>
      <c r="L964" s="455"/>
      <c r="M964" s="140"/>
      <c r="N964" s="140"/>
      <c r="O964" s="140"/>
      <c r="P964" s="140"/>
      <c r="Q964" s="140"/>
      <c r="R964" s="140"/>
      <c r="S964" s="140"/>
      <c r="T964" s="140"/>
      <c r="U964" s="140"/>
      <c r="V964" s="140"/>
      <c r="W964" s="140"/>
    </row>
    <row r="965">
      <c r="A965" s="140"/>
      <c r="B965" s="140"/>
      <c r="C965" s="140"/>
      <c r="D965" s="140"/>
      <c r="E965" s="140"/>
      <c r="F965" s="140"/>
      <c r="G965" s="140"/>
      <c r="H965" s="140"/>
      <c r="I965" s="140"/>
      <c r="J965" s="140"/>
      <c r="K965" s="455"/>
      <c r="L965" s="455"/>
      <c r="M965" s="140"/>
      <c r="N965" s="140"/>
      <c r="O965" s="140"/>
      <c r="P965" s="140"/>
      <c r="Q965" s="140"/>
      <c r="R965" s="140"/>
      <c r="S965" s="140"/>
      <c r="T965" s="140"/>
      <c r="U965" s="140"/>
      <c r="V965" s="140"/>
      <c r="W965" s="140"/>
    </row>
    <row r="966">
      <c r="A966" s="140"/>
      <c r="B966" s="140"/>
      <c r="C966" s="140"/>
      <c r="D966" s="140"/>
      <c r="E966" s="140"/>
      <c r="F966" s="140"/>
      <c r="G966" s="140"/>
      <c r="H966" s="140"/>
      <c r="I966" s="140"/>
      <c r="J966" s="140"/>
      <c r="K966" s="455"/>
      <c r="L966" s="455"/>
      <c r="M966" s="140"/>
      <c r="N966" s="140"/>
      <c r="O966" s="140"/>
      <c r="P966" s="140"/>
      <c r="Q966" s="140"/>
      <c r="R966" s="140"/>
      <c r="S966" s="140"/>
      <c r="T966" s="140"/>
      <c r="U966" s="140"/>
      <c r="V966" s="140"/>
      <c r="W966" s="140"/>
    </row>
    <row r="967">
      <c r="A967" s="140"/>
      <c r="B967" s="140"/>
      <c r="C967" s="140"/>
      <c r="D967" s="140"/>
      <c r="E967" s="140"/>
      <c r="F967" s="140"/>
      <c r="G967" s="140"/>
      <c r="H967" s="140"/>
      <c r="I967" s="140"/>
      <c r="J967" s="140"/>
      <c r="K967" s="455"/>
      <c r="L967" s="455"/>
      <c r="M967" s="140"/>
      <c r="N967" s="140"/>
      <c r="O967" s="140"/>
      <c r="P967" s="140"/>
      <c r="Q967" s="140"/>
      <c r="R967" s="140"/>
      <c r="S967" s="140"/>
      <c r="T967" s="140"/>
      <c r="U967" s="140"/>
      <c r="V967" s="140"/>
      <c r="W967" s="140"/>
    </row>
    <row r="968">
      <c r="A968" s="140"/>
      <c r="B968" s="140"/>
      <c r="C968" s="140"/>
      <c r="D968" s="140"/>
      <c r="E968" s="140"/>
      <c r="F968" s="140"/>
      <c r="G968" s="140"/>
      <c r="H968" s="140"/>
      <c r="I968" s="140"/>
      <c r="J968" s="140"/>
      <c r="K968" s="455"/>
      <c r="L968" s="455"/>
      <c r="M968" s="140"/>
      <c r="N968" s="140"/>
      <c r="O968" s="140"/>
      <c r="P968" s="140"/>
      <c r="Q968" s="140"/>
      <c r="R968" s="140"/>
      <c r="S968" s="140"/>
      <c r="T968" s="140"/>
      <c r="U968" s="140"/>
      <c r="V968" s="140"/>
      <c r="W968" s="140"/>
    </row>
    <row r="969">
      <c r="A969" s="140"/>
      <c r="B969" s="140"/>
      <c r="C969" s="140"/>
      <c r="D969" s="140"/>
      <c r="E969" s="140"/>
      <c r="F969" s="140"/>
      <c r="G969" s="140"/>
      <c r="H969" s="140"/>
      <c r="I969" s="140"/>
      <c r="J969" s="140"/>
      <c r="K969" s="455"/>
      <c r="L969" s="455"/>
      <c r="M969" s="140"/>
      <c r="N969" s="140"/>
      <c r="O969" s="140"/>
      <c r="P969" s="140"/>
      <c r="Q969" s="140"/>
      <c r="R969" s="140"/>
      <c r="S969" s="140"/>
      <c r="T969" s="140"/>
      <c r="U969" s="140"/>
      <c r="V969" s="140"/>
      <c r="W969" s="140"/>
    </row>
    <row r="970">
      <c r="A970" s="140"/>
      <c r="B970" s="140"/>
      <c r="C970" s="140"/>
      <c r="D970" s="140"/>
      <c r="E970" s="140"/>
      <c r="F970" s="140"/>
      <c r="G970" s="140"/>
      <c r="H970" s="140"/>
      <c r="I970" s="140"/>
      <c r="J970" s="140"/>
      <c r="K970" s="455"/>
      <c r="L970" s="455"/>
      <c r="M970" s="140"/>
      <c r="N970" s="140"/>
      <c r="O970" s="140"/>
      <c r="P970" s="140"/>
      <c r="Q970" s="140"/>
      <c r="R970" s="140"/>
      <c r="S970" s="140"/>
      <c r="T970" s="140"/>
      <c r="U970" s="140"/>
      <c r="V970" s="140"/>
      <c r="W970" s="140"/>
    </row>
    <row r="971">
      <c r="A971" s="140"/>
      <c r="B971" s="140"/>
      <c r="C971" s="140"/>
      <c r="D971" s="140"/>
      <c r="E971" s="140"/>
      <c r="F971" s="140"/>
      <c r="G971" s="140"/>
      <c r="H971" s="140"/>
      <c r="I971" s="140"/>
      <c r="J971" s="140"/>
      <c r="K971" s="455"/>
      <c r="L971" s="455"/>
      <c r="M971" s="140"/>
      <c r="N971" s="140"/>
      <c r="O971" s="140"/>
      <c r="P971" s="140"/>
      <c r="Q971" s="140"/>
      <c r="R971" s="140"/>
      <c r="S971" s="140"/>
      <c r="T971" s="140"/>
      <c r="U971" s="140"/>
      <c r="V971" s="140"/>
      <c r="W971" s="140"/>
    </row>
    <row r="972">
      <c r="A972" s="140"/>
      <c r="B972" s="140"/>
      <c r="C972" s="140"/>
      <c r="D972" s="140"/>
      <c r="E972" s="140"/>
      <c r="F972" s="140"/>
      <c r="G972" s="140"/>
      <c r="H972" s="140"/>
      <c r="I972" s="140"/>
      <c r="J972" s="140"/>
      <c r="K972" s="455"/>
      <c r="L972" s="455"/>
      <c r="M972" s="140"/>
      <c r="N972" s="140"/>
      <c r="O972" s="140"/>
      <c r="P972" s="140"/>
      <c r="Q972" s="140"/>
      <c r="R972" s="140"/>
      <c r="S972" s="140"/>
      <c r="T972" s="140"/>
      <c r="U972" s="140"/>
      <c r="V972" s="140"/>
      <c r="W972" s="140"/>
    </row>
    <row r="973">
      <c r="A973" s="140"/>
      <c r="B973" s="140"/>
      <c r="C973" s="140"/>
      <c r="D973" s="140"/>
      <c r="E973" s="140"/>
      <c r="F973" s="140"/>
      <c r="G973" s="140"/>
      <c r="H973" s="140"/>
      <c r="I973" s="140"/>
      <c r="J973" s="140"/>
      <c r="K973" s="455"/>
      <c r="L973" s="455"/>
      <c r="M973" s="140"/>
      <c r="N973" s="140"/>
      <c r="O973" s="140"/>
      <c r="P973" s="140"/>
      <c r="Q973" s="140"/>
      <c r="R973" s="140"/>
      <c r="S973" s="140"/>
      <c r="T973" s="140"/>
      <c r="U973" s="140"/>
      <c r="V973" s="140"/>
      <c r="W973" s="140"/>
    </row>
    <row r="974">
      <c r="A974" s="140"/>
      <c r="B974" s="140"/>
      <c r="C974" s="140"/>
      <c r="D974" s="140"/>
      <c r="E974" s="140"/>
      <c r="F974" s="140"/>
      <c r="G974" s="140"/>
      <c r="H974" s="140"/>
      <c r="I974" s="140"/>
      <c r="J974" s="140"/>
      <c r="K974" s="455"/>
      <c r="L974" s="455"/>
      <c r="M974" s="140"/>
      <c r="N974" s="140"/>
      <c r="O974" s="140"/>
      <c r="P974" s="140"/>
      <c r="Q974" s="140"/>
      <c r="R974" s="140"/>
      <c r="S974" s="140"/>
      <c r="T974" s="140"/>
      <c r="U974" s="140"/>
      <c r="V974" s="140"/>
      <c r="W974" s="140"/>
    </row>
    <row r="975">
      <c r="A975" s="140"/>
      <c r="B975" s="140"/>
      <c r="C975" s="140"/>
      <c r="D975" s="140"/>
      <c r="E975" s="140"/>
      <c r="F975" s="140"/>
      <c r="G975" s="140"/>
      <c r="H975" s="140"/>
      <c r="I975" s="140"/>
      <c r="J975" s="140"/>
      <c r="K975" s="455"/>
      <c r="L975" s="455"/>
      <c r="M975" s="140"/>
      <c r="N975" s="140"/>
      <c r="O975" s="140"/>
      <c r="P975" s="140"/>
      <c r="Q975" s="140"/>
      <c r="R975" s="140"/>
      <c r="S975" s="140"/>
      <c r="T975" s="140"/>
      <c r="U975" s="140"/>
      <c r="V975" s="140"/>
      <c r="W975" s="140"/>
    </row>
    <row r="976">
      <c r="A976" s="140"/>
      <c r="B976" s="140"/>
      <c r="C976" s="140"/>
      <c r="D976" s="140"/>
      <c r="E976" s="140"/>
      <c r="F976" s="140"/>
      <c r="G976" s="140"/>
      <c r="H976" s="140"/>
      <c r="I976" s="140"/>
      <c r="J976" s="140"/>
      <c r="K976" s="455"/>
      <c r="L976" s="455"/>
      <c r="M976" s="140"/>
      <c r="N976" s="140"/>
      <c r="O976" s="140"/>
      <c r="P976" s="140"/>
      <c r="Q976" s="140"/>
      <c r="R976" s="140"/>
      <c r="S976" s="140"/>
      <c r="T976" s="140"/>
      <c r="U976" s="140"/>
      <c r="V976" s="140"/>
      <c r="W976" s="140"/>
    </row>
    <row r="977">
      <c r="A977" s="140"/>
      <c r="B977" s="140"/>
      <c r="C977" s="140"/>
      <c r="D977" s="140"/>
      <c r="E977" s="140"/>
      <c r="F977" s="140"/>
      <c r="G977" s="140"/>
      <c r="H977" s="140"/>
      <c r="I977" s="140"/>
      <c r="J977" s="140"/>
      <c r="K977" s="455"/>
      <c r="L977" s="455"/>
      <c r="M977" s="140"/>
      <c r="N977" s="140"/>
      <c r="O977" s="140"/>
      <c r="P977" s="140"/>
      <c r="Q977" s="140"/>
      <c r="R977" s="140"/>
      <c r="S977" s="140"/>
      <c r="T977" s="140"/>
      <c r="U977" s="140"/>
      <c r="V977" s="140"/>
      <c r="W977" s="140"/>
    </row>
    <row r="978">
      <c r="A978" s="140"/>
      <c r="B978" s="140"/>
      <c r="C978" s="140"/>
      <c r="D978" s="140"/>
      <c r="E978" s="140"/>
      <c r="F978" s="140"/>
      <c r="G978" s="140"/>
      <c r="H978" s="140"/>
      <c r="I978" s="140"/>
      <c r="J978" s="140"/>
      <c r="K978" s="455"/>
      <c r="L978" s="455"/>
      <c r="M978" s="140"/>
      <c r="N978" s="140"/>
      <c r="O978" s="140"/>
      <c r="P978" s="140"/>
      <c r="Q978" s="140"/>
      <c r="R978" s="140"/>
      <c r="S978" s="140"/>
      <c r="T978" s="140"/>
      <c r="U978" s="140"/>
      <c r="V978" s="140"/>
      <c r="W978" s="140"/>
    </row>
    <row r="979">
      <c r="A979" s="140"/>
      <c r="B979" s="140"/>
      <c r="C979" s="140"/>
      <c r="D979" s="140"/>
      <c r="E979" s="140"/>
      <c r="F979" s="140"/>
      <c r="G979" s="140"/>
      <c r="H979" s="140"/>
      <c r="I979" s="140"/>
      <c r="J979" s="140"/>
      <c r="K979" s="455"/>
      <c r="L979" s="455"/>
      <c r="M979" s="140"/>
      <c r="N979" s="140"/>
      <c r="O979" s="140"/>
      <c r="P979" s="140"/>
      <c r="Q979" s="140"/>
      <c r="R979" s="140"/>
      <c r="S979" s="140"/>
      <c r="T979" s="140"/>
      <c r="U979" s="140"/>
      <c r="V979" s="140"/>
      <c r="W979" s="140"/>
    </row>
    <row r="980">
      <c r="A980" s="140"/>
      <c r="B980" s="140"/>
      <c r="C980" s="140"/>
      <c r="D980" s="140"/>
      <c r="E980" s="140"/>
      <c r="F980" s="140"/>
      <c r="G980" s="140"/>
      <c r="H980" s="140"/>
      <c r="I980" s="140"/>
      <c r="J980" s="140"/>
      <c r="K980" s="455"/>
      <c r="L980" s="455"/>
      <c r="M980" s="140"/>
      <c r="N980" s="140"/>
      <c r="O980" s="140"/>
      <c r="P980" s="140"/>
      <c r="Q980" s="140"/>
      <c r="R980" s="140"/>
      <c r="S980" s="140"/>
      <c r="T980" s="140"/>
      <c r="U980" s="140"/>
      <c r="V980" s="140"/>
      <c r="W980" s="140"/>
    </row>
    <row r="981">
      <c r="A981" s="140"/>
      <c r="B981" s="140"/>
      <c r="C981" s="140"/>
      <c r="D981" s="140"/>
      <c r="E981" s="140"/>
      <c r="F981" s="140"/>
      <c r="G981" s="140"/>
      <c r="H981" s="140"/>
      <c r="I981" s="140"/>
      <c r="J981" s="140"/>
      <c r="K981" s="455"/>
      <c r="L981" s="455"/>
      <c r="M981" s="140"/>
      <c r="N981" s="140"/>
      <c r="O981" s="140"/>
      <c r="P981" s="140"/>
      <c r="Q981" s="140"/>
      <c r="R981" s="140"/>
      <c r="S981" s="140"/>
      <c r="T981" s="140"/>
      <c r="U981" s="140"/>
      <c r="V981" s="140"/>
      <c r="W981" s="140"/>
    </row>
    <row r="982">
      <c r="A982" s="140"/>
      <c r="B982" s="140"/>
      <c r="C982" s="140"/>
      <c r="D982" s="140"/>
      <c r="E982" s="140"/>
      <c r="F982" s="140"/>
      <c r="G982" s="140"/>
      <c r="H982" s="140"/>
      <c r="I982" s="140"/>
      <c r="J982" s="140"/>
      <c r="K982" s="455"/>
      <c r="L982" s="455"/>
      <c r="M982" s="140"/>
      <c r="N982" s="140"/>
      <c r="O982" s="140"/>
      <c r="P982" s="140"/>
      <c r="Q982" s="140"/>
      <c r="R982" s="140"/>
      <c r="S982" s="140"/>
      <c r="T982" s="140"/>
      <c r="U982" s="140"/>
      <c r="V982" s="140"/>
      <c r="W982" s="140"/>
    </row>
    <row r="983">
      <c r="A983" s="140"/>
      <c r="B983" s="140"/>
      <c r="C983" s="140"/>
      <c r="D983" s="140"/>
      <c r="E983" s="140"/>
      <c r="F983" s="140"/>
      <c r="G983" s="140"/>
      <c r="H983" s="140"/>
      <c r="I983" s="140"/>
      <c r="J983" s="140"/>
      <c r="K983" s="455"/>
      <c r="L983" s="455"/>
      <c r="M983" s="140"/>
      <c r="N983" s="140"/>
      <c r="O983" s="140"/>
      <c r="P983" s="140"/>
      <c r="Q983" s="140"/>
      <c r="R983" s="140"/>
      <c r="S983" s="140"/>
      <c r="T983" s="140"/>
      <c r="U983" s="140"/>
      <c r="V983" s="140"/>
      <c r="W983" s="140"/>
    </row>
    <row r="984">
      <c r="A984" s="140"/>
      <c r="B984" s="140"/>
      <c r="C984" s="140"/>
      <c r="D984" s="140"/>
      <c r="E984" s="140"/>
      <c r="F984" s="140"/>
      <c r="G984" s="140"/>
      <c r="H984" s="140"/>
      <c r="I984" s="140"/>
      <c r="J984" s="140"/>
      <c r="K984" s="455"/>
      <c r="L984" s="455"/>
      <c r="M984" s="140"/>
      <c r="N984" s="140"/>
      <c r="O984" s="140"/>
      <c r="P984" s="140"/>
      <c r="Q984" s="140"/>
      <c r="R984" s="140"/>
      <c r="S984" s="140"/>
      <c r="T984" s="140"/>
      <c r="U984" s="140"/>
      <c r="V984" s="140"/>
      <c r="W984" s="140"/>
    </row>
    <row r="985">
      <c r="A985" s="140"/>
      <c r="B985" s="140"/>
      <c r="C985" s="140"/>
      <c r="D985" s="140"/>
      <c r="E985" s="140"/>
      <c r="F985" s="140"/>
      <c r="G985" s="140"/>
      <c r="H985" s="140"/>
      <c r="I985" s="140"/>
      <c r="J985" s="140"/>
      <c r="K985" s="455"/>
      <c r="L985" s="455"/>
      <c r="M985" s="140"/>
      <c r="N985" s="140"/>
      <c r="O985" s="140"/>
      <c r="P985" s="140"/>
      <c r="Q985" s="140"/>
      <c r="R985" s="140"/>
      <c r="S985" s="140"/>
      <c r="T985" s="140"/>
      <c r="U985" s="140"/>
      <c r="V985" s="140"/>
      <c r="W985" s="140"/>
    </row>
    <row r="986">
      <c r="A986" s="140"/>
      <c r="B986" s="140"/>
      <c r="C986" s="140"/>
      <c r="D986" s="140"/>
      <c r="E986" s="140"/>
      <c r="F986" s="140"/>
      <c r="G986" s="140"/>
      <c r="H986" s="140"/>
      <c r="I986" s="140"/>
      <c r="J986" s="140"/>
      <c r="K986" s="455"/>
      <c r="L986" s="455"/>
      <c r="M986" s="140"/>
      <c r="N986" s="140"/>
      <c r="O986" s="140"/>
      <c r="P986" s="140"/>
      <c r="Q986" s="140"/>
      <c r="R986" s="140"/>
      <c r="S986" s="140"/>
      <c r="T986" s="140"/>
      <c r="U986" s="140"/>
      <c r="V986" s="140"/>
      <c r="W986" s="140"/>
    </row>
    <row r="987">
      <c r="A987" s="140"/>
      <c r="B987" s="140"/>
      <c r="C987" s="140"/>
      <c r="D987" s="140"/>
      <c r="E987" s="140"/>
      <c r="F987" s="140"/>
      <c r="G987" s="140"/>
      <c r="H987" s="140"/>
      <c r="I987" s="140"/>
      <c r="J987" s="140"/>
      <c r="K987" s="455"/>
      <c r="L987" s="455"/>
      <c r="M987" s="140"/>
      <c r="N987" s="140"/>
      <c r="O987" s="140"/>
      <c r="P987" s="140"/>
      <c r="Q987" s="140"/>
      <c r="R987" s="140"/>
      <c r="S987" s="140"/>
      <c r="T987" s="140"/>
      <c r="U987" s="140"/>
      <c r="V987" s="140"/>
      <c r="W987" s="140"/>
    </row>
    <row r="988">
      <c r="A988" s="140"/>
      <c r="B988" s="140"/>
      <c r="C988" s="140"/>
      <c r="D988" s="140"/>
      <c r="E988" s="140"/>
      <c r="F988" s="140"/>
      <c r="G988" s="140"/>
      <c r="H988" s="140"/>
      <c r="I988" s="140"/>
      <c r="J988" s="140"/>
      <c r="K988" s="455"/>
      <c r="L988" s="455"/>
      <c r="M988" s="140"/>
      <c r="N988" s="140"/>
      <c r="O988" s="140"/>
      <c r="P988" s="140"/>
      <c r="Q988" s="140"/>
      <c r="R988" s="140"/>
      <c r="S988" s="140"/>
      <c r="T988" s="140"/>
      <c r="U988" s="140"/>
      <c r="V988" s="140"/>
      <c r="W988" s="140"/>
    </row>
    <row r="989">
      <c r="A989" s="140"/>
      <c r="B989" s="140"/>
      <c r="C989" s="140"/>
      <c r="D989" s="140"/>
      <c r="E989" s="140"/>
      <c r="F989" s="140"/>
      <c r="G989" s="140"/>
      <c r="H989" s="140"/>
      <c r="I989" s="140"/>
      <c r="J989" s="140"/>
      <c r="K989" s="455"/>
      <c r="L989" s="455"/>
      <c r="M989" s="140"/>
      <c r="N989" s="140"/>
      <c r="O989" s="140"/>
      <c r="P989" s="140"/>
      <c r="Q989" s="140"/>
      <c r="R989" s="140"/>
      <c r="S989" s="140"/>
      <c r="T989" s="140"/>
      <c r="U989" s="140"/>
      <c r="V989" s="140"/>
      <c r="W989" s="140"/>
    </row>
    <row r="990">
      <c r="A990" s="140"/>
      <c r="B990" s="140"/>
      <c r="C990" s="140"/>
      <c r="D990" s="140"/>
      <c r="E990" s="140"/>
      <c r="F990" s="140"/>
      <c r="G990" s="140"/>
      <c r="H990" s="140"/>
      <c r="I990" s="140"/>
      <c r="J990" s="140"/>
      <c r="K990" s="455"/>
      <c r="L990" s="455"/>
      <c r="M990" s="140"/>
      <c r="N990" s="140"/>
      <c r="O990" s="140"/>
      <c r="P990" s="140"/>
      <c r="Q990" s="140"/>
      <c r="R990" s="140"/>
      <c r="S990" s="140"/>
      <c r="T990" s="140"/>
      <c r="U990" s="140"/>
      <c r="V990" s="140"/>
      <c r="W990" s="140"/>
    </row>
    <row r="991">
      <c r="A991" s="140"/>
      <c r="B991" s="140"/>
      <c r="C991" s="140"/>
      <c r="D991" s="140"/>
      <c r="E991" s="140"/>
      <c r="F991" s="140"/>
      <c r="G991" s="140"/>
      <c r="H991" s="140"/>
      <c r="I991" s="140"/>
      <c r="J991" s="140"/>
      <c r="K991" s="455"/>
      <c r="L991" s="455"/>
      <c r="M991" s="140"/>
      <c r="N991" s="140"/>
      <c r="O991" s="140"/>
      <c r="P991" s="140"/>
      <c r="Q991" s="140"/>
      <c r="R991" s="140"/>
      <c r="S991" s="140"/>
      <c r="T991" s="140"/>
      <c r="U991" s="140"/>
      <c r="V991" s="140"/>
      <c r="W991" s="140"/>
    </row>
    <row r="992">
      <c r="A992" s="140"/>
      <c r="B992" s="140"/>
      <c r="C992" s="140"/>
      <c r="D992" s="140"/>
      <c r="E992" s="140"/>
      <c r="F992" s="140"/>
      <c r="G992" s="140"/>
      <c r="H992" s="140"/>
      <c r="I992" s="140"/>
      <c r="J992" s="140"/>
      <c r="K992" s="455"/>
      <c r="L992" s="455"/>
      <c r="M992" s="140"/>
      <c r="N992" s="140"/>
      <c r="O992" s="140"/>
      <c r="P992" s="140"/>
      <c r="Q992" s="140"/>
      <c r="R992" s="140"/>
      <c r="S992" s="140"/>
      <c r="T992" s="140"/>
      <c r="U992" s="140"/>
      <c r="V992" s="140"/>
      <c r="W992" s="140"/>
    </row>
    <row r="993">
      <c r="A993" s="140"/>
      <c r="B993" s="140"/>
      <c r="C993" s="140"/>
      <c r="D993" s="140"/>
      <c r="E993" s="140"/>
      <c r="F993" s="140"/>
      <c r="G993" s="140"/>
      <c r="H993" s="140"/>
      <c r="I993" s="140"/>
      <c r="J993" s="140"/>
      <c r="K993" s="455"/>
      <c r="L993" s="455"/>
      <c r="M993" s="140"/>
      <c r="N993" s="140"/>
      <c r="O993" s="140"/>
      <c r="P993" s="140"/>
      <c r="Q993" s="140"/>
      <c r="R993" s="140"/>
      <c r="S993" s="140"/>
      <c r="T993" s="140"/>
      <c r="U993" s="140"/>
      <c r="V993" s="140"/>
      <c r="W993" s="140"/>
    </row>
    <row r="994">
      <c r="A994" s="140"/>
      <c r="B994" s="140"/>
      <c r="C994" s="140"/>
      <c r="D994" s="140"/>
      <c r="E994" s="140"/>
      <c r="F994" s="140"/>
      <c r="G994" s="140"/>
      <c r="H994" s="140"/>
      <c r="I994" s="140"/>
      <c r="J994" s="140"/>
      <c r="K994" s="455"/>
      <c r="L994" s="455"/>
      <c r="M994" s="140"/>
      <c r="N994" s="140"/>
      <c r="O994" s="140"/>
      <c r="P994" s="140"/>
      <c r="Q994" s="140"/>
      <c r="R994" s="140"/>
      <c r="S994" s="140"/>
      <c r="T994" s="140"/>
      <c r="U994" s="140"/>
      <c r="V994" s="140"/>
      <c r="W994" s="140"/>
    </row>
    <row r="995">
      <c r="A995" s="140"/>
      <c r="B995" s="140"/>
      <c r="C995" s="140"/>
      <c r="D995" s="140"/>
      <c r="E995" s="140"/>
      <c r="F995" s="140"/>
      <c r="G995" s="140"/>
      <c r="H995" s="140"/>
      <c r="I995" s="140"/>
      <c r="J995" s="140"/>
      <c r="K995" s="455"/>
      <c r="L995" s="455"/>
      <c r="M995" s="140"/>
      <c r="N995" s="140"/>
      <c r="O995" s="140"/>
      <c r="P995" s="140"/>
      <c r="Q995" s="140"/>
      <c r="R995" s="140"/>
      <c r="S995" s="140"/>
      <c r="T995" s="140"/>
      <c r="U995" s="140"/>
      <c r="V995" s="140"/>
      <c r="W995" s="140"/>
    </row>
    <row r="996">
      <c r="A996" s="140"/>
      <c r="B996" s="140"/>
      <c r="C996" s="140"/>
      <c r="D996" s="140"/>
      <c r="E996" s="140"/>
      <c r="F996" s="140"/>
      <c r="G996" s="140"/>
      <c r="H996" s="140"/>
      <c r="I996" s="140"/>
      <c r="J996" s="140"/>
      <c r="K996" s="455"/>
      <c r="L996" s="455"/>
      <c r="M996" s="140"/>
      <c r="N996" s="140"/>
      <c r="O996" s="140"/>
      <c r="P996" s="140"/>
      <c r="Q996" s="140"/>
      <c r="R996" s="140"/>
      <c r="S996" s="140"/>
      <c r="T996" s="140"/>
      <c r="U996" s="140"/>
      <c r="V996" s="140"/>
      <c r="W996" s="140"/>
    </row>
    <row r="997">
      <c r="A997" s="140"/>
      <c r="B997" s="140"/>
      <c r="C997" s="140"/>
      <c r="D997" s="140"/>
      <c r="E997" s="140"/>
      <c r="F997" s="140"/>
      <c r="G997" s="140"/>
      <c r="H997" s="140"/>
      <c r="I997" s="140"/>
      <c r="J997" s="140"/>
      <c r="K997" s="455"/>
      <c r="L997" s="455"/>
      <c r="M997" s="140"/>
      <c r="N997" s="140"/>
      <c r="O997" s="140"/>
      <c r="P997" s="140"/>
      <c r="Q997" s="140"/>
      <c r="R997" s="140"/>
      <c r="S997" s="140"/>
      <c r="T997" s="140"/>
      <c r="U997" s="140"/>
      <c r="V997" s="140"/>
      <c r="W997" s="140"/>
    </row>
    <row r="998">
      <c r="A998" s="140"/>
      <c r="B998" s="140"/>
      <c r="C998" s="140"/>
      <c r="D998" s="140"/>
      <c r="E998" s="140"/>
      <c r="F998" s="140"/>
      <c r="G998" s="140"/>
      <c r="H998" s="140"/>
      <c r="I998" s="140"/>
      <c r="J998" s="140"/>
      <c r="K998" s="455"/>
      <c r="L998" s="455"/>
      <c r="M998" s="140"/>
      <c r="N998" s="140"/>
      <c r="O998" s="140"/>
      <c r="P998" s="140"/>
      <c r="Q998" s="140"/>
      <c r="R998" s="140"/>
      <c r="S998" s="140"/>
      <c r="T998" s="140"/>
      <c r="U998" s="140"/>
      <c r="V998" s="140"/>
      <c r="W998" s="140"/>
    </row>
    <row r="999">
      <c r="A999" s="140"/>
      <c r="B999" s="140"/>
      <c r="C999" s="140"/>
      <c r="D999" s="140"/>
      <c r="E999" s="140"/>
      <c r="F999" s="140"/>
      <c r="G999" s="140"/>
      <c r="H999" s="140"/>
      <c r="I999" s="140"/>
      <c r="J999" s="140"/>
      <c r="K999" s="455"/>
      <c r="L999" s="455"/>
      <c r="M999" s="140"/>
      <c r="N999" s="140"/>
      <c r="O999" s="140"/>
      <c r="P999" s="140"/>
      <c r="Q999" s="140"/>
      <c r="R999" s="140"/>
      <c r="S999" s="140"/>
      <c r="T999" s="140"/>
      <c r="U999" s="140"/>
      <c r="V999" s="140"/>
      <c r="W999" s="140"/>
    </row>
    <row r="1000">
      <c r="A1000" s="140"/>
      <c r="B1000" s="140"/>
      <c r="C1000" s="140"/>
      <c r="D1000" s="140"/>
      <c r="E1000" s="140"/>
      <c r="F1000" s="140"/>
      <c r="G1000" s="140"/>
      <c r="H1000" s="140"/>
      <c r="I1000" s="140"/>
      <c r="J1000" s="140"/>
      <c r="K1000" s="455"/>
      <c r="L1000" s="455"/>
      <c r="M1000" s="140"/>
      <c r="N1000" s="140"/>
      <c r="O1000" s="140"/>
      <c r="P1000" s="140"/>
      <c r="Q1000" s="140"/>
      <c r="R1000" s="140"/>
      <c r="S1000" s="140"/>
      <c r="T1000" s="140"/>
      <c r="U1000" s="140"/>
      <c r="V1000" s="140"/>
      <c r="W1000" s="140"/>
    </row>
    <row r="1001">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row>
    <row r="1002">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row>
    <row r="100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row>
    <row r="1004">
      <c r="A1004" s="140"/>
      <c r="B1004" s="140"/>
      <c r="C1004" s="140"/>
      <c r="D1004" s="140"/>
      <c r="E1004" s="140"/>
      <c r="F1004" s="140"/>
      <c r="G1004" s="140"/>
      <c r="H1004" s="140"/>
      <c r="I1004" s="140"/>
      <c r="J1004" s="140"/>
      <c r="K1004" s="140"/>
      <c r="L1004" s="140"/>
      <c r="M1004" s="140"/>
      <c r="N1004" s="140"/>
      <c r="O1004" s="140"/>
      <c r="P1004" s="140"/>
      <c r="Q1004" s="140"/>
      <c r="R1004" s="140"/>
      <c r="S1004" s="140"/>
      <c r="T1004" s="140"/>
      <c r="U1004" s="140"/>
      <c r="V1004" s="140"/>
      <c r="W1004" s="140"/>
    </row>
    <row r="1005">
      <c r="A1005" s="140"/>
      <c r="B1005" s="140"/>
      <c r="C1005" s="140"/>
      <c r="D1005" s="140"/>
      <c r="E1005" s="140"/>
      <c r="F1005" s="140"/>
      <c r="G1005" s="140"/>
      <c r="H1005" s="140"/>
      <c r="I1005" s="140"/>
      <c r="J1005" s="140"/>
      <c r="K1005" s="140"/>
      <c r="L1005" s="140"/>
      <c r="M1005" s="140"/>
      <c r="N1005" s="140"/>
      <c r="O1005" s="140"/>
      <c r="P1005" s="140"/>
      <c r="Q1005" s="140"/>
      <c r="R1005" s="140"/>
      <c r="S1005" s="140"/>
      <c r="T1005" s="140"/>
      <c r="U1005" s="140"/>
      <c r="V1005" s="140"/>
      <c r="W1005" s="140"/>
    </row>
    <row r="1006">
      <c r="A1006" s="140"/>
      <c r="B1006" s="140"/>
      <c r="C1006" s="140"/>
      <c r="D1006" s="140"/>
      <c r="E1006" s="140"/>
      <c r="F1006" s="140"/>
      <c r="G1006" s="140"/>
      <c r="H1006" s="140"/>
      <c r="I1006" s="140"/>
      <c r="J1006" s="140"/>
      <c r="K1006" s="140"/>
      <c r="L1006" s="140"/>
      <c r="M1006" s="140"/>
      <c r="N1006" s="140"/>
      <c r="O1006" s="140"/>
      <c r="P1006" s="140"/>
      <c r="Q1006" s="140"/>
      <c r="R1006" s="140"/>
      <c r="S1006" s="140"/>
      <c r="T1006" s="140"/>
      <c r="U1006" s="140"/>
      <c r="V1006" s="140"/>
      <c r="W1006" s="140"/>
    </row>
    <row r="1007">
      <c r="A1007" s="140"/>
      <c r="B1007" s="140"/>
      <c r="C1007" s="140"/>
      <c r="D1007" s="140"/>
      <c r="E1007" s="140"/>
      <c r="F1007" s="140"/>
      <c r="G1007" s="140"/>
      <c r="H1007" s="140"/>
      <c r="I1007" s="140"/>
      <c r="J1007" s="140"/>
      <c r="K1007" s="140"/>
      <c r="L1007" s="140"/>
      <c r="M1007" s="140"/>
      <c r="N1007" s="140"/>
      <c r="O1007" s="140"/>
      <c r="P1007" s="140"/>
      <c r="Q1007" s="140"/>
      <c r="R1007" s="140"/>
      <c r="S1007" s="140"/>
      <c r="T1007" s="140"/>
      <c r="U1007" s="140"/>
      <c r="V1007" s="140"/>
      <c r="W1007" s="140"/>
    </row>
    <row r="1008">
      <c r="A1008" s="140"/>
      <c r="B1008" s="140"/>
      <c r="C1008" s="140"/>
      <c r="D1008" s="140"/>
      <c r="E1008" s="140"/>
      <c r="F1008" s="140"/>
      <c r="G1008" s="140"/>
      <c r="H1008" s="140"/>
      <c r="I1008" s="140"/>
      <c r="J1008" s="140"/>
      <c r="K1008" s="140"/>
      <c r="L1008" s="140"/>
      <c r="M1008" s="140"/>
      <c r="N1008" s="140"/>
      <c r="O1008" s="140"/>
      <c r="P1008" s="140"/>
      <c r="Q1008" s="140"/>
      <c r="R1008" s="140"/>
      <c r="S1008" s="140"/>
      <c r="T1008" s="140"/>
      <c r="U1008" s="140"/>
      <c r="V1008" s="140"/>
      <c r="W1008" s="140"/>
    </row>
    <row r="1009">
      <c r="A1009" s="140"/>
      <c r="B1009" s="140"/>
      <c r="C1009" s="140"/>
      <c r="D1009" s="140"/>
      <c r="E1009" s="140"/>
      <c r="F1009" s="140"/>
      <c r="G1009" s="140"/>
      <c r="H1009" s="140"/>
      <c r="I1009" s="140"/>
      <c r="J1009" s="140"/>
      <c r="K1009" s="140"/>
      <c r="L1009" s="140"/>
      <c r="M1009" s="140"/>
      <c r="N1009" s="140"/>
      <c r="O1009" s="140"/>
      <c r="P1009" s="140"/>
      <c r="Q1009" s="140"/>
      <c r="R1009" s="140"/>
      <c r="S1009" s="140"/>
      <c r="T1009" s="140"/>
      <c r="U1009" s="140"/>
      <c r="V1009" s="140"/>
      <c r="W1009" s="140"/>
    </row>
    <row r="1010">
      <c r="A1010" s="140"/>
      <c r="B1010" s="140"/>
      <c r="C1010" s="140"/>
      <c r="D1010" s="140"/>
      <c r="E1010" s="140"/>
      <c r="F1010" s="140"/>
      <c r="G1010" s="140"/>
      <c r="H1010" s="140"/>
      <c r="I1010" s="140"/>
      <c r="J1010" s="140"/>
      <c r="K1010" s="140"/>
      <c r="L1010" s="140"/>
      <c r="M1010" s="140"/>
      <c r="N1010" s="140"/>
      <c r="O1010" s="140"/>
      <c r="P1010" s="140"/>
      <c r="Q1010" s="140"/>
      <c r="R1010" s="140"/>
      <c r="S1010" s="140"/>
      <c r="T1010" s="140"/>
      <c r="U1010" s="140"/>
      <c r="V1010" s="140"/>
      <c r="W1010" s="140"/>
    </row>
    <row r="1011">
      <c r="A1011" s="140"/>
      <c r="B1011" s="140"/>
      <c r="C1011" s="140"/>
      <c r="D1011" s="140"/>
      <c r="E1011" s="140"/>
      <c r="F1011" s="140"/>
      <c r="G1011" s="140"/>
      <c r="H1011" s="140"/>
      <c r="I1011" s="140"/>
      <c r="J1011" s="140"/>
      <c r="K1011" s="140"/>
      <c r="L1011" s="140"/>
      <c r="M1011" s="140"/>
      <c r="N1011" s="140"/>
      <c r="O1011" s="140"/>
      <c r="P1011" s="140"/>
      <c r="Q1011" s="140"/>
      <c r="R1011" s="140"/>
      <c r="S1011" s="140"/>
      <c r="T1011" s="140"/>
      <c r="U1011" s="140"/>
      <c r="V1011" s="140"/>
      <c r="W1011" s="140"/>
    </row>
    <row r="1012">
      <c r="A1012" s="140"/>
      <c r="B1012" s="140"/>
      <c r="C1012" s="140"/>
      <c r="D1012" s="140"/>
      <c r="E1012" s="140"/>
      <c r="F1012" s="140"/>
      <c r="G1012" s="140"/>
      <c r="H1012" s="140"/>
      <c r="I1012" s="140"/>
      <c r="J1012" s="140"/>
      <c r="K1012" s="140"/>
      <c r="L1012" s="140"/>
      <c r="M1012" s="140"/>
      <c r="N1012" s="140"/>
      <c r="O1012" s="140"/>
      <c r="P1012" s="140"/>
      <c r="Q1012" s="140"/>
      <c r="R1012" s="140"/>
      <c r="S1012" s="140"/>
      <c r="T1012" s="140"/>
      <c r="U1012" s="140"/>
      <c r="V1012" s="140"/>
      <c r="W1012" s="140"/>
    </row>
    <row r="1013">
      <c r="A1013" s="140"/>
      <c r="B1013" s="140"/>
      <c r="C1013" s="140"/>
      <c r="D1013" s="140"/>
      <c r="E1013" s="140"/>
      <c r="F1013" s="140"/>
      <c r="G1013" s="140"/>
      <c r="H1013" s="140"/>
      <c r="I1013" s="140"/>
      <c r="J1013" s="140"/>
      <c r="K1013" s="140"/>
      <c r="L1013" s="140"/>
      <c r="M1013" s="140"/>
      <c r="N1013" s="140"/>
      <c r="O1013" s="140"/>
      <c r="P1013" s="140"/>
      <c r="Q1013" s="140"/>
      <c r="R1013" s="140"/>
      <c r="S1013" s="140"/>
      <c r="T1013" s="140"/>
      <c r="U1013" s="140"/>
      <c r="V1013" s="140"/>
      <c r="W1013" s="140"/>
    </row>
    <row r="1014">
      <c r="A1014" s="140"/>
      <c r="B1014" s="140"/>
      <c r="C1014" s="140"/>
      <c r="D1014" s="140"/>
      <c r="E1014" s="140"/>
      <c r="F1014" s="140"/>
      <c r="G1014" s="140"/>
      <c r="H1014" s="140"/>
      <c r="I1014" s="140"/>
      <c r="J1014" s="140"/>
      <c r="K1014" s="140"/>
      <c r="L1014" s="140"/>
      <c r="M1014" s="140"/>
      <c r="N1014" s="140"/>
      <c r="O1014" s="140"/>
      <c r="P1014" s="140"/>
      <c r="Q1014" s="140"/>
      <c r="R1014" s="140"/>
      <c r="S1014" s="140"/>
      <c r="T1014" s="140"/>
      <c r="U1014" s="140"/>
      <c r="V1014" s="140"/>
      <c r="W1014" s="140"/>
    </row>
    <row r="1015">
      <c r="A1015" s="140"/>
      <c r="B1015" s="140"/>
      <c r="C1015" s="140"/>
      <c r="D1015" s="140"/>
      <c r="E1015" s="140"/>
      <c r="F1015" s="140"/>
      <c r="G1015" s="140"/>
      <c r="H1015" s="140"/>
      <c r="I1015" s="140"/>
      <c r="J1015" s="140"/>
      <c r="K1015" s="140"/>
      <c r="L1015" s="140"/>
      <c r="M1015" s="140"/>
      <c r="N1015" s="140"/>
      <c r="O1015" s="140"/>
      <c r="P1015" s="140"/>
      <c r="Q1015" s="140"/>
      <c r="R1015" s="140"/>
      <c r="S1015" s="140"/>
      <c r="T1015" s="140"/>
      <c r="U1015" s="140"/>
      <c r="V1015" s="140"/>
      <c r="W1015" s="140"/>
    </row>
    <row r="1016">
      <c r="A1016" s="140"/>
      <c r="B1016" s="140"/>
      <c r="C1016" s="140"/>
      <c r="D1016" s="140"/>
      <c r="E1016" s="140"/>
      <c r="F1016" s="140"/>
      <c r="G1016" s="140"/>
      <c r="H1016" s="140"/>
      <c r="I1016" s="140"/>
      <c r="J1016" s="140"/>
      <c r="K1016" s="140"/>
      <c r="L1016" s="140"/>
      <c r="M1016" s="140"/>
      <c r="N1016" s="140"/>
      <c r="O1016" s="140"/>
      <c r="P1016" s="140"/>
      <c r="Q1016" s="140"/>
      <c r="R1016" s="140"/>
      <c r="S1016" s="140"/>
      <c r="T1016" s="140"/>
      <c r="U1016" s="140"/>
      <c r="V1016" s="140"/>
      <c r="W1016" s="140"/>
    </row>
    <row r="1017">
      <c r="A1017" s="140"/>
      <c r="B1017" s="140"/>
      <c r="C1017" s="140"/>
      <c r="D1017" s="140"/>
      <c r="E1017" s="140"/>
      <c r="F1017" s="140"/>
      <c r="G1017" s="140"/>
      <c r="H1017" s="140"/>
      <c r="I1017" s="140"/>
      <c r="J1017" s="140"/>
      <c r="K1017" s="140"/>
      <c r="L1017" s="140"/>
      <c r="M1017" s="140"/>
      <c r="N1017" s="140"/>
      <c r="O1017" s="140"/>
      <c r="P1017" s="140"/>
      <c r="Q1017" s="140"/>
      <c r="R1017" s="140"/>
      <c r="S1017" s="140"/>
      <c r="T1017" s="140"/>
      <c r="U1017" s="140"/>
      <c r="V1017" s="140"/>
      <c r="W1017" s="140"/>
    </row>
    <row r="1018">
      <c r="A1018" s="140"/>
      <c r="B1018" s="140"/>
      <c r="C1018" s="140"/>
      <c r="D1018" s="140"/>
      <c r="E1018" s="140"/>
      <c r="F1018" s="140"/>
      <c r="G1018" s="140"/>
      <c r="H1018" s="140"/>
      <c r="I1018" s="140"/>
      <c r="J1018" s="140"/>
      <c r="K1018" s="140"/>
      <c r="L1018" s="140"/>
      <c r="M1018" s="140"/>
      <c r="N1018" s="140"/>
      <c r="O1018" s="140"/>
      <c r="P1018" s="140"/>
      <c r="Q1018" s="140"/>
      <c r="R1018" s="140"/>
      <c r="S1018" s="140"/>
      <c r="T1018" s="140"/>
      <c r="U1018" s="140"/>
      <c r="V1018" s="140"/>
      <c r="W1018" s="140"/>
    </row>
    <row r="1019">
      <c r="A1019" s="140"/>
      <c r="B1019" s="140"/>
      <c r="C1019" s="140"/>
      <c r="D1019" s="140"/>
      <c r="E1019" s="140"/>
      <c r="F1019" s="140"/>
      <c r="G1019" s="140"/>
      <c r="H1019" s="140"/>
      <c r="I1019" s="140"/>
      <c r="J1019" s="140"/>
      <c r="K1019" s="140"/>
      <c r="L1019" s="140"/>
      <c r="M1019" s="140"/>
      <c r="N1019" s="140"/>
      <c r="O1019" s="140"/>
      <c r="P1019" s="140"/>
      <c r="Q1019" s="140"/>
      <c r="R1019" s="140"/>
      <c r="S1019" s="140"/>
      <c r="T1019" s="140"/>
      <c r="U1019" s="140"/>
      <c r="V1019" s="140"/>
      <c r="W1019" s="140"/>
    </row>
    <row r="1020">
      <c r="A1020" s="140"/>
      <c r="B1020" s="140"/>
      <c r="C1020" s="140"/>
      <c r="D1020" s="140"/>
      <c r="E1020" s="140"/>
      <c r="F1020" s="140"/>
      <c r="G1020" s="140"/>
      <c r="H1020" s="140"/>
      <c r="I1020" s="140"/>
      <c r="J1020" s="140"/>
      <c r="K1020" s="140"/>
      <c r="L1020" s="140"/>
      <c r="M1020" s="140"/>
      <c r="N1020" s="140"/>
      <c r="O1020" s="140"/>
      <c r="P1020" s="140"/>
      <c r="Q1020" s="140"/>
      <c r="R1020" s="140"/>
      <c r="S1020" s="140"/>
      <c r="T1020" s="140"/>
      <c r="U1020" s="140"/>
      <c r="V1020" s="140"/>
      <c r="W1020" s="140"/>
    </row>
    <row r="1021">
      <c r="A1021" s="140"/>
      <c r="B1021" s="140"/>
      <c r="C1021" s="140"/>
      <c r="D1021" s="140"/>
      <c r="E1021" s="140"/>
      <c r="F1021" s="140"/>
      <c r="G1021" s="140"/>
      <c r="H1021" s="140"/>
      <c r="I1021" s="140"/>
      <c r="J1021" s="140"/>
      <c r="K1021" s="140"/>
      <c r="L1021" s="140"/>
      <c r="M1021" s="140"/>
      <c r="N1021" s="140"/>
      <c r="O1021" s="140"/>
      <c r="P1021" s="140"/>
      <c r="Q1021" s="140"/>
      <c r="R1021" s="140"/>
      <c r="S1021" s="140"/>
      <c r="T1021" s="140"/>
      <c r="U1021" s="140"/>
      <c r="V1021" s="140"/>
      <c r="W1021" s="140"/>
    </row>
    <row r="1022">
      <c r="A1022" s="140"/>
      <c r="B1022" s="140"/>
      <c r="C1022" s="140"/>
      <c r="D1022" s="140"/>
      <c r="E1022" s="140"/>
      <c r="F1022" s="140"/>
      <c r="G1022" s="140"/>
      <c r="H1022" s="140"/>
      <c r="I1022" s="140"/>
      <c r="J1022" s="140"/>
      <c r="K1022" s="140"/>
      <c r="L1022" s="140"/>
      <c r="M1022" s="140"/>
      <c r="N1022" s="140"/>
      <c r="O1022" s="140"/>
      <c r="P1022" s="140"/>
      <c r="Q1022" s="140"/>
      <c r="R1022" s="140"/>
      <c r="S1022" s="140"/>
      <c r="T1022" s="140"/>
      <c r="U1022" s="140"/>
      <c r="V1022" s="140"/>
      <c r="W1022" s="140"/>
    </row>
    <row r="1023">
      <c r="A1023" s="140"/>
      <c r="B1023" s="140"/>
      <c r="C1023" s="140"/>
      <c r="D1023" s="140"/>
      <c r="E1023" s="140"/>
      <c r="F1023" s="140"/>
      <c r="G1023" s="140"/>
      <c r="H1023" s="140"/>
      <c r="I1023" s="140"/>
      <c r="J1023" s="140"/>
      <c r="K1023" s="140"/>
      <c r="L1023" s="140"/>
      <c r="M1023" s="140"/>
      <c r="N1023" s="140"/>
      <c r="O1023" s="140"/>
      <c r="P1023" s="140"/>
      <c r="Q1023" s="140"/>
      <c r="R1023" s="140"/>
      <c r="S1023" s="140"/>
      <c r="T1023" s="140"/>
      <c r="U1023" s="140"/>
      <c r="V1023" s="140"/>
      <c r="W1023" s="140"/>
    </row>
    <row r="1024">
      <c r="A1024" s="140"/>
      <c r="B1024" s="140"/>
      <c r="C1024" s="140"/>
      <c r="D1024" s="140"/>
      <c r="E1024" s="140"/>
      <c r="F1024" s="140"/>
      <c r="G1024" s="140"/>
      <c r="H1024" s="140"/>
      <c r="I1024" s="140"/>
      <c r="J1024" s="140"/>
      <c r="K1024" s="140"/>
      <c r="L1024" s="140"/>
      <c r="M1024" s="140"/>
      <c r="N1024" s="140"/>
      <c r="O1024" s="140"/>
      <c r="P1024" s="140"/>
      <c r="Q1024" s="140"/>
      <c r="R1024" s="140"/>
      <c r="S1024" s="140"/>
      <c r="T1024" s="140"/>
      <c r="U1024" s="140"/>
      <c r="V1024" s="140"/>
      <c r="W1024" s="140"/>
    </row>
    <row r="1025">
      <c r="A1025" s="140"/>
      <c r="B1025" s="140"/>
      <c r="C1025" s="140"/>
      <c r="D1025" s="140"/>
      <c r="E1025" s="140"/>
      <c r="F1025" s="140"/>
      <c r="G1025" s="140"/>
      <c r="H1025" s="140"/>
      <c r="I1025" s="140"/>
      <c r="J1025" s="140"/>
      <c r="K1025" s="140"/>
      <c r="L1025" s="140"/>
      <c r="M1025" s="140"/>
      <c r="N1025" s="140"/>
      <c r="O1025" s="140"/>
      <c r="P1025" s="140"/>
      <c r="Q1025" s="140"/>
      <c r="R1025" s="140"/>
      <c r="S1025" s="140"/>
      <c r="T1025" s="140"/>
      <c r="U1025" s="140"/>
      <c r="V1025" s="140"/>
      <c r="W1025" s="140"/>
    </row>
    <row r="1026">
      <c r="A1026" s="140"/>
      <c r="B1026" s="140"/>
      <c r="C1026" s="140"/>
      <c r="D1026" s="140"/>
      <c r="E1026" s="140"/>
      <c r="F1026" s="140"/>
      <c r="G1026" s="140"/>
      <c r="H1026" s="140"/>
      <c r="I1026" s="140"/>
      <c r="J1026" s="140"/>
      <c r="K1026" s="140"/>
      <c r="L1026" s="140"/>
      <c r="M1026" s="140"/>
      <c r="N1026" s="140"/>
      <c r="O1026" s="140"/>
      <c r="P1026" s="140"/>
      <c r="Q1026" s="140"/>
      <c r="R1026" s="140"/>
      <c r="S1026" s="140"/>
      <c r="T1026" s="140"/>
      <c r="U1026" s="140"/>
      <c r="V1026" s="140"/>
      <c r="W1026" s="140"/>
    </row>
  </sheetData>
  <hyperlinks>
    <hyperlink r:id="rId1" ref="B10"/>
    <hyperlink r:id="rId2" ref="D10"/>
    <hyperlink r:id="rId3" ref="F10"/>
    <hyperlink r:id="rId4" ref="H10"/>
    <hyperlink r:id="rId5" ref="J10"/>
  </hyperlinks>
  <drawing r:id="rId6"/>
</worksheet>
</file>